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5.xml" ContentType="application/vnd.openxmlformats-officedocument.spreadsheetml.comments+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DieseArbeitsmappe"/>
  <mc:AlternateContent xmlns:mc="http://schemas.openxmlformats.org/markup-compatibility/2006">
    <mc:Choice Requires="x15">
      <x15ac:absPath xmlns:x15ac="http://schemas.microsoft.com/office/spreadsheetml/2010/11/ac" url="\\oslw-s-pr.wbf.admin.ch\OSLW-PR$\OS\2\5\2\3\2400\Kostenkatalog 2025\Tractoscope_25\"/>
    </mc:Choice>
  </mc:AlternateContent>
  <xr:revisionPtr revIDLastSave="0" documentId="13_ncr:1_{3F8916B5-10C2-4284-907F-BD6417BC8093}" xr6:coauthVersionLast="47" xr6:coauthVersionMax="47" xr10:uidLastSave="{00000000-0000-0000-0000-000000000000}"/>
  <workbookProtection workbookAlgorithmName="SHA-512" workbookHashValue="wzkkHi3Wkhuj+kel4cmdfUcx2lw41fxkiW0THfDW1ZPRCvpGxalYX00RM611wG2I3oY+6pDFWieypHAB1N++QQ==" workbookSaltValue="rN10kno9Ew7bcCl8jRT9mw==" workbookSpinCount="100000" lockStructure="1"/>
  <bookViews>
    <workbookView xWindow="15" yWindow="0" windowWidth="28485" windowHeight="17295" tabRatio="914" activeTab="2" xr2:uid="{00000000-000D-0000-FFFF-FFFF00000000}"/>
  </bookViews>
  <sheets>
    <sheet name="Hypothèses" sheetId="1" r:id="rId1"/>
    <sheet name="lire" sheetId="2" r:id="rId2"/>
    <sheet name="Calcul des machines" sheetId="4" r:id="rId3"/>
    <sheet name="résumé" sheetId="5" r:id="rId4"/>
    <sheet name="Maschinenliste" sheetId="6" r:id="rId5"/>
    <sheet name="Acheter ou louer" sheetId="12" r:id="rId6"/>
    <sheet name="Preise_allg" sheetId="7" state="hidden" r:id="rId7"/>
    <sheet name="Grafik" sheetId="8" state="hidden" r:id="rId8"/>
    <sheet name="TracSharing" sheetId="10" r:id="rId9"/>
    <sheet name="Calc_valeur_res" sheetId="13" r:id="rId10"/>
    <sheet name="Spez" sheetId="3" r:id="rId11"/>
    <sheet name="Bemerkungen" sheetId="11" state="hidden" r:id="rId12"/>
    <sheet name="INTERNA" sheetId="9" state="hidden" r:id="rId13"/>
  </sheets>
  <externalReferences>
    <externalReference r:id="rId14"/>
    <externalReference r:id="rId15"/>
  </externalReferences>
  <definedNames>
    <definedName name="_xlnm._FilterDatabase" localSheetId="4" hidden="1">Maschinenliste!$A$14:$AA$928</definedName>
    <definedName name="Code">Maschinenliste!$A$17:$A$944</definedName>
    <definedName name="_xlnm.Print_Area" localSheetId="5">'Acheter ou louer'!$A$1:$J$111</definedName>
    <definedName name="_xlnm.Print_Area" localSheetId="2">'Calcul des machines'!$A$1:$O$257</definedName>
    <definedName name="_xlnm.Print_Area" localSheetId="1">lire!$A$1:$J$51</definedName>
    <definedName name="_xlnm.Print_Area" localSheetId="4">Maschinenliste!$A:$Y</definedName>
    <definedName name="_xlnm.Print_Area" localSheetId="8">TracSharing!$A$1:$G$159</definedName>
    <definedName name="_xlnm.Print_Titles" localSheetId="4">Maschinenliste!$5:$13</definedName>
    <definedName name="M_Name">Maschinenliste!$A$17:$C$944</definedName>
    <definedName name="m_SpalteG">Maschinenliste!$G$18:$G$927</definedName>
    <definedName name="pa_RTK_Lizenz">[1]Preise_allg!$F$322</definedName>
    <definedName name="pa_Zinssatz_Mittelwert">[1]Preise_allg!$F$312</definedName>
    <definedName name="Z_27A951D1_C3FC_484C_B83E_FA121C9E6D3A_.wvu.Cols" localSheetId="0" hidden="1">Hypothèses!$E:$F</definedName>
    <definedName name="Z_27A951D1_C3FC_484C_B83E_FA121C9E6D3A_.wvu.Cols" localSheetId="1" hidden="1">lire!$N:$N</definedName>
    <definedName name="Z_27A951D1_C3FC_484C_B83E_FA121C9E6D3A_.wvu.Cols" localSheetId="4" hidden="1">Maschinenliste!$Z:$AF</definedName>
    <definedName name="Z_27A951D1_C3FC_484C_B83E_FA121C9E6D3A_.wvu.PrintArea" localSheetId="2" hidden="1">'Calcul des machines'!$A$1:$O$257</definedName>
    <definedName name="Z_27A951D1_C3FC_484C_B83E_FA121C9E6D3A_.wvu.PrintArea" localSheetId="1" hidden="1">lire!$A$1:$J$51</definedName>
    <definedName name="Z_27A951D1_C3FC_484C_B83E_FA121C9E6D3A_.wvu.PrintArea" localSheetId="4" hidden="1">Maschinenliste!$A:$Y</definedName>
    <definedName name="Z_27A951D1_C3FC_484C_B83E_FA121C9E6D3A_.wvu.PrintTitles" localSheetId="4" hidden="1">Maschinenliste!$5:$13</definedName>
    <definedName name="Z_27A951D1_C3FC_484C_B83E_FA121C9E6D3A_.wvu.Rows" localSheetId="2" hidden="1">'Calcul des machines'!$56:$57,'Calcul des machines'!$79:$80,'Calcul des machines'!$89:$90,'Calcul des machines'!$122:$123,'Calcul des machines'!$139:$140,'Calcul des machines'!$149:$150,'Calcul des machines'!$182:$183,'Calcul des machines'!$199:$200,'Calcul des machines'!$209:$210,'Calcul des machines'!$242:$243,'Calcul des machines'!#REF!</definedName>
    <definedName name="Z_27A951D1_C3FC_484C_B83E_FA121C9E6D3A_.wvu.Rows" localSheetId="4" hidden="1">Maschinenliste!$1:$4</definedName>
    <definedName name="Z_72D97B72_4F31_4935_B383_181115A2573C_.wvu.Cols" localSheetId="0" hidden="1">Hypothèses!$E:$F</definedName>
    <definedName name="Z_72D97B72_4F31_4935_B383_181115A2573C_.wvu.Cols" localSheetId="1" hidden="1">lire!$N:$N</definedName>
    <definedName name="Z_72D97B72_4F31_4935_B383_181115A2573C_.wvu.Cols" localSheetId="4" hidden="1">Maschinenliste!$Z:$AF</definedName>
    <definedName name="Z_72D97B72_4F31_4935_B383_181115A2573C_.wvu.PrintArea" localSheetId="2" hidden="1">'Calcul des machines'!$A$1:$O$257</definedName>
    <definedName name="Z_72D97B72_4F31_4935_B383_181115A2573C_.wvu.PrintArea" localSheetId="1" hidden="1">lire!$A$1:$J$51</definedName>
    <definedName name="Z_72D97B72_4F31_4935_B383_181115A2573C_.wvu.PrintArea" localSheetId="4" hidden="1">Maschinenliste!$A:$Y</definedName>
    <definedName name="Z_72D97B72_4F31_4935_B383_181115A2573C_.wvu.PrintTitles" localSheetId="4" hidden="1">Maschinenliste!$5:$13</definedName>
    <definedName name="Z_72D97B72_4F31_4935_B383_181115A2573C_.wvu.Rows" localSheetId="2" hidden="1">'Calcul des machines'!$56:$57,'Calcul des machines'!$79:$80,'Calcul des machines'!$89:$90,'Calcul des machines'!$122:$123,'Calcul des machines'!$139:$140,'Calcul des machines'!$149:$150,'Calcul des machines'!$182:$183,'Calcul des machines'!$199:$200,'Calcul des machines'!$209:$210,'Calcul des machines'!$242:$243,'Calcul des machines'!#REF!</definedName>
    <definedName name="Z_72D97B72_4F31_4935_B383_181115A2573C_.wvu.Rows" localSheetId="4" hidden="1">Maschinenliste!$1:$4</definedName>
  </definedNames>
  <calcPr calcId="191029"/>
  <customWorkbookViews>
    <customWorkbookView name="Christian Gazzarin - Persönliche Ansicht" guid="{72D97B72-4F31-4935-B383-181115A2573C}" mergeInterval="0" personalView="1" maximized="1" xWindow="1" yWindow="1" windowWidth="1344" windowHeight="641" tabRatio="914" activeSheetId="4"/>
    <customWorkbookView name="Gregor Albisser - Persönliche Ansicht" guid="{27A951D1-C3FC-484C-B83E-FA121C9E6D3A}" mergeInterval="0" personalView="1" maximized="1" xWindow="1" yWindow="1" windowWidth="1436" windowHeight="683" tabRatio="914"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0" i="4" l="1"/>
  <c r="M240" i="4"/>
  <c r="L240" i="4"/>
  <c r="K240" i="4"/>
  <c r="G240" i="4"/>
  <c r="F240" i="4"/>
  <c r="E240" i="4"/>
  <c r="D240" i="4"/>
  <c r="M239" i="4"/>
  <c r="K239" i="4"/>
  <c r="F239" i="4"/>
  <c r="D239" i="4"/>
  <c r="M238" i="4"/>
  <c r="K238" i="4"/>
  <c r="F238" i="4"/>
  <c r="D238" i="4"/>
  <c r="L235" i="4"/>
  <c r="E235" i="4"/>
  <c r="G235" i="4" s="1"/>
  <c r="N234" i="4"/>
  <c r="K230" i="4"/>
  <c r="D230" i="4"/>
  <c r="M229" i="4"/>
  <c r="K229" i="4"/>
  <c r="F229" i="4"/>
  <c r="D229" i="4"/>
  <c r="K222" i="4"/>
  <c r="D222" i="4"/>
  <c r="F222" i="4" s="1"/>
  <c r="K221" i="4"/>
  <c r="M221" i="4" s="1"/>
  <c r="D221" i="4"/>
  <c r="K220" i="4"/>
  <c r="D220" i="4"/>
  <c r="K218" i="4"/>
  <c r="D218" i="4"/>
  <c r="K216" i="4"/>
  <c r="D216" i="4"/>
  <c r="K215" i="4"/>
  <c r="D215" i="4"/>
  <c r="K214" i="4"/>
  <c r="D214" i="4"/>
  <c r="F214" i="4" s="1"/>
  <c r="K212" i="4"/>
  <c r="K228" i="4" s="1"/>
  <c r="D212" i="4"/>
  <c r="D228" i="4" s="1"/>
  <c r="L207" i="4"/>
  <c r="E207" i="4"/>
  <c r="M205" i="4"/>
  <c r="N220" i="4" s="1"/>
  <c r="E205" i="4"/>
  <c r="G234" i="4" s="1"/>
  <c r="L204" i="4"/>
  <c r="D204" i="4"/>
  <c r="M203" i="4"/>
  <c r="L203" i="4"/>
  <c r="E203" i="4"/>
  <c r="D203" i="4"/>
  <c r="L201" i="4"/>
  <c r="E201" i="4"/>
  <c r="M199" i="4"/>
  <c r="K199" i="4"/>
  <c r="E199" i="4"/>
  <c r="C199" i="4"/>
  <c r="K198" i="4"/>
  <c r="L205" i="4" s="1"/>
  <c r="N201" i="4" s="1"/>
  <c r="C198" i="4"/>
  <c r="E214" i="4" s="1"/>
  <c r="E241" i="4" s="1"/>
  <c r="I197" i="4"/>
  <c r="B197" i="4"/>
  <c r="I196" i="4"/>
  <c r="B196" i="4"/>
  <c r="N180" i="4"/>
  <c r="M180" i="4"/>
  <c r="L180" i="4"/>
  <c r="K180" i="4"/>
  <c r="G180" i="4"/>
  <c r="F180" i="4"/>
  <c r="E180" i="4"/>
  <c r="D180" i="4"/>
  <c r="M179" i="4"/>
  <c r="K179" i="4"/>
  <c r="F179" i="4"/>
  <c r="D179" i="4"/>
  <c r="M178" i="4"/>
  <c r="K178" i="4"/>
  <c r="F178" i="4"/>
  <c r="D178" i="4"/>
  <c r="L175" i="4"/>
  <c r="N175" i="4" s="1"/>
  <c r="E175" i="4"/>
  <c r="K170" i="4"/>
  <c r="D170" i="4"/>
  <c r="F170" i="4" s="1"/>
  <c r="M169" i="4"/>
  <c r="K169" i="4"/>
  <c r="F169" i="4"/>
  <c r="D169" i="4"/>
  <c r="D168" i="4"/>
  <c r="K162" i="4"/>
  <c r="M162" i="4" s="1"/>
  <c r="D162" i="4"/>
  <c r="K161" i="4"/>
  <c r="D161" i="4"/>
  <c r="K160" i="4"/>
  <c r="D160" i="4"/>
  <c r="F160" i="4" s="1"/>
  <c r="K158" i="4"/>
  <c r="D158" i="4"/>
  <c r="K156" i="4"/>
  <c r="D156" i="4"/>
  <c r="K155" i="4"/>
  <c r="D155" i="4"/>
  <c r="D157" i="4" s="1"/>
  <c r="K154" i="4"/>
  <c r="M154" i="4" s="1"/>
  <c r="D154" i="4"/>
  <c r="K152" i="4"/>
  <c r="K168" i="4" s="1"/>
  <c r="D152" i="4"/>
  <c r="L147" i="4"/>
  <c r="E147" i="4"/>
  <c r="M145" i="4"/>
  <c r="N174" i="4" s="1"/>
  <c r="E145" i="4"/>
  <c r="E149" i="4" s="1"/>
  <c r="M143" i="4"/>
  <c r="L143" i="4"/>
  <c r="L144" i="4" s="1"/>
  <c r="E143" i="4"/>
  <c r="D143" i="4"/>
  <c r="D144" i="4" s="1"/>
  <c r="M139" i="4"/>
  <c r="K139" i="4"/>
  <c r="E139" i="4"/>
  <c r="C139" i="4"/>
  <c r="K138" i="4"/>
  <c r="I133" i="4" s="1"/>
  <c r="O58" i="5" s="1"/>
  <c r="C138" i="4"/>
  <c r="E141" i="4" s="1"/>
  <c r="I137" i="4"/>
  <c r="B137" i="4"/>
  <c r="I136" i="4"/>
  <c r="B136" i="4"/>
  <c r="N120" i="4"/>
  <c r="M120" i="4"/>
  <c r="L120" i="4"/>
  <c r="K120" i="4"/>
  <c r="G120" i="4"/>
  <c r="F120" i="4"/>
  <c r="E120" i="4"/>
  <c r="D120" i="4"/>
  <c r="M119" i="4"/>
  <c r="K119" i="4"/>
  <c r="F119" i="4"/>
  <c r="D119" i="4"/>
  <c r="M118" i="4"/>
  <c r="K118" i="4"/>
  <c r="F118" i="4"/>
  <c r="D118" i="4"/>
  <c r="L115" i="4"/>
  <c r="E115" i="4"/>
  <c r="G114" i="4"/>
  <c r="E114" i="4"/>
  <c r="K110" i="4"/>
  <c r="M110" i="4" s="1"/>
  <c r="D110" i="4"/>
  <c r="K109" i="4"/>
  <c r="K108" i="4"/>
  <c r="D108" i="4"/>
  <c r="K102" i="4"/>
  <c r="D102" i="4"/>
  <c r="D109" i="4" s="1"/>
  <c r="K101" i="4"/>
  <c r="D101" i="4"/>
  <c r="K100" i="4"/>
  <c r="M100" i="4" s="1"/>
  <c r="G100" i="4"/>
  <c r="D100" i="4"/>
  <c r="K98" i="4"/>
  <c r="D98" i="4"/>
  <c r="K96" i="4"/>
  <c r="D96" i="4"/>
  <c r="F96" i="4" s="1"/>
  <c r="K95" i="4"/>
  <c r="K97" i="4" s="1"/>
  <c r="D95" i="4"/>
  <c r="K94" i="4"/>
  <c r="D94" i="4"/>
  <c r="D97" i="4" s="1"/>
  <c r="K92" i="4"/>
  <c r="D92" i="4"/>
  <c r="L87" i="4"/>
  <c r="E87" i="4"/>
  <c r="M85" i="4"/>
  <c r="N114" i="4" s="1"/>
  <c r="L85" i="4"/>
  <c r="E85" i="4"/>
  <c r="M83" i="4"/>
  <c r="L83" i="4"/>
  <c r="L84" i="4" s="1"/>
  <c r="E83" i="4"/>
  <c r="D83" i="4"/>
  <c r="D84" i="4" s="1"/>
  <c r="L81" i="4"/>
  <c r="M79" i="4"/>
  <c r="K79" i="4"/>
  <c r="E79" i="4"/>
  <c r="C79" i="4"/>
  <c r="K78" i="4"/>
  <c r="M81" i="4" s="1"/>
  <c r="C78" i="4"/>
  <c r="E8" i="5" s="1"/>
  <c r="I77" i="4"/>
  <c r="B77" i="4"/>
  <c r="I76" i="4"/>
  <c r="B76" i="4"/>
  <c r="B48" i="5" s="1"/>
  <c r="N54" i="4"/>
  <c r="M54" i="4"/>
  <c r="L54" i="4"/>
  <c r="K54" i="4"/>
  <c r="G54" i="4"/>
  <c r="F54" i="4"/>
  <c r="E54" i="4"/>
  <c r="D54" i="4"/>
  <c r="M53" i="4"/>
  <c r="K53" i="4"/>
  <c r="F53" i="4"/>
  <c r="D53" i="4"/>
  <c r="M52" i="4"/>
  <c r="K52" i="4"/>
  <c r="F52" i="4"/>
  <c r="D52" i="4"/>
  <c r="L49" i="4"/>
  <c r="N49" i="4" s="1"/>
  <c r="E49" i="4"/>
  <c r="L48" i="4"/>
  <c r="K44" i="4"/>
  <c r="D44" i="4"/>
  <c r="K43" i="4"/>
  <c r="D43" i="4"/>
  <c r="K42" i="4"/>
  <c r="K36" i="4"/>
  <c r="D36" i="4"/>
  <c r="K35" i="4"/>
  <c r="D35" i="4"/>
  <c r="F35" i="4" s="1"/>
  <c r="N34" i="4"/>
  <c r="K34" i="4"/>
  <c r="M34" i="4" s="1"/>
  <c r="D34" i="4"/>
  <c r="F34" i="4" s="1"/>
  <c r="K32" i="4"/>
  <c r="D32" i="4"/>
  <c r="K30" i="4"/>
  <c r="L47" i="4" s="1"/>
  <c r="D30" i="4"/>
  <c r="F30" i="4" s="1"/>
  <c r="K29" i="4"/>
  <c r="D29" i="4"/>
  <c r="K28" i="4"/>
  <c r="D28" i="4"/>
  <c r="K26" i="4"/>
  <c r="D26" i="4"/>
  <c r="F26" i="4" s="1"/>
  <c r="F24" i="4"/>
  <c r="M24" i="4" s="1"/>
  <c r="F23" i="4"/>
  <c r="M23" i="4" s="1"/>
  <c r="L21" i="4"/>
  <c r="E21" i="4"/>
  <c r="D18" i="4" s="1"/>
  <c r="M19" i="4"/>
  <c r="N48" i="4" s="1"/>
  <c r="E19" i="4"/>
  <c r="L18" i="4"/>
  <c r="M17" i="4"/>
  <c r="L17" i="4"/>
  <c r="E17" i="4"/>
  <c r="D17" i="4"/>
  <c r="L15" i="4"/>
  <c r="M13" i="4"/>
  <c r="K13" i="4"/>
  <c r="E13" i="4"/>
  <c r="C13" i="4"/>
  <c r="K12" i="4"/>
  <c r="L19" i="4" s="1"/>
  <c r="G12" i="4"/>
  <c r="C12" i="4"/>
  <c r="E15" i="4" s="1"/>
  <c r="I11" i="4"/>
  <c r="H11" i="4"/>
  <c r="F11" i="4"/>
  <c r="B11" i="4"/>
  <c r="I10" i="4"/>
  <c r="H10" i="4"/>
  <c r="F10" i="4"/>
  <c r="B10" i="4"/>
  <c r="B34" i="5" s="1"/>
  <c r="F9" i="4"/>
  <c r="T8" i="4"/>
  <c r="A2" i="4"/>
  <c r="A1" i="4"/>
  <c r="N235" i="4"/>
  <c r="M230" i="4"/>
  <c r="F230" i="4"/>
  <c r="M224" i="4"/>
  <c r="F224" i="4"/>
  <c r="M223" i="4"/>
  <c r="F223" i="4"/>
  <c r="M222" i="4"/>
  <c r="F221" i="4"/>
  <c r="M220" i="4"/>
  <c r="F220" i="4"/>
  <c r="K217" i="4"/>
  <c r="M216" i="4"/>
  <c r="F216" i="4"/>
  <c r="M215" i="4"/>
  <c r="F215" i="4"/>
  <c r="M214" i="4"/>
  <c r="M210" i="4"/>
  <c r="E210" i="4"/>
  <c r="M209" i="4"/>
  <c r="E209" i="4"/>
  <c r="L198" i="4"/>
  <c r="L216" i="4"/>
  <c r="N216" i="4" s="1"/>
  <c r="E198" i="4"/>
  <c r="D198" i="4"/>
  <c r="L192" i="4"/>
  <c r="I192" i="4"/>
  <c r="D192" i="4"/>
  <c r="B192" i="4"/>
  <c r="G175" i="4"/>
  <c r="M170" i="4"/>
  <c r="M164" i="4"/>
  <c r="F164" i="4"/>
  <c r="M163" i="4"/>
  <c r="F163" i="4"/>
  <c r="F162" i="4"/>
  <c r="M161" i="4"/>
  <c r="M160" i="4"/>
  <c r="M156" i="4"/>
  <c r="F156" i="4"/>
  <c r="M155" i="4"/>
  <c r="F155" i="4"/>
  <c r="F152" i="4"/>
  <c r="M150" i="4"/>
  <c r="E150" i="4"/>
  <c r="M149" i="4"/>
  <c r="M138" i="4"/>
  <c r="L138" i="4"/>
  <c r="E138" i="4"/>
  <c r="K68" i="4"/>
  <c r="L132" i="4"/>
  <c r="I132" i="4"/>
  <c r="D132" i="4"/>
  <c r="B132" i="4"/>
  <c r="B121" i="4"/>
  <c r="N115" i="4"/>
  <c r="G115" i="4"/>
  <c r="F110" i="4"/>
  <c r="M104" i="4"/>
  <c r="F104" i="4"/>
  <c r="M103" i="4"/>
  <c r="F103" i="4"/>
  <c r="M102" i="4"/>
  <c r="M109" i="4" s="1"/>
  <c r="F102" i="4"/>
  <c r="F109" i="4" s="1"/>
  <c r="M101" i="4"/>
  <c r="F101" i="4"/>
  <c r="F100" i="4"/>
  <c r="L96" i="4"/>
  <c r="N96" i="4" s="1"/>
  <c r="M96" i="4"/>
  <c r="F95" i="4"/>
  <c r="M94" i="4"/>
  <c r="F94" i="4"/>
  <c r="E94" i="4"/>
  <c r="L113" i="4"/>
  <c r="M90" i="4"/>
  <c r="M89" i="4"/>
  <c r="E89" i="4"/>
  <c r="N81" i="4"/>
  <c r="I121" i="4"/>
  <c r="D78" i="4"/>
  <c r="J48" i="5"/>
  <c r="I72" i="4"/>
  <c r="B72" i="4"/>
  <c r="K69" i="4"/>
  <c r="J69" i="4"/>
  <c r="D69" i="4"/>
  <c r="C69" i="4"/>
  <c r="J68" i="4"/>
  <c r="D68" i="4"/>
  <c r="C68" i="4"/>
  <c r="K67" i="4"/>
  <c r="J67" i="4"/>
  <c r="D67" i="4"/>
  <c r="C67" i="4"/>
  <c r="I66" i="4"/>
  <c r="B66" i="4"/>
  <c r="I64" i="4"/>
  <c r="K72" i="4" s="1"/>
  <c r="B64" i="4"/>
  <c r="D72" i="4" s="1"/>
  <c r="G49" i="4"/>
  <c r="M44" i="4"/>
  <c r="F44" i="4"/>
  <c r="M38" i="4"/>
  <c r="F38" i="4"/>
  <c r="M37" i="4"/>
  <c r="F37" i="4"/>
  <c r="M36" i="4"/>
  <c r="M43" i="4" s="1"/>
  <c r="F36" i="4"/>
  <c r="F43" i="4" s="1"/>
  <c r="M35" i="4"/>
  <c r="M29" i="4"/>
  <c r="M28" i="4"/>
  <c r="M26" i="4"/>
  <c r="L12" i="4"/>
  <c r="J34" i="5"/>
  <c r="I6" i="4"/>
  <c r="E6" i="4"/>
  <c r="B6" i="4"/>
  <c r="O79" i="5"/>
  <c r="M79" i="5"/>
  <c r="M73" i="5"/>
  <c r="E73" i="5"/>
  <c r="J72" i="5"/>
  <c r="B72" i="5"/>
  <c r="I71" i="5"/>
  <c r="A71" i="5"/>
  <c r="M67" i="5"/>
  <c r="G67" i="5"/>
  <c r="M61" i="5"/>
  <c r="O67" i="5" s="1"/>
  <c r="E61" i="5"/>
  <c r="E67" i="5" s="1"/>
  <c r="J60" i="5"/>
  <c r="B60" i="5"/>
  <c r="I59" i="5"/>
  <c r="A59" i="5"/>
  <c r="M49" i="5"/>
  <c r="E49" i="5"/>
  <c r="I47" i="5"/>
  <c r="A47" i="5"/>
  <c r="I33" i="5"/>
  <c r="A33" i="5"/>
  <c r="N8" i="5"/>
  <c r="M8" i="5"/>
  <c r="A2" i="5"/>
  <c r="A1" i="5"/>
  <c r="K79" i="5"/>
  <c r="C79" i="5"/>
  <c r="K78" i="5"/>
  <c r="C78" i="5"/>
  <c r="K77" i="5"/>
  <c r="C77" i="5"/>
  <c r="K76" i="5"/>
  <c r="C76" i="5"/>
  <c r="N75" i="5"/>
  <c r="L75" i="5"/>
  <c r="K75" i="5"/>
  <c r="F75" i="5"/>
  <c r="D75" i="5"/>
  <c r="C75" i="5"/>
  <c r="N74" i="5"/>
  <c r="L74" i="5"/>
  <c r="F74" i="5"/>
  <c r="K67" i="5"/>
  <c r="C67" i="5"/>
  <c r="K66" i="5"/>
  <c r="C66" i="5"/>
  <c r="K65" i="5"/>
  <c r="C65" i="5"/>
  <c r="K64" i="5"/>
  <c r="C64" i="5"/>
  <c r="N63" i="5"/>
  <c r="L63" i="5"/>
  <c r="K63" i="5"/>
  <c r="F63" i="5"/>
  <c r="D63" i="5"/>
  <c r="C63" i="5"/>
  <c r="N62" i="5"/>
  <c r="L62" i="5"/>
  <c r="F62" i="5"/>
  <c r="K55" i="5"/>
  <c r="C55" i="5"/>
  <c r="K54" i="5"/>
  <c r="C54" i="5"/>
  <c r="K53" i="5"/>
  <c r="C53" i="5"/>
  <c r="K52" i="5"/>
  <c r="C52" i="5"/>
  <c r="N51" i="5"/>
  <c r="L51" i="5"/>
  <c r="K51" i="5"/>
  <c r="F51" i="5"/>
  <c r="D51" i="5"/>
  <c r="C51" i="5"/>
  <c r="N50" i="5"/>
  <c r="L50" i="5"/>
  <c r="F50" i="5"/>
  <c r="N37" i="5"/>
  <c r="L37" i="5"/>
  <c r="F37" i="5"/>
  <c r="D37" i="5"/>
  <c r="N36" i="5"/>
  <c r="L36" i="5"/>
  <c r="F36" i="5"/>
  <c r="D36" i="5"/>
  <c r="L29" i="5"/>
  <c r="F29" i="5"/>
  <c r="D29" i="5"/>
  <c r="N27" i="5"/>
  <c r="F27" i="5"/>
  <c r="N26" i="5"/>
  <c r="F26" i="5"/>
  <c r="N25" i="5"/>
  <c r="N29" i="5" s="1"/>
  <c r="F25" i="5"/>
  <c r="N24" i="5"/>
  <c r="L24" i="5"/>
  <c r="F24" i="5"/>
  <c r="D24" i="5"/>
  <c r="N23" i="5"/>
  <c r="L23" i="5"/>
  <c r="F23" i="5"/>
  <c r="D23" i="5"/>
  <c r="G5" i="5"/>
  <c r="D41" i="4" l="1"/>
  <c r="G34" i="4"/>
  <c r="G48" i="4"/>
  <c r="E48" i="4"/>
  <c r="E14" i="5"/>
  <c r="E51" i="5" s="1"/>
  <c r="E10" i="5"/>
  <c r="D19" i="4"/>
  <c r="M95" i="4"/>
  <c r="D15" i="4"/>
  <c r="L141" i="4"/>
  <c r="D145" i="4"/>
  <c r="F141" i="4" s="1"/>
  <c r="D201" i="4"/>
  <c r="L234" i="4"/>
  <c r="M141" i="4"/>
  <c r="K157" i="4"/>
  <c r="D167" i="4"/>
  <c r="D171" i="4" s="1"/>
  <c r="E171" i="4" s="1"/>
  <c r="E178" i="4" s="1"/>
  <c r="M15" i="4"/>
  <c r="N100" i="4"/>
  <c r="G160" i="4"/>
  <c r="M201" i="4"/>
  <c r="L156" i="4"/>
  <c r="N156" i="4" s="1"/>
  <c r="L145" i="4"/>
  <c r="N141" i="4" s="1"/>
  <c r="D205" i="4"/>
  <c r="F201" i="4" s="1"/>
  <c r="D81" i="4"/>
  <c r="D8" i="5" s="1"/>
  <c r="D10" i="5" s="1"/>
  <c r="L114" i="4"/>
  <c r="E174" i="4"/>
  <c r="M78" i="4"/>
  <c r="L8" i="5"/>
  <c r="L10" i="5" s="1"/>
  <c r="M30" i="4"/>
  <c r="M31" i="4" s="1"/>
  <c r="M32" i="4" s="1"/>
  <c r="F124" i="4"/>
  <c r="D138" i="4"/>
  <c r="E81" i="4"/>
  <c r="N160" i="4"/>
  <c r="G174" i="4"/>
  <c r="G220" i="4"/>
  <c r="D42" i="4"/>
  <c r="D45" i="4" s="1"/>
  <c r="E45" i="4" s="1"/>
  <c r="D141" i="4"/>
  <c r="L174" i="4"/>
  <c r="E234" i="4"/>
  <c r="D85" i="4"/>
  <c r="F81" i="4" s="1"/>
  <c r="F8" i="5" s="1"/>
  <c r="F10" i="5" s="1"/>
  <c r="F9" i="5"/>
  <c r="M217" i="4"/>
  <c r="M218" i="4" s="1"/>
  <c r="E30" i="4"/>
  <c r="G30" i="4" s="1"/>
  <c r="B55" i="4"/>
  <c r="N10" i="5"/>
  <c r="N9" i="5"/>
  <c r="M58" i="4"/>
  <c r="N47" i="4"/>
  <c r="N50" i="4" s="1"/>
  <c r="N39" i="5" s="1"/>
  <c r="N35" i="4"/>
  <c r="E47" i="4"/>
  <c r="F161" i="4"/>
  <c r="E173" i="4"/>
  <c r="E176" i="4" s="1"/>
  <c r="E65" i="5" s="1"/>
  <c r="M10" i="5"/>
  <c r="D34" i="5"/>
  <c r="K31" i="4"/>
  <c r="M157" i="4"/>
  <c r="M158" i="4" s="1"/>
  <c r="I55" i="4"/>
  <c r="L28" i="4"/>
  <c r="N15" i="4"/>
  <c r="M12" i="4"/>
  <c r="F29" i="4"/>
  <c r="E90" i="4"/>
  <c r="E78" i="4"/>
  <c r="F92" i="4"/>
  <c r="E113" i="4"/>
  <c r="D107" i="4"/>
  <c r="D111" i="4" s="1"/>
  <c r="E111" i="4" s="1"/>
  <c r="M124" i="4"/>
  <c r="E154" i="4"/>
  <c r="E181" i="4" s="1"/>
  <c r="E156" i="4"/>
  <c r="G156" i="4" s="1"/>
  <c r="B193" i="4"/>
  <c r="G70" i="5" s="1"/>
  <c r="B133" i="4"/>
  <c r="G58" i="5" s="1"/>
  <c r="F15" i="4"/>
  <c r="L50" i="4"/>
  <c r="L39" i="5" s="1"/>
  <c r="M9" i="5"/>
  <c r="E24" i="4"/>
  <c r="E12" i="4"/>
  <c r="D12" i="4"/>
  <c r="K41" i="4"/>
  <c r="K45" i="4" s="1"/>
  <c r="L45" i="4" s="1"/>
  <c r="L52" i="4" s="1"/>
  <c r="E23" i="4"/>
  <c r="D31" i="4"/>
  <c r="F28" i="4"/>
  <c r="D121" i="4"/>
  <c r="G94" i="4"/>
  <c r="B181" i="4"/>
  <c r="M97" i="4"/>
  <c r="M98" i="4" s="1"/>
  <c r="E79" i="5"/>
  <c r="G79" i="5"/>
  <c r="M14" i="5"/>
  <c r="M24" i="5" s="1"/>
  <c r="M26" i="5" s="1"/>
  <c r="G47" i="4"/>
  <c r="G50" i="4" s="1"/>
  <c r="F39" i="5" s="1"/>
  <c r="E28" i="4"/>
  <c r="E55" i="4" s="1"/>
  <c r="L30" i="4"/>
  <c r="N30" i="4" s="1"/>
  <c r="F97" i="4"/>
  <c r="F98" i="4" s="1"/>
  <c r="D241" i="4"/>
  <c r="G214" i="4"/>
  <c r="G241" i="4" s="1"/>
  <c r="M92" i="4"/>
  <c r="M108" i="4" s="1"/>
  <c r="L78" i="4"/>
  <c r="L116" i="4"/>
  <c r="M53" i="5" s="1"/>
  <c r="F154" i="4"/>
  <c r="F217" i="4"/>
  <c r="F218" i="4" s="1"/>
  <c r="D217" i="4"/>
  <c r="F184" i="4"/>
  <c r="F244" i="4"/>
  <c r="E96" i="4"/>
  <c r="G96" i="4" s="1"/>
  <c r="M184" i="4"/>
  <c r="M244" i="4"/>
  <c r="G173" i="4"/>
  <c r="G176" i="4" s="1"/>
  <c r="G65" i="5" s="1"/>
  <c r="K107" i="4"/>
  <c r="K111" i="4" s="1"/>
  <c r="L111" i="4" s="1"/>
  <c r="L118" i="4" s="1"/>
  <c r="L173" i="4"/>
  <c r="L176" i="4" s="1"/>
  <c r="M65" i="5" s="1"/>
  <c r="K167" i="4"/>
  <c r="K171" i="4" s="1"/>
  <c r="L171" i="4" s="1"/>
  <c r="L178" i="4" s="1"/>
  <c r="M152" i="4"/>
  <c r="M168" i="4" s="1"/>
  <c r="E233" i="4"/>
  <c r="E236" i="4" s="1"/>
  <c r="E77" i="5" s="1"/>
  <c r="D227" i="4"/>
  <c r="D231" i="4" s="1"/>
  <c r="E231" i="4" s="1"/>
  <c r="F212" i="4"/>
  <c r="M212" i="4"/>
  <c r="L233" i="4"/>
  <c r="L236" i="4" s="1"/>
  <c r="M77" i="5" s="1"/>
  <c r="K227" i="4"/>
  <c r="K231" i="4" s="1"/>
  <c r="L231" i="4" s="1"/>
  <c r="L154" i="4"/>
  <c r="L181" i="4" s="1"/>
  <c r="I181" i="4"/>
  <c r="I193" i="4"/>
  <c r="O70" i="5" s="1"/>
  <c r="L214" i="4"/>
  <c r="L241" i="4" s="1"/>
  <c r="E216" i="4"/>
  <c r="G216" i="4" s="1"/>
  <c r="I241" i="4"/>
  <c r="M198" i="4"/>
  <c r="B241" i="4"/>
  <c r="L94" i="4"/>
  <c r="M25" i="5"/>
  <c r="M29" i="5" s="1"/>
  <c r="E15" i="5"/>
  <c r="M63" i="5"/>
  <c r="L67" i="5" s="1"/>
  <c r="M75" i="5"/>
  <c r="L79" i="5" s="1"/>
  <c r="E9" i="5"/>
  <c r="E63" i="5"/>
  <c r="E75" i="5"/>
  <c r="G35" i="13"/>
  <c r="F35" i="13"/>
  <c r="E35" i="13"/>
  <c r="D35" i="13"/>
  <c r="C35" i="13"/>
  <c r="G34" i="13"/>
  <c r="F34" i="13"/>
  <c r="E34" i="13"/>
  <c r="D34" i="13"/>
  <c r="C34" i="13"/>
  <c r="G33" i="13"/>
  <c r="F33" i="13"/>
  <c r="E33" i="13"/>
  <c r="D33" i="13"/>
  <c r="C33" i="13"/>
  <c r="G32" i="13"/>
  <c r="F32" i="13"/>
  <c r="E32" i="13"/>
  <c r="D32" i="13"/>
  <c r="C32" i="13"/>
  <c r="G31" i="13"/>
  <c r="F31" i="13"/>
  <c r="E31" i="13"/>
  <c r="D31" i="13"/>
  <c r="C31" i="13"/>
  <c r="G30" i="13"/>
  <c r="F30" i="13"/>
  <c r="E30" i="13"/>
  <c r="D30" i="13"/>
  <c r="C30" i="13"/>
  <c r="G29" i="13"/>
  <c r="F29" i="13"/>
  <c r="E29" i="13"/>
  <c r="D29" i="13"/>
  <c r="C29" i="13"/>
  <c r="G28" i="13"/>
  <c r="F28" i="13"/>
  <c r="E28" i="13"/>
  <c r="D28" i="13"/>
  <c r="C28" i="13"/>
  <c r="G27" i="13"/>
  <c r="F27" i="13"/>
  <c r="E27" i="13"/>
  <c r="D27" i="13"/>
  <c r="C27" i="13"/>
  <c r="G26" i="13"/>
  <c r="F26" i="13"/>
  <c r="E26" i="13"/>
  <c r="D26" i="13"/>
  <c r="C26" i="13"/>
  <c r="C12" i="13"/>
  <c r="C13" i="13" s="1"/>
  <c r="B72" i="10"/>
  <c r="B73" i="10" s="1"/>
  <c r="G67" i="10"/>
  <c r="E67" i="10"/>
  <c r="F65" i="10"/>
  <c r="E62" i="10"/>
  <c r="F57" i="10"/>
  <c r="D57" i="10"/>
  <c r="D49" i="10"/>
  <c r="D48" i="10"/>
  <c r="D56" i="10" s="1"/>
  <c r="E97" i="10" s="1"/>
  <c r="D47" i="10"/>
  <c r="D46" i="10"/>
  <c r="D44" i="10"/>
  <c r="D42" i="10"/>
  <c r="D41" i="10"/>
  <c r="D34" i="10"/>
  <c r="F35" i="10" s="1"/>
  <c r="D26" i="10"/>
  <c r="D55" i="10" s="1"/>
  <c r="F24" i="10"/>
  <c r="F23" i="10"/>
  <c r="E21" i="10"/>
  <c r="D18" i="10" s="1"/>
  <c r="E19" i="10"/>
  <c r="E17" i="10"/>
  <c r="D17" i="10"/>
  <c r="F67" i="10" s="1"/>
  <c r="E15" i="10"/>
  <c r="E13" i="10"/>
  <c r="C13" i="10"/>
  <c r="C12" i="10"/>
  <c r="D19" i="10" s="1"/>
  <c r="F15" i="10" s="1"/>
  <c r="B11" i="10"/>
  <c r="B10" i="10"/>
  <c r="A2" i="10"/>
  <c r="B145" i="10"/>
  <c r="B144" i="10"/>
  <c r="B143" i="10"/>
  <c r="B142" i="10"/>
  <c r="B141" i="10"/>
  <c r="B140" i="10"/>
  <c r="E137" i="10"/>
  <c r="D136" i="10" s="1"/>
  <c r="F136" i="10"/>
  <c r="C136" i="10"/>
  <c r="C135" i="10"/>
  <c r="D134" i="10"/>
  <c r="C134" i="10"/>
  <c r="D133" i="10"/>
  <c r="C133" i="10"/>
  <c r="D132" i="10"/>
  <c r="C132" i="10"/>
  <c r="D131" i="10"/>
  <c r="F125" i="10"/>
  <c r="G125" i="10" s="1"/>
  <c r="B125" i="10"/>
  <c r="F124" i="10"/>
  <c r="G124" i="10" s="1"/>
  <c r="B124" i="10"/>
  <c r="F123" i="10"/>
  <c r="G123" i="10" s="1"/>
  <c r="B123" i="10"/>
  <c r="F122" i="10"/>
  <c r="G122" i="10" s="1"/>
  <c r="B122" i="10"/>
  <c r="F121" i="10"/>
  <c r="G121" i="10" s="1"/>
  <c r="B121" i="10"/>
  <c r="F120" i="10"/>
  <c r="G120" i="10" s="1"/>
  <c r="B120" i="10"/>
  <c r="G117" i="10"/>
  <c r="B114" i="10"/>
  <c r="B113" i="10"/>
  <c r="B112" i="10"/>
  <c r="B111" i="10"/>
  <c r="B110" i="10"/>
  <c r="B109" i="10"/>
  <c r="B94" i="10"/>
  <c r="B93" i="10"/>
  <c r="B92" i="10"/>
  <c r="B91" i="10"/>
  <c r="B90" i="10"/>
  <c r="B89" i="10"/>
  <c r="F86" i="10"/>
  <c r="F85" i="10"/>
  <c r="F84" i="10"/>
  <c r="G78" i="10"/>
  <c r="A76" i="10"/>
  <c r="B68" i="10"/>
  <c r="G62" i="10"/>
  <c r="E98" i="10"/>
  <c r="F51" i="10"/>
  <c r="F50" i="10"/>
  <c r="F49" i="10"/>
  <c r="F47" i="10"/>
  <c r="F46" i="10"/>
  <c r="E42" i="10"/>
  <c r="G42" i="10" s="1"/>
  <c r="F42" i="10"/>
  <c r="F41" i="10"/>
  <c r="F71" i="10" s="1"/>
  <c r="B40" i="10"/>
  <c r="B39" i="10"/>
  <c r="B38" i="10"/>
  <c r="B37" i="10"/>
  <c r="B36" i="10"/>
  <c r="B35" i="10"/>
  <c r="E34" i="10"/>
  <c r="F133" i="10" s="1"/>
  <c r="F26" i="10"/>
  <c r="E12" i="10"/>
  <c r="E6" i="10"/>
  <c r="E20" i="12"/>
  <c r="B23" i="12" s="1"/>
  <c r="C16" i="12"/>
  <c r="C63" i="12" s="1"/>
  <c r="B16" i="12"/>
  <c r="B14" i="12"/>
  <c r="I67" i="12"/>
  <c r="H67" i="12"/>
  <c r="G67" i="12"/>
  <c r="F67" i="12"/>
  <c r="E67" i="12"/>
  <c r="D67" i="12"/>
  <c r="C67" i="12"/>
  <c r="I26" i="12"/>
  <c r="H26" i="12"/>
  <c r="G26" i="12"/>
  <c r="F26" i="12"/>
  <c r="E26" i="12"/>
  <c r="D26" i="12"/>
  <c r="C26" i="12"/>
  <c r="M42" i="4" l="1"/>
  <c r="M41" i="4"/>
  <c r="D38" i="5"/>
  <c r="G14" i="5"/>
  <c r="G51" i="5" s="1"/>
  <c r="E24" i="5"/>
  <c r="E25" i="5" s="1"/>
  <c r="E29" i="5" s="1"/>
  <c r="M27" i="5"/>
  <c r="F108" i="4"/>
  <c r="E64" i="5"/>
  <c r="E66" i="5" s="1"/>
  <c r="E37" i="5"/>
  <c r="M37" i="5"/>
  <c r="L238" i="4"/>
  <c r="D79" i="5"/>
  <c r="M51" i="5"/>
  <c r="M228" i="4"/>
  <c r="D67" i="5"/>
  <c r="M15" i="5"/>
  <c r="O14" i="5"/>
  <c r="F228" i="4"/>
  <c r="L121" i="4"/>
  <c r="E238" i="4"/>
  <c r="E239" i="4" s="1"/>
  <c r="N173" i="4"/>
  <c r="M167" i="4"/>
  <c r="M171" i="4" s="1"/>
  <c r="N171" i="4" s="1"/>
  <c r="G154" i="4"/>
  <c r="G181" i="4" s="1"/>
  <c r="D181" i="4"/>
  <c r="L239" i="4"/>
  <c r="M76" i="5"/>
  <c r="M78" i="5" s="1"/>
  <c r="L38" i="5"/>
  <c r="L119" i="4"/>
  <c r="M52" i="5"/>
  <c r="M54" i="5" s="1"/>
  <c r="D55" i="4"/>
  <c r="G28" i="4"/>
  <c r="G55" i="4" s="1"/>
  <c r="K55" i="4"/>
  <c r="N28" i="4"/>
  <c r="N113" i="4"/>
  <c r="M107" i="4"/>
  <c r="N233" i="4"/>
  <c r="M227" i="4"/>
  <c r="M231" i="4" s="1"/>
  <c r="N231" i="4" s="1"/>
  <c r="F58" i="4"/>
  <c r="K121" i="4"/>
  <c r="N94" i="4"/>
  <c r="G233" i="4"/>
  <c r="F227" i="4"/>
  <c r="F231" i="4" s="1"/>
  <c r="G231" i="4" s="1"/>
  <c r="F121" i="4"/>
  <c r="E52" i="5"/>
  <c r="E50" i="4"/>
  <c r="E52" i="4" s="1"/>
  <c r="E179" i="4"/>
  <c r="M64" i="5"/>
  <c r="M66" i="5" s="1"/>
  <c r="L179" i="4"/>
  <c r="E76" i="5"/>
  <c r="E78" i="5" s="1"/>
  <c r="F241" i="4"/>
  <c r="E116" i="4"/>
  <c r="E53" i="5" s="1"/>
  <c r="N214" i="4"/>
  <c r="N241" i="4" s="1"/>
  <c r="K241" i="4"/>
  <c r="N154" i="4"/>
  <c r="N181" i="4" s="1"/>
  <c r="K181" i="4"/>
  <c r="F157" i="4"/>
  <c r="F158" i="4" s="1"/>
  <c r="F168" i="4" s="1"/>
  <c r="G161" i="4"/>
  <c r="F31" i="4"/>
  <c r="F32" i="4" s="1"/>
  <c r="F42" i="4" s="1"/>
  <c r="G35" i="4"/>
  <c r="G113" i="4"/>
  <c r="F107" i="4"/>
  <c r="F111" i="4" s="1"/>
  <c r="E27" i="5"/>
  <c r="E26" i="5"/>
  <c r="G75" i="5"/>
  <c r="F79" i="5" s="1"/>
  <c r="G37" i="5"/>
  <c r="G63" i="5"/>
  <c r="F67" i="5" s="1"/>
  <c r="G24" i="5"/>
  <c r="O24" i="5"/>
  <c r="O15" i="5"/>
  <c r="O75" i="5"/>
  <c r="N79" i="5" s="1"/>
  <c r="O63" i="5"/>
  <c r="N67" i="5" s="1"/>
  <c r="O37" i="5"/>
  <c r="O51" i="5"/>
  <c r="G61" i="10"/>
  <c r="E61" i="10"/>
  <c r="G46" i="10"/>
  <c r="E60" i="10"/>
  <c r="D15" i="10"/>
  <c r="D66" i="10"/>
  <c r="F48" i="10"/>
  <c r="F56" i="10" s="1"/>
  <c r="F66" i="10"/>
  <c r="D67" i="10"/>
  <c r="D65" i="10"/>
  <c r="F83" i="10"/>
  <c r="F34" i="10"/>
  <c r="F43" i="10" s="1"/>
  <c r="F44" i="10" s="1"/>
  <c r="E36" i="10"/>
  <c r="G60" i="10"/>
  <c r="F131" i="10"/>
  <c r="F134" i="10"/>
  <c r="F137" i="10"/>
  <c r="E23" i="10"/>
  <c r="E100" i="10"/>
  <c r="E39" i="10"/>
  <c r="G34" i="10"/>
  <c r="E24" i="10"/>
  <c r="D54" i="10"/>
  <c r="D58" i="10" s="1"/>
  <c r="E58" i="10" s="1"/>
  <c r="E65" i="10" s="1"/>
  <c r="F132" i="10"/>
  <c r="D135" i="10"/>
  <c r="E63" i="10"/>
  <c r="E37" i="10"/>
  <c r="D12" i="10"/>
  <c r="E35" i="10"/>
  <c r="E40" i="10"/>
  <c r="E68" i="10" s="1"/>
  <c r="D43" i="10"/>
  <c r="F135" i="10"/>
  <c r="E38" i="10"/>
  <c r="I20" i="12"/>
  <c r="E242" i="4" l="1"/>
  <c r="B245" i="4" s="1"/>
  <c r="B246" i="4" s="1"/>
  <c r="E243" i="4"/>
  <c r="L123" i="4"/>
  <c r="L122" i="4"/>
  <c r="I125" i="4" s="1"/>
  <c r="I126" i="4" s="1"/>
  <c r="E118" i="4"/>
  <c r="E119" i="4" s="1"/>
  <c r="L182" i="4"/>
  <c r="I185" i="4" s="1"/>
  <c r="I186" i="4" s="1"/>
  <c r="L183" i="4"/>
  <c r="L242" i="4"/>
  <c r="L243" i="4"/>
  <c r="G15" i="5"/>
  <c r="E183" i="4"/>
  <c r="E182" i="4"/>
  <c r="E54" i="5"/>
  <c r="M45" i="4"/>
  <c r="N45" i="4" s="1"/>
  <c r="E55" i="5"/>
  <c r="D55" i="5" s="1"/>
  <c r="G111" i="4"/>
  <c r="G118" i="4" s="1"/>
  <c r="C24" i="12"/>
  <c r="G116" i="4"/>
  <c r="G101" i="4"/>
  <c r="M111" i="4"/>
  <c r="N111" i="4" s="1"/>
  <c r="M181" i="4"/>
  <c r="N116" i="4"/>
  <c r="O53" i="5" s="1"/>
  <c r="N101" i="4"/>
  <c r="F167" i="4"/>
  <c r="F171" i="4" s="1"/>
  <c r="G171" i="4" s="1"/>
  <c r="G178" i="4" s="1"/>
  <c r="F55" i="4"/>
  <c r="M241" i="4"/>
  <c r="G76" i="5"/>
  <c r="G78" i="5" s="1"/>
  <c r="O76" i="5"/>
  <c r="O78" i="5" s="1"/>
  <c r="M55" i="5"/>
  <c r="L55" i="5" s="1"/>
  <c r="F181" i="4"/>
  <c r="F41" i="4"/>
  <c r="N236" i="4"/>
  <c r="O77" i="5" s="1"/>
  <c r="N221" i="4"/>
  <c r="G236" i="4"/>
  <c r="G77" i="5" s="1"/>
  <c r="G221" i="4"/>
  <c r="D39" i="5"/>
  <c r="M121" i="4"/>
  <c r="M55" i="4"/>
  <c r="L53" i="4"/>
  <c r="L40" i="5"/>
  <c r="O64" i="5"/>
  <c r="O66" i="5" s="1"/>
  <c r="N176" i="4"/>
  <c r="O65" i="5" s="1"/>
  <c r="N161" i="4"/>
  <c r="G27" i="5"/>
  <c r="G25" i="5"/>
  <c r="G29" i="5" s="1"/>
  <c r="G26" i="5"/>
  <c r="O25" i="5"/>
  <c r="O29" i="5" s="1"/>
  <c r="O26" i="5"/>
  <c r="O27" i="5"/>
  <c r="G63" i="10"/>
  <c r="E99" i="10"/>
  <c r="E103" i="10" s="1"/>
  <c r="E93" i="10"/>
  <c r="E124" i="10" s="1"/>
  <c r="E89" i="10"/>
  <c r="E120" i="10" s="1"/>
  <c r="E92" i="10"/>
  <c r="E123" i="10" s="1"/>
  <c r="E91" i="10"/>
  <c r="E122" i="10" s="1"/>
  <c r="E94" i="10"/>
  <c r="E125" i="10" s="1"/>
  <c r="E90" i="10"/>
  <c r="E121" i="10" s="1"/>
  <c r="G35" i="10"/>
  <c r="G40" i="10"/>
  <c r="G68" i="10" s="1"/>
  <c r="F82" i="10"/>
  <c r="G37" i="10"/>
  <c r="G39" i="10"/>
  <c r="G38" i="10"/>
  <c r="G36" i="10"/>
  <c r="F55" i="10"/>
  <c r="F54" i="10"/>
  <c r="D68" i="10"/>
  <c r="E66" i="10"/>
  <c r="E123" i="4" l="1"/>
  <c r="E122" i="4"/>
  <c r="B125" i="4" s="1"/>
  <c r="B126" i="4" s="1"/>
  <c r="E121" i="4"/>
  <c r="L57" i="4"/>
  <c r="L56" i="4"/>
  <c r="I59" i="4" s="1"/>
  <c r="I60" i="4" s="1"/>
  <c r="L55" i="4"/>
  <c r="G238" i="4"/>
  <c r="B185" i="4"/>
  <c r="B186" i="4" s="1"/>
  <c r="I245" i="4"/>
  <c r="I246" i="4" s="1"/>
  <c r="N118" i="4"/>
  <c r="N119" i="4" s="1"/>
  <c r="N52" i="4"/>
  <c r="N38" i="5"/>
  <c r="N238" i="4"/>
  <c r="N239" i="4" s="1"/>
  <c r="N247" i="4" s="1"/>
  <c r="M208" i="4" s="1"/>
  <c r="N178" i="4"/>
  <c r="N179" i="4" s="1"/>
  <c r="L41" i="5"/>
  <c r="G239" i="4"/>
  <c r="G119" i="4"/>
  <c r="G52" i="5"/>
  <c r="G179" i="4"/>
  <c r="G64" i="5"/>
  <c r="G66" i="5" s="1"/>
  <c r="O52" i="5"/>
  <c r="O54" i="5" s="1"/>
  <c r="D24" i="12"/>
  <c r="C65" i="12"/>
  <c r="D40" i="5"/>
  <c r="E53" i="4"/>
  <c r="F45" i="4"/>
  <c r="G45" i="4" s="1"/>
  <c r="G52" i="4" s="1"/>
  <c r="G53" i="5"/>
  <c r="C20" i="12"/>
  <c r="E70" i="10"/>
  <c r="E69" i="10"/>
  <c r="E126" i="10"/>
  <c r="F126" i="10" s="1"/>
  <c r="F68" i="10"/>
  <c r="E105" i="10"/>
  <c r="E106" i="10" s="1"/>
  <c r="F58" i="10"/>
  <c r="G58" i="10" s="1"/>
  <c r="G65" i="10" s="1"/>
  <c r="N182" i="4" l="1"/>
  <c r="N183" i="4"/>
  <c r="N123" i="4"/>
  <c r="N122" i="4"/>
  <c r="N121" i="4"/>
  <c r="G243" i="4"/>
  <c r="G242" i="4"/>
  <c r="G183" i="4"/>
  <c r="G182" i="4"/>
  <c r="N242" i="4"/>
  <c r="N243" i="4"/>
  <c r="E56" i="4"/>
  <c r="E57" i="4"/>
  <c r="G123" i="4"/>
  <c r="G122" i="4"/>
  <c r="G121" i="4"/>
  <c r="N53" i="4"/>
  <c r="N40" i="5"/>
  <c r="F38" i="5"/>
  <c r="N187" i="4"/>
  <c r="M148" i="4" s="1"/>
  <c r="G247" i="4"/>
  <c r="F208" i="4" s="1"/>
  <c r="E24" i="12"/>
  <c r="D65" i="12"/>
  <c r="G54" i="5"/>
  <c r="G187" i="4"/>
  <c r="F148" i="4" s="1"/>
  <c r="G127" i="4"/>
  <c r="F88" i="4" s="1"/>
  <c r="G55" i="5"/>
  <c r="F55" i="5" s="1"/>
  <c r="M41" i="5"/>
  <c r="M16" i="5" s="1"/>
  <c r="M18" i="5" s="1"/>
  <c r="L16" i="5"/>
  <c r="L18" i="5" s="1"/>
  <c r="D41" i="5"/>
  <c r="N127" i="4"/>
  <c r="M88" i="4" s="1"/>
  <c r="O55" i="5"/>
  <c r="N55" i="5" s="1"/>
  <c r="E145" i="10"/>
  <c r="E141" i="10"/>
  <c r="E111" i="10"/>
  <c r="E142" i="10"/>
  <c r="E112" i="10"/>
  <c r="E114" i="10"/>
  <c r="E110" i="10"/>
  <c r="E143" i="10"/>
  <c r="E113" i="10"/>
  <c r="E109" i="10"/>
  <c r="E140" i="10"/>
  <c r="E144" i="10"/>
  <c r="G66" i="10"/>
  <c r="F80" i="10"/>
  <c r="B59" i="4" l="1"/>
  <c r="B60" i="4" s="1"/>
  <c r="N56" i="4"/>
  <c r="N57" i="4"/>
  <c r="N55" i="4"/>
  <c r="N41" i="5"/>
  <c r="N61" i="4"/>
  <c r="M22" i="4" s="1"/>
  <c r="G53" i="4"/>
  <c r="F40" i="5"/>
  <c r="D16" i="5"/>
  <c r="D18" i="5" s="1"/>
  <c r="E41" i="5"/>
  <c r="E16" i="5" s="1"/>
  <c r="E18" i="5" s="1"/>
  <c r="E65" i="12"/>
  <c r="F24" i="12"/>
  <c r="G70" i="10"/>
  <c r="G69" i="10"/>
  <c r="E83" i="10"/>
  <c r="E86" i="10"/>
  <c r="E80" i="10"/>
  <c r="E85" i="10"/>
  <c r="E84" i="10"/>
  <c r="G74" i="10"/>
  <c r="E146" i="10"/>
  <c r="G56" i="4" l="1"/>
  <c r="G57" i="4"/>
  <c r="N16" i="5"/>
  <c r="N18" i="5" s="1"/>
  <c r="O41" i="5"/>
  <c r="O16" i="5" s="1"/>
  <c r="O18" i="5" s="1"/>
  <c r="F65" i="12"/>
  <c r="G24" i="12"/>
  <c r="G61" i="4"/>
  <c r="F22" i="4" s="1"/>
  <c r="F41" i="5"/>
  <c r="F16" i="5" l="1"/>
  <c r="F18" i="5" s="1"/>
  <c r="G41" i="5"/>
  <c r="G16" i="5" s="1"/>
  <c r="G18" i="5" s="1"/>
  <c r="G65" i="12"/>
  <c r="H24" i="12"/>
  <c r="C18" i="12"/>
  <c r="I24" i="12" l="1"/>
  <c r="I65" i="12" s="1"/>
  <c r="H65" i="12"/>
  <c r="E18" i="12"/>
  <c r="E19" i="12" l="1"/>
  <c r="B15" i="12" l="1"/>
  <c r="B62" i="12" s="1"/>
  <c r="F72" i="1"/>
  <c r="F71" i="1"/>
  <c r="F70" i="1"/>
  <c r="F69" i="1"/>
  <c r="F68" i="1"/>
  <c r="F67" i="1"/>
  <c r="F66" i="1"/>
  <c r="F65" i="1"/>
  <c r="F64" i="1"/>
  <c r="F63" i="1"/>
  <c r="F62" i="1"/>
  <c r="F61" i="1"/>
  <c r="F60" i="1"/>
  <c r="F59" i="1"/>
  <c r="F58" i="1"/>
  <c r="F57" i="1"/>
  <c r="F56" i="1"/>
  <c r="F55" i="1"/>
  <c r="F50" i="1"/>
  <c r="F49" i="1"/>
  <c r="F48" i="1"/>
  <c r="F47" i="1"/>
  <c r="F46" i="1"/>
  <c r="F45" i="1"/>
  <c r="F44" i="1"/>
  <c r="F43" i="1"/>
  <c r="F42" i="1"/>
  <c r="F41" i="1"/>
  <c r="F40" i="1"/>
  <c r="F36" i="1"/>
  <c r="F35" i="1"/>
  <c r="F34" i="1"/>
  <c r="F33" i="1"/>
  <c r="F32" i="1"/>
  <c r="F31" i="1"/>
  <c r="F30" i="1"/>
  <c r="F29" i="1"/>
  <c r="F28" i="1"/>
  <c r="F26" i="1"/>
  <c r="F11" i="1" s="1"/>
  <c r="F25" i="1"/>
  <c r="F24" i="1"/>
  <c r="F18" i="1"/>
  <c r="F17" i="1"/>
  <c r="F14" i="1"/>
  <c r="F13" i="1"/>
  <c r="C19" i="12" l="1"/>
  <c r="E25" i="12" s="1"/>
  <c r="C25" i="12" l="1"/>
  <c r="C28" i="12" s="1"/>
  <c r="H25" i="12"/>
  <c r="H28" i="12" s="1"/>
  <c r="D25" i="12"/>
  <c r="D66" i="12" s="1"/>
  <c r="I25" i="12"/>
  <c r="I66" i="12" s="1"/>
  <c r="F25" i="12"/>
  <c r="F66" i="12" s="1"/>
  <c r="C29" i="12"/>
  <c r="H20" i="12" s="1"/>
  <c r="G25" i="12"/>
  <c r="G66" i="12" s="1"/>
  <c r="E66" i="12"/>
  <c r="E28" i="12"/>
  <c r="I28" i="12" l="1"/>
  <c r="D28" i="12"/>
  <c r="H66" i="12"/>
  <c r="C66" i="12"/>
  <c r="G28" i="12"/>
  <c r="F28" i="12"/>
  <c r="T8" i="10" l="1"/>
  <c r="E34" i="11"/>
  <c r="E35" i="11" s="1"/>
  <c r="F39" i="7"/>
  <c r="G39" i="7"/>
  <c r="H39" i="7"/>
  <c r="I39" i="7"/>
  <c r="J39" i="7"/>
  <c r="K39" i="7"/>
  <c r="M39" i="7"/>
  <c r="N39" i="7"/>
  <c r="O39" i="7"/>
  <c r="P39" i="7"/>
  <c r="Q39" i="7"/>
  <c r="R39" i="7"/>
  <c r="S39" i="7"/>
  <c r="F41" i="7"/>
  <c r="G41" i="7"/>
  <c r="H41" i="7"/>
  <c r="I41" i="7"/>
  <c r="J41" i="7"/>
  <c r="K41" i="7"/>
  <c r="L41" i="7"/>
  <c r="M41" i="7"/>
  <c r="N41" i="7"/>
  <c r="O41" i="7"/>
  <c r="P41" i="7"/>
  <c r="Q41" i="7"/>
  <c r="R41" i="7"/>
  <c r="S41" i="7"/>
  <c r="T41" i="7"/>
  <c r="U41" i="7"/>
  <c r="V41" i="7"/>
  <c r="W41" i="7"/>
  <c r="X41" i="7"/>
  <c r="Y41" i="7"/>
  <c r="F42" i="7"/>
  <c r="G42" i="7"/>
  <c r="H42" i="7"/>
  <c r="I42" i="7"/>
  <c r="J42" i="7"/>
  <c r="K42" i="7"/>
  <c r="L42" i="7"/>
  <c r="M42" i="7"/>
  <c r="N42" i="7"/>
  <c r="O42" i="7"/>
  <c r="P42" i="7"/>
  <c r="Q42" i="7"/>
  <c r="R42" i="7"/>
  <c r="S42" i="7"/>
  <c r="T42" i="7"/>
  <c r="U42" i="7"/>
  <c r="V42" i="7"/>
  <c r="W42" i="7"/>
  <c r="X42" i="7"/>
  <c r="Y42" i="7"/>
  <c r="J69" i="7"/>
  <c r="J74" i="7" s="1"/>
  <c r="J88" i="7" s="1"/>
  <c r="F74" i="7"/>
  <c r="F88" i="7" s="1"/>
  <c r="G74" i="7"/>
  <c r="G88" i="7" s="1"/>
  <c r="H74" i="7"/>
  <c r="I74" i="7"/>
  <c r="I88" i="7" s="1"/>
  <c r="K74" i="7"/>
  <c r="K88" i="7" s="1"/>
  <c r="L74" i="7"/>
  <c r="L88" i="7" s="1"/>
  <c r="M74" i="7"/>
  <c r="M88" i="7" s="1"/>
  <c r="N74" i="7"/>
  <c r="N88" i="7" s="1"/>
  <c r="O74" i="7"/>
  <c r="O88" i="7" s="1"/>
  <c r="P74" i="7"/>
  <c r="P88" i="7" s="1"/>
  <c r="Q74" i="7"/>
  <c r="Q89" i="7" s="1"/>
  <c r="R74" i="7"/>
  <c r="R89" i="7" s="1"/>
  <c r="S74" i="7"/>
  <c r="S89" i="7" s="1"/>
  <c r="T74" i="7"/>
  <c r="U74" i="7"/>
  <c r="U89" i="7" s="1"/>
  <c r="V74" i="7"/>
  <c r="V88" i="7" s="1"/>
  <c r="W74" i="7"/>
  <c r="W88" i="7" s="1"/>
  <c r="X74" i="7"/>
  <c r="X88" i="7" s="1"/>
  <c r="Y74" i="7"/>
  <c r="Y89" i="7" s="1"/>
  <c r="F75" i="7"/>
  <c r="F91" i="7" s="1"/>
  <c r="G75" i="7"/>
  <c r="G89" i="7" s="1"/>
  <c r="H75" i="7"/>
  <c r="H90" i="7"/>
  <c r="I75" i="7"/>
  <c r="I90" i="7" s="1"/>
  <c r="J75" i="7"/>
  <c r="J89" i="7" s="1"/>
  <c r="K75" i="7"/>
  <c r="K90" i="7" s="1"/>
  <c r="L75" i="7"/>
  <c r="L91" i="7" s="1"/>
  <c r="M75" i="7"/>
  <c r="M89" i="7" s="1"/>
  <c r="N75" i="7"/>
  <c r="N90" i="7" s="1"/>
  <c r="O75" i="7"/>
  <c r="O91" i="7" s="1"/>
  <c r="P75" i="7"/>
  <c r="P89" i="7" s="1"/>
  <c r="Q75" i="7"/>
  <c r="Q91" i="7" s="1"/>
  <c r="R75" i="7"/>
  <c r="R90" i="7" s="1"/>
  <c r="S75" i="7"/>
  <c r="S90" i="7" s="1"/>
  <c r="T75" i="7"/>
  <c r="T90" i="7" s="1"/>
  <c r="U75" i="7"/>
  <c r="U90" i="7"/>
  <c r="V75" i="7"/>
  <c r="V90" i="7" s="1"/>
  <c r="W75" i="7"/>
  <c r="X75" i="7"/>
  <c r="X91" i="7" s="1"/>
  <c r="Y75" i="7"/>
  <c r="Y91" i="7" s="1"/>
  <c r="F76" i="7"/>
  <c r="F93" i="7" s="1"/>
  <c r="G76" i="7"/>
  <c r="G92" i="7" s="1"/>
  <c r="H76" i="7"/>
  <c r="H93" i="7"/>
  <c r="I76" i="7"/>
  <c r="I93" i="7" s="1"/>
  <c r="J76" i="7"/>
  <c r="J93" i="7" s="1"/>
  <c r="K76" i="7"/>
  <c r="K93" i="7" s="1"/>
  <c r="L76" i="7"/>
  <c r="L92" i="7" s="1"/>
  <c r="M76" i="7"/>
  <c r="M92" i="7"/>
  <c r="N76" i="7"/>
  <c r="N92" i="7" s="1"/>
  <c r="O76" i="7"/>
  <c r="O92" i="7" s="1"/>
  <c r="P76" i="7"/>
  <c r="P93" i="7" s="1"/>
  <c r="Q76" i="7"/>
  <c r="Q93" i="7" s="1"/>
  <c r="R76" i="7"/>
  <c r="R92" i="7" s="1"/>
  <c r="S76" i="7"/>
  <c r="T76" i="7"/>
  <c r="T93" i="7"/>
  <c r="U76" i="7"/>
  <c r="U92" i="7" s="1"/>
  <c r="V76" i="7"/>
  <c r="V92" i="7" s="1"/>
  <c r="W76" i="7"/>
  <c r="W93" i="7" s="1"/>
  <c r="X76" i="7"/>
  <c r="X92" i="7" s="1"/>
  <c r="Y76" i="7"/>
  <c r="Y93" i="7" s="1"/>
  <c r="H88" i="7"/>
  <c r="W89" i="7"/>
  <c r="G91" i="7"/>
  <c r="U91" i="7"/>
  <c r="H92" i="7"/>
  <c r="M93" i="7"/>
  <c r="N93" i="7"/>
  <c r="G99" i="7"/>
  <c r="G110" i="7" s="1"/>
  <c r="G134" i="7"/>
  <c r="G135" i="7" s="1"/>
  <c r="H99" i="7"/>
  <c r="H111" i="7" s="1"/>
  <c r="I99" i="7"/>
  <c r="I110" i="7"/>
  <c r="J99" i="7"/>
  <c r="J110" i="7" s="1"/>
  <c r="K99" i="7"/>
  <c r="K110" i="7" s="1"/>
  <c r="L99" i="7"/>
  <c r="L111" i="7" s="1"/>
  <c r="M99" i="7"/>
  <c r="M110" i="7" s="1"/>
  <c r="N99" i="7"/>
  <c r="N111" i="7" s="1"/>
  <c r="O99" i="7"/>
  <c r="O110" i="7" s="1"/>
  <c r="P99" i="7"/>
  <c r="P111" i="7" s="1"/>
  <c r="Q99" i="7"/>
  <c r="Q111" i="7" s="1"/>
  <c r="R99" i="7"/>
  <c r="R110" i="7" s="1"/>
  <c r="S99" i="7"/>
  <c r="S111" i="7"/>
  <c r="S110" i="7"/>
  <c r="T99" i="7"/>
  <c r="U99" i="7"/>
  <c r="V99" i="7"/>
  <c r="V110" i="7"/>
  <c r="W99" i="7"/>
  <c r="W110" i="7" s="1"/>
  <c r="J134" i="7"/>
  <c r="J135" i="7" s="1"/>
  <c r="P110" i="7"/>
  <c r="V111" i="7"/>
  <c r="F127" i="7"/>
  <c r="G127" i="7"/>
  <c r="H127" i="7"/>
  <c r="I127" i="7"/>
  <c r="J127" i="7"/>
  <c r="K127" i="7"/>
  <c r="L127" i="7"/>
  <c r="M127" i="7"/>
  <c r="N127" i="7"/>
  <c r="O127" i="7"/>
  <c r="P127" i="7"/>
  <c r="AA127" i="7"/>
  <c r="AA134" i="7"/>
  <c r="F130" i="7"/>
  <c r="H134" i="7"/>
  <c r="H135" i="7" s="1"/>
  <c r="I134" i="7"/>
  <c r="I135" i="7" s="1"/>
  <c r="I177" i="7" s="1"/>
  <c r="K134" i="7"/>
  <c r="K135" i="7" s="1"/>
  <c r="L134" i="7"/>
  <c r="L135" i="7" s="1"/>
  <c r="M134" i="7"/>
  <c r="M135" i="7" s="1"/>
  <c r="N134" i="7"/>
  <c r="N135" i="7" s="1"/>
  <c r="O134" i="7"/>
  <c r="O135" i="7" s="1"/>
  <c r="P134" i="7"/>
  <c r="P135" i="7" s="1"/>
  <c r="Q134" i="7"/>
  <c r="Q135" i="7" s="1"/>
  <c r="R134" i="7"/>
  <c r="R135" i="7" s="1"/>
  <c r="S134" i="7"/>
  <c r="S135" i="7" s="1"/>
  <c r="T134" i="7"/>
  <c r="T135" i="7" s="1"/>
  <c r="U134" i="7"/>
  <c r="V134" i="7"/>
  <c r="V135" i="7" s="1"/>
  <c r="W134" i="7"/>
  <c r="W135" i="7" s="1"/>
  <c r="X134" i="7"/>
  <c r="X135" i="7" s="1"/>
  <c r="Y134" i="7"/>
  <c r="Y135" i="7" s="1"/>
  <c r="U135" i="7"/>
  <c r="F151" i="7"/>
  <c r="G151" i="7"/>
  <c r="H151" i="7"/>
  <c r="I151" i="7"/>
  <c r="J151" i="7"/>
  <c r="K151" i="7"/>
  <c r="L151" i="7"/>
  <c r="M151" i="7"/>
  <c r="N151" i="7"/>
  <c r="O151" i="7"/>
  <c r="P151" i="7"/>
  <c r="F154" i="7"/>
  <c r="F155" i="7"/>
  <c r="G154" i="7"/>
  <c r="G155" i="7" s="1"/>
  <c r="H154" i="7"/>
  <c r="H155" i="7" s="1"/>
  <c r="I154" i="7"/>
  <c r="I155" i="7" s="1"/>
  <c r="J154" i="7"/>
  <c r="J155" i="7"/>
  <c r="K154" i="7"/>
  <c r="K155" i="7" s="1"/>
  <c r="L154" i="7"/>
  <c r="L155" i="7" s="1"/>
  <c r="M154" i="7"/>
  <c r="M155" i="7" s="1"/>
  <c r="N154" i="7"/>
  <c r="N155" i="7" s="1"/>
  <c r="O154" i="7"/>
  <c r="O155" i="7"/>
  <c r="P154" i="7"/>
  <c r="P155" i="7" s="1"/>
  <c r="AA159" i="7"/>
  <c r="G174" i="7"/>
  <c r="G175" i="7" s="1"/>
  <c r="H174" i="7"/>
  <c r="H175" i="7" s="1"/>
  <c r="I174" i="7"/>
  <c r="I175" i="7" s="1"/>
  <c r="J174" i="7"/>
  <c r="K174" i="7"/>
  <c r="K175" i="7"/>
  <c r="L174" i="7"/>
  <c r="L175" i="7" s="1"/>
  <c r="M174" i="7"/>
  <c r="M175" i="7" s="1"/>
  <c r="N174" i="7"/>
  <c r="N175" i="7" s="1"/>
  <c r="O174" i="7"/>
  <c r="O175" i="7" s="1"/>
  <c r="P174" i="7"/>
  <c r="P175" i="7" s="1"/>
  <c r="Q174" i="7"/>
  <c r="Q175" i="7" s="1"/>
  <c r="R174" i="7"/>
  <c r="S174" i="7"/>
  <c r="S175" i="7" s="1"/>
  <c r="T174" i="7"/>
  <c r="U174" i="7"/>
  <c r="U175" i="7" s="1"/>
  <c r="V174" i="7"/>
  <c r="V175" i="7" s="1"/>
  <c r="AA174" i="7"/>
  <c r="J175" i="7"/>
  <c r="R175" i="7"/>
  <c r="T175" i="7"/>
  <c r="F183" i="7"/>
  <c r="G183" i="7"/>
  <c r="H183" i="7"/>
  <c r="I183" i="7"/>
  <c r="J183" i="7"/>
  <c r="K183" i="7"/>
  <c r="L183" i="7"/>
  <c r="F192" i="7"/>
  <c r="G192" i="7"/>
  <c r="H192" i="7"/>
  <c r="I192" i="7"/>
  <c r="J192" i="7"/>
  <c r="K192" i="7"/>
  <c r="L192" i="7"/>
  <c r="M192" i="7"/>
  <c r="N192" i="7"/>
  <c r="O192" i="7"/>
  <c r="F193" i="7"/>
  <c r="G193" i="7"/>
  <c r="H193" i="7"/>
  <c r="I193" i="7"/>
  <c r="J193" i="7"/>
  <c r="K193" i="7"/>
  <c r="L193" i="7"/>
  <c r="M193" i="7"/>
  <c r="N193" i="7"/>
  <c r="O193" i="7"/>
  <c r="F194" i="7"/>
  <c r="G194" i="7"/>
  <c r="H194" i="7"/>
  <c r="I194" i="7"/>
  <c r="J194" i="7"/>
  <c r="K194" i="7"/>
  <c r="L194" i="7"/>
  <c r="M194" i="7"/>
  <c r="N194" i="7"/>
  <c r="O194" i="7"/>
  <c r="F200" i="7"/>
  <c r="F203" i="7"/>
  <c r="G200" i="7"/>
  <c r="G204" i="7" s="1"/>
  <c r="H200" i="7"/>
  <c r="H204" i="7" s="1"/>
  <c r="I200" i="7"/>
  <c r="I204" i="7" s="1"/>
  <c r="J200" i="7"/>
  <c r="J204" i="7" s="1"/>
  <c r="K200" i="7"/>
  <c r="K204" i="7" s="1"/>
  <c r="L200" i="7"/>
  <c r="L204" i="7" s="1"/>
  <c r="M200" i="7"/>
  <c r="M204" i="7" s="1"/>
  <c r="N200" i="7"/>
  <c r="N204" i="7" s="1"/>
  <c r="O200" i="7"/>
  <c r="O204" i="7" s="1"/>
  <c r="P200" i="7"/>
  <c r="P204" i="7" s="1"/>
  <c r="Q200" i="7"/>
  <c r="Q204" i="7" s="1"/>
  <c r="R200" i="7"/>
  <c r="R204" i="7" s="1"/>
  <c r="S200" i="7"/>
  <c r="S204" i="7" s="1"/>
  <c r="T200" i="7"/>
  <c r="T204" i="7" s="1"/>
  <c r="U200" i="7"/>
  <c r="U204" i="7" s="1"/>
  <c r="V200" i="7"/>
  <c r="V204" i="7" s="1"/>
  <c r="W200" i="7"/>
  <c r="W204" i="7"/>
  <c r="X200" i="7"/>
  <c r="X204" i="7" s="1"/>
  <c r="Y200" i="7"/>
  <c r="Y204" i="7"/>
  <c r="F211" i="7"/>
  <c r="F212" i="7" s="1"/>
  <c r="G211" i="7"/>
  <c r="H211" i="7"/>
  <c r="I211" i="7"/>
  <c r="I212" i="7" s="1"/>
  <c r="J211" i="7"/>
  <c r="J212" i="7" s="1"/>
  <c r="K211" i="7"/>
  <c r="K212" i="7" s="1"/>
  <c r="L211" i="7"/>
  <c r="L212" i="7" s="1"/>
  <c r="M211" i="7"/>
  <c r="M212" i="7" s="1"/>
  <c r="N211" i="7"/>
  <c r="O211" i="7"/>
  <c r="P211" i="7"/>
  <c r="Q211" i="7"/>
  <c r="G212" i="7"/>
  <c r="H212" i="7"/>
  <c r="N212" i="7"/>
  <c r="O212" i="7"/>
  <c r="P212" i="7"/>
  <c r="Q212" i="7"/>
  <c r="R212" i="7"/>
  <c r="S212" i="7"/>
  <c r="T212" i="7"/>
  <c r="F219" i="7"/>
  <c r="G219" i="7"/>
  <c r="H219" i="7"/>
  <c r="I219" i="7"/>
  <c r="J219" i="7"/>
  <c r="K219" i="7"/>
  <c r="L219" i="7"/>
  <c r="M219" i="7"/>
  <c r="N219" i="7"/>
  <c r="O219" i="7"/>
  <c r="F243" i="7"/>
  <c r="F100" i="7" s="1"/>
  <c r="F248" i="7"/>
  <c r="F99" i="7"/>
  <c r="F114" i="7" s="1"/>
  <c r="F255" i="7"/>
  <c r="F133" i="7" s="1"/>
  <c r="C7" i="8"/>
  <c r="D7" i="8"/>
  <c r="E7" i="8" s="1"/>
  <c r="F7" i="8" s="1"/>
  <c r="G7" i="8" s="1"/>
  <c r="H7" i="8" s="1"/>
  <c r="I7" i="8" s="1"/>
  <c r="J7" i="8" s="1"/>
  <c r="K7" i="8" s="1"/>
  <c r="B10" i="8"/>
  <c r="B13" i="8" s="1"/>
  <c r="B14" i="8"/>
  <c r="C10" i="8"/>
  <c r="C13" i="8" s="1"/>
  <c r="D10" i="8"/>
  <c r="E10" i="8"/>
  <c r="E13" i="8" s="1"/>
  <c r="E20" i="8" s="1"/>
  <c r="E14" i="8"/>
  <c r="F10" i="8"/>
  <c r="F13" i="8" s="1"/>
  <c r="F20" i="8" s="1"/>
  <c r="G10" i="8"/>
  <c r="G13" i="8" s="1"/>
  <c r="H10" i="8"/>
  <c r="H13" i="8" s="1"/>
  <c r="H20" i="8" s="1"/>
  <c r="I10" i="8"/>
  <c r="I13" i="8" s="1"/>
  <c r="J10" i="8"/>
  <c r="J13" i="8" s="1"/>
  <c r="J14" i="8"/>
  <c r="K10" i="8"/>
  <c r="K13" i="8" s="1"/>
  <c r="D13" i="8"/>
  <c r="D20" i="8" s="1"/>
  <c r="C14" i="8"/>
  <c r="D14" i="8"/>
  <c r="F14" i="8"/>
  <c r="G14" i="8"/>
  <c r="H14" i="8"/>
  <c r="I14" i="8"/>
  <c r="K14" i="8"/>
  <c r="B16" i="8"/>
  <c r="C16" i="8"/>
  <c r="D16" i="8"/>
  <c r="E16" i="8"/>
  <c r="F16" i="8"/>
  <c r="G16" i="8"/>
  <c r="H16" i="8"/>
  <c r="I16" i="8"/>
  <c r="J16" i="8"/>
  <c r="K16" i="8"/>
  <c r="O111" i="7"/>
  <c r="I111" i="7"/>
  <c r="G111" i="7"/>
  <c r="W90" i="7"/>
  <c r="W91" i="7"/>
  <c r="O89" i="7"/>
  <c r="S88" i="7"/>
  <c r="R93" i="7"/>
  <c r="F90" i="7"/>
  <c r="I89" i="7"/>
  <c r="I91" i="7"/>
  <c r="L93" i="7"/>
  <c r="H91" i="7"/>
  <c r="T88" i="7"/>
  <c r="T89" i="7"/>
  <c r="X90" i="7"/>
  <c r="N89" i="7"/>
  <c r="G90" i="7"/>
  <c r="N110" i="7"/>
  <c r="U110" i="7"/>
  <c r="U111" i="7"/>
  <c r="H89" i="7"/>
  <c r="T92" i="7"/>
  <c r="S92" i="7"/>
  <c r="S93" i="7"/>
  <c r="T91" i="7"/>
  <c r="U88" i="7"/>
  <c r="T111" i="7"/>
  <c r="T110" i="7"/>
  <c r="Q110" i="7"/>
  <c r="G20" i="8" l="1"/>
  <c r="B20" i="8"/>
  <c r="F204" i="7"/>
  <c r="J111" i="7"/>
  <c r="J177" i="7"/>
  <c r="K89" i="7"/>
  <c r="M91" i="7"/>
  <c r="F89" i="7"/>
  <c r="Y92" i="7"/>
  <c r="R91" i="7"/>
  <c r="O93" i="7"/>
  <c r="K91" i="7"/>
  <c r="P91" i="7"/>
  <c r="R88" i="7"/>
  <c r="W111" i="7"/>
  <c r="J20" i="8"/>
  <c r="K177" i="7"/>
  <c r="P90" i="7"/>
  <c r="J92" i="7"/>
  <c r="J90" i="7"/>
  <c r="R111" i="7"/>
  <c r="O90" i="7"/>
  <c r="I20" i="8"/>
  <c r="Y90" i="7"/>
  <c r="C20" i="8"/>
  <c r="J91" i="7"/>
  <c r="L110" i="7"/>
  <c r="K92" i="7"/>
  <c r="Q92" i="7"/>
  <c r="W92" i="7"/>
  <c r="V91" i="7"/>
  <c r="Y88" i="7"/>
  <c r="K111" i="7"/>
  <c r="K20" i="8"/>
  <c r="G177" i="7"/>
  <c r="M177" i="7"/>
  <c r="F111" i="7"/>
  <c r="F115" i="7"/>
  <c r="F173" i="7"/>
  <c r="F174" i="7" s="1"/>
  <c r="F175" i="7" s="1"/>
  <c r="F134" i="7"/>
  <c r="X89" i="7"/>
  <c r="F92" i="7"/>
  <c r="L90" i="7"/>
  <c r="F110" i="7"/>
  <c r="U93" i="7"/>
  <c r="N91" i="7"/>
  <c r="H110" i="7"/>
  <c r="H177" i="7" s="1"/>
  <c r="M111" i="7"/>
  <c r="X93" i="7"/>
  <c r="P92" i="7"/>
  <c r="M90" i="7"/>
  <c r="L89" i="7"/>
  <c r="V93" i="7"/>
  <c r="G93" i="7"/>
  <c r="I92" i="7"/>
  <c r="S91" i="7"/>
  <c r="V89" i="7"/>
  <c r="Q88" i="7"/>
  <c r="Q90" i="7"/>
  <c r="F135" i="7" l="1"/>
  <c r="F177" i="7" s="1"/>
  <c r="F13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Bütler Alain AGROSCOPE</author>
  </authors>
  <commentList>
    <comment ref="C27" authorId="0" shapeId="0" xr:uid="{9FE2D947-5959-47B7-8B61-AB47AD8ABA41}">
      <text>
        <r>
          <rPr>
            <b/>
            <sz val="9"/>
            <color indexed="81"/>
            <rFont val="Segoe UI"/>
            <family val="2"/>
          </rPr>
          <t>Bütler Alain AGROSCOPE:</t>
        </r>
        <r>
          <rPr>
            <sz val="9"/>
            <color indexed="81"/>
            <rFont val="Segoe UI"/>
            <family val="2"/>
          </rPr>
          <t xml:space="preserve">
Moyen DLG Powermix Test
7% Adblue par Litre Diesel
</t>
        </r>
      </text>
    </comment>
    <comment ref="E27" authorId="0" shapeId="0" xr:uid="{B4B944DE-D863-448E-960D-9D48E5187C99}">
      <text>
        <r>
          <rPr>
            <b/>
            <sz val="9"/>
            <color indexed="81"/>
            <rFont val="Segoe UI"/>
            <family val="2"/>
          </rPr>
          <t>Bütler Alain AGROSCOPE:</t>
        </r>
        <r>
          <rPr>
            <sz val="9"/>
            <color indexed="81"/>
            <rFont val="Segoe UI"/>
            <family val="2"/>
          </rPr>
          <t xml:space="preserve">
Moyen DLG Powermix Test
7% Adblue par Litre Diesel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Gazzarin</author>
  </authors>
  <commentList>
    <comment ref="D9" authorId="0" shapeId="0" xr:uid="{C4500D0A-A119-4930-8800-A2FC78960602}">
      <text>
        <r>
          <rPr>
            <b/>
            <sz val="9"/>
            <color indexed="81"/>
            <rFont val="Tahoma"/>
            <family val="2"/>
          </rPr>
          <t>Attention:</t>
        </r>
        <r>
          <rPr>
            <sz val="9"/>
            <color indexed="81"/>
            <rFont val="Tahoma"/>
            <family val="2"/>
          </rPr>
          <t xml:space="preserve">
Veuillez utiliser chaque bloc de saisie seulement UNE FOIS. Après il faut enregistrer le fichier avec le nom de machine ou de la combinaison de machine! 
Pour une nouvelle calculation il faut utiliser le bloc de saisie en paralléle ou ouvrir un nouveau fichier (dans l'internet ou PC). </t>
        </r>
      </text>
    </comment>
    <comment ref="L9" authorId="0" shapeId="0" xr:uid="{A1F4EFB7-3F57-47EB-9230-A444520CE89E}">
      <text>
        <r>
          <rPr>
            <b/>
            <sz val="9"/>
            <color indexed="81"/>
            <rFont val="Tahoma"/>
            <family val="2"/>
          </rPr>
          <t>Attention:</t>
        </r>
        <r>
          <rPr>
            <sz val="9"/>
            <color indexed="81"/>
            <rFont val="Tahoma"/>
            <family val="2"/>
          </rPr>
          <t xml:space="preserve">
Veuillez utiliser chaque bloc de saisie seulement UNE FOIS. Après il faut enregistrer le fichier avec le nom de machine ou de la combinaison de machine! 
Pour une nouvelle calculation il faut utiliser le bloc de saisie en paralléle ou ouvrir un nouveau fichier (dans l'internet ou PC). </t>
        </r>
      </text>
    </comment>
    <comment ref="D10" authorId="0" shapeId="0" xr:uid="{C3FEB3E0-463B-46BE-AD18-9A7A68A5FCE7}">
      <text>
        <r>
          <rPr>
            <b/>
            <sz val="9"/>
            <color indexed="81"/>
            <rFont val="Tahoma"/>
            <family val="2"/>
          </rPr>
          <t>Attention Tracteurs:</t>
        </r>
        <r>
          <rPr>
            <sz val="9"/>
            <color indexed="81"/>
            <rFont val="Tahoma"/>
            <family val="2"/>
          </rPr>
          <t xml:space="preserve">
Tracteurs 1001 - 1006: System hydraulique frontale avec prise de force optional doit être inclus supplémentaire dans le prix d'achat!
(Tracteurs 1010 - 1014: prise de force et hydr. front. sont inclus).</t>
        </r>
      </text>
    </comment>
    <comment ref="L10" authorId="0" shapeId="0" xr:uid="{1B99278F-E61D-47D9-98FF-18B049D9CA1B}">
      <text>
        <r>
          <rPr>
            <b/>
            <sz val="9"/>
            <color indexed="81"/>
            <rFont val="Tahoma"/>
            <family val="2"/>
          </rPr>
          <t>Attention Tracteurs:</t>
        </r>
        <r>
          <rPr>
            <sz val="9"/>
            <color indexed="81"/>
            <rFont val="Tahoma"/>
            <family val="2"/>
          </rPr>
          <t xml:space="preserve">
Tracteurs 1001 - 1006: System hydraulique frontale avec prise de force optional doit être inclus supplémentaire dans le prix d'achat!
(Tracteurs 1010 - 1014: prise de force et hydr. front. sont inclus).</t>
        </r>
      </text>
    </comment>
    <comment ref="C15" authorId="0" shapeId="0" xr:uid="{C357F66D-2401-4DC4-AE5E-1946121AC95E}">
      <text>
        <r>
          <rPr>
            <sz val="11"/>
            <color indexed="81"/>
            <rFont val="Tahoma"/>
            <family val="2"/>
          </rPr>
          <t>seulement le temps de travail au champ (sans temps de pannes, de preparation et de trajet (sauf pour les véhicules de transport)</t>
        </r>
      </text>
    </comment>
    <comment ref="K15" authorId="0" shapeId="0" xr:uid="{60327DAA-5625-4EAE-8561-167610CC81EA}">
      <text>
        <r>
          <rPr>
            <sz val="11"/>
            <color indexed="81"/>
            <rFont val="Tahoma"/>
            <family val="2"/>
          </rPr>
          <t>seulement le temps de travail au champ (sans temps de pannes, de preparation et de trajet (sauf pour les véhicules de transport)</t>
        </r>
      </text>
    </comment>
    <comment ref="G22" authorId="0" shapeId="0" xr:uid="{68E7B265-0CAC-4A5F-A885-584BC6B61923}">
      <text>
        <r>
          <rPr>
            <b/>
            <sz val="9"/>
            <color indexed="81"/>
            <rFont val="Tahoma"/>
            <family val="2"/>
          </rPr>
          <t xml:space="preserve">Pour reconstituer l'état initial (default) il faut assimiler les données de colonne F (vert) à colonne D. </t>
        </r>
      </text>
    </comment>
    <comment ref="N22" authorId="0" shapeId="0" xr:uid="{892BC51C-3D52-4C17-97AB-3C32C2912807}">
      <text>
        <r>
          <rPr>
            <b/>
            <sz val="9"/>
            <color indexed="81"/>
            <rFont val="Tahoma"/>
            <family val="2"/>
          </rPr>
          <t xml:space="preserve">Pour reconstituer l'état initial (default) il faut assimiler les données de colonne M (vert) à colonne K. </t>
        </r>
      </text>
    </comment>
    <comment ref="B30" authorId="0" shapeId="0" xr:uid="{9E1FF1A9-D879-4259-86ED-0E3498FB40FE}">
      <text>
        <r>
          <rPr>
            <b/>
            <sz val="8"/>
            <color indexed="81"/>
            <rFont val="Tahoma"/>
            <family val="2"/>
          </rPr>
          <t xml:space="preserve">Après combien d'unités de travail (h, ha, ch, bal etc.) la machine est abîmée? (durée d'utilisation technique à partir de laquelle les coûts de réparation sont disproportionnés). </t>
        </r>
      </text>
    </comment>
    <comment ref="I30" authorId="0" shapeId="0" xr:uid="{1084477C-ECA2-4E56-AEC9-5F8FEBE92558}">
      <text>
        <r>
          <rPr>
            <b/>
            <sz val="8"/>
            <color indexed="81"/>
            <rFont val="Tahoma"/>
            <family val="2"/>
          </rPr>
          <t xml:space="preserve">Après combien d'unités de travail (h, ha, ch, bal etc.) la machine est abîmée? (durée d'utilisation technique à partir de laquelle les coûts de réparation sont disproportionnés). </t>
        </r>
      </text>
    </comment>
    <comment ref="C32" authorId="0" shapeId="0" xr:uid="{9F4CFE7E-B990-4787-BBE9-810CFFB80EFD}">
      <text>
        <r>
          <rPr>
            <b/>
            <sz val="8"/>
            <color indexed="81"/>
            <rFont val="Tahoma"/>
            <family val="2"/>
          </rPr>
          <t>la part du prix d'acquisition après la fin de l'amortissement.</t>
        </r>
      </text>
    </comment>
    <comment ref="J32" authorId="0" shapeId="0" xr:uid="{3127ABB3-93B2-44E8-A73F-5CC914B985A7}">
      <text>
        <r>
          <rPr>
            <b/>
            <sz val="8"/>
            <color indexed="81"/>
            <rFont val="Tahoma"/>
            <family val="2"/>
          </rPr>
          <t>la part du prix d'acquisition après la fin de l'amortissement.</t>
        </r>
      </text>
    </comment>
    <comment ref="B34" authorId="0" shapeId="0" xr:uid="{807B0E47-0BAC-455E-9B60-7123E9B88E59}">
      <text>
        <r>
          <rPr>
            <b/>
            <sz val="8"/>
            <color indexed="81"/>
            <rFont val="Tahoma"/>
            <family val="2"/>
          </rPr>
          <t xml:space="preserve">Le degré de charge du moteur définit la consommation de carburant. 
En fonction du travail effectué le degré de charge du moteur est entre 20% et 60%. </t>
        </r>
      </text>
    </comment>
    <comment ref="G34" authorId="0" shapeId="0" xr:uid="{69F1B673-C11A-49D2-8641-362A1F1C677F}">
      <text>
        <r>
          <rPr>
            <b/>
            <sz val="8"/>
            <color indexed="81"/>
            <rFont val="Tahoma"/>
            <family val="2"/>
          </rPr>
          <t>Consommation de carburant calculée (Kontrollfeld)</t>
        </r>
      </text>
    </comment>
    <comment ref="I34" authorId="0" shapeId="0" xr:uid="{0FA6BC37-4A12-46EF-BFDD-94114CD142CC}">
      <text>
        <r>
          <rPr>
            <b/>
            <sz val="8"/>
            <color indexed="81"/>
            <rFont val="Tahoma"/>
            <family val="2"/>
          </rPr>
          <t xml:space="preserve">Le degré de charge du moteur définit la consommation de carburant. 
En fonction du travail effectué le degré de charge du moteur est entre 20% et 60%. </t>
        </r>
      </text>
    </comment>
    <comment ref="N34" authorId="0" shapeId="0" xr:uid="{1617BECE-1082-479F-A09D-1B8A453C5AA0}">
      <text>
        <r>
          <rPr>
            <b/>
            <sz val="8"/>
            <color indexed="81"/>
            <rFont val="Tahoma"/>
            <family val="2"/>
          </rPr>
          <t>Consommation de carburant calculée (Kontrollfeld)</t>
        </r>
      </text>
    </comment>
    <comment ref="B35" authorId="0" shapeId="0" xr:uid="{99153522-F80D-4D20-B607-B67738FEBA5A}">
      <text>
        <r>
          <rPr>
            <b/>
            <sz val="8"/>
            <color indexed="81"/>
            <rFont val="Tahoma"/>
            <family val="2"/>
          </rPr>
          <t>Pour les machines d'occasion ou pour les machines qui sont déjà amortisées il faut élever le facteur de réparation.</t>
        </r>
      </text>
    </comment>
    <comment ref="G35" authorId="0" shapeId="0" xr:uid="{D76664C9-4ED9-4DBC-88C4-E316233D14A3}">
      <text>
        <r>
          <rPr>
            <b/>
            <sz val="9"/>
            <color indexed="81"/>
            <rFont val="Tahoma"/>
            <family val="2"/>
          </rPr>
          <t>Coûts par an pour réparations, service et  maintenance</t>
        </r>
        <r>
          <rPr>
            <sz val="9"/>
            <color indexed="81"/>
            <rFont val="Tahoma"/>
            <family val="2"/>
          </rPr>
          <t xml:space="preserve">
(contrôle)</t>
        </r>
      </text>
    </comment>
    <comment ref="I35" authorId="0" shapeId="0" xr:uid="{2BF6E968-97A8-491B-8D58-A460DAFD32B0}">
      <text>
        <r>
          <rPr>
            <b/>
            <sz val="8"/>
            <color indexed="81"/>
            <rFont val="Tahoma"/>
            <family val="2"/>
          </rPr>
          <t>Pour les machines d'occasion ou pour les machines qui sont déjà amortisées il faut élever le facteur de réparation.</t>
        </r>
      </text>
    </comment>
    <comment ref="N35" authorId="0" shapeId="0" xr:uid="{75F64659-B3C8-4034-A8A2-5BA3EC190959}">
      <text>
        <r>
          <rPr>
            <b/>
            <sz val="9"/>
            <color indexed="81"/>
            <rFont val="Tahoma"/>
            <family val="2"/>
          </rPr>
          <t>Coûts par an pour réparations, service et  maintenance</t>
        </r>
        <r>
          <rPr>
            <sz val="9"/>
            <color indexed="81"/>
            <rFont val="Tahoma"/>
            <family val="2"/>
          </rPr>
          <t xml:space="preserve">
(contrôle)</t>
        </r>
      </text>
    </comment>
    <comment ref="B38" authorId="0" shapeId="0" xr:uid="{D779185C-E4DC-4190-BD04-EE3D1A7925CA}">
      <text>
        <r>
          <rPr>
            <b/>
            <sz val="8"/>
            <color indexed="81"/>
            <rFont val="Tahoma"/>
            <family val="2"/>
          </rPr>
          <t>Suppléments pour temps de trajet, pour la préparation de la machine sur la ferme ou sur le champ et pour l'administration.</t>
        </r>
      </text>
    </comment>
    <comment ref="I38" authorId="0" shapeId="0" xr:uid="{F04902E1-42C8-4167-A557-6C8A3DE7AB5B}">
      <text>
        <r>
          <rPr>
            <b/>
            <sz val="8"/>
            <color indexed="81"/>
            <rFont val="Tahoma"/>
            <family val="2"/>
          </rPr>
          <t>Suppléments pour temps de trajet, pour la préparation de la machine sur la ferme ou sur le champ et pour l'administration.</t>
        </r>
      </text>
    </comment>
    <comment ref="D75" authorId="0" shapeId="0" xr:uid="{4ED2A457-919A-4092-BDC9-8172408B07FD}">
      <text>
        <r>
          <rPr>
            <b/>
            <sz val="9"/>
            <color indexed="81"/>
            <rFont val="Tahoma"/>
            <family val="2"/>
          </rPr>
          <t>Attention:</t>
        </r>
        <r>
          <rPr>
            <sz val="9"/>
            <color indexed="81"/>
            <rFont val="Tahoma"/>
            <family val="2"/>
          </rPr>
          <t xml:space="preserve">
Veuillez utiliser chaque bloc de saisie seulement UNE FOIS. Après il faut enregistrer le fichier avec le nom de machine ou de la combinaison de machine! 
Pour une nouvelle calculation il faut utiliser le bloc de saisie en paralléle ou ouvrir un nouveau fichier (dans l'internet ou PC). </t>
        </r>
      </text>
    </comment>
    <comment ref="L75" authorId="0" shapeId="0" xr:uid="{D0994A66-D2AF-4258-AA43-1140CFBD84BC}">
      <text>
        <r>
          <rPr>
            <b/>
            <sz val="9"/>
            <color indexed="81"/>
            <rFont val="Tahoma"/>
            <family val="2"/>
          </rPr>
          <t>Attention:</t>
        </r>
        <r>
          <rPr>
            <sz val="9"/>
            <color indexed="81"/>
            <rFont val="Tahoma"/>
            <family val="2"/>
          </rPr>
          <t xml:space="preserve">
Veuillez utiliser chaque bloc de saisie seulement UNE FOIS. Après il faut enregistrer le fichier avec le nom de machine ou de la combinaison de machine! 
Pour une nouvelle calculation il faut utiliser le bloc de saisie en paralléle ou ouvrir un nouveau fichier (dans l'internet ou PC). </t>
        </r>
      </text>
    </comment>
    <comment ref="C81" authorId="0" shapeId="0" xr:uid="{E096D850-7887-47D0-BE4B-9A2244414719}">
      <text>
        <r>
          <rPr>
            <sz val="11"/>
            <color indexed="81"/>
            <rFont val="Tahoma"/>
            <family val="2"/>
          </rPr>
          <t>seulement le temps de travail au champ (sans temps de pannes, de preparation et de trajet (sauf pour les véhicules de transport)</t>
        </r>
      </text>
    </comment>
    <comment ref="K81" authorId="0" shapeId="0" xr:uid="{AAF8EDF1-FEAB-4FC3-867E-CDE8587FA837}">
      <text>
        <r>
          <rPr>
            <sz val="11"/>
            <color indexed="81"/>
            <rFont val="Tahoma"/>
            <family val="2"/>
          </rPr>
          <t>seulement le temps de travail au champ (sans temps de pannes, de preparation et de trajet (sauf pour les véhicules de transport)</t>
        </r>
      </text>
    </comment>
    <comment ref="G88" authorId="0" shapeId="0" xr:uid="{89B7373E-DE9C-4F82-927E-3B82353631F3}">
      <text>
        <r>
          <rPr>
            <b/>
            <sz val="9"/>
            <color indexed="81"/>
            <rFont val="Tahoma"/>
            <family val="2"/>
          </rPr>
          <t xml:space="preserve">Pour reconstituer l'état initial (default) il faut assimiler les données de colonne F (vert) à colonne D. </t>
        </r>
      </text>
    </comment>
    <comment ref="N88" authorId="0" shapeId="0" xr:uid="{568B6B77-AA2A-4206-9AA0-69B521880FC9}">
      <text>
        <r>
          <rPr>
            <b/>
            <sz val="9"/>
            <color indexed="81"/>
            <rFont val="Tahoma"/>
            <family val="2"/>
          </rPr>
          <t xml:space="preserve">Pour reconstituer l'état initial (default) il faut assimiler les données de colonne M (vert) à colonne K. </t>
        </r>
      </text>
    </comment>
    <comment ref="D89" authorId="0" shapeId="0" xr:uid="{CC9D5EBF-05AB-4D8F-96DB-AA468AD3B87B}">
      <text>
        <r>
          <rPr>
            <b/>
            <sz val="8"/>
            <color indexed="81"/>
            <rFont val="Tahoma"/>
            <family val="2"/>
          </rPr>
          <t>ART: 1.79 Fr./l</t>
        </r>
      </text>
    </comment>
    <comment ref="L89" authorId="0" shapeId="0" xr:uid="{48B558A0-B70B-47BB-9F62-07965AC24AE4}">
      <text>
        <r>
          <rPr>
            <b/>
            <sz val="8"/>
            <color indexed="81"/>
            <rFont val="Tahoma"/>
            <family val="2"/>
          </rPr>
          <t>ART: 1.79 Fr./l</t>
        </r>
      </text>
    </comment>
    <comment ref="D90" authorId="0" shapeId="0" xr:uid="{3FF6CD21-492A-4B9B-BA12-5923D7B47B2D}">
      <text>
        <r>
          <rPr>
            <b/>
            <sz val="8"/>
            <color indexed="81"/>
            <rFont val="Tahoma"/>
            <family val="2"/>
          </rPr>
          <t>ART: 1.60 Fr./l</t>
        </r>
      </text>
    </comment>
    <comment ref="L90" authorId="0" shapeId="0" xr:uid="{A0749433-E38A-4A5E-8C7D-1C1DD1C17379}">
      <text>
        <r>
          <rPr>
            <b/>
            <sz val="8"/>
            <color indexed="81"/>
            <rFont val="Tahoma"/>
            <family val="2"/>
          </rPr>
          <t>ART: 1.60 Fr./l</t>
        </r>
      </text>
    </comment>
    <comment ref="B96" authorId="0" shapeId="0" xr:uid="{AFA75DF2-6789-4D0E-BA85-B6175433AF8B}">
      <text>
        <r>
          <rPr>
            <b/>
            <sz val="8"/>
            <color indexed="81"/>
            <rFont val="Tahoma"/>
            <family val="2"/>
          </rPr>
          <t xml:space="preserve">Après combien d'unités de travail (h, ha, ch, bal etc.) la machine est abîmée? (durée d'utilisation technique à partir de laquelle les coûts de réparation sont disproportionnés). </t>
        </r>
      </text>
    </comment>
    <comment ref="I96" authorId="0" shapeId="0" xr:uid="{10F6BBCB-E1C5-4F82-BF80-6513035BB03D}">
      <text>
        <r>
          <rPr>
            <b/>
            <sz val="8"/>
            <color indexed="81"/>
            <rFont val="Tahoma"/>
            <family val="2"/>
          </rPr>
          <t xml:space="preserve">Après combien d'unités de travail (h, ha, ch, bal etc.) la machine est abîmée? (durée d'utilisation technique à partir de laquelle les coûts de réparation sont disproportionnés). </t>
        </r>
      </text>
    </comment>
    <comment ref="C98" authorId="0" shapeId="0" xr:uid="{F544A724-A232-459C-9384-3E2A615CD723}">
      <text>
        <r>
          <rPr>
            <b/>
            <sz val="8"/>
            <color indexed="81"/>
            <rFont val="Tahoma"/>
            <family val="2"/>
          </rPr>
          <t>la part du prix d'acquisition après la fin de l'amortissement.</t>
        </r>
      </text>
    </comment>
    <comment ref="J98" authorId="0" shapeId="0" xr:uid="{30CF1FB0-9332-45C3-B295-529847CECF0C}">
      <text>
        <r>
          <rPr>
            <b/>
            <sz val="8"/>
            <color indexed="81"/>
            <rFont val="Tahoma"/>
            <family val="2"/>
          </rPr>
          <t>la part du prix d'acquisition après la fin de l'amortissement.</t>
        </r>
      </text>
    </comment>
    <comment ref="B100" authorId="0" shapeId="0" xr:uid="{5E16B498-DB4F-4F5E-A1B8-2BBE59258499}">
      <text>
        <r>
          <rPr>
            <b/>
            <sz val="8"/>
            <color indexed="81"/>
            <rFont val="Tahoma"/>
            <family val="2"/>
          </rPr>
          <t xml:space="preserve">Le degré de charge du moteur définit la consommation de carburant. 
En fonction du travail effectué le degré de charge du moteur est entre 20% et 60%. </t>
        </r>
      </text>
    </comment>
    <comment ref="G100" authorId="0" shapeId="0" xr:uid="{517CC9A0-4FB3-4018-BE5C-B005DC279E23}">
      <text>
        <r>
          <rPr>
            <b/>
            <sz val="8"/>
            <color indexed="81"/>
            <rFont val="Tahoma"/>
            <family val="2"/>
          </rPr>
          <t>Consommation de carburant calculée (Kontrollfeld)</t>
        </r>
      </text>
    </comment>
    <comment ref="I100" authorId="0" shapeId="0" xr:uid="{D2E880E6-3AA2-44A1-A0C6-39A31466BBEC}">
      <text>
        <r>
          <rPr>
            <b/>
            <sz val="8"/>
            <color indexed="81"/>
            <rFont val="Tahoma"/>
            <family val="2"/>
          </rPr>
          <t xml:space="preserve">Le degré de charge du moteur définit la consommation de carburant. 
En fonction du travail effectué le degré de charge du moteur est entre 20% et 60%. </t>
        </r>
      </text>
    </comment>
    <comment ref="N100" authorId="0" shapeId="0" xr:uid="{9B08E3B8-D7C5-4365-9E5B-EA16F6EB73D1}">
      <text>
        <r>
          <rPr>
            <b/>
            <sz val="8"/>
            <color indexed="81"/>
            <rFont val="Tahoma"/>
            <family val="2"/>
          </rPr>
          <t>Consommation de carburant calculée (Kontrollfeld)</t>
        </r>
      </text>
    </comment>
    <comment ref="B101" authorId="0" shapeId="0" xr:uid="{D4039380-57AD-4931-8780-5F854DAAB04A}">
      <text>
        <r>
          <rPr>
            <b/>
            <sz val="8"/>
            <color indexed="81"/>
            <rFont val="Tahoma"/>
            <family val="2"/>
          </rPr>
          <t>Pour les machines d'occasion ou pour les machines qui sont déjà amortisées il faut élever le facteur de réparation.</t>
        </r>
      </text>
    </comment>
    <comment ref="G101" authorId="0" shapeId="0" xr:uid="{C50F92FD-D14A-4442-8A50-F1087D7DCB9D}">
      <text>
        <r>
          <rPr>
            <b/>
            <sz val="9"/>
            <color indexed="81"/>
            <rFont val="Tahoma"/>
            <family val="2"/>
          </rPr>
          <t>Coûts par an pour réparations, service et  maintenance</t>
        </r>
        <r>
          <rPr>
            <sz val="9"/>
            <color indexed="81"/>
            <rFont val="Tahoma"/>
            <family val="2"/>
          </rPr>
          <t xml:space="preserve">
(contrôle)</t>
        </r>
      </text>
    </comment>
    <comment ref="I101" authorId="0" shapeId="0" xr:uid="{3DCB8AF5-833E-4F47-8BC6-CB521482D2C2}">
      <text>
        <r>
          <rPr>
            <b/>
            <sz val="8"/>
            <color indexed="81"/>
            <rFont val="Tahoma"/>
            <family val="2"/>
          </rPr>
          <t>Pour les machines d'occasion ou pour les machines qui sont déjà amortisées il faut élever le facteur de réparation.</t>
        </r>
      </text>
    </comment>
    <comment ref="N101" authorId="0" shapeId="0" xr:uid="{7E42069D-EE6D-4967-97DC-F498756DCE50}">
      <text>
        <r>
          <rPr>
            <b/>
            <sz val="9"/>
            <color indexed="81"/>
            <rFont val="Tahoma"/>
            <family val="2"/>
          </rPr>
          <t>Coûts par an pour réparations, service et  maintenance</t>
        </r>
        <r>
          <rPr>
            <sz val="9"/>
            <color indexed="81"/>
            <rFont val="Tahoma"/>
            <family val="2"/>
          </rPr>
          <t xml:space="preserve">
(contrôle)</t>
        </r>
      </text>
    </comment>
    <comment ref="B104" authorId="0" shapeId="0" xr:uid="{56A77FC9-E084-4101-885B-1B43AAE308DD}">
      <text>
        <r>
          <rPr>
            <b/>
            <sz val="8"/>
            <color indexed="81"/>
            <rFont val="Tahoma"/>
            <family val="2"/>
          </rPr>
          <t>Suppléments pour temps de trajet, pour la préparation de la machine sur la ferme ou sur le champ et pour l'administration.</t>
        </r>
      </text>
    </comment>
    <comment ref="I104" authorId="0" shapeId="0" xr:uid="{D5013985-294E-4BA3-A50C-3BA808FA8F0E}">
      <text>
        <r>
          <rPr>
            <b/>
            <sz val="8"/>
            <color indexed="81"/>
            <rFont val="Tahoma"/>
            <family val="2"/>
          </rPr>
          <t>Suppléments pour temps de trajet, pour la préparation de la machine sur la ferme ou sur le champ et pour l'administration.</t>
        </r>
      </text>
    </comment>
    <comment ref="D135" authorId="0" shapeId="0" xr:uid="{ECA26A05-550D-41CC-A58C-883BB81B91A6}">
      <text>
        <r>
          <rPr>
            <b/>
            <sz val="9"/>
            <color indexed="81"/>
            <rFont val="Tahoma"/>
            <family val="2"/>
          </rPr>
          <t>Attention:</t>
        </r>
        <r>
          <rPr>
            <sz val="9"/>
            <color indexed="81"/>
            <rFont val="Tahoma"/>
            <family val="2"/>
          </rPr>
          <t xml:space="preserve">
Veuillez utiliser chaque bloc de saisie seulement UNE FOIS. Après il faut enregistrer le fichier avec le nom de machine ou de la combinaison de machine! 
Pour une nouvelle calculation il faut utiliser le bloc de saisie en paralléle ou ouvrir un nouveau fichier (dans l'internet ou PC). </t>
        </r>
      </text>
    </comment>
    <comment ref="L135" authorId="0" shapeId="0" xr:uid="{E1757539-F600-4C92-B723-8A7B2932A3E0}">
      <text>
        <r>
          <rPr>
            <b/>
            <sz val="9"/>
            <color indexed="81"/>
            <rFont val="Tahoma"/>
            <family val="2"/>
          </rPr>
          <t>Attention:</t>
        </r>
        <r>
          <rPr>
            <sz val="9"/>
            <color indexed="81"/>
            <rFont val="Tahoma"/>
            <family val="2"/>
          </rPr>
          <t xml:space="preserve">
Veuillez utiliser chaque bloc de saisie seulement UNE FOIS. Après il faut enregistrer le fichier avec le nom de machine ou de la combinaison de machine! 
Pour une nouvelle calculation il faut utiliser le bloc de saisie en paralléle ou ouvrir un nouveau fichier (dans l'internet ou PC). </t>
        </r>
      </text>
    </comment>
    <comment ref="C141" authorId="0" shapeId="0" xr:uid="{6312B1C2-C126-488D-8A44-23626518AE50}">
      <text>
        <r>
          <rPr>
            <sz val="11"/>
            <color indexed="81"/>
            <rFont val="Tahoma"/>
            <family val="2"/>
          </rPr>
          <t>seulement le temps de travail au champ (sans temps de pannes, de preparation et de trajet (sauf pour les véhicules de transport)</t>
        </r>
      </text>
    </comment>
    <comment ref="K141" authorId="0" shapeId="0" xr:uid="{5FA10791-F6FF-4ADF-A278-8A3D4FD784B0}">
      <text>
        <r>
          <rPr>
            <sz val="11"/>
            <color indexed="81"/>
            <rFont val="Tahoma"/>
            <family val="2"/>
          </rPr>
          <t>seulement le temps de travail au champ (sans temps de pannes, de preparation et de trajet (sauf pour les véhicules de transport)</t>
        </r>
      </text>
    </comment>
    <comment ref="G148" authorId="0" shapeId="0" xr:uid="{62BAE31C-0ABE-4397-99C8-C04EB0430CD2}">
      <text>
        <r>
          <rPr>
            <b/>
            <sz val="9"/>
            <color indexed="81"/>
            <rFont val="Tahoma"/>
            <family val="2"/>
          </rPr>
          <t xml:space="preserve">Pour reconstituer l'état initial (default) il faut assimiler les données de colonne F (vert) à colonne D. </t>
        </r>
      </text>
    </comment>
    <comment ref="N148" authorId="0" shapeId="0" xr:uid="{A614D1D1-8802-47EB-A50F-AA0EB6419A78}">
      <text>
        <r>
          <rPr>
            <b/>
            <sz val="9"/>
            <color indexed="81"/>
            <rFont val="Tahoma"/>
            <family val="2"/>
          </rPr>
          <t xml:space="preserve">Pour reconstituer l'état initial (default) il faut assimiler les données de colonne M (vert) à colonne K. </t>
        </r>
      </text>
    </comment>
    <comment ref="D149" authorId="0" shapeId="0" xr:uid="{ED8D7110-0C59-4499-9D6B-0F3ED620D1D4}">
      <text>
        <r>
          <rPr>
            <b/>
            <sz val="8"/>
            <color indexed="81"/>
            <rFont val="Tahoma"/>
            <family val="2"/>
          </rPr>
          <t>ART: 1.79 Fr./l</t>
        </r>
      </text>
    </comment>
    <comment ref="L149" authorId="0" shapeId="0" xr:uid="{981F14AE-61C5-444C-B7FB-89123B54460F}">
      <text>
        <r>
          <rPr>
            <b/>
            <sz val="8"/>
            <color indexed="81"/>
            <rFont val="Tahoma"/>
            <family val="2"/>
          </rPr>
          <t>ART: 1.79 Fr./l</t>
        </r>
      </text>
    </comment>
    <comment ref="D150" authorId="0" shapeId="0" xr:uid="{9DC4192E-34C5-4487-A023-85347CE62F73}">
      <text>
        <r>
          <rPr>
            <b/>
            <sz val="8"/>
            <color indexed="81"/>
            <rFont val="Tahoma"/>
            <family val="2"/>
          </rPr>
          <t>ART: 1.60 Fr./l</t>
        </r>
      </text>
    </comment>
    <comment ref="L150" authorId="0" shapeId="0" xr:uid="{90A03197-ABFA-44E0-B137-88BD1E4A8B5A}">
      <text>
        <r>
          <rPr>
            <b/>
            <sz val="8"/>
            <color indexed="81"/>
            <rFont val="Tahoma"/>
            <family val="2"/>
          </rPr>
          <t>ART: 1.60 Fr./l</t>
        </r>
      </text>
    </comment>
    <comment ref="B156" authorId="0" shapeId="0" xr:uid="{3F1E8A9C-BF50-4B5F-9102-A48E9A129481}">
      <text>
        <r>
          <rPr>
            <b/>
            <sz val="8"/>
            <color indexed="81"/>
            <rFont val="Tahoma"/>
            <family val="2"/>
          </rPr>
          <t xml:space="preserve">Après combien d'unités de travail (h, ha, ch, bal etc.) la machine est abîmée? (durée d'utilisation technique à partir de laquelle les coûts de réparation sont disproportionnés). </t>
        </r>
      </text>
    </comment>
    <comment ref="I156" authorId="0" shapeId="0" xr:uid="{6C7D18F4-6FD9-49F2-A9D2-B46CA1C6BCED}">
      <text>
        <r>
          <rPr>
            <b/>
            <sz val="8"/>
            <color indexed="81"/>
            <rFont val="Tahoma"/>
            <family val="2"/>
          </rPr>
          <t xml:space="preserve">Après combien d'unités de travail (h, ha, ch, bal etc.) la machine est abîmée? (durée d'utilisation technique à partir de laquelle les coûts de réparation sont disproportionnés). </t>
        </r>
      </text>
    </comment>
    <comment ref="C158" authorId="0" shapeId="0" xr:uid="{068D799B-1D97-4061-BBE4-70889C4AC137}">
      <text>
        <r>
          <rPr>
            <b/>
            <sz val="8"/>
            <color indexed="81"/>
            <rFont val="Tahoma"/>
            <family val="2"/>
          </rPr>
          <t>la part du prix d'acquisition après la fin de l'amortissement.</t>
        </r>
      </text>
    </comment>
    <comment ref="J158" authorId="0" shapeId="0" xr:uid="{27E5C5D0-3B1F-4D17-9EF3-151203653633}">
      <text>
        <r>
          <rPr>
            <b/>
            <sz val="8"/>
            <color indexed="81"/>
            <rFont val="Tahoma"/>
            <family val="2"/>
          </rPr>
          <t>la part du prix d'acquisition après la fin de l'amortissement.</t>
        </r>
      </text>
    </comment>
    <comment ref="B160" authorId="0" shapeId="0" xr:uid="{2B99AECC-BA2E-401E-AEB2-2C17267C70B3}">
      <text>
        <r>
          <rPr>
            <b/>
            <sz val="8"/>
            <color indexed="81"/>
            <rFont val="Tahoma"/>
            <family val="2"/>
          </rPr>
          <t xml:space="preserve">Le degré de charge du moteur définit la consommation de carburant. 
En fonction du travail effectué le degré de charge du moteur est entre 20% et 60%. </t>
        </r>
      </text>
    </comment>
    <comment ref="G160" authorId="0" shapeId="0" xr:uid="{C563D743-38CD-452A-ADC4-0E34AA364890}">
      <text>
        <r>
          <rPr>
            <b/>
            <sz val="8"/>
            <color indexed="81"/>
            <rFont val="Tahoma"/>
            <family val="2"/>
          </rPr>
          <t>Consommation de carburant calculée (Kontrollfeld)</t>
        </r>
      </text>
    </comment>
    <comment ref="I160" authorId="0" shapeId="0" xr:uid="{EACA61DD-1E33-4EAC-BABC-53B46A88D9F4}">
      <text>
        <r>
          <rPr>
            <b/>
            <sz val="8"/>
            <color indexed="81"/>
            <rFont val="Tahoma"/>
            <family val="2"/>
          </rPr>
          <t xml:space="preserve">Le degré de charge du moteur définit la consommation de carburant. 
En fonction du travail effectué le degré de charge du moteur est entre 20% et 60%. </t>
        </r>
      </text>
    </comment>
    <comment ref="N160" authorId="0" shapeId="0" xr:uid="{AF66B349-8C4B-4F3E-AF7C-80F407AA1032}">
      <text>
        <r>
          <rPr>
            <b/>
            <sz val="8"/>
            <color indexed="81"/>
            <rFont val="Tahoma"/>
            <family val="2"/>
          </rPr>
          <t>Consommation de carburant calculée (Kontrollfeld)</t>
        </r>
      </text>
    </comment>
    <comment ref="B161" authorId="0" shapeId="0" xr:uid="{8CF70117-2726-42A8-8866-8538223A6D76}">
      <text>
        <r>
          <rPr>
            <b/>
            <sz val="8"/>
            <color indexed="81"/>
            <rFont val="Tahoma"/>
            <family val="2"/>
          </rPr>
          <t>Pour les machines d'occasion ou pour les machines qui sont déjà amortisées il faut élever le facteur de réparation.</t>
        </r>
      </text>
    </comment>
    <comment ref="G161" authorId="0" shapeId="0" xr:uid="{3FA5BA5E-FF55-4F8E-ACAA-9AFE75332100}">
      <text>
        <r>
          <rPr>
            <b/>
            <sz val="9"/>
            <color indexed="81"/>
            <rFont val="Tahoma"/>
            <family val="2"/>
          </rPr>
          <t>Coûts par an pour réparations, service et  maintenance</t>
        </r>
        <r>
          <rPr>
            <sz val="9"/>
            <color indexed="81"/>
            <rFont val="Tahoma"/>
            <family val="2"/>
          </rPr>
          <t xml:space="preserve">
(contrôle)</t>
        </r>
      </text>
    </comment>
    <comment ref="I161" authorId="0" shapeId="0" xr:uid="{A2A3786D-D0E8-4B91-AAA0-F573F6CFF80D}">
      <text>
        <r>
          <rPr>
            <b/>
            <sz val="8"/>
            <color indexed="81"/>
            <rFont val="Tahoma"/>
            <family val="2"/>
          </rPr>
          <t>Pour les machines d'occasion ou pour les machines qui sont déjà amortisées il faut élever le facteur de réparation.</t>
        </r>
      </text>
    </comment>
    <comment ref="N161" authorId="0" shapeId="0" xr:uid="{84E69A58-8B6E-4518-8086-55C83FAEF2F5}">
      <text>
        <r>
          <rPr>
            <b/>
            <sz val="9"/>
            <color indexed="81"/>
            <rFont val="Tahoma"/>
            <family val="2"/>
          </rPr>
          <t>Coûts par an pour réparations, service et  maintenance</t>
        </r>
        <r>
          <rPr>
            <sz val="9"/>
            <color indexed="81"/>
            <rFont val="Tahoma"/>
            <family val="2"/>
          </rPr>
          <t xml:space="preserve">
(contrôle)</t>
        </r>
      </text>
    </comment>
    <comment ref="B164" authorId="0" shapeId="0" xr:uid="{EF7AF9F8-AFB2-408E-A6FE-865AB6261850}">
      <text>
        <r>
          <rPr>
            <b/>
            <sz val="8"/>
            <color indexed="81"/>
            <rFont val="Tahoma"/>
            <family val="2"/>
          </rPr>
          <t>Suppléments pour temps de trajet, pour la préparation de la machine sur la ferme ou sur le champ et pour l'administration.</t>
        </r>
      </text>
    </comment>
    <comment ref="I164" authorId="0" shapeId="0" xr:uid="{CD676845-DF5F-46D0-B3A9-69AD2AA5D205}">
      <text>
        <r>
          <rPr>
            <b/>
            <sz val="8"/>
            <color indexed="81"/>
            <rFont val="Tahoma"/>
            <family val="2"/>
          </rPr>
          <t>Suppléments pour temps de trajet, pour la préparation de la machine sur la ferme ou sur le champ et pour l'administration.</t>
        </r>
      </text>
    </comment>
    <comment ref="D195" authorId="0" shapeId="0" xr:uid="{301E246A-CF88-49E1-A9FC-BC129041810B}">
      <text>
        <r>
          <rPr>
            <b/>
            <sz val="9"/>
            <color indexed="81"/>
            <rFont val="Tahoma"/>
            <family val="2"/>
          </rPr>
          <t>Attention:</t>
        </r>
        <r>
          <rPr>
            <sz val="9"/>
            <color indexed="81"/>
            <rFont val="Tahoma"/>
            <family val="2"/>
          </rPr>
          <t xml:space="preserve">
Veuillez utiliser chaque bloc de saisie seulement UNE FOIS. Après il faut enregistrer le fichier avec le nom de machine ou de la combinaison de machine! 
Pour une nouvelle calculation il faut utiliser le bloc de saisie en paralléle ou ouvrir un nouveau fichier (dans l'internet ou PC). </t>
        </r>
      </text>
    </comment>
    <comment ref="L195" authorId="0" shapeId="0" xr:uid="{C6139D1A-CDC0-428B-961C-FB2FE9B1F783}">
      <text>
        <r>
          <rPr>
            <b/>
            <sz val="9"/>
            <color indexed="81"/>
            <rFont val="Tahoma"/>
            <family val="2"/>
          </rPr>
          <t>Attention:</t>
        </r>
        <r>
          <rPr>
            <sz val="9"/>
            <color indexed="81"/>
            <rFont val="Tahoma"/>
            <family val="2"/>
          </rPr>
          <t xml:space="preserve">
Veuillez utiliser chaque bloc de saisie seulement UNE FOIS. Après il faut enregistrer le fichier avec le nom de machine ou de la combinaison de machine! 
Pour une nouvelle calculation il faut utiliser le bloc de saisie en paralléle ou ouvrir un nouveau fichier (dans l'internet ou PC). </t>
        </r>
      </text>
    </comment>
    <comment ref="C201" authorId="0" shapeId="0" xr:uid="{DB0283D2-4ECB-44E6-91C1-914F9E4F8A7F}">
      <text>
        <r>
          <rPr>
            <sz val="11"/>
            <color indexed="81"/>
            <rFont val="Tahoma"/>
            <family val="2"/>
          </rPr>
          <t>seulement le temps de travail au champ (sans temps de pannes, de preparation et de trajet (sauf pour les véhicules de transport)</t>
        </r>
      </text>
    </comment>
    <comment ref="K201" authorId="0" shapeId="0" xr:uid="{0EDFF36A-641E-4866-AC17-643675010093}">
      <text>
        <r>
          <rPr>
            <sz val="11"/>
            <color indexed="81"/>
            <rFont val="Tahoma"/>
            <family val="2"/>
          </rPr>
          <t>seulement le temps de travail au champ (sans temps de pannes, de preparation et de trajet (sauf pour les véhicules de transport)</t>
        </r>
      </text>
    </comment>
    <comment ref="G208" authorId="0" shapeId="0" xr:uid="{24F262A5-8A2F-4BE3-BE37-648788AE9CBF}">
      <text>
        <r>
          <rPr>
            <b/>
            <sz val="9"/>
            <color indexed="81"/>
            <rFont val="Tahoma"/>
            <family val="2"/>
          </rPr>
          <t xml:space="preserve">Pour reconstituer l'état initial (default) il faut assimiler les données de colonne F (vert) à colonne D. </t>
        </r>
      </text>
    </comment>
    <comment ref="N208" authorId="0" shapeId="0" xr:uid="{04E8EB99-CE8B-4075-BFC8-11F878802445}">
      <text>
        <r>
          <rPr>
            <b/>
            <sz val="9"/>
            <color indexed="81"/>
            <rFont val="Tahoma"/>
            <family val="2"/>
          </rPr>
          <t xml:space="preserve">Pour reconstituer l'état initial (default) il faut assimiler les données de colonne M (vert) à colonne K. </t>
        </r>
      </text>
    </comment>
    <comment ref="D209" authorId="0" shapeId="0" xr:uid="{013A7303-87D6-4F46-BF0E-A732A63DEF05}">
      <text>
        <r>
          <rPr>
            <b/>
            <sz val="8"/>
            <color indexed="81"/>
            <rFont val="Tahoma"/>
            <family val="2"/>
          </rPr>
          <t>ART: 1.79 Fr./l</t>
        </r>
      </text>
    </comment>
    <comment ref="L209" authorId="0" shapeId="0" xr:uid="{F285D5FE-9322-4DDC-B384-A1056257853B}">
      <text>
        <r>
          <rPr>
            <b/>
            <sz val="8"/>
            <color indexed="81"/>
            <rFont val="Tahoma"/>
            <family val="2"/>
          </rPr>
          <t>ART: 1.79 Fr./l</t>
        </r>
      </text>
    </comment>
    <comment ref="D210" authorId="0" shapeId="0" xr:uid="{D97FCF8B-A9EE-4662-96FB-17568EBC186C}">
      <text>
        <r>
          <rPr>
            <b/>
            <sz val="8"/>
            <color indexed="81"/>
            <rFont val="Tahoma"/>
            <family val="2"/>
          </rPr>
          <t>ART: 1.60 Fr./l</t>
        </r>
      </text>
    </comment>
    <comment ref="L210" authorId="0" shapeId="0" xr:uid="{B62A0699-8197-4227-AC01-6BF7813AA5BC}">
      <text>
        <r>
          <rPr>
            <b/>
            <sz val="8"/>
            <color indexed="81"/>
            <rFont val="Tahoma"/>
            <family val="2"/>
          </rPr>
          <t>ART: 1.60 Fr./l</t>
        </r>
      </text>
    </comment>
    <comment ref="B216" authorId="0" shapeId="0" xr:uid="{57C28384-6D33-4AE9-8389-3CF2CC5A9F2B}">
      <text>
        <r>
          <rPr>
            <b/>
            <sz val="8"/>
            <color indexed="81"/>
            <rFont val="Tahoma"/>
            <family val="2"/>
          </rPr>
          <t xml:space="preserve">Après combien d'unités de travail (h, ha, ch, bal etc.) la machine est abîmée? (durée d'utilisation technique à partir de laquelle les coûts de réparation sont disproportionnés). </t>
        </r>
      </text>
    </comment>
    <comment ref="I216" authorId="0" shapeId="0" xr:uid="{013E6C77-4586-4C85-9445-CB934ACD7D03}">
      <text>
        <r>
          <rPr>
            <b/>
            <sz val="8"/>
            <color indexed="81"/>
            <rFont val="Tahoma"/>
            <family val="2"/>
          </rPr>
          <t xml:space="preserve">Après combien d'unités de travail (h, ha, ch, bal etc.) la machine est abîmée? (durée d'utilisation technique à partir de laquelle les coûts de réparation sont disproportionnés). </t>
        </r>
      </text>
    </comment>
    <comment ref="C218" authorId="0" shapeId="0" xr:uid="{C9C4F75F-A0EF-4BD7-9C77-3199D7B71D42}">
      <text>
        <r>
          <rPr>
            <b/>
            <sz val="8"/>
            <color indexed="81"/>
            <rFont val="Tahoma"/>
            <family val="2"/>
          </rPr>
          <t>la part du prix d'acquisition après la fin de l'amortissement.</t>
        </r>
      </text>
    </comment>
    <comment ref="J218" authorId="0" shapeId="0" xr:uid="{7E8CA2F7-6D70-44B8-846D-6EFCC61611FB}">
      <text>
        <r>
          <rPr>
            <b/>
            <sz val="8"/>
            <color indexed="81"/>
            <rFont val="Tahoma"/>
            <family val="2"/>
          </rPr>
          <t>la part du prix d'acquisition après la fin de l'amortissement.</t>
        </r>
      </text>
    </comment>
    <comment ref="B220" authorId="0" shapeId="0" xr:uid="{66A92952-89CB-46D9-8773-90836D0677C7}">
      <text>
        <r>
          <rPr>
            <b/>
            <sz val="8"/>
            <color indexed="81"/>
            <rFont val="Tahoma"/>
            <family val="2"/>
          </rPr>
          <t xml:space="preserve">Le degré de charge du moteur définit la consommation de carburant. 
En fonction du travail effectué le degré de charge du moteur est entre 20% et 60%. </t>
        </r>
      </text>
    </comment>
    <comment ref="G220" authorId="0" shapeId="0" xr:uid="{09B377B7-7C75-457C-80F8-65558C7B1C4A}">
      <text>
        <r>
          <rPr>
            <b/>
            <sz val="8"/>
            <color indexed="81"/>
            <rFont val="Tahoma"/>
            <family val="2"/>
          </rPr>
          <t>Consommation de carburant calculée (Kontrollfeld)</t>
        </r>
      </text>
    </comment>
    <comment ref="I220" authorId="0" shapeId="0" xr:uid="{DFBACB55-83F2-463B-B4C3-3408F471DAEE}">
      <text>
        <r>
          <rPr>
            <b/>
            <sz val="8"/>
            <color indexed="81"/>
            <rFont val="Tahoma"/>
            <family val="2"/>
          </rPr>
          <t xml:space="preserve">Le degré de charge du moteur définit la consommation de carburant. 
En fonction du travail effectué le degré de charge du moteur est entre 20% et 60%. </t>
        </r>
      </text>
    </comment>
    <comment ref="N220" authorId="0" shapeId="0" xr:uid="{248BD3DD-28F4-4D0C-806C-E952758AC10F}">
      <text>
        <r>
          <rPr>
            <b/>
            <sz val="8"/>
            <color indexed="81"/>
            <rFont val="Tahoma"/>
            <family val="2"/>
          </rPr>
          <t>Consommation de carburant calculée (Kontrollfeld)</t>
        </r>
      </text>
    </comment>
    <comment ref="B221" authorId="0" shapeId="0" xr:uid="{5E7C5900-2B30-45F6-AB48-56189157687D}">
      <text>
        <r>
          <rPr>
            <b/>
            <sz val="8"/>
            <color indexed="81"/>
            <rFont val="Tahoma"/>
            <family val="2"/>
          </rPr>
          <t>Pour les machines d'occasion ou pour les machines qui sont déjà amortisées il faut élever le facteur de réparation.</t>
        </r>
      </text>
    </comment>
    <comment ref="G221" authorId="0" shapeId="0" xr:uid="{9AC5ED06-84FB-4BA4-8C28-C04195361160}">
      <text>
        <r>
          <rPr>
            <b/>
            <sz val="9"/>
            <color indexed="81"/>
            <rFont val="Tahoma"/>
            <family val="2"/>
          </rPr>
          <t>Coûts par an pour réparations, service et  maintenance</t>
        </r>
        <r>
          <rPr>
            <sz val="9"/>
            <color indexed="81"/>
            <rFont val="Tahoma"/>
            <family val="2"/>
          </rPr>
          <t xml:space="preserve">
(contrôle)</t>
        </r>
      </text>
    </comment>
    <comment ref="I221" authorId="0" shapeId="0" xr:uid="{86AFF1B3-4F17-49FB-8733-F1835FE57CDC}">
      <text>
        <r>
          <rPr>
            <b/>
            <sz val="8"/>
            <color indexed="81"/>
            <rFont val="Tahoma"/>
            <family val="2"/>
          </rPr>
          <t>Pour les machines d'occasion ou pour les machines qui sont déjà amortisées il faut élever le facteur de réparation.</t>
        </r>
      </text>
    </comment>
    <comment ref="N221" authorId="0" shapeId="0" xr:uid="{C918C2DB-3F2D-4568-BFB0-B8DD87E5811D}">
      <text>
        <r>
          <rPr>
            <b/>
            <sz val="9"/>
            <color indexed="81"/>
            <rFont val="Tahoma"/>
            <family val="2"/>
          </rPr>
          <t>Coûts par an pour réparations, service et  maintenance</t>
        </r>
        <r>
          <rPr>
            <sz val="9"/>
            <color indexed="81"/>
            <rFont val="Tahoma"/>
            <family val="2"/>
          </rPr>
          <t xml:space="preserve">
(contrôle)</t>
        </r>
      </text>
    </comment>
    <comment ref="B224" authorId="0" shapeId="0" xr:uid="{AFF01CBF-CAEE-4826-821D-ED41180696FE}">
      <text>
        <r>
          <rPr>
            <b/>
            <sz val="8"/>
            <color indexed="81"/>
            <rFont val="Tahoma"/>
            <family val="2"/>
          </rPr>
          <t>Suppléments pour temps de trajet, pour la préparation de la machine sur la ferme ou sur le champ et pour l'administration.</t>
        </r>
      </text>
    </comment>
    <comment ref="I224" authorId="0" shapeId="0" xr:uid="{BD70D7DF-E7A3-484E-9CCF-880F0563A798}">
      <text>
        <r>
          <rPr>
            <b/>
            <sz val="8"/>
            <color indexed="81"/>
            <rFont val="Tahoma"/>
            <family val="2"/>
          </rPr>
          <t>Suppléments pour temps de trajet, pour la préparation de la machine sur la ferme ou sur le champ et pour l'administration.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Bütler Alain AGROSCOPE</author>
    <author>Christian Gazzarin</author>
  </authors>
  <commentList>
    <comment ref="W23" authorId="0" shapeId="0" xr:uid="{4FCC1530-5475-4314-B227-B82F77DD154B}">
      <text>
        <r>
          <rPr>
            <b/>
            <sz val="9"/>
            <color indexed="81"/>
            <rFont val="Segoe UI"/>
            <family val="2"/>
          </rPr>
          <t>Bütler Alain AGROSCOPE:</t>
        </r>
        <r>
          <rPr>
            <sz val="9"/>
            <color indexed="81"/>
            <rFont val="Segoe UI"/>
            <family val="2"/>
          </rPr>
          <t xml:space="preserve">
inkl. Adblue</t>
        </r>
      </text>
    </comment>
    <comment ref="W24" authorId="0" shapeId="0" xr:uid="{8B37FE96-EA4D-4634-8484-79809ED6AEC6}">
      <text>
        <r>
          <rPr>
            <b/>
            <sz val="9"/>
            <color indexed="81"/>
            <rFont val="Segoe UI"/>
            <family val="2"/>
          </rPr>
          <t>Bütler Alain AGROSCOPE:</t>
        </r>
        <r>
          <rPr>
            <sz val="9"/>
            <color indexed="81"/>
            <rFont val="Segoe UI"/>
            <family val="2"/>
          </rPr>
          <t xml:space="preserve">
inkl. Adblue</t>
        </r>
      </text>
    </comment>
    <comment ref="W25" authorId="0" shapeId="0" xr:uid="{740F088D-DD8F-4CEC-9AC1-C54D939C287E}">
      <text>
        <r>
          <rPr>
            <b/>
            <sz val="9"/>
            <color indexed="81"/>
            <rFont val="Segoe UI"/>
            <family val="2"/>
          </rPr>
          <t>Bütler Alain AGROSCOPE:</t>
        </r>
        <r>
          <rPr>
            <sz val="9"/>
            <color indexed="81"/>
            <rFont val="Segoe UI"/>
            <family val="2"/>
          </rPr>
          <t xml:space="preserve">
inkl. Adblue</t>
        </r>
      </text>
    </comment>
    <comment ref="W26" authorId="0" shapeId="0" xr:uid="{596E5BED-8577-4EA6-9FF6-EFEB8FAD6B73}">
      <text>
        <r>
          <rPr>
            <b/>
            <sz val="9"/>
            <color indexed="81"/>
            <rFont val="Segoe UI"/>
            <family val="2"/>
          </rPr>
          <t>Bütler Alain AGROSCOPE:</t>
        </r>
        <r>
          <rPr>
            <sz val="9"/>
            <color indexed="81"/>
            <rFont val="Segoe UI"/>
            <family val="2"/>
          </rPr>
          <t xml:space="preserve">
inkl. Adblue</t>
        </r>
      </text>
    </comment>
    <comment ref="W27" authorId="0" shapeId="0" xr:uid="{83A18776-AE85-433B-923A-8B458B7082C0}">
      <text>
        <r>
          <rPr>
            <b/>
            <sz val="9"/>
            <color indexed="81"/>
            <rFont val="Segoe UI"/>
            <family val="2"/>
          </rPr>
          <t>Bütler Alain AGROSCOPE:</t>
        </r>
        <r>
          <rPr>
            <sz val="9"/>
            <color indexed="81"/>
            <rFont val="Segoe UI"/>
            <family val="2"/>
          </rPr>
          <t xml:space="preserve">
inkl. Adblue</t>
        </r>
      </text>
    </comment>
    <comment ref="W28" authorId="0" shapeId="0" xr:uid="{11335556-40F4-4BD7-B640-4348E0C1E665}">
      <text>
        <r>
          <rPr>
            <b/>
            <sz val="9"/>
            <color indexed="81"/>
            <rFont val="Segoe UI"/>
            <family val="2"/>
          </rPr>
          <t>Bütler Alain AGROSCOPE:</t>
        </r>
        <r>
          <rPr>
            <sz val="9"/>
            <color indexed="81"/>
            <rFont val="Segoe UI"/>
            <family val="2"/>
          </rPr>
          <t xml:space="preserve">
inkl. Adblue</t>
        </r>
      </text>
    </comment>
    <comment ref="P53" authorId="1" shapeId="0" xr:uid="{F817D3DD-C0A3-48E4-8BD0-276D637D1267}">
      <text>
        <r>
          <rPr>
            <b/>
            <sz val="9"/>
            <color indexed="81"/>
            <rFont val="Tahoma"/>
            <family val="2"/>
          </rPr>
          <t>Christian Gazzarin:</t>
        </r>
        <r>
          <rPr>
            <sz val="9"/>
            <color indexed="81"/>
            <rFont val="Tahoma"/>
            <family val="2"/>
          </rPr>
          <t xml:space="preserve">
geschätzt</t>
        </r>
      </text>
    </comment>
    <comment ref="P54" authorId="1" shapeId="0" xr:uid="{ECF3CE7B-2A3A-4C3F-AB98-58BEACCB8C55}">
      <text>
        <r>
          <rPr>
            <b/>
            <sz val="9"/>
            <color indexed="81"/>
            <rFont val="Tahoma"/>
            <family val="2"/>
          </rPr>
          <t>Christian Gazzarin:</t>
        </r>
        <r>
          <rPr>
            <sz val="9"/>
            <color indexed="81"/>
            <rFont val="Tahoma"/>
            <family val="2"/>
          </rPr>
          <t xml:space="preserve">
geschätzt</t>
        </r>
      </text>
    </comment>
    <comment ref="D377" authorId="0" shapeId="0" xr:uid="{71EB4C34-D962-43F4-888D-7649576E1AF3}">
      <text>
        <r>
          <rPr>
            <b/>
            <sz val="9"/>
            <color indexed="81"/>
            <rFont val="Segoe UI"/>
            <family val="2"/>
          </rPr>
          <t>Bütler Alain AGROSCOPE:</t>
        </r>
        <r>
          <rPr>
            <sz val="9"/>
            <color indexed="81"/>
            <rFont val="Segoe UI"/>
            <family val="2"/>
          </rPr>
          <t xml:space="preserve">
angepasst 04.07.24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Christian Gazzarin</author>
  </authors>
  <commentList>
    <comment ref="F20" authorId="0" shapeId="0" xr:uid="{C6B84148-1795-4125-8706-86B382C1C0C7}">
      <text>
        <r>
          <rPr>
            <b/>
            <sz val="9"/>
            <color indexed="81"/>
            <rFont val="Tahoma"/>
            <family val="2"/>
          </rPr>
          <t>UT = Unité de travail</t>
        </r>
      </text>
    </comment>
    <comment ref="G20" authorId="0" shapeId="0" xr:uid="{DE7AAF48-967A-45E6-89B6-75EAC46C5B87}">
      <text>
        <r>
          <rPr>
            <b/>
            <sz val="9"/>
            <color indexed="81"/>
            <rFont val="Tahoma"/>
            <family val="2"/>
          </rPr>
          <t>Benutzen Sie die Maschine mehr als hier berechnet? Dann lohnt es sich, die Maschine selbst zu kaufen oder die Arbeit selber zu machen. Bei tieferer Auslastung ist die Maschinenmiete oder das Auslagern über den Lohnunternehmer (sofern möglich) wirtschaftlich sinnvoller.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Helmut Ammann</author>
    <author>Ein geschätzter Microsoft Office Anwender</author>
    <author>Helmut Amman</author>
    <author>Christian Gazzarin</author>
  </authors>
  <commentList>
    <comment ref="G7" authorId="0" shapeId="0" xr:uid="{00000000-0006-0000-0700-000001000000}">
      <text>
        <r>
          <rPr>
            <sz val="9"/>
            <color indexed="81"/>
            <rFont val="Tahoma"/>
            <family val="2"/>
          </rPr>
          <t>Teuerung Mai 2007 zu Mai 2008: 2,9 %
Radio: 19.6.08</t>
        </r>
      </text>
    </comment>
    <comment ref="T7" authorId="1" shapeId="0" xr:uid="{00000000-0006-0000-0700-000002000000}">
      <text>
        <r>
          <rPr>
            <sz val="9"/>
            <color indexed="81"/>
            <rFont val="Tahoma"/>
            <family val="2"/>
          </rPr>
          <t xml:space="preserve">Tel. Hr. Burgi SBS; 7.7.95; Tel. 056 32 51 11
Kalkulationsansatz 1995: Fr. 20.70
Betriebsleiterzuschlag 2 % von Rohrertrag
  2 % von Fr. 120'000 = 2'400 : 300 AT = Fr. 8.--
Teuerung, 1,5 %: Fr. -.31
</t>
        </r>
      </text>
    </comment>
    <comment ref="I15" authorId="0" shapeId="0" xr:uid="{00000000-0006-0000-0700-000003000000}">
      <text>
        <r>
          <rPr>
            <sz val="9"/>
            <color indexed="81"/>
            <rFont val="Tahoma"/>
            <family val="2"/>
          </rPr>
          <t>ZKB und TKB:
13.7.2004: 3.00 %</t>
        </r>
        <r>
          <rPr>
            <sz val="9"/>
            <color indexed="81"/>
            <rFont val="Tahoma"/>
            <family val="2"/>
          </rPr>
          <t xml:space="preserve">
</t>
        </r>
      </text>
    </comment>
    <comment ref="J15" authorId="0" shapeId="0" xr:uid="{00000000-0006-0000-0700-000004000000}">
      <text>
        <r>
          <rPr>
            <sz val="9"/>
            <color indexed="81"/>
            <rFont val="Tahoma"/>
            <family val="2"/>
          </rPr>
          <t>ZKB und TKB:
13.7.2004: 3.00 %</t>
        </r>
        <r>
          <rPr>
            <sz val="9"/>
            <color indexed="81"/>
            <rFont val="Tahoma"/>
            <family val="2"/>
          </rPr>
          <t xml:space="preserve">
</t>
        </r>
      </text>
    </comment>
    <comment ref="K15" authorId="0" shapeId="0" xr:uid="{00000000-0006-0000-0700-000005000000}">
      <text>
        <r>
          <rPr>
            <sz val="9"/>
            <color indexed="81"/>
            <rFont val="Tahoma"/>
            <family val="2"/>
          </rPr>
          <t>ZKB und TKB:
13.7.2004: 3.25 %</t>
        </r>
        <r>
          <rPr>
            <sz val="9"/>
            <color indexed="81"/>
            <rFont val="Tahoma"/>
            <family val="2"/>
          </rPr>
          <t xml:space="preserve">
</t>
        </r>
      </text>
    </comment>
    <comment ref="G18" authorId="0" shapeId="0" xr:uid="{00000000-0006-0000-0700-000006000000}">
      <text>
        <r>
          <rPr>
            <sz val="9"/>
            <color indexed="81"/>
            <rFont val="Tahoma"/>
            <family val="2"/>
          </rPr>
          <t>9.7.2008
Landi Thurland, Islikon
Frau Bärtsch, 2000 l</t>
        </r>
      </text>
    </comment>
    <comment ref="J18" authorId="0" shapeId="0" xr:uid="{00000000-0006-0000-0700-000007000000}">
      <text>
        <r>
          <rPr>
            <sz val="9"/>
            <color indexed="81"/>
            <rFont val="Tahoma"/>
            <family val="2"/>
          </rPr>
          <t xml:space="preserve">Tanner Co., Frau Bommeli
Fr. 164.50/100 l
</t>
        </r>
      </text>
    </comment>
    <comment ref="G19" authorId="0" shapeId="0" xr:uid="{00000000-0006-0000-0700-000008000000}">
      <text>
        <r>
          <rPr>
            <sz val="9"/>
            <color indexed="81"/>
            <rFont val="Tahoma"/>
            <family val="2"/>
          </rPr>
          <t xml:space="preserve">9.7.2008
Tankstellen Frauenfeld,
Säulenpreise
</t>
        </r>
      </text>
    </comment>
    <comment ref="G20" authorId="0" shapeId="0" xr:uid="{00000000-0006-0000-0700-000009000000}">
      <text>
        <r>
          <rPr>
            <sz val="9"/>
            <color indexed="81"/>
            <rFont val="Tahoma"/>
            <family val="2"/>
          </rPr>
          <t>Amsler, 2008:
25 l = Fr. 130.-
1 l = Fr. 5.20</t>
        </r>
      </text>
    </comment>
    <comment ref="G22" authorId="0" shapeId="0" xr:uid="{00000000-0006-0000-0700-00000A000000}">
      <text>
        <r>
          <rPr>
            <sz val="9"/>
            <color indexed="81"/>
            <rFont val="Tahoma"/>
            <family val="2"/>
          </rPr>
          <t>Amsler 2008;
5 l = Fr. 35.-
1 l = Fr. 7.-</t>
        </r>
        <r>
          <rPr>
            <sz val="9"/>
            <color indexed="81"/>
            <rFont val="Tahoma"/>
            <family val="2"/>
          </rPr>
          <t xml:space="preserve">
</t>
        </r>
      </text>
    </comment>
    <comment ref="H25" authorId="0" shapeId="0" xr:uid="{00000000-0006-0000-0700-00000B000000}">
      <text>
        <r>
          <rPr>
            <sz val="9"/>
            <color indexed="81"/>
            <rFont val="Tahoma"/>
            <family val="2"/>
          </rPr>
          <t>Anpassungen hir, 30.7.2007</t>
        </r>
        <r>
          <rPr>
            <b/>
            <sz val="9"/>
            <color indexed="81"/>
            <rFont val="Tahoma"/>
            <family val="2"/>
          </rPr>
          <t xml:space="preserve">
</t>
        </r>
        <r>
          <rPr>
            <sz val="9"/>
            <color indexed="81"/>
            <rFont val="Tahoma"/>
            <family val="2"/>
          </rPr>
          <t xml:space="preserve">
</t>
        </r>
      </text>
    </comment>
    <comment ref="B32" authorId="0" shapeId="0" xr:uid="{00000000-0006-0000-0700-00000C000000}">
      <text>
        <r>
          <rPr>
            <sz val="9"/>
            <color indexed="81"/>
            <rFont val="Tahoma"/>
            <family val="2"/>
          </rPr>
          <t>16.7.2003:
Zins 1. Hypothek: 3,25 %
Berechnung: 3,5 %
mittlerer Zinsfuss: 2,1 %
Kosten Gebäude total: 5,8 %</t>
        </r>
      </text>
    </comment>
    <comment ref="B33" authorId="0" shapeId="0" xr:uid="{00000000-0006-0000-0700-00000D000000}">
      <text>
        <r>
          <rPr>
            <sz val="9"/>
            <color indexed="81"/>
            <rFont val="Tahoma"/>
            <family val="2"/>
          </rPr>
          <t>13.7.2005:
Zins 1. Hypothek: 3,00 %
mittlerer Zinsfuss: 1,55 %
Kosten Gebäude total: 5,8 %</t>
        </r>
      </text>
    </comment>
    <comment ref="F37" authorId="0" shapeId="0" xr:uid="{00000000-0006-0000-0700-00000E000000}">
      <text>
        <r>
          <rPr>
            <sz val="9"/>
            <color indexed="81"/>
            <rFont val="Tahoma"/>
            <family val="2"/>
          </rPr>
          <t>TKB, 8.7.2008: 3.50 %</t>
        </r>
      </text>
    </comment>
    <comment ref="G37" authorId="0" shapeId="0" xr:uid="{00000000-0006-0000-0700-00000F000000}">
      <text>
        <r>
          <rPr>
            <sz val="9"/>
            <color indexed="81"/>
            <rFont val="Tahoma"/>
            <family val="2"/>
          </rPr>
          <t>TKB, 8.7.2008: 3.50 %</t>
        </r>
      </text>
    </comment>
    <comment ref="H37" authorId="0" shapeId="0" xr:uid="{00000000-0006-0000-0700-000010000000}">
      <text>
        <r>
          <rPr>
            <sz val="9"/>
            <color indexed="81"/>
            <rFont val="Tahoma"/>
            <family val="2"/>
          </rPr>
          <t>TKB, 10.7.2007: 3.25 %</t>
        </r>
      </text>
    </comment>
    <comment ref="F52" authorId="2" shapeId="0" xr:uid="{00000000-0006-0000-0700-000011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G52" authorId="2" shapeId="0" xr:uid="{00000000-0006-0000-0700-000012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H52" authorId="2" shapeId="0" xr:uid="{00000000-0006-0000-0700-000013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I52" authorId="2" shapeId="0" xr:uid="{00000000-0006-0000-0700-000014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J52" authorId="2" shapeId="0" xr:uid="{00000000-0006-0000-0700-000015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K52" authorId="2" shapeId="0" xr:uid="{00000000-0006-0000-0700-000016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L52" authorId="2" shapeId="0" xr:uid="{00000000-0006-0000-0700-000017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M52" authorId="2" shapeId="0" xr:uid="{00000000-0006-0000-0700-000018000000}">
      <text>
        <r>
          <rPr>
            <sz val="9"/>
            <color indexed="81"/>
            <rFont val="Tahoma"/>
            <family val="2"/>
          </rPr>
          <t xml:space="preserve">Auskunft Basler-Versicherung, 24.7.2002
Frau Obrist, maximaler Bonus 70 % ergäbe noch Fr. 149.40
ohne Bonus ergibt dies Fr. 498.-/Jahr Versicherung
Strassenverkehrsgebühr nach Strassenverkehrsamt Frauenfeld, gleich wie kleine Motorräder (Kleinfahrzeuge) Fr. 30.-/Jahr
Total: Fr. 528.-/Jahr
</t>
        </r>
      </text>
    </comment>
    <comment ref="F84" authorId="1" shapeId="0" xr:uid="{00000000-0006-0000-0700-000019000000}">
      <text>
        <r>
          <rPr>
            <sz val="9"/>
            <color indexed="81"/>
            <rFont val="Tahoma"/>
            <family val="2"/>
          </rPr>
          <t xml:space="preserve">Abmessung Ballen, ab 1996
Stroh und Heu 200/80/90 cm; 1,40 m3
Garn je Umgang: 5,8 + 0,2 m = 6,0 m
Garn je Balle bei 4 Knüpfungen = 24,0 m
 </t>
        </r>
      </text>
    </comment>
    <comment ref="G84" authorId="1" shapeId="0" xr:uid="{00000000-0006-0000-0700-00001A000000}">
      <text>
        <r>
          <rPr>
            <sz val="9"/>
            <color indexed="81"/>
            <rFont val="Tahoma"/>
            <family val="2"/>
          </rPr>
          <t xml:space="preserve">Abmessung Ballen, ab 1996
Stroh und Heu 200/80/90 cm; 1,40 m3
Garn je Umgang: 5,8 + 0,2 m = 6,0 m
Garn je Balle bei 4 Knüpfungen = 24,0 m
 </t>
        </r>
      </text>
    </comment>
    <comment ref="H84" authorId="1" shapeId="0" xr:uid="{00000000-0006-0000-0700-00001B000000}">
      <text>
        <r>
          <rPr>
            <sz val="9"/>
            <color indexed="81"/>
            <rFont val="Tahoma"/>
            <family val="2"/>
          </rPr>
          <t xml:space="preserve">Abmessung Ballen, ab 1996
Stroh und Heu 200/80/90 cm; 1,40 m3
Garn je Umgang: 5,8 + 0,2 m = 6,0 m
Garn je Balle bei 4 Knüpfungen = 24,0 m
 </t>
        </r>
      </text>
    </comment>
    <comment ref="I84" authorId="1" shapeId="0" xr:uid="{00000000-0006-0000-0700-00001C000000}">
      <text>
        <r>
          <rPr>
            <sz val="9"/>
            <color indexed="81"/>
            <rFont val="Tahoma"/>
            <family val="2"/>
          </rPr>
          <t xml:space="preserve">Abmessung Ballen, ab 1996
Stroh und Heu 200/80/90 cm; 1,40 m3
Garn je Umgang: 5,8 + 0,2 m = 6,0 m
Garn je Balle bei 4 Knüpfungen = 24,0 m
 </t>
        </r>
      </text>
    </comment>
    <comment ref="J84" authorId="1" shapeId="0" xr:uid="{00000000-0006-0000-0700-00001D000000}">
      <text>
        <r>
          <rPr>
            <sz val="9"/>
            <color indexed="81"/>
            <rFont val="Tahoma"/>
            <family val="2"/>
          </rPr>
          <t xml:space="preserve">Abmessung Ballen, ab 1996
Stroh und Heu 200/80/90 cm; 1,40 m3
Garn je Umgang: 5,8 + 0,2 m = 6,0 m
Garn je Balle bei 4 Knüpfungen = 24,0 m
 </t>
        </r>
      </text>
    </comment>
    <comment ref="K84" authorId="1" shapeId="0" xr:uid="{00000000-0006-0000-0700-00001E000000}">
      <text>
        <r>
          <rPr>
            <sz val="9"/>
            <color indexed="81"/>
            <rFont val="Tahoma"/>
            <family val="2"/>
          </rPr>
          <t xml:space="preserve">Abmessung Ballen, ab 1996
Stroh und Heu 200/80/90 cm; 1,40 m3
Garn je Umgang: 5,8 + 0,2 m = 6,0 m
Garn je Balle bei 4 Knüpfungen = 24,0 m
 </t>
        </r>
      </text>
    </comment>
    <comment ref="L84" authorId="1" shapeId="0" xr:uid="{00000000-0006-0000-0700-00001F000000}">
      <text>
        <r>
          <rPr>
            <sz val="9"/>
            <color indexed="81"/>
            <rFont val="Tahoma"/>
            <family val="2"/>
          </rPr>
          <t xml:space="preserve">Abmessung Ballen, ab 1996
Stroh und Heu 200/80/90 cm; 1,40 m3
Garn je Umgang: 5,8 + 0,2 m = 6,0 m
Garn je Balle bei 4 Knüpfungen = 24,0 m
 </t>
        </r>
      </text>
    </comment>
    <comment ref="M84" authorId="1" shapeId="0" xr:uid="{00000000-0006-0000-0700-000020000000}">
      <text>
        <r>
          <rPr>
            <sz val="9"/>
            <color indexed="81"/>
            <rFont val="Tahoma"/>
            <family val="2"/>
          </rPr>
          <t xml:space="preserve">Abmessung Ballen, ab 1996
Stroh und Heu 200/80/90 cm; 1,40 m3
Garn je Umgang: 5,8 + 0,2 m = 6,0 m
Garn je Balle bei 4 Knüpfungen = 24,0 m
 </t>
        </r>
      </text>
    </comment>
    <comment ref="N84" authorId="1" shapeId="0" xr:uid="{00000000-0006-0000-0700-000021000000}">
      <text>
        <r>
          <rPr>
            <sz val="9"/>
            <color indexed="81"/>
            <rFont val="Tahoma"/>
            <family val="2"/>
          </rPr>
          <t xml:space="preserve">Abmessung Ballen, ab 1996
Stroh und Heu 200/80/90 cm; 1,40 m3
Garn je Umgang: 5,8 + 0,2 m = 6,0 m
Garn je Balle bei 4 Knüpfungen = 24,0 m
 </t>
        </r>
      </text>
    </comment>
    <comment ref="O84" authorId="1" shapeId="0" xr:uid="{00000000-0006-0000-0700-000022000000}">
      <text>
        <r>
          <rPr>
            <sz val="9"/>
            <color indexed="81"/>
            <rFont val="Tahoma"/>
            <family val="2"/>
          </rPr>
          <t xml:space="preserve">Abmessung Ballen, ab 1996
Stroh und Heu 200/80/90 cm; 1,40 m3
Garn je Umgang: 5,8 + 0,2 m = 6,0 m
Garn je Balle bei 4 Knüpfungen = 24,0 m
 </t>
        </r>
      </text>
    </comment>
    <comment ref="P84" authorId="1" shapeId="0" xr:uid="{00000000-0006-0000-0700-000023000000}">
      <text>
        <r>
          <rPr>
            <sz val="9"/>
            <color indexed="81"/>
            <rFont val="Tahoma"/>
            <family val="2"/>
          </rPr>
          <t xml:space="preserve">Abmessung Ballen, ab 1996
Stroh und Heu 200/80/90 cm; 1,40 m3
Garn je Umgang: 5,8 + 0,2 m = 6,0 m
Garn je Balle bei 4 Knüpfungen = 24,0 m
 </t>
        </r>
      </text>
    </comment>
    <comment ref="Q84" authorId="1" shapeId="0" xr:uid="{00000000-0006-0000-0700-000024000000}">
      <text>
        <r>
          <rPr>
            <sz val="9"/>
            <color indexed="81"/>
            <rFont val="Tahoma"/>
            <family val="2"/>
          </rPr>
          <t xml:space="preserve">Abmessung Ballen, ab 1996
Stroh und Heu 200/80/90 cm; 1,40 m3
Garn je Umgang: 5,8 + 0,2 m = 6,0 m
Garn je Balle bei 4 Knüpfungen = 24,0 m
 </t>
        </r>
      </text>
    </comment>
    <comment ref="R84" authorId="1" shapeId="0" xr:uid="{00000000-0006-0000-0700-000025000000}">
      <text>
        <r>
          <rPr>
            <sz val="9"/>
            <color indexed="81"/>
            <rFont val="Tahoma"/>
            <family val="2"/>
          </rPr>
          <t xml:space="preserve">Abmessung Ballen, ab 1996
Stroh und Heu 200/80/90 cm; 1,40 m3
Garn je Umgang: 5,8 + 0,2 m = 6,0 m
Garn je Balle bei 4 Knüpfungen = 24,0 m
 </t>
        </r>
      </text>
    </comment>
    <comment ref="S84" authorId="1" shapeId="0" xr:uid="{00000000-0006-0000-0700-000026000000}">
      <text>
        <r>
          <rPr>
            <sz val="9"/>
            <color indexed="81"/>
            <rFont val="Tahoma"/>
            <family val="2"/>
          </rPr>
          <t xml:space="preserve">Abmessung Ballen, ab 1996
Stroh und Heu 200/80/90 cm; 1,40 m3
Garn je Umgang: 5,8 + 0,2 m = 6,0 m
Garn je Balle bei 4 Knüpfungen = 24,0 m
 </t>
        </r>
      </text>
    </comment>
    <comment ref="T84" authorId="1" shapeId="0" xr:uid="{00000000-0006-0000-0700-000027000000}">
      <text>
        <r>
          <rPr>
            <sz val="9"/>
            <color indexed="81"/>
            <rFont val="Tahoma"/>
            <family val="2"/>
          </rPr>
          <t xml:space="preserve">Abmessung Ballen, ab 1996
Stroh und Heu 200/80/90 cm; 1,40 m3
Garn je Umgang: 5,8 + 0,2 m = 6,0 m
Garn je Balle bei 4 Knüpfungen = 24,0 m
 </t>
        </r>
      </text>
    </comment>
    <comment ref="I97" authorId="0" shapeId="0" xr:uid="{00000000-0006-0000-0700-000028000000}">
      <text>
        <r>
          <rPr>
            <sz val="9"/>
            <color indexed="81"/>
            <rFont val="Tahoma"/>
            <family val="2"/>
          </rPr>
          <t xml:space="preserve">Meier Hörhausen
130x3000
bis 10 Rollen: Fr. 272
123x3000
bis 10 Rollen: Fr. 255
</t>
        </r>
        <r>
          <rPr>
            <sz val="9"/>
            <color indexed="81"/>
            <rFont val="Tahoma"/>
            <family val="2"/>
          </rPr>
          <t xml:space="preserve">
</t>
        </r>
      </text>
    </comment>
    <comment ref="G133" authorId="0" shapeId="0" xr:uid="{00000000-0006-0000-0700-000029000000}">
      <text>
        <r>
          <rPr>
            <sz val="9"/>
            <color indexed="81"/>
            <rFont val="Tahoma"/>
            <family val="2"/>
          </rPr>
          <t xml:space="preserve">Baltensperger
Preisliste 2008-4
</t>
        </r>
      </text>
    </comment>
    <comment ref="H133" authorId="0" shapeId="0" xr:uid="{00000000-0006-0000-0700-00002A000000}">
      <text>
        <r>
          <rPr>
            <sz val="9"/>
            <color indexed="81"/>
            <rFont val="Tahoma"/>
            <family val="2"/>
          </rPr>
          <t xml:space="preserve">Meier Hörhausen
dunkelgrün Fr. 80.20
weiss          Fr. 78.20
Baltensperger Fr. 94.-
 </t>
        </r>
        <r>
          <rPr>
            <sz val="9"/>
            <color indexed="81"/>
            <rFont val="Tahoma"/>
            <family val="2"/>
          </rPr>
          <t xml:space="preserve">
</t>
        </r>
      </text>
    </comment>
    <comment ref="I133" authorId="0" shapeId="0" xr:uid="{00000000-0006-0000-0700-00002B000000}">
      <text>
        <r>
          <rPr>
            <sz val="9"/>
            <color indexed="81"/>
            <rFont val="Tahoma"/>
            <family val="2"/>
          </rPr>
          <t xml:space="preserve">Meier Hörhausen
dunkelgrün Fr. 80.20
weiss          Fr. 78.20
Baltensperger Fr. 94.-
 </t>
        </r>
        <r>
          <rPr>
            <sz val="9"/>
            <color indexed="81"/>
            <rFont val="Tahoma"/>
            <family val="2"/>
          </rPr>
          <t xml:space="preserve">
</t>
        </r>
      </text>
    </comment>
    <comment ref="I173" authorId="0" shapeId="0" xr:uid="{00000000-0006-0000-0700-00002C000000}">
      <text>
        <r>
          <rPr>
            <sz val="9"/>
            <color indexed="81"/>
            <rFont val="Tahoma"/>
            <family val="2"/>
          </rPr>
          <t>Meier Hörhausen
weiss, naturgrün Fr. 96.20</t>
        </r>
        <r>
          <rPr>
            <sz val="9"/>
            <color indexed="81"/>
            <rFont val="Tahoma"/>
            <family val="2"/>
          </rPr>
          <t xml:space="preserve">
dunkelgrün          Fr. 98.70
Baltensperger Fr. 112.98</t>
        </r>
      </text>
    </comment>
    <comment ref="F182" authorId="3" shapeId="0" xr:uid="{00000000-0006-0000-0700-00002D000000}">
      <text>
        <r>
          <rPr>
            <b/>
            <sz val="9"/>
            <color indexed="81"/>
            <rFont val="Tahoma"/>
            <family val="2"/>
          </rPr>
          <t>Christian Gazzarin:</t>
        </r>
        <r>
          <rPr>
            <sz val="9"/>
            <color indexed="81"/>
            <rFont val="Tahoma"/>
            <family val="2"/>
          </rPr>
          <t xml:space="preserve">
Wiesendanger AG
Ossingen
079-671-67 65
www.awisi.ch</t>
        </r>
      </text>
    </comment>
    <comment ref="I182" authorId="0" shapeId="0" xr:uid="{00000000-0006-0000-0700-00002E000000}">
      <text>
        <r>
          <rPr>
            <sz val="9"/>
            <color indexed="81"/>
            <rFont val="Tahoma"/>
            <family val="2"/>
          </rPr>
          <t>Interpoliert von anderen Folien</t>
        </r>
        <r>
          <rPr>
            <sz val="9"/>
            <color indexed="81"/>
            <rFont val="Tahoma"/>
            <family val="2"/>
          </rPr>
          <t xml:space="preserve">
</t>
        </r>
      </text>
    </comment>
    <comment ref="F186" authorId="3" shapeId="0" xr:uid="{00000000-0006-0000-0700-00002F000000}">
      <text>
        <r>
          <rPr>
            <b/>
            <sz val="9"/>
            <color indexed="81"/>
            <rFont val="Tahoma"/>
            <family val="2"/>
          </rPr>
          <t>Christian Gazzarin:</t>
        </r>
        <r>
          <rPr>
            <sz val="9"/>
            <color indexed="81"/>
            <rFont val="Tahoma"/>
            <family val="2"/>
          </rPr>
          <t xml:space="preserve">
Agrola (Landi-Preis)
4 Liter = 21.90 Fr.</t>
        </r>
      </text>
    </comment>
    <comment ref="F199" authorId="3" shapeId="0" xr:uid="{00000000-0006-0000-0700-000030000000}">
      <text>
        <r>
          <rPr>
            <b/>
            <sz val="9"/>
            <color indexed="81"/>
            <rFont val="Tahoma"/>
            <family val="2"/>
          </rPr>
          <t>Christian Gazzarin:</t>
        </r>
        <r>
          <rPr>
            <sz val="9"/>
            <color indexed="81"/>
            <rFont val="Tahoma"/>
            <family val="2"/>
          </rPr>
          <t xml:space="preserve">
Keller 052-745 19 85</t>
        </r>
      </text>
    </comment>
    <comment ref="F209" authorId="0" shapeId="0" xr:uid="{00000000-0006-0000-0700-000031000000}">
      <text>
        <r>
          <rPr>
            <sz val="9"/>
            <color indexed="81"/>
            <rFont val="Tahoma"/>
            <family val="2"/>
          </rPr>
          <t>11.6.2009
Landi Thurland, Islilkon</t>
        </r>
        <r>
          <rPr>
            <sz val="9"/>
            <color indexed="81"/>
            <rFont val="Tahoma"/>
            <family val="2"/>
          </rPr>
          <t xml:space="preserve">
</t>
        </r>
      </text>
    </comment>
    <comment ref="G209" authorId="0" shapeId="0" xr:uid="{00000000-0006-0000-0700-000032000000}">
      <text>
        <r>
          <rPr>
            <sz val="9"/>
            <color indexed="81"/>
            <rFont val="Tahoma"/>
            <family val="2"/>
          </rPr>
          <t>9.7.2008
Landi Thurland, Islilkon</t>
        </r>
        <r>
          <rPr>
            <sz val="9"/>
            <color indexed="81"/>
            <rFont val="Tahoma"/>
            <family val="2"/>
          </rPr>
          <t xml:space="preserve">
</t>
        </r>
      </text>
    </comment>
    <comment ref="H217" authorId="0" shapeId="0" xr:uid="{00000000-0006-0000-0700-000033000000}">
      <text>
        <r>
          <rPr>
            <sz val="9"/>
            <color indexed="81"/>
            <rFont val="Tahoma"/>
            <family val="2"/>
          </rPr>
          <t xml:space="preserve">Angabe Althaus, 10.7.2007:
ca. 12 m/kg Stahlband
Bedarf bei 2 Bindungen/Bündel:
2x4 m = 8 m =0.67 kg à 3.77 = Fr. 2.52/Bündel
2x 3,5 m = 7 m 0,6 kg à Fr. 3.77 = Fr. 2.26/Bündel
</t>
        </r>
      </text>
    </comment>
    <comment ref="I217" authorId="0" shapeId="0" xr:uid="{00000000-0006-0000-0700-000034000000}">
      <text>
        <r>
          <rPr>
            <sz val="9"/>
            <color indexed="81"/>
            <rFont val="Tahoma"/>
            <family val="2"/>
          </rPr>
          <t xml:space="preserve">Angabe Althaus, 18.6.2003:
ca. 12 m/kg Stahlband
Bedarf bei 2 Bindungen/Bündel:
2x4 m = 8 m =0.67 kg à 2.90 = Fr. 1.94/Bündel
2x 3,5 m = 7 m 0,6 kg à Fr. 2.90 = Fr. 1.74/Bündel
</t>
        </r>
      </text>
    </comment>
    <comment ref="J217" authorId="0" shapeId="0" xr:uid="{00000000-0006-0000-0700-000035000000}">
      <text>
        <r>
          <rPr>
            <sz val="9"/>
            <color indexed="81"/>
            <rFont val="Tahoma"/>
            <family val="2"/>
          </rPr>
          <t xml:space="preserve">Angabe Althaus, 18.6.2003:
ca. 12 m/kg Stahlband
Bedarf bei 2 Bindungen/Bündel:
2x4 m = 8 m =0.67 kg à 2.90 = Fr. 1.94/Bündel
2x 3,5 m = 7 m 0,6 kg à Fr. 2.90 = Fr. 1.74/Bündel
</t>
        </r>
      </text>
    </comment>
    <comment ref="K217" authorId="0" shapeId="0" xr:uid="{00000000-0006-0000-0700-000036000000}">
      <text>
        <r>
          <rPr>
            <sz val="9"/>
            <color indexed="81"/>
            <rFont val="Tahoma"/>
            <family val="2"/>
          </rPr>
          <t xml:space="preserve">Angabe Althaus, 18.6.2003:
ca. 12 m/kg Stahlband
Bedarf bei 2 Bindungen/Bündel:
2x4 m = 8 m =0.67 kg à 2.90 = Fr. 1.94/Bündel
2x 3,5 m = 7 m 0,6 kg à Fr. 2.90 = Fr. 1.74/Bündel
</t>
        </r>
      </text>
    </comment>
    <comment ref="L217" authorId="0" shapeId="0" xr:uid="{00000000-0006-0000-0700-000037000000}">
      <text>
        <r>
          <rPr>
            <sz val="9"/>
            <color indexed="81"/>
            <rFont val="Tahoma"/>
            <family val="2"/>
          </rPr>
          <t xml:space="preserve">Angabe Althaus, 18.6.2003:
ca. 12 m/kg Stahlband
Bedarf bei 2 Bindungen/Bündel:
2x4 m = 8 m =0.67 kg à 2.90 = Fr. 1.94/Bündel
2x 3,5 m = 7 m 0,6 kg à Fr. 2.90 = Fr. 1.74/Bündel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Christian Gazzarin</author>
  </authors>
  <commentList>
    <comment ref="C15" authorId="0" shapeId="0" xr:uid="{CFF636DB-E556-4D3C-A662-B363C6FB64B0}">
      <text>
        <r>
          <rPr>
            <sz val="11"/>
            <color indexed="81"/>
            <rFont val="Tahoma"/>
            <family val="2"/>
          </rPr>
          <t>seulement le temps de travail au champ (sans temps de pannes, de preparation et de trajet (sauf pour les véhicules de transport)</t>
        </r>
      </text>
    </comment>
    <comment ref="B42" authorId="0" shapeId="0" xr:uid="{2727729F-97AC-465E-8E93-1139DD9425CE}">
      <text>
        <r>
          <rPr>
            <b/>
            <sz val="8"/>
            <color indexed="81"/>
            <rFont val="Tahoma"/>
            <family val="2"/>
          </rPr>
          <t xml:space="preserve">Après combien d'unités de travail (h, ha, ch, bal etc.) la machine est abîmée? (durée d'utilisation technique à partir de laquelle les coûts de réparation sont disproportionnés). </t>
        </r>
      </text>
    </comment>
    <comment ref="C44" authorId="0" shapeId="0" xr:uid="{C0810937-9C91-4ACE-9ECB-77E31EA5F6D5}">
      <text>
        <r>
          <rPr>
            <b/>
            <sz val="8"/>
            <color indexed="81"/>
            <rFont val="Tahoma"/>
            <family val="2"/>
          </rPr>
          <t>la part du prix d'acquisition après la fin de l'amortissement.</t>
        </r>
      </text>
    </comment>
    <comment ref="B46" authorId="0" shapeId="0" xr:uid="{D6CBCDAD-95EB-4323-A754-F24FF35E0778}">
      <text>
        <r>
          <rPr>
            <b/>
            <sz val="8"/>
            <color indexed="81"/>
            <rFont val="Tahoma"/>
            <family val="2"/>
          </rPr>
          <t xml:space="preserve">Le degré de charge du moteur définit la consommation de carburant. 
En fonction du travail effectué le degré de charge du moteur est entre 20% et 60%. </t>
        </r>
      </text>
    </comment>
    <comment ref="G46" authorId="0" shapeId="0" xr:uid="{C5E54493-F593-40CA-83DC-020CA1673BFF}">
      <text>
        <r>
          <rPr>
            <b/>
            <sz val="8"/>
            <color indexed="81"/>
            <rFont val="Tahoma"/>
            <family val="2"/>
          </rPr>
          <t>Consommation de carburant calculée (Kontrollfeld)</t>
        </r>
      </text>
    </comment>
    <comment ref="B47" authorId="0" shapeId="0" xr:uid="{BF16B8E5-1707-4628-B106-DB0B0951B442}">
      <text>
        <r>
          <rPr>
            <b/>
            <sz val="8"/>
            <color indexed="81"/>
            <rFont val="Tahoma"/>
            <family val="2"/>
          </rPr>
          <t>Pour les machines d'occasion ou pour les machines qui sont déjà amortisées il faut élever le facteur de réparation.</t>
        </r>
      </text>
    </comment>
    <comment ref="B51" authorId="0" shapeId="0" xr:uid="{0FA07D92-6811-45D1-97B4-302A43EC0B32}">
      <text>
        <r>
          <rPr>
            <b/>
            <sz val="8"/>
            <color indexed="81"/>
            <rFont val="Tahoma"/>
            <family val="2"/>
          </rPr>
          <t>Suppléments pour temps de trajet, pour la préparation de la machine sur la ferme ou sur le champ et pour l'administration.</t>
        </r>
      </text>
    </comment>
    <comment ref="F97" authorId="0" shapeId="0" xr:uid="{1ECF94C4-BDCB-4E3E-845D-2C79C0997FD8}">
      <text>
        <r>
          <rPr>
            <sz val="9"/>
            <color indexed="81"/>
            <rFont val="Tahoma"/>
            <family val="2"/>
          </rPr>
          <t>Indications personnelles vont être importées pour la calculation</t>
        </r>
      </text>
    </comment>
    <comment ref="F98" authorId="0" shapeId="0" xr:uid="{CA92A902-F021-459D-8FB7-111526CC7B80}">
      <text>
        <r>
          <rPr>
            <b/>
            <sz val="9"/>
            <color indexed="81"/>
            <rFont val="Tahoma"/>
            <family val="2"/>
          </rPr>
          <t>Indications personnelles vont être importées pour la calculation</t>
        </r>
      </text>
    </comment>
    <comment ref="F99" authorId="0" shapeId="0" xr:uid="{01E78732-808E-41BD-A0C1-ABC564F67050}">
      <text>
        <r>
          <rPr>
            <b/>
            <sz val="9"/>
            <color indexed="81"/>
            <rFont val="Tahoma"/>
            <family val="2"/>
          </rPr>
          <t>Indications personnelles vont être importées pour la calculation</t>
        </r>
      </text>
    </comment>
    <comment ref="F100" authorId="0" shapeId="0" xr:uid="{2784BC08-716D-497E-81B1-AA81C1137EBB}">
      <text>
        <r>
          <rPr>
            <b/>
            <sz val="9"/>
            <color indexed="81"/>
            <rFont val="Tahoma"/>
            <family val="2"/>
          </rPr>
          <t>Indications personnelles vont être importées pour la calculation</t>
        </r>
      </text>
    </comment>
    <comment ref="D101" authorId="0" shapeId="0" xr:uid="{CA3BEA1F-F3D6-422F-B85C-D6923DC60B47}">
      <text>
        <r>
          <rPr>
            <sz val="9"/>
            <color indexed="81"/>
            <rFont val="Tahoma"/>
            <family val="2"/>
          </rPr>
          <t>Par ex. nombre d'heure à Fr. 28.-</t>
        </r>
      </text>
    </comment>
    <comment ref="D102" authorId="0" shapeId="0" xr:uid="{F0E161AD-9C6D-4B0F-A233-13A70EF41964}">
      <text>
        <r>
          <rPr>
            <sz val="9"/>
            <color indexed="81"/>
            <rFont val="Tahoma"/>
            <family val="2"/>
          </rPr>
          <t>produit de la location annuelle à charge de tiers</t>
        </r>
      </text>
    </comment>
    <comment ref="D119" authorId="0" shapeId="0" xr:uid="{31F5D072-4E3B-4E58-AF74-1A9A39A9F3D6}">
      <text>
        <r>
          <rPr>
            <b/>
            <sz val="9"/>
            <color indexed="81"/>
            <rFont val="Tahoma"/>
            <family val="2"/>
          </rPr>
          <t>valeurs actives annuelles:</t>
        </r>
        <r>
          <rPr>
            <sz val="9"/>
            <color indexed="81"/>
            <rFont val="Tahoma"/>
            <family val="2"/>
          </rPr>
          <t xml:space="preserve">
pris en compte de la part de financement initiale par associé (jusqu'a la fin de la durée d'amortissement)</t>
        </r>
      </text>
    </comment>
    <comment ref="D130" authorId="0" shapeId="0" xr:uid="{FDC45F02-DD6C-450F-8281-D3FDCB4B9753}">
      <text>
        <r>
          <rPr>
            <b/>
            <sz val="9"/>
            <color indexed="81"/>
            <rFont val="Tahoma"/>
            <family val="2"/>
          </rPr>
          <t>vom Maschinenverwalter vorfinanziert.</t>
        </r>
      </text>
    </comment>
    <comment ref="B139" authorId="0" shapeId="0" xr:uid="{3CDD2193-0097-4E8C-BDD0-2794D0C2D620}">
      <text>
        <r>
          <rPr>
            <b/>
            <sz val="9"/>
            <color indexed="81"/>
            <rFont val="Tahoma"/>
            <family val="2"/>
          </rPr>
          <t>Valeur positiv:</t>
        </r>
        <r>
          <rPr>
            <sz val="9"/>
            <color indexed="81"/>
            <rFont val="Tahoma"/>
            <family val="2"/>
          </rPr>
          <t xml:space="preserve">
Montant de l'associé faut être payé au gérant de la machine.
</t>
        </r>
        <r>
          <rPr>
            <b/>
            <sz val="9"/>
            <color indexed="81"/>
            <rFont val="Tahoma"/>
            <family val="2"/>
          </rPr>
          <t>Valeur negative:</t>
        </r>
        <r>
          <rPr>
            <sz val="9"/>
            <color indexed="81"/>
            <rFont val="Tahoma"/>
            <family val="2"/>
          </rPr>
          <t xml:space="preserve">
le gérant de la machine faut rémunérer montant à l'associé  Maschinenverwalter muss den Betrag an den betreffenden Teilhaber vergüten.</t>
        </r>
      </text>
    </comment>
  </commentList>
</comments>
</file>

<file path=xl/sharedStrings.xml><?xml version="1.0" encoding="utf-8"?>
<sst xmlns="http://schemas.openxmlformats.org/spreadsheetml/2006/main" count="5937" uniqueCount="1580">
  <si>
    <t>Neu 2013</t>
  </si>
  <si>
    <t>Spez-Datenblatt kontrollieren bei neuen Maschinen!</t>
  </si>
  <si>
    <t>3025 und 3026 eingeben in Spez</t>
  </si>
  <si>
    <t>TESTEN</t>
  </si>
  <si>
    <t>WORKFLOW Aktualisierung:</t>
  </si>
  <si>
    <t>Spalten E und F von "Annahmen!" einblenden und aktualisieren</t>
  </si>
  <si>
    <t>"Annahmen!" Daten von Originaltabelle als Werte einfügen.</t>
  </si>
  <si>
    <t xml:space="preserve">Spalten von Originaltabelle "calc" Spalte für Spalte hineinkopieren - Werte einfügen + Formate einfügen; Spaltenreihenfolge in ART-Trac nicht verändern!) </t>
  </si>
  <si>
    <t>Bei ART-Trac Spalte "Gebühren" (Nr. 29) muss die Spalte "Versicherung, Gebühren, Steuern" der Originaltabelle eingefügt werden</t>
  </si>
  <si>
    <t>Hilfsstoffberechnung für Motorsägen (Kettenöl)</t>
  </si>
  <si>
    <t>Kettenöl Rindenschälgerät</t>
  </si>
  <si>
    <t>Mistzetter Fuder statt t</t>
  </si>
  <si>
    <t xml:space="preserve"> - Rauchmaterial 0,07 l à Fr. 6.-; Benzin 4 l à Fr. 1.76; total Fr. 7.46/h</t>
  </si>
  <si>
    <t xml:space="preserve">   = Fr. 2.14 / Bündel</t>
  </si>
  <si>
    <t>Maschinen mit Hilfsstoffen!</t>
  </si>
  <si>
    <t xml:space="preserve">      Teilhaber5</t>
  </si>
  <si>
    <t xml:space="preserve">      Teilhaber6</t>
  </si>
  <si>
    <t xml:space="preserve"> - Kettenöl inbegriffen; Verbrauch Kettenöl: 0.63 l/h</t>
  </si>
  <si>
    <t xml:space="preserve"> - Gewichtsangaben entsprechen der Nutzlast</t>
  </si>
  <si>
    <t xml:space="preserve"> - Verkleinerung von Holz bis 5 cm Dicke.</t>
  </si>
  <si>
    <t xml:space="preserve"> - siehe Tabelle 9</t>
  </si>
  <si>
    <t xml:space="preserve"> - siehe Tabelle 7 und 8</t>
  </si>
  <si>
    <t>Doppelbereifung</t>
  </si>
  <si>
    <t>vorne</t>
  </si>
  <si>
    <t>hinten</t>
  </si>
  <si>
    <t>Motorfahrzeuge mit potentieller Doppelbereifung</t>
  </si>
  <si>
    <t>Arbeitseinheiten mit Abkürzung</t>
  </si>
  <si>
    <t>Arbeitseinheit</t>
  </si>
  <si>
    <t>Abkürzung</t>
  </si>
  <si>
    <t>h</t>
  </si>
  <si>
    <t>Hektare</t>
  </si>
  <si>
    <t>ha</t>
  </si>
  <si>
    <t>km</t>
  </si>
  <si>
    <t>Meter</t>
  </si>
  <si>
    <t>lm</t>
  </si>
  <si>
    <t>Kubikmeter</t>
  </si>
  <si>
    <r>
      <t>m</t>
    </r>
    <r>
      <rPr>
        <vertAlign val="superscript"/>
        <sz val="11.5"/>
        <rFont val="Arial"/>
        <family val="2"/>
      </rPr>
      <t>3</t>
    </r>
  </si>
  <si>
    <t>Fu</t>
  </si>
  <si>
    <t>Hochdruckballe, klein</t>
  </si>
  <si>
    <t>Ba</t>
  </si>
  <si>
    <t>Rundballe</t>
  </si>
  <si>
    <t>Quaderballe, gross</t>
  </si>
  <si>
    <t>Tonne</t>
  </si>
  <si>
    <t>t</t>
  </si>
  <si>
    <t>Sack</t>
  </si>
  <si>
    <t>Sa</t>
  </si>
  <si>
    <t>Hektoliter</t>
  </si>
  <si>
    <t>hl</t>
  </si>
  <si>
    <t>Flasche</t>
  </si>
  <si>
    <t>Fla.</t>
  </si>
  <si>
    <t xml:space="preserve">      Teilhaber1 (Maschinenverwalter mit Maschinenstandort)</t>
  </si>
  <si>
    <t>Finanzierungsanteil Fr. (exkl. Zins)</t>
  </si>
  <si>
    <t>Dropdown-Zelle wählen &gt; Daten &gt; Datenüberprüfung &gt; Liste &gt; beim Gültigkeitsbereich den Namen ein geben (=Name)</t>
  </si>
  <si>
    <t>Code-Bereich in Maschinenliste kontrollieren (Dropdown-Feld!) &gt; Name =Code (Auswahl überprüfen; siehe Beschreibung unten</t>
  </si>
  <si>
    <t>ACHTUNG: in SPEZ kontrollieren ob die Code-Nummern geändert haben (vorzugsweise keine Code-Nummern ändern, oder dann markieren!</t>
  </si>
  <si>
    <t>Zelle G34 Nicht nur Dieselverbrauch sondern auch Benzinverbrauch rechnen</t>
  </si>
  <si>
    <t>Fehlerkorrekturen für nächste Überarbeitung</t>
  </si>
  <si>
    <t xml:space="preserve">      Teilhaber2</t>
  </si>
  <si>
    <t xml:space="preserve">      Teilhaber3</t>
  </si>
  <si>
    <t xml:space="preserve">      Teilhaber4</t>
  </si>
  <si>
    <t>Tab. 6: Spezifische Annahmen zu den Maschinen</t>
  </si>
  <si>
    <t xml:space="preserve"> - ab Leistung von 90 kW Fronthydraulik und Vorderachsfederung inklusive.</t>
  </si>
  <si>
    <t xml:space="preserve"> - bei eher leichten Arbeiten (20 % Belastungsgrad) ist der Entschädigungsansatz </t>
  </si>
  <si>
    <t xml:space="preserve">   um 15 - 20 % zu reduzieren.</t>
  </si>
  <si>
    <t xml:space="preserve"> - bei schweren Arbeiten (60 % Belastungsgrad) ist der Entschädigungsansatz </t>
  </si>
  <si>
    <t xml:space="preserve">   um 15 - 20 % zu erhöhen.</t>
  </si>
  <si>
    <t xml:space="preserve"> - ohne Brücke und Aufbauten</t>
  </si>
  <si>
    <t xml:space="preserve"> - hydrostatisch gelenkt</t>
  </si>
  <si>
    <t xml:space="preserve"> - Gitterräder</t>
  </si>
  <si>
    <t xml:space="preserve"> - Stachelwalze 4-reihig</t>
  </si>
  <si>
    <t xml:space="preserve"> - Kettenöl inbegriffen; Verbrauch Kettenöl: 0.32 l/h</t>
  </si>
  <si>
    <t xml:space="preserve"> - Kettenöl inbegriffen; Verbrauch Kettenöl: 0.54 l/h</t>
  </si>
  <si>
    <t>Workflow - Aktualisierung ART-Trac</t>
  </si>
  <si>
    <t xml:space="preserve"> ---generell (verbundene Zellen aufheben!!)</t>
  </si>
  <si>
    <t>auf Spaltenreihenfolge achten!</t>
  </si>
  <si>
    <t>Dropdown-Liste erstellen mit Maschinenname</t>
  </si>
  <si>
    <t>Liste markieren &gt; Namen definieren (über Formel)</t>
  </si>
  <si>
    <t>Muldenkipper, Hakengeräte (Nutzlast)</t>
  </si>
  <si>
    <t>Fr. / h</t>
  </si>
  <si>
    <t>Traktoren (Standard)</t>
  </si>
  <si>
    <t>Markieren und kopieren</t>
  </si>
  <si>
    <t>bis und mit 2113</t>
  </si>
  <si>
    <t>E-L</t>
  </si>
  <si>
    <t>ABC</t>
  </si>
  <si>
    <t>N-O</t>
  </si>
  <si>
    <t>alles</t>
  </si>
  <si>
    <t>Spalten</t>
  </si>
  <si>
    <t>Zeilen</t>
  </si>
  <si>
    <t>M</t>
  </si>
  <si>
    <t>P</t>
  </si>
  <si>
    <t>Laufmeter</t>
  </si>
  <si>
    <t>Transportanhänger (Angaben in Nutzlast)</t>
  </si>
  <si>
    <t>Kettensäge, Schwert 0,4 m, Benzin, 2 kW 
(3 PS)</t>
  </si>
  <si>
    <t>Kettensäge, Schwert 0,5 m, Benzin, 4 kW 
(5 PS)</t>
  </si>
  <si>
    <t>Kettensäge, Schwert 0,6 m, Benzin, 5 kW 
(7 PS)</t>
  </si>
  <si>
    <t>Schlegelmulcher Front-/Heckanbau, 2,5 m</t>
  </si>
  <si>
    <t xml:space="preserve">Pflanzenschutz </t>
  </si>
  <si>
    <t>Folien für Rundballen mittel und gross</t>
  </si>
  <si>
    <t>Maschinen mit manueller kW-Eingabe</t>
  </si>
  <si>
    <t>Zetten und Wenden</t>
  </si>
  <si>
    <t>Mähdrescher (ohne Schneidwerk)</t>
  </si>
  <si>
    <t>Abflammgerät für Kartoffeln, 3 m, 4-reihig</t>
  </si>
  <si>
    <t>Kosten Netz; Siloballen</t>
  </si>
  <si>
    <t>Preise Netze</t>
  </si>
  <si>
    <t>Welger</t>
  </si>
  <si>
    <t>Rondotex MX1000</t>
  </si>
  <si>
    <t>Rondotex RTX</t>
  </si>
  <si>
    <t>Rondotex Welger</t>
  </si>
  <si>
    <t>Grösse cm</t>
  </si>
  <si>
    <t>Novatex Orkel</t>
  </si>
  <si>
    <t>Preis/Rolle inkl. Mwst.</t>
  </si>
  <si>
    <t>Novatex Winner adv.</t>
  </si>
  <si>
    <t>Preise Folien</t>
  </si>
  <si>
    <t>1 kW</t>
  </si>
  <si>
    <t>Siloschlauchpresse mit Folie, ø 2,4 m</t>
  </si>
  <si>
    <t xml:space="preserve">Miststreuer </t>
  </si>
  <si>
    <t>Fr./Stück</t>
  </si>
  <si>
    <t>Rb</t>
  </si>
  <si>
    <t>Qb</t>
  </si>
  <si>
    <t>m</t>
  </si>
  <si>
    <t>Kosten</t>
  </si>
  <si>
    <t>Gelände-Allzweckfahrzeug</t>
  </si>
  <si>
    <t xml:space="preserve">Neu </t>
  </si>
  <si>
    <t>Occasion</t>
  </si>
  <si>
    <t>Mittel</t>
  </si>
  <si>
    <t>klein</t>
  </si>
  <si>
    <t>mittel</t>
  </si>
  <si>
    <t>gross</t>
  </si>
  <si>
    <t xml:space="preserve">Transporter </t>
  </si>
  <si>
    <t/>
  </si>
  <si>
    <t>2 kW</t>
  </si>
  <si>
    <t>Marke</t>
  </si>
  <si>
    <t>Leistung</t>
  </si>
  <si>
    <t>Traktor 86 kW (115 PS)</t>
  </si>
  <si>
    <t>Neupreis: Fr. 110 000</t>
  </si>
  <si>
    <t>Var.Kosten/h</t>
  </si>
  <si>
    <t xml:space="preserve">       ohne Treibstoff</t>
  </si>
  <si>
    <t>Transportwagen und Miststreuer</t>
  </si>
  <si>
    <t>Transportwagen ohne Miststreuer</t>
  </si>
  <si>
    <t>Abweichung1 zu ART-Richtwert</t>
  </si>
  <si>
    <t>Abweichung2 zu ART-Richtwert</t>
  </si>
  <si>
    <t>Motor-Kleingeräte</t>
  </si>
  <si>
    <t>Aemisegger</t>
  </si>
  <si>
    <t>2009/10</t>
  </si>
  <si>
    <t>Netzbedarf je Rb Heu</t>
  </si>
  <si>
    <t>Netzbedarf je Rb Silage</t>
  </si>
  <si>
    <t>Kosten Netz; Heuballen</t>
  </si>
  <si>
    <t>kW oder AE/h</t>
  </si>
  <si>
    <t xml:space="preserve"> - Auslastung betrifft nur effektive Trommelstunden; Wegzeiten sind im </t>
  </si>
  <si>
    <t xml:space="preserve">   Entschädigungsansatz nicht inbegriffen!</t>
  </si>
  <si>
    <t xml:space="preserve"> - je stärker der Traktor, umso grösser der Abzug bzw. der Zuschlag.</t>
  </si>
  <si>
    <t xml:space="preserve"> - ohne Berücksichtigung des erhöhten Treibstoffverbrauchs.</t>
  </si>
  <si>
    <t>Treibstoffzuschläge bzw. -abzüge:</t>
  </si>
  <si>
    <t>Maschinen mit hohen Tarifen (Abweichung wegen Rundungsproblemen)</t>
  </si>
  <si>
    <t>Benzinpreis</t>
  </si>
  <si>
    <t>CHF/h</t>
  </si>
  <si>
    <t>CHF/l</t>
  </si>
  <si>
    <t>CHF/a</t>
  </si>
  <si>
    <t>Aufsitzsprühgerät</t>
  </si>
  <si>
    <t>CHF/b</t>
  </si>
  <si>
    <t>CHF/m3</t>
  </si>
  <si>
    <t>m/kg</t>
  </si>
  <si>
    <t>Nutzungsdauer</t>
  </si>
  <si>
    <t>Fixe Kosten</t>
  </si>
  <si>
    <t>Variable Kosten</t>
  </si>
  <si>
    <t>Anzahl Ballen je Folie</t>
  </si>
  <si>
    <t xml:space="preserve"> - beim Vollernter mit Absack-Ladefläche ist ein Abzug, beim Vollernter </t>
  </si>
  <si>
    <t xml:space="preserve">   mit Rollboden-Bunker ein Zuschlag von je Fr. 40.-/ha gegenüber dem Ansatz</t>
  </si>
  <si>
    <t xml:space="preserve">   mit Kippbunker angebracht.</t>
  </si>
  <si>
    <t xml:space="preserve"> - Entschädigungsansatz je ha und Durchgang</t>
  </si>
  <si>
    <t>Maschine - Annahmen</t>
  </si>
  <si>
    <t>Spritzgeräte Obstbau</t>
  </si>
  <si>
    <t>Zinsfuss</t>
  </si>
  <si>
    <t>Autoanhänger</t>
  </si>
  <si>
    <t>Dieselpreis</t>
  </si>
  <si>
    <t>Feuerversicherung</t>
  </si>
  <si>
    <t>125%</t>
  </si>
  <si>
    <t>75%</t>
  </si>
  <si>
    <t>Fr./kg</t>
  </si>
  <si>
    <t>Fr./m</t>
  </si>
  <si>
    <t>Fr./Ba</t>
  </si>
  <si>
    <t>m/Rolle</t>
  </si>
  <si>
    <t>Fr./Rolle</t>
  </si>
  <si>
    <t>Fr./Rb</t>
  </si>
  <si>
    <t>Länge der Rollen</t>
  </si>
  <si>
    <t>Breite der Rollen</t>
  </si>
  <si>
    <t>Gewicht der Rollen</t>
  </si>
  <si>
    <t xml:space="preserve">   die Werte für 4 Hektoliter Spritzbrühe</t>
  </si>
  <si>
    <t xml:space="preserve"> - Verbrauch Propangas je ha: 110 kg</t>
  </si>
  <si>
    <t>Treibstoffpreisberechnung mit Umrechnung aus primärer Arbeitseinheit</t>
  </si>
  <si>
    <t>Maschinen, die nicht berechnet werden können</t>
  </si>
  <si>
    <t>nur fixe Kosten / AE</t>
  </si>
  <si>
    <t>Miete</t>
  </si>
  <si>
    <t>Fr./m3</t>
  </si>
  <si>
    <t>default</t>
  </si>
  <si>
    <t xml:space="preserve">       Benzin</t>
  </si>
  <si>
    <t xml:space="preserve">       Diesel</t>
  </si>
  <si>
    <t xml:space="preserve">       Akylat-Benzin</t>
  </si>
  <si>
    <t>Holzremise</t>
  </si>
  <si>
    <t>Traktoren mit Forstausrüstung</t>
  </si>
  <si>
    <t>CHF/ha</t>
  </si>
  <si>
    <t>Wartung</t>
  </si>
  <si>
    <t>Garage</t>
  </si>
  <si>
    <t>Remise</t>
  </si>
  <si>
    <t>Mähdrescher</t>
  </si>
  <si>
    <t>Motormäher</t>
  </si>
  <si>
    <t>Motorenöl</t>
  </si>
  <si>
    <t>Bündelgerät für Holz, 1 m3</t>
  </si>
  <si>
    <t>tenospin</t>
  </si>
  <si>
    <t>Dimension</t>
  </si>
  <si>
    <t>Unterland</t>
  </si>
  <si>
    <t>Polybale grün</t>
  </si>
  <si>
    <t>Silotite</t>
  </si>
  <si>
    <t>Mittel (Preis/m)</t>
  </si>
  <si>
    <t xml:space="preserve">     Code</t>
  </si>
  <si>
    <t xml:space="preserve"> - alle Geräte sind mit Alkylat-Benzin berechnet</t>
  </si>
  <si>
    <t xml:space="preserve"> - bei der Auslastung ist auch die Zeit ausserhalb der Feldarbeit berücksichtigt.</t>
  </si>
  <si>
    <t xml:space="preserve"> - Die Ansätze für Feldspritzen gelten für den Feldbau; im Obstbau gelten </t>
  </si>
  <si>
    <t xml:space="preserve">   die Werte für 4 Hektoliter Spritzbrühe.</t>
  </si>
  <si>
    <t xml:space="preserve"> - die Entschädigungsansätze pro Stunde gelten auch pro Fuder (1 Fu/h)</t>
  </si>
  <si>
    <t>Pressen und Ballenerntegeräte</t>
  </si>
  <si>
    <t xml:space="preserve"> </t>
  </si>
  <si>
    <t>EA total</t>
  </si>
  <si>
    <t xml:space="preserve"> - mit Drehmechanismus und Seitenhub</t>
  </si>
  <si>
    <t>Kilometer</t>
  </si>
  <si>
    <t>Gebäudekosten Remise statt Garage</t>
  </si>
  <si>
    <t>Treibstoffpreisberechnung mit Umrechnung aus primärer Arbeitseinheit ohne Multipl. *100 (Nur DIESEL)</t>
  </si>
  <si>
    <t>SPEZIALFÄLLE</t>
  </si>
  <si>
    <t>Kosten je Rundballe gross</t>
  </si>
  <si>
    <t xml:space="preserve">Häckselwagen, Abschiebewagen </t>
  </si>
  <si>
    <t>Ladewagen</t>
  </si>
  <si>
    <t>Folien nach Rapid, 30-60 Rb, Fr. 140.-</t>
  </si>
  <si>
    <t>Folien für Quaderballen;</t>
  </si>
  <si>
    <t>bis 1995</t>
  </si>
  <si>
    <t>150/90/60 cm; 0,81 m3</t>
  </si>
  <si>
    <t>350 kg à 40 % TS = 140 kg TS</t>
  </si>
  <si>
    <t>ab 1996</t>
  </si>
  <si>
    <t>170/80/90/ cm;1,22 m3</t>
  </si>
  <si>
    <t>ab 2000 700 kg à 40 % TS = 280 kg TS</t>
  </si>
  <si>
    <t>?</t>
  </si>
  <si>
    <t>MWSt</t>
  </si>
  <si>
    <t>Kosten je Quaderballe</t>
  </si>
  <si>
    <t>Netz und Folie für Kombination</t>
  </si>
  <si>
    <t>Folien für Siloschlauchpressen</t>
  </si>
  <si>
    <t>Durchmesser x Länge</t>
  </si>
  <si>
    <t>2.4 x 75 m</t>
  </si>
  <si>
    <t>Nutzbares Volumen/Schlauch</t>
  </si>
  <si>
    <t>Kosten Schlauch</t>
  </si>
  <si>
    <t>Kosten pro Volumen</t>
  </si>
  <si>
    <t>Bio-Kettenöl</t>
  </si>
  <si>
    <t>Verbrauch/h, Motorsäge</t>
  </si>
  <si>
    <t>Motorsäge, klein</t>
  </si>
  <si>
    <t>Motorsäge, mittel</t>
  </si>
  <si>
    <t>Motorsäge, gross</t>
  </si>
  <si>
    <t>Hilfsmaterial für Laubhefter:</t>
  </si>
  <si>
    <t>Schnüre, Menge</t>
  </si>
  <si>
    <t>Kosten je ha</t>
  </si>
  <si>
    <t>Heftklammern</t>
  </si>
  <si>
    <t>Fr./ha</t>
  </si>
  <si>
    <t>Propangas für Abflammgerät</t>
  </si>
  <si>
    <t>Menge je Flasche</t>
  </si>
  <si>
    <t>Preis je Flasche</t>
  </si>
  <si>
    <t>Bedarf  je ha</t>
  </si>
  <si>
    <t>Stahlband für Holzbündel</t>
  </si>
  <si>
    <t>Gewicht je Stahlrolle</t>
  </si>
  <si>
    <t>Anzahl Bündel je Rolle</t>
  </si>
  <si>
    <t>Stück</t>
  </si>
  <si>
    <t>Kosten je Stahlrolle</t>
  </si>
  <si>
    <t>Kosten je Holzbündel à 1 m3</t>
  </si>
  <si>
    <t xml:space="preserve"> Wert gerundet</t>
  </si>
  <si>
    <t>Maschinen allgemein</t>
  </si>
  <si>
    <t>%o</t>
  </si>
  <si>
    <t>Teilkasko für Traktoren:</t>
  </si>
  <si>
    <t>Anteil von Neuwert</t>
  </si>
  <si>
    <t>3.50 bis</t>
  </si>
  <si>
    <t>Kleinballen</t>
  </si>
  <si>
    <t>25/1800 cm</t>
  </si>
  <si>
    <t>Treibstoff-Code</t>
  </si>
  <si>
    <t xml:space="preserve">    Code</t>
  </si>
  <si>
    <t>Arbeitsleistung</t>
  </si>
  <si>
    <t>A: 3,3; Z; 1,6; R: 0,3, V: 0,1</t>
  </si>
  <si>
    <t>Abschreibung</t>
  </si>
  <si>
    <t>Reparaturen</t>
  </si>
  <si>
    <t>Versicherung</t>
  </si>
  <si>
    <t>aktueller Zinsfuss</t>
  </si>
  <si>
    <t>mittlerer Zins</t>
  </si>
  <si>
    <t>Total mit mittlerem Zinsfuss</t>
  </si>
  <si>
    <t>Prozentwert, gerundet</t>
  </si>
  <si>
    <t>Garagen, gerundet</t>
  </si>
  <si>
    <t>Holzremise, gerundet</t>
  </si>
  <si>
    <t>Haftpflichtversicherungen</t>
  </si>
  <si>
    <t>und Gebühren;</t>
  </si>
  <si>
    <t>Traktoren</t>
  </si>
  <si>
    <t>Einachstraktoren</t>
  </si>
  <si>
    <t>Transporter</t>
  </si>
  <si>
    <t>Geländefahrzeug, leicht</t>
  </si>
  <si>
    <t>Geländefahrzeug, mittel</t>
  </si>
  <si>
    <t>Zucker- und Futterrüben-</t>
  </si>
  <si>
    <t>vollernter, Pressen</t>
  </si>
  <si>
    <t>Bindegarn</t>
  </si>
  <si>
    <t>Qualität;</t>
  </si>
  <si>
    <t>HD-Ballen</t>
  </si>
  <si>
    <t>Preisbasis</t>
  </si>
  <si>
    <t>Kosten je Längeneinheit;</t>
  </si>
  <si>
    <t>Bindegarnbedarf je Balle</t>
  </si>
  <si>
    <t>m/Ba</t>
  </si>
  <si>
    <t>Rb Mini, ø 0,5 m</t>
  </si>
  <si>
    <t>m/Rb</t>
  </si>
  <si>
    <t>Rb, ø 1,2 m</t>
  </si>
  <si>
    <t>Rb, ø 1,5 m</t>
  </si>
  <si>
    <t>Qb, klein</t>
  </si>
  <si>
    <t>m/Qb</t>
  </si>
  <si>
    <t>Qb, gross</t>
  </si>
  <si>
    <t>Kosten Bindegarn;</t>
  </si>
  <si>
    <t>Rb mini, ø 0,5 m</t>
  </si>
  <si>
    <t>Fr./Qb</t>
  </si>
  <si>
    <t>Netze für Rundballen</t>
  </si>
  <si>
    <t>Qualität und Preis;</t>
  </si>
  <si>
    <t>Rolle à 3'000 m</t>
  </si>
  <si>
    <t xml:space="preserve"> Länge der Rollen</t>
  </si>
  <si>
    <t xml:space="preserve"> ø 1,2 m, b 1,2 m; 1,36 m3 </t>
  </si>
  <si>
    <t>550 kg à 40 % TS = 220 kg TS</t>
  </si>
  <si>
    <t>ab 2000: 700 kg à 40 % TS = 280 kg TS</t>
  </si>
  <si>
    <t>Folienbedarf</t>
  </si>
  <si>
    <t>Kostenverhältnisse</t>
  </si>
  <si>
    <t>Kosten je Rolle, inkl. MWSt.</t>
  </si>
  <si>
    <t>Kosten je Längeneinheit</t>
  </si>
  <si>
    <t>Kosten je Rundballe</t>
  </si>
  <si>
    <t>Folien für Rundballen mini;</t>
  </si>
  <si>
    <t xml:space="preserve"> ø 0,5 m, b 0,7 m; 0,14 m3 </t>
  </si>
  <si>
    <t>70 kg à 40 % TS = 28 kg TS</t>
  </si>
  <si>
    <t>Datum:</t>
  </si>
  <si>
    <t>Transportwagen</t>
  </si>
  <si>
    <t>Stunde</t>
  </si>
  <si>
    <t xml:space="preserve">                 - Wählen Sie dort den Maschinentyp und merken sich den vierstelligen Code (1. Spalte) </t>
  </si>
  <si>
    <t>Mäusevergasungsapparat, Benzin, 
2 kW (3 PS)</t>
  </si>
  <si>
    <t>Grunddaten für Maschinenkostenberechnungen</t>
  </si>
  <si>
    <t>Publikationsjahr</t>
  </si>
  <si>
    <t>MwSt</t>
  </si>
  <si>
    <t>Preis</t>
  </si>
  <si>
    <t>Datem der Erfassung</t>
  </si>
  <si>
    <t>Preis/Einh.</t>
  </si>
  <si>
    <t>absolut</t>
  </si>
  <si>
    <t>Lohnansätze;</t>
  </si>
  <si>
    <t>Landwirtschaft</t>
  </si>
  <si>
    <t>Ausserlandwirtschaft</t>
  </si>
  <si>
    <t>Bandbreite</t>
  </si>
  <si>
    <t>42.--</t>
  </si>
  <si>
    <t>40.-- -</t>
  </si>
  <si>
    <t>38.00-</t>
  </si>
  <si>
    <t>36.-- -</t>
  </si>
  <si>
    <t>32.-- -</t>
  </si>
  <si>
    <t>50.--</t>
  </si>
  <si>
    <t>48.--</t>
  </si>
  <si>
    <t>Bruttolohnkosten Angestellter</t>
  </si>
  <si>
    <t>Treib- und Schmierstoffpreise;</t>
  </si>
  <si>
    <t>Dieselöl</t>
  </si>
  <si>
    <t>Aspen-Benzin</t>
  </si>
  <si>
    <t>Bio-Kettenöl für Motorsägen</t>
  </si>
  <si>
    <t>x</t>
  </si>
  <si>
    <t>Garagen</t>
  </si>
  <si>
    <t>Gebäudekosten;</t>
  </si>
  <si>
    <t>A: 3,3; Z: 2.5; R: 0,3; V: 0,1</t>
  </si>
  <si>
    <t>angebracht für 2003</t>
  </si>
  <si>
    <t>A: 3,3; Z: 2,7: R: 0,3; V: 0,1</t>
  </si>
  <si>
    <t>A: 3,3; Z; 2,8; R: 0,3, V: 0,1</t>
  </si>
  <si>
    <t>wäre für 2002 angebracht</t>
  </si>
  <si>
    <t>A: 3,3; Z; 2,1; R: 0,3, V: 0,1</t>
  </si>
  <si>
    <t>Viehtransportwagen</t>
  </si>
  <si>
    <t xml:space="preserve"> - die Stundentarife sind mit den Tarifen pro Fuder identisch (1 Fu/h)</t>
  </si>
  <si>
    <t xml:space="preserve"> - umgebaute Landwirtschaftstraktoren</t>
  </si>
  <si>
    <t>Anz./ha</t>
  </si>
  <si>
    <t>Auslastung</t>
  </si>
  <si>
    <t>Ge-</t>
  </si>
  <si>
    <t>Abschr.,</t>
  </si>
  <si>
    <t>Total</t>
  </si>
  <si>
    <t>Anteil</t>
  </si>
  <si>
    <t>Zins,</t>
  </si>
  <si>
    <t>bäude</t>
  </si>
  <si>
    <t>Gebühren</t>
  </si>
  <si>
    <t>Fr.</t>
  </si>
  <si>
    <t>AE</t>
  </si>
  <si>
    <t>%</t>
  </si>
  <si>
    <t>m3</t>
  </si>
  <si>
    <t>h/AE</t>
  </si>
  <si>
    <t>Fr./Jahr</t>
  </si>
  <si>
    <t>Fr./AE</t>
  </si>
  <si>
    <t>Fr./h</t>
  </si>
  <si>
    <t>Restwert</t>
  </si>
  <si>
    <t>kg</t>
  </si>
  <si>
    <t xml:space="preserve"> - Umrechnung Mist: Raumgewicht Mist = 666 kg/m3</t>
  </si>
  <si>
    <t>Folienbedarf Rb mittel</t>
  </si>
  <si>
    <t>Folienbedarf Rb gross</t>
  </si>
  <si>
    <t>Kosten je Rundballe mittel</t>
  </si>
  <si>
    <t>Benzin</t>
  </si>
  <si>
    <t>Fr./l</t>
  </si>
  <si>
    <t>Gebäude</t>
  </si>
  <si>
    <t>Fuder</t>
  </si>
  <si>
    <t>Kostenelemente und Entschädigungsansätze für Landmaschinen 2009/2010</t>
  </si>
  <si>
    <t>Laubhefter, 1-reihig, überzeilig</t>
  </si>
  <si>
    <t>Strohhäcksler zu Mähdrescher</t>
  </si>
  <si>
    <t>Sägen und Spalten (siehe auch mot. Kleingeräte)</t>
  </si>
  <si>
    <t>Code</t>
  </si>
  <si>
    <t>Feldhäcksler selbstfahrend (Grundgerät)</t>
  </si>
  <si>
    <t>Kartoffelvollernter, gross, Rollbodenbunker, 
1-reihig</t>
  </si>
  <si>
    <t>Entlaubungsgerät
(inkl. Grundrahmen), 1-seitig</t>
  </si>
  <si>
    <t>TracSharing</t>
  </si>
  <si>
    <t xml:space="preserve"> - Kosten Hilfsmaterial: 16 kg Schnüre à 4.32 Fr.; Heftklammern Fr. 14.40 / ha: </t>
  </si>
  <si>
    <t xml:space="preserve">   Fr. 84.-/ha</t>
  </si>
  <si>
    <t>Christian.Gazzarin@agroscope.admin.ch</t>
  </si>
  <si>
    <t>Agroscope-Richtwert</t>
  </si>
  <si>
    <t>°</t>
  </si>
  <si>
    <t>Tabakernter, 2-reihig, mit Lift, Benzin (12 PS)</t>
  </si>
  <si>
    <t xml:space="preserve"> - Doppelmesser, System Bidux</t>
  </si>
  <si>
    <t xml:space="preserve">mit </t>
  </si>
  <si>
    <t>Restwertberechnung:</t>
  </si>
  <si>
    <t>Nutzungsdauer total</t>
  </si>
  <si>
    <t>bis heute</t>
  </si>
  <si>
    <t>(Nutzungsjahre)</t>
  </si>
  <si>
    <t>Maschine XY</t>
  </si>
  <si>
    <t>Neupreis / Anschaffungspreis</t>
  </si>
  <si>
    <t>CHF</t>
  </si>
  <si>
    <t>Jahre Abschreibungsdauer</t>
  </si>
  <si>
    <t>Zinssatz absolut</t>
  </si>
  <si>
    <t>CHF/kg</t>
  </si>
  <si>
    <t>Motormäher, 1,9 m Balken, Benzin, (14 PS) mit Hangausrüstung</t>
  </si>
  <si>
    <t>Motormäher, 2,5 m Balken, Benzin, 
20 kW (27 PS) mit Hangausrüstung</t>
  </si>
  <si>
    <t>Motormäher, 3,5 m Balken, Benzin, 
20 kW (27 PS) mit Hangausrüstung</t>
  </si>
  <si>
    <t xml:space="preserve"> - Raumgewicht Mist: 666 kg/m3</t>
  </si>
  <si>
    <t xml:space="preserve"> - 2,4 m x 75 m; 200 m3 nutzbares Volumen; 733.- Fr./Schlauch bzw. Fr. 3.67/m3</t>
  </si>
  <si>
    <t xml:space="preserve"> - Arbeitsleistung in Vol. m3 bezieht sich auf Festmeter.</t>
  </si>
  <si>
    <t xml:space="preserve"> - 500m Gewebeband inkl. Bandschnallen: Fr. 214.- für 100 Holzbündel à 1 m3 </t>
  </si>
  <si>
    <t>Geohobel, 1.50 m</t>
  </si>
  <si>
    <t>Strompreis / Energie</t>
  </si>
  <si>
    <t>CHF/kWh</t>
  </si>
  <si>
    <t>Veränderungen</t>
  </si>
  <si>
    <t>% / l Diesel</t>
  </si>
  <si>
    <t>Adblue</t>
  </si>
  <si>
    <t>11 kW</t>
  </si>
  <si>
    <t>Traktoren mit AdBlue</t>
  </si>
  <si>
    <t>Restwert = 0 (Spezialfälle)</t>
  </si>
  <si>
    <t xml:space="preserve"> (Agroscope, Tänikon - V. 5.8/2025)</t>
  </si>
  <si>
    <t>Hubstapler, selbstfahrend, Benzin, 15 kW (20 PS)</t>
  </si>
  <si>
    <t>Hypothèses générales Coûts-machines 2025</t>
  </si>
  <si>
    <t>Inrtoduction:</t>
  </si>
  <si>
    <t>Contrôler et éventuellement modifier les champs en jaune et en vert.</t>
  </si>
  <si>
    <t>Attention: en cas de modifications, la valeur indicative officielle Agroscope (valeur par défaut) change</t>
  </si>
  <si>
    <t xml:space="preserve">              Par conséquent, les déviations des calculs de variantes par rapport à la valeur indicative Agroscope</t>
  </si>
  <si>
    <t xml:space="preserve">              ne sont plus valables!</t>
  </si>
  <si>
    <t>Généralités</t>
  </si>
  <si>
    <t>Taux d'intérêt</t>
  </si>
  <si>
    <t>Salaire</t>
  </si>
  <si>
    <t>Bâtiments (coûts annuels)</t>
  </si>
  <si>
    <t>Carburants, combustibles, lubrifiants</t>
  </si>
  <si>
    <t xml:space="preserve">Prix du diesel </t>
  </si>
  <si>
    <t>Prix de l'essence</t>
  </si>
  <si>
    <t>Priux de l'essence akylate</t>
  </si>
  <si>
    <t>Facteur de consommation du diesel</t>
  </si>
  <si>
    <t>Litre*100 / kWh</t>
  </si>
  <si>
    <t>Facteur de consommation de l'essence</t>
  </si>
  <si>
    <t>Facteur de consommation AdBlue</t>
  </si>
  <si>
    <t>Charbon de bois</t>
  </si>
  <si>
    <t>Huile moteur</t>
  </si>
  <si>
    <t>Facteur de consommation huile moteur</t>
  </si>
  <si>
    <t>Litre / kW</t>
  </si>
  <si>
    <t>Huile petite scie</t>
  </si>
  <si>
    <t>Huile scie moyenne</t>
  </si>
  <si>
    <t>Huile grosse scie</t>
  </si>
  <si>
    <t>Gaz pour brûleur</t>
  </si>
  <si>
    <t>Assurances et taxes (impôts)</t>
  </si>
  <si>
    <t>Assurance-incendie</t>
  </si>
  <si>
    <t>Tracteur</t>
  </si>
  <si>
    <t>Transporteur</t>
  </si>
  <si>
    <t>Tracteur monoaxe</t>
  </si>
  <si>
    <t>Véhicules automoteurs (moissonneuse batteuse)</t>
  </si>
  <si>
    <t>Véhicule tout terrain</t>
  </si>
  <si>
    <t>Véhicules de largeur exceptionnelle</t>
  </si>
  <si>
    <t>Pulvérisateur automoteur</t>
  </si>
  <si>
    <t>Motofaucheuse</t>
  </si>
  <si>
    <t>Remorque pour auto</t>
  </si>
  <si>
    <t>Véhicule universel tout terrain</t>
  </si>
  <si>
    <t>Auxiliaires</t>
  </si>
  <si>
    <t>Liens balle HD</t>
  </si>
  <si>
    <t>Liens Br petite</t>
  </si>
  <si>
    <t>Liens Br grande</t>
  </si>
  <si>
    <t>Liens Brect. moyenne</t>
  </si>
  <si>
    <t>Liens Brect. grande</t>
  </si>
  <si>
    <t>Liens Br mini</t>
  </si>
  <si>
    <t>Filet Br moyenne</t>
  </si>
  <si>
    <t>Filet Br grande</t>
  </si>
  <si>
    <t>FIlm Brect.</t>
  </si>
  <si>
    <t>Film Brect. moyenne</t>
  </si>
  <si>
    <t>Film Brect. grande</t>
  </si>
  <si>
    <t>Film Br mini</t>
  </si>
  <si>
    <t>Filet et film, Br 1,4 m3</t>
  </si>
  <si>
    <t>Film pour presse à silo-boudin</t>
  </si>
  <si>
    <t>Produit d'enfumage</t>
  </si>
  <si>
    <t>Palisseuse à vigne</t>
  </si>
  <si>
    <t>Ruban métallique pour cercleuse à bois</t>
  </si>
  <si>
    <t>Gaz</t>
  </si>
  <si>
    <t>Valeurs limites pour le calcul de la valeur résiduelle</t>
  </si>
  <si>
    <t>Valeur résiduelle</t>
  </si>
  <si>
    <t>Seuil du degré d'utilisation</t>
  </si>
  <si>
    <t>Autres remarques</t>
  </si>
  <si>
    <t xml:space="preserve">Tarif horaire des tracteurs: mesure selon le nombre d'heures effectif </t>
  </si>
  <si>
    <t>Tab. 8: Spezifische Annahmen zu den Maschinen</t>
  </si>
  <si>
    <t>Choix de calcul:</t>
  </si>
  <si>
    <t>1=uniquement machine; 2=combinaison de machines avec opérateur</t>
  </si>
  <si>
    <t>Date:</t>
  </si>
  <si>
    <t>Groupe de machine / désignation</t>
  </si>
  <si>
    <t>Type de machine</t>
  </si>
  <si>
    <t>Unité de travail (UT):</t>
  </si>
  <si>
    <t>Capacité de travail (Budget de travail Agroscope)</t>
  </si>
  <si>
    <t>Indications personnelles</t>
  </si>
  <si>
    <t>Prix du diesel</t>
  </si>
  <si>
    <t>Poste</t>
  </si>
  <si>
    <t>Unité</t>
  </si>
  <si>
    <t>Valeur Agroscope (default)</t>
  </si>
  <si>
    <t>Prix d'achat</t>
  </si>
  <si>
    <t xml:space="preserve">    Neuf ou occasion?</t>
  </si>
  <si>
    <t>Neuf</t>
  </si>
  <si>
    <t>Utilisation par an</t>
  </si>
  <si>
    <t>UT</t>
  </si>
  <si>
    <t>Durée d'amortissement</t>
  </si>
  <si>
    <t>Années</t>
  </si>
  <si>
    <t>Durée d'utilisation technique</t>
  </si>
  <si>
    <t xml:space="preserve">Taux d'utilisation </t>
  </si>
  <si>
    <t>Facteur</t>
  </si>
  <si>
    <t>Valeur résiduelle, indic. personnelle</t>
  </si>
  <si>
    <t>Degré de charge du moteur</t>
  </si>
  <si>
    <t>Facteur de réparation et entretien</t>
  </si>
  <si>
    <t>Bâtiments nécessaires</t>
  </si>
  <si>
    <t>Supplément administration et risques</t>
  </si>
  <si>
    <t>Autres suppléments</t>
  </si>
  <si>
    <t>Calcul des coûts en Fr.</t>
  </si>
  <si>
    <t>par an</t>
  </si>
  <si>
    <t>par UT</t>
  </si>
  <si>
    <t>Amortissement</t>
  </si>
  <si>
    <t>Coûts d'intérêt</t>
  </si>
  <si>
    <t>Coûts des bâtiments</t>
  </si>
  <si>
    <t>Assurances et taxes</t>
  </si>
  <si>
    <t>Total des coûts fixes</t>
  </si>
  <si>
    <t>Réparations et entretien</t>
  </si>
  <si>
    <t>Carburant</t>
  </si>
  <si>
    <t>Additifs</t>
  </si>
  <si>
    <t>Total des coûts variables</t>
  </si>
  <si>
    <t>Tarif d'indemnisation net (sans suppléments)</t>
  </si>
  <si>
    <t>Tarif d'indemnisation, suppléments compris</t>
  </si>
  <si>
    <t>Variation Variante par rapport à la valeur indicative Agroscope.................................................................</t>
  </si>
  <si>
    <t xml:space="preserve">Cliquez sur: </t>
  </si>
  <si>
    <t>Résumé (Combinaison de machines avec opérateur)</t>
  </si>
  <si>
    <t>Combinaison de machines avec opérateur A (résumé)</t>
  </si>
  <si>
    <t>Combinaison de machines avec opérateur B (résumé)</t>
  </si>
  <si>
    <t>Désignation</t>
  </si>
  <si>
    <t>Capacité (Budget de travail Agroscope)</t>
  </si>
  <si>
    <t>Capacité indications personnelles (prioritaire)</t>
  </si>
  <si>
    <t>Capacité (valeur pour le calcul)</t>
  </si>
  <si>
    <t>Total combinaison de machines avec opérateur</t>
  </si>
  <si>
    <t>Valeur indicative Agroscope</t>
  </si>
  <si>
    <t>Variante personnelle</t>
  </si>
  <si>
    <t>Fr. par unité de travail en:</t>
  </si>
  <si>
    <t>Heure</t>
  </si>
  <si>
    <t>Valeur pour les machines avec heures comme UT</t>
  </si>
  <si>
    <t>Résultat Coûts totaux des procédés en Fr.</t>
  </si>
  <si>
    <t>Forfait de déplacement</t>
  </si>
  <si>
    <t>Coûts y compris forfait de déplacement</t>
  </si>
  <si>
    <t>Main-d'oeuvre</t>
  </si>
  <si>
    <t>Choix</t>
  </si>
  <si>
    <t xml:space="preserve">     Tarif horaire ci-dessous</t>
  </si>
  <si>
    <t>Agriculture Fr./h</t>
  </si>
  <si>
    <t>employé en dehors de l'agr./Travail salarié Fr./h</t>
  </si>
  <si>
    <t>en dehors de l'agr./Régie Fr./h</t>
  </si>
  <si>
    <t>Véhicule à moteur A</t>
  </si>
  <si>
    <t>Véhicule à moteur B</t>
  </si>
  <si>
    <t>Coûts fixes</t>
  </si>
  <si>
    <t>Coûts variables</t>
  </si>
  <si>
    <t>Tarif d'indemnisation net</t>
  </si>
  <si>
    <t>Combinaison de machines avec opérateur (résumé) - Suite</t>
  </si>
  <si>
    <t>Machine A1</t>
  </si>
  <si>
    <t>Machine B1</t>
  </si>
  <si>
    <t>Machine A2</t>
  </si>
  <si>
    <t>Machine B2</t>
  </si>
  <si>
    <t>Machine A3</t>
  </si>
  <si>
    <t>Machine B3</t>
  </si>
  <si>
    <t>Désignation et description sommaire</t>
  </si>
  <si>
    <t>Puiss. Ou</t>
  </si>
  <si>
    <t>Prix</t>
  </si>
  <si>
    <t>Indemnité à demander pour la machine en question, sans service et sans TVA</t>
  </si>
  <si>
    <t>Utilisation</t>
  </si>
  <si>
    <t>Degré</t>
  </si>
  <si>
    <t>Durée utile</t>
  </si>
  <si>
    <t>FRE-</t>
  </si>
  <si>
    <t>Coûts</t>
  </si>
  <si>
    <t>de la machine</t>
  </si>
  <si>
    <t>capacité</t>
  </si>
  <si>
    <t>d'achat</t>
  </si>
  <si>
    <t>annuelle</t>
  </si>
  <si>
    <t>de</t>
  </si>
  <si>
    <t>valeur</t>
  </si>
  <si>
    <t>fixes</t>
  </si>
  <si>
    <t>de travail</t>
  </si>
  <si>
    <t>moyen</t>
  </si>
  <si>
    <t>prise</t>
  </si>
  <si>
    <t>charge</t>
  </si>
  <si>
    <t>d'amor-</t>
  </si>
  <si>
    <t>technique</t>
  </si>
  <si>
    <t>rési-</t>
  </si>
  <si>
    <t>de répa-</t>
  </si>
  <si>
    <t>Encom-</t>
  </si>
  <si>
    <t>Rép.,</t>
  </si>
  <si>
    <t xml:space="preserve"> Utilisation de x %</t>
  </si>
  <si>
    <t>comme</t>
  </si>
  <si>
    <t>du</t>
  </si>
  <si>
    <t>tissment</t>
  </si>
  <si>
    <t>(d'après le
travail</t>
  </si>
  <si>
    <t xml:space="preserve"> duelle</t>
  </si>
  <si>
    <t>ration et</t>
  </si>
  <si>
    <t>brement</t>
  </si>
  <si>
    <t>Entretien</t>
  </si>
  <si>
    <t>Produits aux.</t>
  </si>
  <si>
    <t xml:space="preserve">comme </t>
  </si>
  <si>
    <t xml:space="preserve"> (valeur résiduelle constante)</t>
  </si>
  <si>
    <t>base</t>
  </si>
  <si>
    <t>moteur</t>
  </si>
  <si>
    <t>exécuté)</t>
  </si>
  <si>
    <t>entretien</t>
  </si>
  <si>
    <t>Référence</t>
  </si>
  <si>
    <t>Fr./UT</t>
  </si>
  <si>
    <t>années</t>
  </si>
  <si>
    <t>Achtung! Hier die Werte aus Spalte 17 im Mako-Bericht (2015) übernehmen</t>
  </si>
  <si>
    <t>1. Véhicules à moteur</t>
  </si>
  <si>
    <t>Tracteurs (standard)</t>
  </si>
  <si>
    <t>Tracteur 30–36 kW (41–49 ch)</t>
  </si>
  <si>
    <t>heures (h)</t>
  </si>
  <si>
    <t>Tracteur 37–44 kW (50–60 ch)</t>
  </si>
  <si>
    <t>Tracteur 45–54 kW (61–73 ch)</t>
  </si>
  <si>
    <t>Tracteur 55–64 kW (74–87 ch)</t>
  </si>
  <si>
    <t>Tracteur 65–74 kW (88–101 ch)</t>
  </si>
  <si>
    <t>Tracteur 75–89 kW (102–121 ch)</t>
  </si>
  <si>
    <t>Tracteur 90–104 kW (122–142 ch)</t>
  </si>
  <si>
    <t>Tracteur 105–124 kW (143–169 ch)</t>
  </si>
  <si>
    <t>Tracteur 125–149 kW (171–203 ch)</t>
  </si>
  <si>
    <t>Tracteur 150–199 kW (204–271 ch)</t>
  </si>
  <si>
    <t>Tracteur 200–250 kW (272–340 ch)</t>
  </si>
  <si>
    <t>Roues jumelées / systèmes hydrauliques frontaux / systèmes de guidage</t>
  </si>
  <si>
    <t>Roues jumelées pour tracteur (&lt; 64 kW), avant, 9.5 R 24/20</t>
  </si>
  <si>
    <t>Roues jumelées pour tracteur (&lt; 64 kW), arrière, 230/95 R 40/30</t>
  </si>
  <si>
    <t>Roues jumelées pour tracteur (&gt; 65 kW), avant, 270/95 R 32/24</t>
  </si>
  <si>
    <t>Roues jumelées pour tracteur (&gt; 65 kW), arrière, 230/95 R 44/34</t>
  </si>
  <si>
    <t>Système hydraulique frontal avec prise de force</t>
  </si>
  <si>
    <t>Système de guidage automatique, avec terminal 12", GPS/RTK</t>
  </si>
  <si>
    <t>Tracteurs forestiers</t>
  </si>
  <si>
    <t>Tracteur forestier 110 kW (150 ch)</t>
  </si>
  <si>
    <t>Tracteurs étroits (arboriculture, viticulture)</t>
  </si>
  <si>
    <t>Tracteur étroit, 4 roues motrices, 37 kW (50 ch)</t>
  </si>
  <si>
    <t>Tracteur étroit, 4 roues motrices, 45 kW (61 ch)</t>
  </si>
  <si>
    <t>Tracteur étroit, 4 roues motrices, 55 kW (75 ch)</t>
  </si>
  <si>
    <t>Tracteur étroit, 4 roues motrices, 70 kW (95 ch)</t>
  </si>
  <si>
    <t>Tracteurs spécialisés et/ou à chenilles</t>
  </si>
  <si>
    <t>Tracteur articulé, 40 kW (55 ch)</t>
  </si>
  <si>
    <t>Tracteur articulé, 50 kW (68 ch)</t>
  </si>
  <si>
    <t>Tracteur articulé, 65 kW (88 ch)</t>
  </si>
  <si>
    <t>Transporteur à chenilles, moteur à essence, 4 kW (5 ch)</t>
  </si>
  <si>
    <t>Chenillette, moteur à diesel, 18 kW (24 ch)</t>
  </si>
  <si>
    <t>Chenillette avec dispositif de levage, moteur à diesel, 25 kW (34 ch)</t>
  </si>
  <si>
    <t>Chenillette avec dispositif de levage, moteur à diesel, 44 kW (60 ch)</t>
  </si>
  <si>
    <t>Cultivateur/porte outils automoteur (maraîchage), moteur à diesel, 68 kW (92 ch)</t>
  </si>
  <si>
    <t>hectares</t>
  </si>
  <si>
    <t>Faucheuse à 2 essieux</t>
  </si>
  <si>
    <t>Faucheuse à 2 essieux, moteur à diesel, 30 kW (41 ch)</t>
  </si>
  <si>
    <t>Faucheuse à 2 essieux, moteur à diesel, 35 kW (48 ch)</t>
  </si>
  <si>
    <t>Faucheuse à 2 essieux, moteur à diesel, 45 kW (61 ch)</t>
  </si>
  <si>
    <t>Faucheuse à 2 essieux, moteur à diesel, 55 kW (75 ch)</t>
  </si>
  <si>
    <t>Faucheuse à 2 essieux, moteur à diesel, 70 kW (95 ch)</t>
  </si>
  <si>
    <t>Transporteurs</t>
  </si>
  <si>
    <t>Char automoteur sans pont, moteur à diesel, 40 kW (54 ch)</t>
  </si>
  <si>
    <t>Char automoteur sans pont, moteur à diesel,50 kW (68 ch)</t>
  </si>
  <si>
    <t>Char automoteur sans pont, moteur à diesel, 55 kW (75 ch)</t>
  </si>
  <si>
    <t>Char automoteur sans pont, moteur à diesel, 80 kW (109 ch)</t>
  </si>
  <si>
    <t>Roues jumelées pour transporteur ou faucheuse à 2 essieux</t>
  </si>
  <si>
    <t>Véhicules de manutention</t>
  </si>
  <si>
    <t>Chargeur étroit avec fourche à fumier crocodile, moteur à diesel, 20 kW (27 ch)</t>
  </si>
  <si>
    <t>Chargeur étroit avec fourche à fumier crocodile, moteur à diesel, 44 kW (60 ch)</t>
  </si>
  <si>
    <t>Chargeur téléscopique, 50 kW (68 ch), 2.5 t</t>
  </si>
  <si>
    <t>Chargeur téléscopique, 75 kW (102 ch), 2.5–3.4 t</t>
  </si>
  <si>
    <t>Chargeur téléscopique, 90 kW (122 ch), &gt; 3.4 t</t>
  </si>
  <si>
    <t>Véhicules de manutention, moteur électrique</t>
  </si>
  <si>
    <t>Chargeur de ferme, moteur électrique, 10–15 kW (15–20 ch), sans attelage</t>
  </si>
  <si>
    <t>Chargeur de ferme, moteur électrique, 15–20 kW (20–25 ch), sans attelage</t>
  </si>
  <si>
    <t>Chargeur télescopique, moteur électrique, 20–25 kW (27–34 ch), sans attelage</t>
  </si>
  <si>
    <t>Chargeur télescopique, moteur électrique, 50–65 kW (67–87 ch), sans attelage</t>
  </si>
  <si>
    <t>Chargeur de ferme compact, moteur électrique, 20–30 kW (27–40 ch)</t>
  </si>
  <si>
    <t>Elévateur à fourche, automoteur, moteur électrique, 1.5 t</t>
  </si>
  <si>
    <t>Motofaucheuses et monoaxes (porte-outils), fraise à neige</t>
  </si>
  <si>
    <t>Motofaucheuse, barre de coupe 1.6 m, moteur à essence, 6.6 kW (9 ch)</t>
  </si>
  <si>
    <t>Motofaucheuse, barre de coupe 1.9 m, moteur à essence, 10 kW (13 ch)</t>
  </si>
  <si>
    <t>Motofaucheuse, barre de coupe, 1.9 m, moteur à essence, 10 kW (14 ch), avec compensation latérale</t>
  </si>
  <si>
    <t>Motofaucheuse, barre de coupe double lame, 2.3 m, moteur à essence, 12 kW (16 ch), avec équipement pour pente</t>
  </si>
  <si>
    <t>Motofaucheuse, barre de coupe double lame, 2.6–3.5 m, moteur à essence, 20 kW (27 ch), avec équipement pour pente</t>
  </si>
  <si>
    <t>Motofaucheuse pour viticulture, moteur à essence, 5 kW (7 ch)</t>
  </si>
  <si>
    <t>Tracteur à 1 essieu, moteur à essence, 6 kW (9 ch)</t>
  </si>
  <si>
    <t>Tracteur à 1 essieu, moteur à essence, 17 kW (23 ch)</t>
  </si>
  <si>
    <t>Tracteur à 1 essieu, moteur à essence, entraînement hydrostatique, 10 kW (14 ch)</t>
  </si>
  <si>
    <t>Fraise à neige, moteur à essence, 10 kW (14 ch), chenilles, version professionnelle</t>
  </si>
  <si>
    <t>Tracteur-tondeuse, largeur de coupe 90–120 cm, 9–15 kW (13–20 ch)</t>
  </si>
  <si>
    <t>Petits outils à moteur</t>
  </si>
  <si>
    <t>Tronçonneuse, 40 cm, moteur à essence, 2 kW (3 ch)</t>
  </si>
  <si>
    <t>Tronçonneuse, 50 cm, moteur à essence, 4 kW (5 ch)</t>
  </si>
  <si>
    <t>Tronçonneuse, 60 cm, moteur à essence, 5 kW (7 ch)</t>
  </si>
  <si>
    <t>Ecorceuse à tambour, avec tronçonneuse, 4 kW (5 ch)</t>
  </si>
  <si>
    <t>Débroussailleuse à main, moteur à essence, 2 kW (3 ch)</t>
  </si>
  <si>
    <t>Débroussailleuse forestière, moteur à essence, 3 kW (4 ch)</t>
  </si>
  <si>
    <t>Atomiseur à dos, 25 l, moteur à essence, 0.7 kW (1 ch)</t>
  </si>
  <si>
    <t>Souffleur à dos, 3 kW (4 ch)</t>
  </si>
  <si>
    <t>Tarière, moteur à essence, 4 kW (5 ch)</t>
  </si>
  <si>
    <t>Véhicule tout-terrain et bétaillère automobile</t>
  </si>
  <si>
    <t>Véhicule universel tout-terrain, moteur à essence, 10 kW (14 ch)</t>
  </si>
  <si>
    <t>Véhicule universel tout-terrain, moteur à diesel, 15 kW (20 ch)</t>
  </si>
  <si>
    <t>Véhicule tout-terrain, pick-up, moteur à diesel, 125 kW (170 ch)</t>
  </si>
  <si>
    <t>kilomètres</t>
  </si>
  <si>
    <t>Véhicule tout-terrain, moteur à diesel, 140 kW (190 ch)</t>
  </si>
  <si>
    <t>Bétaillère automobile, 3.5 t, moteur à diesel, 84 kW (environ 130 ch)</t>
  </si>
  <si>
    <t>2. Equipements supplémentaires pour véhicules à moteur</t>
  </si>
  <si>
    <t>Chargeurs frontaux et outils portés</t>
  </si>
  <si>
    <t>Chargeur frontal, léger, sans outil porté, jusqu'à 48 kW (65 ch)</t>
  </si>
  <si>
    <t>Chargeur frontal, moyen, sans outil porté, 49–66 kW (66–90 ch)</t>
  </si>
  <si>
    <t>Chargeur frontal, lourd, sans outil porté, &gt; 66 kW (90 ch)</t>
  </si>
  <si>
    <t>Fourche à fumier pour chargeur frontal, 1.7–2 m</t>
  </si>
  <si>
    <t>Fourche à grosses balles pour chargeur frontal</t>
  </si>
  <si>
    <t>Pelle à terre pour chargeur fontal, 1.9–2.5 m</t>
  </si>
  <si>
    <t>Fourche à désiler pour chargeur frontal, 1.2–1.8 m</t>
  </si>
  <si>
    <t>Fourche crocodile pour chargeur frontal, 1.2–2.2 m</t>
  </si>
  <si>
    <t>Dents pour balles rondes pour chargeur frontal</t>
  </si>
  <si>
    <t>Pince à balles rondes pour chargeur frontal</t>
  </si>
  <si>
    <t>Transpalette pour chargeur frontal</t>
  </si>
  <si>
    <t>Equipements supplémentaires pour attelage 3 points</t>
  </si>
  <si>
    <t>Fourche à grosses balles</t>
  </si>
  <si>
    <t>Pince à grosses balles, 1.5–2 m</t>
  </si>
  <si>
    <t>Répartiteur de fourrage pour silo-couloir, 1.8–2.3 m3</t>
  </si>
  <si>
    <t>Benne basculante, 2 m</t>
  </si>
  <si>
    <t>Chargeur arrière, pelle mécanique</t>
  </si>
  <si>
    <t>Chargeur arrière, avec vérin hydraulique</t>
  </si>
  <si>
    <t>Palettiseur, arrière, hauteur 3 m</t>
  </si>
  <si>
    <t>Lame de terrassement pour tracteur, 2 m</t>
  </si>
  <si>
    <t>Équipements supplémentaires pour transporteurs</t>
  </si>
  <si>
    <t>Pont basculant pour transporteur, métal</t>
  </si>
  <si>
    <t>Grue pour transporteur</t>
  </si>
  <si>
    <t>Équipements pour déneigement</t>
  </si>
  <si>
    <t>Lame à neige pour tracteur jusqu'à 59 kW (80 ch)</t>
  </si>
  <si>
    <t>Lame à neige pour tracteur, 60–88 kW (80–120 ch)</t>
  </si>
  <si>
    <t>Lame à neige pour tracteur, ≥ 89 kW (120 ch)</t>
  </si>
  <si>
    <t>Fraise à neige pour tracteur, 41–80 kW (56–109 ch)</t>
  </si>
  <si>
    <t>Fraise à neige pour tracteur, &gt; 80 kW (109 ch)</t>
  </si>
  <si>
    <t>Saleuse centrifuge, attelage 3 points, jusqu'à 600 l</t>
  </si>
  <si>
    <t>Saleuse–sableuse à assiettes, 1000–1400 l</t>
  </si>
  <si>
    <t>Chaînes à neige (paire) pour tracteur, pneus avant 280–440 R 24"</t>
  </si>
  <si>
    <t>Chaînes à neige (paire) pour tracteur, pneus arrière 420–540 R 34"</t>
  </si>
  <si>
    <t>Équipements supplémentaires pour tracteurs à 1 essieu (monoaxes)</t>
  </si>
  <si>
    <t>Barre de coupe pour motofaucheuse, 1.9 m</t>
  </si>
  <si>
    <t>Barre de coupe voie large, double lame pour tracteur à 1 essieu, 2–2.5 m</t>
  </si>
  <si>
    <t>Barre de coupe universelle, 1.2 m</t>
  </si>
  <si>
    <t>Râteau-faneur pour motofaucheuse, 180 cm</t>
  </si>
  <si>
    <t># Ramasse foin avec pick-up, 1.5 m</t>
  </si>
  <si>
    <t>Ramasse foin avec pick-up et tapis, 2 m</t>
  </si>
  <si>
    <t>Disp. andaineur pour motofaucheuse, 1.9 m</t>
  </si>
  <si>
    <t>#Semoir pour sursemis avec rouleau, 1.4 m</t>
  </si>
  <si>
    <t>Fraise à lames, 90–110 cm</t>
  </si>
  <si>
    <t>Broyeur à fléaux, 90–110 cm</t>
  </si>
  <si>
    <t>Lame à neige, 1.3 m</t>
  </si>
  <si>
    <t>Fraise à neige, 60–85 cm</t>
  </si>
  <si>
    <t>Fraise à neige, 1 m</t>
  </si>
  <si>
    <t>3. Chars et remorques (*les tarifs horaires peuvent également s’appliquer pour les charretées)</t>
  </si>
  <si>
    <t>Chars (charge utile)</t>
  </si>
  <si>
    <t>Remorque, basculement hydraulique, 7 t</t>
  </si>
  <si>
    <t>tonnes</t>
  </si>
  <si>
    <t>Char, basculement hydraulique, 5 t</t>
  </si>
  <si>
    <t>Char, basculement hydraulique, 8 t</t>
  </si>
  <si>
    <t>Char, basculement hydraulique, 10 t</t>
  </si>
  <si>
    <t>Char, basculement hydraulique, &gt; 10 t</t>
  </si>
  <si>
    <t>Remorque à essieux tandem, basculement hydraulique, 10 t</t>
  </si>
  <si>
    <t>Remorque à essieux tandem, basculement hydraulique, 15 t</t>
  </si>
  <si>
    <t>Remorque pour voiture</t>
  </si>
  <si>
    <t>Remorque avec système d'entraînement</t>
  </si>
  <si>
    <t>Cadre à fourrage</t>
  </si>
  <si>
    <t>charretées</t>
  </si>
  <si>
    <t>Remorque monocoque, porteur multibenne</t>
  </si>
  <si>
    <t>Essieux tandem, basculement hydraulique, 12 t</t>
  </si>
  <si>
    <t>Essieux tandem, basculement hydraulique, 15 t</t>
  </si>
  <si>
    <t>3 Essieux, basculement hydraulique, 20 t</t>
  </si>
  <si>
    <t>Remorque porte-conteneur, 15 t, 25 m3</t>
  </si>
  <si>
    <t>Remorque porte-conteneur, 22 t, 25 m3</t>
  </si>
  <si>
    <t>Bétaillière et abreuvoir mobile</t>
  </si>
  <si>
    <t>Bétaillière pour 2 vaches</t>
  </si>
  <si>
    <t>Bétaillière pour 7 vaches</t>
  </si>
  <si>
    <t>Bétaillière pour 11 vaches</t>
  </si>
  <si>
    <t>Abreuvoir mobile, 1000 l</t>
  </si>
  <si>
    <t>jours</t>
  </si>
  <si>
    <t>Abreuvoir mobile, 2000 l</t>
  </si>
  <si>
    <t>Abreuvoir mobile, 4000 l</t>
  </si>
  <si>
    <t>4. Travail du sol</t>
  </si>
  <si>
    <t>Chisels, sous-soleuses, bêcheuses</t>
  </si>
  <si>
    <t>Sous-soleuse, profondeur de travail 70 cm</t>
  </si>
  <si>
    <t>Décompacteur, 3 m</t>
  </si>
  <si>
    <t>Chisel avec rouleau émotteur, 2.5 m</t>
  </si>
  <si>
    <t>Chisel avec rouleau émotteur, 3 m</t>
  </si>
  <si>
    <t>Bêcheuse, 2 m</t>
  </si>
  <si>
    <t>Bêcheuse, 3 m</t>
  </si>
  <si>
    <t>Charrues</t>
  </si>
  <si>
    <t>Charrue bisoc</t>
  </si>
  <si>
    <t>Charrue trisoc</t>
  </si>
  <si>
    <t>Charrue quadrisoc</t>
  </si>
  <si>
    <t>Charrue à 5 socs</t>
  </si>
  <si>
    <t>Charrue à 6 socs</t>
  </si>
  <si>
    <t>Herses sans entraînement</t>
  </si>
  <si>
    <t>Herse à disques tractée, 3 m</t>
  </si>
  <si>
    <t>Herse à disques tractée, 4 m</t>
  </si>
  <si>
    <t>Déchaumeuse à disques avec rouleau, 3 m</t>
  </si>
  <si>
    <t>Déchaumeuse à disques avec rouleau, 4 m</t>
  </si>
  <si>
    <t>Vibroculteur avec rouleau émotteur, 3 m</t>
  </si>
  <si>
    <t>Vibroculteur avec rouleau émotteur, repliable, 4 m</t>
  </si>
  <si>
    <t>Vibroculteur avec rouleau émotteur, repliable, 6 m</t>
  </si>
  <si>
    <t>Herses avec entraînement</t>
  </si>
  <si>
    <t>Fraise avec rouleau émotteur, 2.1 m</t>
  </si>
  <si>
    <t>Fraise avec rouleau émotteur, 2.5 m</t>
  </si>
  <si>
    <t>Herse rotative avec rouleau packer, 2.5 m</t>
  </si>
  <si>
    <t>Herse rotative avec rouleau packer, 3 m</t>
  </si>
  <si>
    <t>Herse rotative avec rouleau packer, 4 m</t>
  </si>
  <si>
    <t>Herse rotative à axe horizontal, (rouleau packer), 2.5 m</t>
  </si>
  <si>
    <t>Herse rotative à axe horizontal, (rouleau packer), 3 m</t>
  </si>
  <si>
    <t>Rouleaux</t>
  </si>
  <si>
    <t>Rouleau lisse, 3 m</t>
  </si>
  <si>
    <t>Rouleau lisse, 5 m</t>
  </si>
  <si>
    <t>Rouleau cannelé, 2.5 m, attelage 3 points</t>
  </si>
  <si>
    <t>Rouleau cannelé, 3 m, attelage 3 points</t>
  </si>
  <si>
    <t>Rouleau cannelé, 6 m, traîné</t>
  </si>
  <si>
    <t>Rouleau cannelé, 8 m, traîné</t>
  </si>
  <si>
    <t>Rouleau à couteaux, 3 m</t>
  </si>
  <si>
    <t>Rouleau à couteaux, 6 m</t>
  </si>
  <si>
    <t>Autres outils pour travail du sol</t>
  </si>
  <si>
    <t>Dispositif d'attelage supplémentaire, pour semoir</t>
  </si>
  <si>
    <t>Rouleau tasse-avant, 1.5 m</t>
  </si>
  <si>
    <t>Outils de préparation du sol en bandes, 3 m, 4−6 rangs (strip-till)</t>
  </si>
  <si>
    <t>Fraise en ligne (p.e. pour maïs), 4 rangs</t>
  </si>
  <si>
    <t>5. Semis et entretien</t>
  </si>
  <si>
    <t>Semoirs conventionnels</t>
  </si>
  <si>
    <t>Semoir avec dispositif de jalonnement, 2.5 m</t>
  </si>
  <si>
    <t>Semoir avec dispositif de jalonnement, 3 m</t>
  </si>
  <si>
    <t>Semoir pneumatique, porté, 3 m</t>
  </si>
  <si>
    <t>Semoir pneumatique, porté, 4 m</t>
  </si>
  <si>
    <t>#Semoir pneumatique,  6 m</t>
  </si>
  <si>
    <t>Semoir pour semis direct, 3 m</t>
  </si>
  <si>
    <t>Semoir à rouleau, 3 m</t>
  </si>
  <si>
    <t>Semoirs monograines pour maïs</t>
  </si>
  <si>
    <t>Semoir monograine à maïs, 4 rangs</t>
  </si>
  <si>
    <t>Semoir monograine à maïs, 6 rangs</t>
  </si>
  <si>
    <t>Semoir monograine à maïs, 8 rangs</t>
  </si>
  <si>
    <t>Semoirs monograines pour betteraves</t>
  </si>
  <si>
    <t>Semoir monograine à betteraves, 6 rangs</t>
  </si>
  <si>
    <t>Semoir monograine à betteraves, 12 rangs</t>
  </si>
  <si>
    <t>Planteuses et repiqueuses (patates, tabac)</t>
  </si>
  <si>
    <t>Planteuse à pommes de terre automatique, 2 rangs</t>
  </si>
  <si>
    <t>Planteuse à pommes de terre automatique, 4 rangs</t>
  </si>
  <si>
    <t>Planteuse à pommes de terre, système «all-in-one»</t>
  </si>
  <si>
    <t>Repiqueuse de légumes, 2 rangs</t>
  </si>
  <si>
    <t>Planteuse de tabac, 2 rangs</t>
  </si>
  <si>
    <t>Combinaisons et outils compléntaires</t>
  </si>
  <si>
    <t>Combiné de semis</t>
  </si>
  <si>
    <t xml:space="preserve">   Herse rotative + semoir, 2.5 m</t>
  </si>
  <si>
    <t xml:space="preserve">   Herse rotative + semoir, 3 m</t>
  </si>
  <si>
    <t xml:space="preserve">   Herse rotative + semoir, 4 m</t>
  </si>
  <si>
    <t xml:space="preserve">   Fraise en ligne, 4 rangs + semoir monograine à maïs, 4 rangs + distributeur d'engrais en ligne + pulvérisateur en ligne, avec dispositif d'attelage supplémentaire pour semoir</t>
  </si>
  <si>
    <t>Supplément micro-granulateur, 4−6 rangs, porté</t>
  </si>
  <si>
    <t>Herses étrilles</t>
  </si>
  <si>
    <t>Herse étrille, 6 m</t>
  </si>
  <si>
    <t>Herse étrille, hydraulique, 9 m</t>
  </si>
  <si>
    <t>Herse étrille, hydraulique, 12 m</t>
  </si>
  <si>
    <t>Étrille rotative, 6 m</t>
  </si>
  <si>
    <t>Étrille rotative, 12 m</t>
  </si>
  <si>
    <t>Outils pour la culture des pommes de terre</t>
  </si>
  <si>
    <t>Sarcleuse, butteuse à pommes de terre, 4 rangs</t>
  </si>
  <si>
    <t>Butteuse pour pommes de terre, 4 rangs</t>
  </si>
  <si>
    <t>Fraise-butteuse pour pommes de terre, 4 rangs</t>
  </si>
  <si>
    <t>Billonneur, 4 rangs</t>
  </si>
  <si>
    <t>Séparateur de sol pour pommes de terre, 2 rangs</t>
  </si>
  <si>
    <t>Outils pour la culture de maïs et de la betterave</t>
  </si>
  <si>
    <t>Sarcleuse à dents vibro, 4 rangs</t>
  </si>
  <si>
    <t>Sarcleuse à dents vibro, 6 rangs, repliable</t>
  </si>
  <si>
    <t>Sarcleuse à dents vibro, 8 rangs, repliable hydrauliquement</t>
  </si>
  <si>
    <t>Sarcleuse à dents vibro, 6 rangs, contrôle par caméra sur châssis réglable</t>
  </si>
  <si>
    <t>Sarcleuse à dents vibro, 8 rangs, contrôle par caméra sur châssis réglable</t>
  </si>
  <si>
    <t>Entretien des prairies et pâturages</t>
  </si>
  <si>
    <t>Herse de prairie, 4 m</t>
  </si>
  <si>
    <t>Herse de prairie, 6 m</t>
  </si>
  <si>
    <t>Herse-étrille, 3 m</t>
  </si>
  <si>
    <t>Herse-étrille, 6 m</t>
  </si>
  <si>
    <t>Herse-étrille et semoir pneumatique, 3 m</t>
  </si>
  <si>
    <t>Herse-étrille et semoir pneumatique, 6 m</t>
  </si>
  <si>
    <t>Exterminateur de campagnols, essence, 2 kW (3 ch)</t>
  </si>
  <si>
    <t>Faucheuses de refus</t>
  </si>
  <si>
    <t>Faucheuse de refus, frontale/axiale, 1.75−2 m</t>
  </si>
  <si>
    <t>Faucheuse de refus, frontale/axiale, 2.5 m</t>
  </si>
  <si>
    <t>Faucheuse de refus, frontale/axiale, 3 m</t>
  </si>
  <si>
    <t>Faucheuse de refus, frontale/axiale, jusqu'à 3.5 m</t>
  </si>
  <si>
    <t xml:space="preserve">Broyeur latéral, avec bras articulé, 1.55 m </t>
  </si>
  <si>
    <t xml:space="preserve">Broyeur latéral, avec bras articulé, 2 m </t>
  </si>
  <si>
    <t>Épareuse à bras (3−5 m), attelage 3 points</t>
  </si>
  <si>
    <t>Épareuse à bras (5−7 m), attelage 3 points</t>
  </si>
  <si>
    <t>Protection des cultures</t>
  </si>
  <si>
    <t>Distributeur centrifuge de granulés, 100−110 l</t>
  </si>
  <si>
    <t>Pulvérisateur porté, rampe 12 m, réservoir 600 l</t>
  </si>
  <si>
    <t>Pulvérisateur porté, rampe 15 m, réservoir 800 l</t>
  </si>
  <si>
    <t>Pulvérisateur porté, rampe 21 m, réservoir 1000 l</t>
  </si>
  <si>
    <t>Pulvérisateur traîné, rampe 18 m, réservoir 2000 l</t>
  </si>
  <si>
    <t>Pulvérisateur traîné, rampe 24 m, réservoir 2500 l</t>
  </si>
  <si>
    <t>Pulvérisateur automoteur, rampe 21 m, réservoir 3000 l</t>
  </si>
  <si>
    <t>Pulvérisateur haute précision, contrôle par caméra, 6 m, réservoir frontale 700 l</t>
  </si>
  <si>
    <t>6. Fumure et compostage</t>
  </si>
  <si>
    <t>Distributeurs d'engrais</t>
  </si>
  <si>
    <t>Distributeur d'engrais à trémie simple, 2.5 m</t>
  </si>
  <si>
    <t>Distributeur d'engrais en lignes pour bineuse, 4−8 lignes</t>
  </si>
  <si>
    <t>Distributeur d'engrais centrifuge, jusqu'à 500 l</t>
  </si>
  <si>
    <t>Distributeur d'engrais centrifuge, 500−1000 l</t>
  </si>
  <si>
    <t>Distributeur d'engrais centrifuge, &gt; 1000 l, terminal utilisateur</t>
  </si>
  <si>
    <t>Distributeur en ligne pour distributeur d'engrais centrifuge</t>
  </si>
  <si>
    <t>Épandeurs à fumier</t>
  </si>
  <si>
    <t xml:space="preserve">Épandeur à fumier latéral, porté, transporteur, 2.5 m3 </t>
  </si>
  <si>
    <t>Épandeur à fumier latéral, porté, transporteur, 3.5 m3</t>
  </si>
  <si>
    <t>Épandeur à fumier latéral, porté, transporteur, 4.5 m3</t>
  </si>
  <si>
    <t>Épandeur à fumier latéral, 5 m3</t>
  </si>
  <si>
    <t>Épandeur à fumier latéral, 7 m3</t>
  </si>
  <si>
    <t>Épandeur à fumier, 8 m3</t>
  </si>
  <si>
    <t>Épandeur à fumier, 10 m3</t>
  </si>
  <si>
    <t>Épandeur à fumier, 12 m3</t>
  </si>
  <si>
    <t>Épandeur universel, 14 m3</t>
  </si>
  <si>
    <t>Épandeur universel, 16 m3</t>
  </si>
  <si>
    <t>Épandeur universel, 21 m3</t>
  </si>
  <si>
    <t>Grues à fumier</t>
  </si>
  <si>
    <t>Grue à fumier, 3 points, à prise de force</t>
  </si>
  <si>
    <t>Grue à fumier avec moteur électrique, 5.5 kW (7.5 ch)</t>
  </si>
  <si>
    <t>Grue à fumier pour prise de force</t>
  </si>
  <si>
    <t>Citernes à pression</t>
  </si>
  <si>
    <t>Citerne à pression, portée, pour transporteur, 3000 l</t>
  </si>
  <si>
    <t>Citerne à pression, 4000 l</t>
  </si>
  <si>
    <t>Citerne à pression, 5000 l</t>
  </si>
  <si>
    <t>Citerne à pression, 6000 l</t>
  </si>
  <si>
    <t>Citerne à pression, 8000 l</t>
  </si>
  <si>
    <t>Citerne à pression, 10 000 l</t>
  </si>
  <si>
    <t>Citerne à pression, 12 000 l</t>
  </si>
  <si>
    <t>Citernes avec pompe</t>
  </si>
  <si>
    <t>Citerne avec pompe, portée pour transporteur, 2600 l</t>
  </si>
  <si>
    <t>Citerne avec pompe, portée pour transporteur, 3000 l</t>
  </si>
  <si>
    <t>Citerne avec pompe, portée pour transporteur, 3500 l</t>
  </si>
  <si>
    <t>Citerne avec pompe, 4000 l</t>
  </si>
  <si>
    <t>Citerne avec pompe, 5000 l</t>
  </si>
  <si>
    <t>Citerne avec pompe, 6000 l</t>
  </si>
  <si>
    <t>Citerne avec pompe, 8000 l</t>
  </si>
  <si>
    <t>Citerne avec pompe, 10 000 l</t>
  </si>
  <si>
    <t>Citerne avec pompe, 12 000 l</t>
  </si>
  <si>
    <t>Citerne avec pompe, 15 000 l</t>
  </si>
  <si>
    <t>Citernes avec rampe d'épandage à patins</t>
  </si>
  <si>
    <t>Citerne 5000 l, avec rampe d'épandage à patins, 9 m</t>
  </si>
  <si>
    <t>Citerne 6000 l, avec rampe d'épandage à patins, 12 m</t>
  </si>
  <si>
    <t>Citerne 8000 l, avec rampe d'épandage à patins, 12 m</t>
  </si>
  <si>
    <t>Citerne 10 000 l, avec rampe d'épandage à patins, 12 m</t>
  </si>
  <si>
    <t>Citerne 12 000 l, avec rampe d'épandage à patins, 15 m</t>
  </si>
  <si>
    <t>Citerne 15 000 l, avec rampe d'épandage à patins, 15 m</t>
  </si>
  <si>
    <t>Citernes avec rampe d'épandage à tuyaux souples</t>
  </si>
  <si>
    <t>Citerne 3000 l, portée pour transporteur, avec rampe d'épandage à tuyaux souples, 5 m</t>
  </si>
  <si>
    <t>Citerne 5000 l, avec rampe d'épandage à tuyaux souples, 9 m</t>
  </si>
  <si>
    <t>Citerne 6000 l, avec rampe d'épandage à tuyaux souples, 12 m</t>
  </si>
  <si>
    <t>Citerne 8000 l, avec rampe d'épandage à tuyaux souples, 12 m</t>
  </si>
  <si>
    <t>Citerne 10 000 l, avec rampe d'épandage à tuyaux souples, 12 m</t>
  </si>
  <si>
    <t>Citerne 12 000 l, avec rampe d'épandage à tuyaux souples, 12 m</t>
  </si>
  <si>
    <t>Citerne 15 000 l, avec rampe  d'épandage à tuyaux souples, 15 m</t>
  </si>
  <si>
    <t>Pompes, mixeurs et séparateurs à lisiers</t>
  </si>
  <si>
    <t>Pompe immergée mobile, moteur électrique, commande à distance, 9 kW (12 ch)</t>
  </si>
  <si>
    <t>Pompe à un piston, à double effet, moteur électrique, commande à distance</t>
  </si>
  <si>
    <t>Pompe à deux pistons, à double effet, moteur électrique, commande à distance</t>
  </si>
  <si>
    <t>Pompe à piston rotatif, pour prise de force</t>
  </si>
  <si>
    <t>Pompe à piston rotatif, moteur élctrique, 15 kW, 61 m3/h</t>
  </si>
  <si>
    <t>Pompe à vis sans fin, moteur électrique, 15 kW (20 ch), Agropilot</t>
  </si>
  <si>
    <t>Pompe à vis sans fin, pour prise de force, deux étages</t>
  </si>
  <si>
    <t>Mixeur à lisier, moteur électrique, 3−5 m, 9 kW (12 ch)</t>
  </si>
  <si>
    <t>Mixeur à lisier, commande à prise de force, 4−6 m</t>
  </si>
  <si>
    <t>Brasseur à hélice, moteur électrique, 7.5 kW (10 ch)</t>
  </si>
  <si>
    <t>Séparateur avec pompe à lisier, moteur électrique, 9 kW (12 ch)</t>
  </si>
  <si>
    <t>Equipements pour épandage par tuyau</t>
  </si>
  <si>
    <t>Lance à lisier, 3 points, manuel</t>
  </si>
  <si>
    <t>Répartiteur de lisier, 3 points, automatique</t>
  </si>
  <si>
    <t>Répartiteur de lisier, 3 points, électrique</t>
  </si>
  <si>
    <t>Dispositif d'épandage à tuyaux souples, 7 m</t>
  </si>
  <si>
    <t>Dispositif d'épandage à tuyaux souples, 9 m</t>
  </si>
  <si>
    <t>Dispositif d'épandage à tuyaux souples, 12 m</t>
  </si>
  <si>
    <t>Dispositif d'épandage à tuyaux souples, 15 m</t>
  </si>
  <si>
    <t>Dispositif d'épandage à patins, 7 m</t>
  </si>
  <si>
    <t>Dispositif d'épandage à patins, 9 m</t>
  </si>
  <si>
    <t>Dispositif d'épandage à patins, 12 m</t>
  </si>
  <si>
    <t>Dispositif d'épandage à patins, 15 m</t>
  </si>
  <si>
    <t>Conduites et tuyaux</t>
  </si>
  <si>
    <t>Tuyau PVC, 100 m, ø 75 mm</t>
  </si>
  <si>
    <t>Tuyau PVC, fixation treuil, 3 points, 300 m, ø 75 mm</t>
  </si>
  <si>
    <t>Tuyau PVC, fixation treuil, 3 points, 600 m, ø 75 mm</t>
  </si>
  <si>
    <t>Tuyau PVC, fixation treuil, 3 points, 300 m, ø 90 mm</t>
  </si>
  <si>
    <t>Tuyau PVC, fixation treuil, 3 points, 600 m, ø 90 mm</t>
  </si>
  <si>
    <t>Tuyau PE, 100 m, ø 75 mm</t>
  </si>
  <si>
    <t>Tuyau PE, 100 m, ø 90 mm</t>
  </si>
  <si>
    <t>Tuyau à lisier acier, 100 m, ø 70 mm</t>
  </si>
  <si>
    <t>Arrosage</t>
  </si>
  <si>
    <t>Pompe d'arrosage pour tracteur avec tuyau, 100 m</t>
  </si>
  <si>
    <t>Pompe d'arrosage électrique, 22−30 kW (30−40 ch)</t>
  </si>
  <si>
    <t>Installation d'arrosage, 37 arroseurs, tuyau, 600 m</t>
  </si>
  <si>
    <t>Installation d'arrosage à enrouleur petit, 170 m</t>
  </si>
  <si>
    <t>Installation d'arrosage à enrouleur, 350 m</t>
  </si>
  <si>
    <t>Installation d'arrosage à enrouleur, 450 m</t>
  </si>
  <si>
    <t>Compostage</t>
  </si>
  <si>
    <t>Déchiqueteuse de déchets, prise de force</t>
  </si>
  <si>
    <t>Déchiqueteuse de déchets, moteur à diesel, 30 kW (41 ch)</t>
  </si>
  <si>
    <t>Retourneur d'andains de compost, prise de force</t>
  </si>
  <si>
    <t>7. Récolte de céréales, colza et maïs</t>
  </si>
  <si>
    <t>Moissonneuses-batteuses (sans barres de coupe)</t>
  </si>
  <si>
    <t>Moissonneuse-batteuse (170 ch, 125 kW), à 4.2−4.8 m</t>
  </si>
  <si>
    <t>Moissonneuse−batteuse  (204 ch, 150 kW), à 4.8−5.2 m</t>
  </si>
  <si>
    <t>Moissonneuse−batteuse (238 ch, 175 kW), à 5.2−6 m</t>
  </si>
  <si>
    <t>Moissonneuse−batteuse (299 ch, 220 kW), à 5.2−6 m</t>
  </si>
  <si>
    <t>Moissonneuse−batteuse (350 ch, 257 kW), à 6−7 m</t>
  </si>
  <si>
    <t>Moissonneuse−batteuse (400 ch, 294 kW), à 7−8 m</t>
  </si>
  <si>
    <t>Moissonneuse−batteuse (470 ch, 345 kW), à 8−9 m</t>
  </si>
  <si>
    <t>Moissonneuse−batteuse (550 ch, 404 kW), à 9−10 m</t>
  </si>
  <si>
    <t>Barres de coupe avec remorque</t>
  </si>
  <si>
    <t>Barre de coupe, 3.9−4.2 m (remorque)</t>
  </si>
  <si>
    <t>Barre de coupe, 4.2−4.8 m (remorque)</t>
  </si>
  <si>
    <t>Barre de coupe, 4.8−5.2 m (remorque)</t>
  </si>
  <si>
    <t>Barre de coupe, 5.2−6 m (remorque)</t>
  </si>
  <si>
    <t>Barre de coupe, 6−7 m (remorque)</t>
  </si>
  <si>
    <t>Barre de coupe, 7−8 m (remorque)</t>
  </si>
  <si>
    <t>Barre de coupe, 8−9 m (remorque)</t>
  </si>
  <si>
    <t>Barre de coupe, 9−10 m (remorque)</t>
  </si>
  <si>
    <t>Autres outils pour moissonneuses-batteuses</t>
  </si>
  <si>
    <t>Becs-cueilleurs, 6 rangs, avec broyeur de tige</t>
  </si>
  <si>
    <t>Becs-cueilleurs, 8 rangs, avec broyeur de tige</t>
  </si>
  <si>
    <t>Barre de coupe à colza, 5.40 m</t>
  </si>
  <si>
    <t>Barre de coupe à tournesol, avec broyeur de tige, 5.40 m</t>
  </si>
  <si>
    <t>Broyeurs, éparpilleurs de paille et transporteurs</t>
  </si>
  <si>
    <t>Distributeur de paille pour moissonneuse-batteuse</t>
  </si>
  <si>
    <t>Transbordeur à grain, 20−25 m3</t>
  </si>
  <si>
    <t>8. Récolte des pommes de terre et des betteraves</t>
  </si>
  <si>
    <t>Défaneuses et brûleurs</t>
  </si>
  <si>
    <t>Défaneuse à pommes de terre, 1.8 m, 2 rangs</t>
  </si>
  <si>
    <t>Défaneuse à pommes de terre, 3 m, 4 rangs</t>
  </si>
  <si>
    <t>Brûleur au gaz propane, 3 m, 4 rangs</t>
  </si>
  <si>
    <t>Arracheuses et  récolteuse de pommes de terre</t>
  </si>
  <si>
    <t>Récolteuse totale de pommes de terre, trémie grande, 1 rang</t>
  </si>
  <si>
    <t>Récolteuse totale de pommes de terre avec séparateur, fond mouvant et trémie supplémentaire, 1 rang</t>
  </si>
  <si>
    <t>Récolteuse totale de pommes de terre avec tapis de déchargement latéral, 2 rangs, trémie 7 t</t>
  </si>
  <si>
    <t>Récolteuse totale de pommes de terre avec tapis de déchargement latéral, 2 rangs, trémie 9 t</t>
  </si>
  <si>
    <t>Récolte de betteraves</t>
  </si>
  <si>
    <t>Récolteuse totale de betteraves sucrières, traînée, 2 rangs</t>
  </si>
  <si>
    <t>Récolteuse totale de betteraves, automotrice, 6 rangs, 24 m3, moteur à diesel, 480 kW (652 ch)</t>
  </si>
  <si>
    <t xml:space="preserve">Outils de nettoyage pour betteraves </t>
  </si>
  <si>
    <t>Chargeuse à betteraves, automotrice, moteur à diesel, 260 kW (354 ch)</t>
  </si>
  <si>
    <t>9. Récolte des fourrages (herbage et maïs d'ensilage)</t>
  </si>
  <si>
    <t>Barres de coupe et râteaux-faneurs pour faucheuse à 2 essieux</t>
  </si>
  <si>
    <t>Barre de coupe à double lame, 2.1−2.4 m</t>
  </si>
  <si>
    <t xml:space="preserve">Faucheuse rotative frontale, 2.2 m </t>
  </si>
  <si>
    <t>Râteau-faneur, 2.8−3.1 m</t>
  </si>
  <si>
    <t>Faucheuses et conditionneurs pour tracteurs</t>
  </si>
  <si>
    <t>Barre de coupe à double lame, 1.7−2.1 m, repliable hydr.</t>
  </si>
  <si>
    <t>Barre de coupe frontale, à double lame, 2.5 m</t>
  </si>
  <si>
    <t>Faucheuse rotative frontale, 2.5−3.0 m</t>
  </si>
  <si>
    <t>Faucheuse-conditionneuse frontale, 2.5−3.0 m</t>
  </si>
  <si>
    <t>Faucheuse-conditionneuse frontale, 3.5 m</t>
  </si>
  <si>
    <t>Faucheuse-conditionneuse, traînée, 2.5−3.1 m</t>
  </si>
  <si>
    <t>Faucheuse-rotative, 1.6−2.0 m</t>
  </si>
  <si>
    <t>Faucheuse-rotative, 2.1−2.6 m</t>
  </si>
  <si>
    <t>Faucheuse−conditionneuse, attelage 3 points, 2.1−2.6 m</t>
  </si>
  <si>
    <t>Faucheuse−conditionneuse, attelage 3 points, 2.8−3.2 m</t>
  </si>
  <si>
    <t>Faucheuse−conditionneuse, attelage 3 points, 3.2−4.0 m</t>
  </si>
  <si>
    <t>Faucheuse−rotative combinée, 1 attelage avant, 1 attelages arrière, 5−6m</t>
  </si>
  <si>
    <t>Combinaison de fauche avec conditionneurs, frontal/axial, 5−6 m</t>
  </si>
  <si>
    <t>Faucheuse−rotative combinée, 1 attelage avant, 2 attelages arrière, 8−10 m</t>
  </si>
  <si>
    <t xml:space="preserve">Combinaison de fauche avec conditionneurs, frontal/axial, 8−10 m </t>
  </si>
  <si>
    <t xml:space="preserve">Combinaison de fauche avec conditionneurs, convoyeurs transversaux, frontal/axial, 8−10 m </t>
  </si>
  <si>
    <t>Conditionneur, 2 m, attelage 3 points</t>
  </si>
  <si>
    <t>Conditionneur intensiv, traîné, 1.8 m</t>
  </si>
  <si>
    <t>Faneuses et retourneurs</t>
  </si>
  <si>
    <t>Pirouette, 3.5−4.5 m</t>
  </si>
  <si>
    <t>Pirouette, 4.6−6 m</t>
  </si>
  <si>
    <t>Pirouette, 6.1−7.5 m</t>
  </si>
  <si>
    <t>Pirouette, 7.5−9 m</t>
  </si>
  <si>
    <t>Pirouette, 9−13 m</t>
  </si>
  <si>
    <t>Retourneur d'andains, 2.5 m</t>
  </si>
  <si>
    <t>Andaineurs</t>
  </si>
  <si>
    <t>Andaineur à toupie, 2.8−3.3 m</t>
  </si>
  <si>
    <t>Andaineur à toupie, 3.4−4.5 m</t>
  </si>
  <si>
    <t>Andaineur à deux toupies, andainement central, 5.5−6.5 m,</t>
  </si>
  <si>
    <t>Andaineur à deux toupies, andainement central, &gt; 6.5 m</t>
  </si>
  <si>
    <t>Andaineur à deux toupies, andainement latéral, 5.5−6.5 m</t>
  </si>
  <si>
    <t>Andaineur (soleil),  6.5−7.5 m</t>
  </si>
  <si>
    <t>Andaineur pick-up, frontal/axial, 3−4 m</t>
  </si>
  <si>
    <t>Andaineur pick-up, axial, 6−7.5 m</t>
  </si>
  <si>
    <t>Andaineur pick-up, axial, 8−10 m</t>
  </si>
  <si>
    <t>Autochargeuses</t>
  </si>
  <si>
    <t>Autochargeuse pour transporteur, 9.5 m3 DIN</t>
  </si>
  <si>
    <t>Autochargeuse pour transporteur, 13 m3 DIN</t>
  </si>
  <si>
    <t>Autochargeuse avec dispositif de coupe, 15 m3 DIN</t>
  </si>
  <si>
    <t>Autochargeuse avec dispositif de coupe, 20 m3 DIN</t>
  </si>
  <si>
    <t>Autochargeuse avec dispositif de coupe, 25 m3 DIN</t>
  </si>
  <si>
    <t>Autochargeuse à rotor, 30 m3 DIN</t>
  </si>
  <si>
    <t>Autochargeuse à rotor, 35 m3 DIN</t>
  </si>
  <si>
    <t>Autochargeuse à rotor, 40 m3 DIN</t>
  </si>
  <si>
    <t>Supplément pour doseur d' autochargeuse</t>
  </si>
  <si>
    <t>Supplément de bande de déchargement latérale</t>
  </si>
  <si>
    <t>Remorques d'ensilage et avec paroi mobile</t>
  </si>
  <si>
    <t>Remorque d'ensilage avec doseur, 25 m3 DIN</t>
  </si>
  <si>
    <t>Remorque d'ensilage avec doseur, 35 m3 DIN</t>
  </si>
  <si>
    <t>Remorque d'ensilage avec doseur, 45 m3 DIN</t>
  </si>
  <si>
    <t>Remorque avec paroi mobile, 25 m3 DIN</t>
  </si>
  <si>
    <t>Remorque avec paroi mobile, 35 m3 DIN</t>
  </si>
  <si>
    <t>Remorque avec paroi mobile, 45 m3 DIN</t>
  </si>
  <si>
    <t>Presses, enrubanneuses et transporteurs de balles</t>
  </si>
  <si>
    <t>Presse pour silo-boudin avec gaine plastique, ø 2.4 m</t>
  </si>
  <si>
    <t>Presse à haute densité (petites balles)</t>
  </si>
  <si>
    <t>bottes</t>
  </si>
  <si>
    <t>Presse à petites balles rondes, avec ficelle, ø 0.5 m, 0.14 m3</t>
  </si>
  <si>
    <t>balles</t>
  </si>
  <si>
    <t>Presse à balles rondes, chambre fixe, 1.4 m3 (foins, paille)</t>
  </si>
  <si>
    <t>Presse à balles rondes, ch. fixe, avec couteaux supplémentaires, 1.4 m3 (silo)</t>
  </si>
  <si>
    <t>Presse à balles rondes, vario, 2.1 m3 (foins, paille)</t>
  </si>
  <si>
    <t>Presse à balles rondes, vario, couteaux supplémentaires, 2.1 m3 (silo)</t>
  </si>
  <si>
    <t>Presse à balles rectangulaires, 1.4 m3</t>
  </si>
  <si>
    <t>Presse à balles rectangulaires, 2 m3</t>
  </si>
  <si>
    <t>Presse à balles rectangulaires, avec rotor (hacheuse) avant, 2 m3</t>
  </si>
  <si>
    <t>Combinaison presse et enrubanneuse, balles rondes, 1.4 m3</t>
  </si>
  <si>
    <t>Combinaison presse et enrubanneuse, balles rondes, vario, 2.1 m3 (silo)</t>
  </si>
  <si>
    <t>Enrubanneuse pour petites balles rondes, ø 0.5 m, 0.14 m3</t>
  </si>
  <si>
    <t>Enrubanneuse pour balles rondes, attelage 3 points, ø 1.2 m, 1.4 m3</t>
  </si>
  <si>
    <t>Enrubanneuse pour balles rondes, trainée, ø 1.5 m, 2.1 m3</t>
  </si>
  <si>
    <t>Enrubanneuse pour balles rectangulaires, 1.2 m3</t>
  </si>
  <si>
    <t>Combinaison presse et enrubanneuse pour balles rondes pour maïs d'ensilage</t>
  </si>
  <si>
    <t>Groupeur de bottes, 30−50 bottes</t>
  </si>
  <si>
    <t>Remorque autochargeuse (8 balles rondes)</t>
  </si>
  <si>
    <t>Remorque pour transport de grosses balles, 10 t</t>
  </si>
  <si>
    <t>Ensileuses à maïs ou pour silo d'herbe (portée ou traînée)</t>
  </si>
  <si>
    <t>Ensileuse à maïs, portée, 1 rang</t>
  </si>
  <si>
    <t>Ensileuse à maïs, pivotante, 2 rangs</t>
  </si>
  <si>
    <t>Ensileuse à maïs, (portée), 4 rangs, frontal/axial</t>
  </si>
  <si>
    <t>Ensileuses automotrices</t>
  </si>
  <si>
    <t>Ensileuse automotrice, 280 kW (380 ch)</t>
  </si>
  <si>
    <t xml:space="preserve">    bec à maïs, 4 rangs</t>
  </si>
  <si>
    <t xml:space="preserve">    pick-up pour herbe, 3 m</t>
  </si>
  <si>
    <t>Ensileuse automotrice, 360 kW (490 ch)</t>
  </si>
  <si>
    <t xml:space="preserve">    bec à maïs, 6 rangs</t>
  </si>
  <si>
    <t xml:space="preserve">    bec à maïs, 8 rangs</t>
  </si>
  <si>
    <t>Ensileuse automotrice, 478 kW (650 ch)</t>
  </si>
  <si>
    <t>Ensileuse automotrice, 625 kW (850 ch)</t>
  </si>
  <si>
    <t xml:space="preserve">    bec à maïs, 10 rangs</t>
  </si>
  <si>
    <t>Pick-ups et becs à maïs pour ensileuse automotrice</t>
  </si>
  <si>
    <t>Bec à maïs, 4 rangs</t>
  </si>
  <si>
    <t>Bec à maïs, 6 rangs</t>
  </si>
  <si>
    <t>Bec à maïs, 8 rangs</t>
  </si>
  <si>
    <t>Bec à maïs, 10 rangs</t>
  </si>
  <si>
    <t>Pick-up, 3 m, pour ensileuse automotrice, 280 kW</t>
  </si>
  <si>
    <t>Pick-up, 3 m, pour ensileuse automotrice, 360 kW</t>
  </si>
  <si>
    <t>Pick-up, 3 m, pour ensileuse automotrice, 478 kW</t>
  </si>
  <si>
    <t>Pick-up, 3 m, pour ensileuse automotrice, 625 kW</t>
  </si>
  <si>
    <t>10. Stockage, reprise et distribution du fourrage</t>
  </si>
  <si>
    <t>Souffleurs et doseurs</t>
  </si>
  <si>
    <t>Souffleur pour fourrage haché</t>
  </si>
  <si>
    <t>Souffleur polyvalent, moteur électrique, 11 kW (15 ch)</t>
  </si>
  <si>
    <t>Doseur</t>
  </si>
  <si>
    <t>Bande d'alimentation pour souffleur et doseur, 3−3.5 m</t>
  </si>
  <si>
    <t>Moteur à diesel, d'occasion, pour souffleur pour fourrage haché ou pour moulin, 175 kW (238 ch)</t>
  </si>
  <si>
    <t>Souffleuse-hacheuse avec moteur diesel d'occasion, 175 kW (238 ch)</t>
  </si>
  <si>
    <t>Elévateurs à bande</t>
  </si>
  <si>
    <t>Elévateur à bande, 6 m, moteur électrique, 1 kW (2 ch)</t>
  </si>
  <si>
    <t>Elévateur à bande, 10 m, moteur électrique, 2 kW (3 ch)</t>
  </si>
  <si>
    <t>Reprise et distribution du fourrage</t>
  </si>
  <si>
    <t>Remorque mélangeuse, avec balance, 7 m3</t>
  </si>
  <si>
    <t>Remorque mélangeuse, avec balance, 10 m3</t>
  </si>
  <si>
    <t>Remorque mélangeuse, avec balance, 12 m3</t>
  </si>
  <si>
    <t>Remorque mélangeuse, avec balance, 14 m3</t>
  </si>
  <si>
    <t>Remorque mélangeuse, avec balance, 16 m3</t>
  </si>
  <si>
    <t>Remorque mélangeuse, avec balance, 25 m3</t>
  </si>
  <si>
    <t>Remorque désileuse-mélangeuse avec système de coupe et balance, 7 m3</t>
  </si>
  <si>
    <t>Remorque désileuse-mélangeuse avec système de coupe et balance, 10 m3</t>
  </si>
  <si>
    <t>Remorque désileuse-mélangeuse avec système de coupe et blance, 12 m3</t>
  </si>
  <si>
    <t>Remorque désileuse-mélangeuse, 14 m3</t>
  </si>
  <si>
    <t>Remorque désileuse-mélangeuse, 16 m3</t>
  </si>
  <si>
    <t>Remorque désileuse-mélangeuse, 18 m3</t>
  </si>
  <si>
    <t>Désileuse-mélangeuse automotrice, moteur à diesel,17 m3  (130 kW, 175 ch)</t>
  </si>
  <si>
    <t>Désileuse distributrice pour silos-couloir, 2.3 m3</t>
  </si>
  <si>
    <t>Désileuse par blocs pour silos−couloir, 1.5−1.9 m3</t>
  </si>
  <si>
    <t>Machine à couper les balles rondes</t>
  </si>
  <si>
    <t>Dérouleur et distributeur de balles rondes</t>
  </si>
  <si>
    <t>Mélangeuse de fourrages, moteur électrique, 4 kW (5 ch)</t>
  </si>
  <si>
    <t>Mélangeuse automotrice, électrique (18 kW, câble), 3−5 m³</t>
  </si>
  <si>
    <t>Mélangeuse automotrice, électrique (22 kW, câble), 7−10 m³</t>
  </si>
  <si>
    <t>Mélangeuse automotrice, électrique (22 kW, câble), 12−14 m³</t>
  </si>
  <si>
    <t>11. Autres équipements de ferme</t>
  </si>
  <si>
    <t>Pailleuses</t>
  </si>
  <si>
    <t>Distributeur de paille, prise de force</t>
  </si>
  <si>
    <t>Outils de nettoyage</t>
  </si>
  <si>
    <t>Balayeuse, jusqu'à 2.25 m, attelage 3 points</t>
  </si>
  <si>
    <t>Nettoyeur haute pression, moteur électrique, 8 kW (11 ch), ≤ 200 bar</t>
  </si>
  <si>
    <t>Nettoyeur haute pression à eau chaude, moteur électrique, 7.8 kW (11 ch), ≤ 200 bar</t>
  </si>
  <si>
    <t>Divers outils</t>
  </si>
  <si>
    <t>Groupe électrogène entraîné par prise de force, 30 kVA (24 kW, 40 A)</t>
  </si>
  <si>
    <t>Groupe électrogène entraîné par prise de force, 50 kVA (40 kW, 63 A)</t>
  </si>
  <si>
    <t>Groupe électrogène, moteur à diesel, 40 kVA (32 kW)</t>
  </si>
  <si>
    <t>Groupe électrogène, moteur à diesel, 60 kVA (48 kW)</t>
  </si>
  <si>
    <t>Fourneau à mazout, 100 000 kcal, 120 kW, sans carburant</t>
  </si>
  <si>
    <t>Moulin à marteaux pour grains humides, entraîné par prise de force, p. att. 3 points, ≥ 36 kW (50 ch)</t>
  </si>
  <si>
    <t>Vis à grains, 6 m, moteur électrique, 1 kW (2 ch)</t>
  </si>
  <si>
    <t>Cage de contention (travail), basculante, mobile (p. att. 3 points)</t>
  </si>
  <si>
    <t>bêtes</t>
  </si>
  <si>
    <t>Installation de contention pour bovin</t>
  </si>
  <si>
    <t>Installation de contention pour bovin, mobile</t>
  </si>
  <si>
    <t>Balance électronique pour couloir de contention avec barres de pesée</t>
  </si>
  <si>
    <t>12. Travaux forestiers et engins de chantier</t>
  </si>
  <si>
    <t>Scies et fendeuses (voir également les petits outils à moteur)</t>
  </si>
  <si>
    <t>Scie circulaire, moteur électrique</t>
  </si>
  <si>
    <t>Scie circulaire, prise de force</t>
  </si>
  <si>
    <t>Fendeuse à bois pour petites bûches, hydraulique, verticale</t>
  </si>
  <si>
    <t>Fendeuse à bois, prise de force, hydraulique</t>
  </si>
  <si>
    <t>Treuil pour fendeuse à bois</t>
  </si>
  <si>
    <t>Fendeuse à bois, traînée, prise de force</t>
  </si>
  <si>
    <t>Fendeuse à bois, traînée, moteur à essence, 10 kW (14 ch)</t>
  </si>
  <si>
    <t>Bouleuse à bois, 1 m3</t>
  </si>
  <si>
    <t>Scie-fendeuse à bois</t>
  </si>
  <si>
    <t>Ecorceuse-appointeuse de piquets</t>
  </si>
  <si>
    <t>Treuils et matériels de manutention</t>
  </si>
  <si>
    <t>Treuil porté, force de traction 4 t</t>
  </si>
  <si>
    <t>Treuil porté, force de traction 6.5 t</t>
  </si>
  <si>
    <t>Treuil porté, force de traction 8 t</t>
  </si>
  <si>
    <t>Treuil double-tambour, force de traction 2 x 6 t</t>
  </si>
  <si>
    <t>Engin de débardage avec treuil</t>
  </si>
  <si>
    <t>Commande à distance pour treuil</t>
  </si>
  <si>
    <t>Commande à distance pour deux treuils</t>
  </si>
  <si>
    <t>Pince hydraulique à machoire</t>
  </si>
  <si>
    <t>Grappin, attelage 3 points</t>
  </si>
  <si>
    <t>Remorque forestière avec grue, 8−12 t</t>
  </si>
  <si>
    <t>Déchiqueteuse à bois</t>
  </si>
  <si>
    <t>Déchiqueteuse de bois, prise de force, jusqu'à 10 cm Ø du tronc</t>
  </si>
  <si>
    <t>Déchiqueteuse de bois, prise de force, jusqu'à 25 cm Ø du tronc</t>
  </si>
  <si>
    <t>Entretien et plantation</t>
  </si>
  <si>
    <t>Broyeur forestier, jusqu'à 2.3 m</t>
  </si>
  <si>
    <t>Déssoucheuse, prise de force</t>
  </si>
  <si>
    <t>Tarière, pour attelage 3 points</t>
  </si>
  <si>
    <t>Machines de chantier</t>
  </si>
  <si>
    <t>Pelle mécanique compacte, 1 t, 7.5 kW (10 ch)</t>
  </si>
  <si>
    <t>Pelle mécanique compacte, 1.7 t, 12 kW (16 ch)</t>
  </si>
  <si>
    <t>Transporteur à chenilles, 500 kg, essence, 4.5 kW (6 ch)</t>
  </si>
  <si>
    <t>Transporteur à chenilles, 700 kg, essence, 10 kW (13 ch)</t>
  </si>
  <si>
    <t>Bétonnière, 1200 l, prise de force</t>
  </si>
  <si>
    <t>13. Arboriculture fruitière (hypthèses baséss sur une superficie de 8 ha)</t>
  </si>
  <si>
    <t>Faucheuse à mulching, axe vertical, 2−3 m</t>
  </si>
  <si>
    <t>Faucheuse à mulching, axe vertical, bras pivotant unilatéral, 2−3 m</t>
  </si>
  <si>
    <t>Faucheuse à mulching, avec bras pivotant des deux côtés, 2−3.5 m</t>
  </si>
  <si>
    <t>Faucheuse à mulching, axe horizontal, 1.3−2.7 m</t>
  </si>
  <si>
    <t>Faucheuse à mulching, axe horizontal, avec ramasseur du bois, 1.3−2 m</t>
  </si>
  <si>
    <t>Ramasseur du bois, un côté</t>
  </si>
  <si>
    <t>Sarcleuse pour rangée d'arbres, un côté, avec bras tâteur (type Ladurner)</t>
  </si>
  <si>
    <t>Sarcleuse pour rangée d'arbres, deux côtés, avec bras tâteur (type Ladurner)</t>
  </si>
  <si>
    <t>Sarcleuse étoile à doigts Kress, un côté</t>
  </si>
  <si>
    <t>Sarcleuse étoile à doigts Kress, deux côtés</t>
  </si>
  <si>
    <t>Brosse rotative horizontale à fils pour désherbage,  un côté</t>
  </si>
  <si>
    <t>Brosse rotative horizontale à fils pour désherbage, deux côtés</t>
  </si>
  <si>
    <t>Outil à fil pour éclaircissage</t>
  </si>
  <si>
    <t>Coupe-racines, un côté, hydraulique</t>
  </si>
  <si>
    <t>mètre courant</t>
  </si>
  <si>
    <t>Effeuilleuse à rouleaux, latérale</t>
  </si>
  <si>
    <t>Pompes à traiter</t>
  </si>
  <si>
    <t>Pulvérisateur porté avec ventilateur, réservoir 500 l</t>
  </si>
  <si>
    <t>Pulvérisateur porté avec ventilateur, réservoir 500 l, terminal utilisateur</t>
  </si>
  <si>
    <t>Pulvérisateur traîné avec ventilateur, réservoir 1000 l</t>
  </si>
  <si>
    <t>Pulvérisateur traîné avec ventilateur, réservoir 1000 l, terminal utilisateur</t>
  </si>
  <si>
    <t>Rampe à herbicide, un côté, hydraulique</t>
  </si>
  <si>
    <t>Rampe à herbicide, deux côtés, hydraulique</t>
  </si>
  <si>
    <t>Réservoir à herbicide semi-porté, 400 l</t>
  </si>
  <si>
    <t>Machines de récolte et transport</t>
  </si>
  <si>
    <t>Machine pour secouer les arbres fruitiers</t>
  </si>
  <si>
    <t>arbres</t>
  </si>
  <si>
    <t>Secoueur d'arbres, entraînement hydraulique, attelage 3 points</t>
  </si>
  <si>
    <t>Ramasseuse de fruits à cidre, 3 kW (4 ch)</t>
  </si>
  <si>
    <t>Ramasseuse de fruits à cidre automotrice avec siège, essence, 15 kW (20 ch)</t>
  </si>
  <si>
    <t>Char de récolte pour 1 palox (2 essieux)</t>
  </si>
  <si>
    <t>Char de récolte pour 1 palox (1 essieu)</t>
  </si>
  <si>
    <t>Char de récolte pour 4 palox</t>
  </si>
  <si>
    <t xml:space="preserve">Plate-forme de cueillette automotrice, simple, moteur électrique </t>
  </si>
  <si>
    <t>Plate-forme de cueillette automotrice, moyenne, moteur électrique</t>
  </si>
  <si>
    <t>Plate-forme de cueillette automotrice, lourde, moteur électrique</t>
  </si>
  <si>
    <t>Plate-forme de travail pour hautes-tiges</t>
  </si>
  <si>
    <t>Tapis-roulant pour la cueillette des fruits, Pluk-O-Track, moteur à essence, 8 kW (11 ch)</t>
  </si>
  <si>
    <t>Porte-paloxes pour la cueillette des fruits</t>
  </si>
  <si>
    <t>Pressoir hydraulique à paquet tournant, sur roues</t>
  </si>
  <si>
    <t>hectolitres</t>
  </si>
  <si>
    <t>Outils divers et outils spéciales pour la cultures des baies</t>
  </si>
  <si>
    <t>Enfonce-pieux, jusqu' à 3.6 m</t>
  </si>
  <si>
    <t>Trancheuse pour plantation d'arbres  sous filet anti-grêle</t>
  </si>
  <si>
    <t>Epandeur à compost arboricole, 3 m3</t>
  </si>
  <si>
    <t>Machine à équeuter les cerises</t>
  </si>
  <si>
    <t>Plate-forme pour le montage de filets sur les cerisiers</t>
  </si>
  <si>
    <t>Outils pour le montage de filets contre les intempéries (cerises)</t>
  </si>
  <si>
    <t>Outils pour la pose de filet sur les petits fruits  (1 ou 3 rangs, sans le filet)</t>
  </si>
  <si>
    <t>Éolienne pour protection antigel (Tow&amp;Blow), diesel, 22 kW (30 ch)</t>
  </si>
  <si>
    <t>Turbine stationnaire à air chaud, à gaz (avec plateforme pour bouteilles de gaz)</t>
  </si>
  <si>
    <t>Turbine mobile à air chaud, à gaz, trainée par tracteur</t>
  </si>
  <si>
    <t>Rampe de pulvérisation pour fraises, 5 rangs, avec pulvérisateur standard    </t>
  </si>
  <si>
    <t>Rampe de pulvérisation pour fraises, 8 rangs, avec pulvérisateur standard    </t>
  </si>
  <si>
    <t>Broyeur de paille pour balles rondes</t>
  </si>
  <si>
    <t>14. Viticulture (pour vignerons-encaveurs avec 3−6 ha de vigne)</t>
  </si>
  <si>
    <t>Travail du sol et fumure</t>
  </si>
  <si>
    <t>Cultivateur, sans entraînement, 1.5 m</t>
  </si>
  <si>
    <t>Fraise, 1.25 m</t>
  </si>
  <si>
    <t>Herse rotative, 1.25 m</t>
  </si>
  <si>
    <t>Distributeur centrifuge de granulés pour herse rotative, 100−110 l</t>
  </si>
  <si>
    <t>Bêcheuse, 1.25 m</t>
  </si>
  <si>
    <t>Mototreuil, moteur à essence, 7 kW (9 ch)</t>
  </si>
  <si>
    <t>Motohoue, moteur à essence, 5 kW (7 ch)</t>
  </si>
  <si>
    <t>Distributeur d'engrais centrifuge avec déflecteur, 300 l</t>
  </si>
  <si>
    <t>Epandeur à compost, 3 m3</t>
  </si>
  <si>
    <t>Entretien du sol</t>
  </si>
  <si>
    <t>Broyeur pour chenillette 1.2−1.5 m</t>
  </si>
  <si>
    <t>Broyeur sur chenilles (No 1058), moteur à essence, 7 kW (10 ch)</t>
  </si>
  <si>
    <t>Tondeuse automotrice, moteur à essence, 8 kW (11 ch)</t>
  </si>
  <si>
    <t>Débroussailleuse portée, attelage 3 points, 1.5 m</t>
  </si>
  <si>
    <t>Débroussailleuse portée, attelage 3 points, 1.6−2.2 m</t>
  </si>
  <si>
    <t>Faucheuse à mulching avec décavaillonneuse, 1.3−2.1 m</t>
  </si>
  <si>
    <t>Epampreuse latérale à brosses</t>
  </si>
  <si>
    <t>Décavaillonneuse, latérale, hydraulique</t>
  </si>
  <si>
    <t>Décavaillonneuse pour tracteur, bilatérale, hydraulique</t>
  </si>
  <si>
    <t>Epareuse à bras, attelage 3 points, 0.8−1 m</t>
  </si>
  <si>
    <t>Décavailloneuse latérale pour tracteur avec tateur</t>
  </si>
  <si>
    <t>Brosse de ceps, rangée d'arbres 1.6−2.4 m, attelage 3 points</t>
  </si>
  <si>
    <t>Soins à la vigne</t>
  </si>
  <si>
    <t xml:space="preserve">Prétailleuse à cage rotative </t>
  </si>
  <si>
    <t>Cisailleuse en U, 1 rang</t>
  </si>
  <si>
    <t>Effeuilleuse à rouleaux, latérale, attelage 3 points</t>
  </si>
  <si>
    <t>Sécateur électrique avec batterie de rechange</t>
  </si>
  <si>
    <t>Compresseur pneumatique, attelage 3 points, 2 sécateurs</t>
  </si>
  <si>
    <t>Compresseur pneumatique, moteur électrique, 2 kW (3 ch), 2 sécateurs</t>
  </si>
  <si>
    <t>Palisseuse à vigne, 1 rang</t>
  </si>
  <si>
    <t>Pistolet attacheur, électrique, avec batterie de rechange</t>
  </si>
  <si>
    <t>Pulvérisateur porté, réservoir 200−300 l, attelage 3 points</t>
  </si>
  <si>
    <t>Pulvérisateur porté sur véhicule, réservoir 100−150 l, moteur à essence, 6.5 kW (9 ch)</t>
  </si>
  <si>
    <t>Pulvérisateur traîné, 600 l</t>
  </si>
  <si>
    <t>Pulvérisateur automoteur avec siège, réservoir 220 l, moteur à essence, 19 kW (26 ch)</t>
  </si>
  <si>
    <t>Drone de protection des plantes, batterie incluse</t>
  </si>
  <si>
    <t>Vendange</t>
  </si>
  <si>
    <t>Machine à vendanger tractée</t>
  </si>
  <si>
    <t>15. Cultures maraîchères (hypothèses basées sur une surface utile de 20 ha, utilisation x 1.5), pour d’autres machines voir www.proficost.ch</t>
  </si>
  <si>
    <t>Fraise pour culture en plate-bande, 1.50 m</t>
  </si>
  <si>
    <t>Fraise pour culture en plate-bande, 1.80 m</t>
  </si>
  <si>
    <t>Epandeur à engrais sur fraise plate-bande, 1.80 m</t>
  </si>
  <si>
    <t>Fraise-butteuse pour des asperges, 2 m</t>
  </si>
  <si>
    <t>Fraise-butteuse pour carottes</t>
  </si>
  <si>
    <t>Fraise, 3 m</t>
  </si>
  <si>
    <t>Semis, plantation</t>
  </si>
  <si>
    <t>Semoir monograine pour légumes, 4 rangs</t>
  </si>
  <si>
    <t>Semoir monograine pour légumes, double rang, 3 m</t>
  </si>
  <si>
    <t>Semoir de type Sembner, 1.80 m</t>
  </si>
  <si>
    <t>Semoir à pousses de salade, 1.80 m</t>
  </si>
  <si>
    <t>Semoir de précision pour serre, 1.00 m</t>
  </si>
  <si>
    <t>Planteuse mécanique, 4 rangs, 1.80 m</t>
  </si>
  <si>
    <t>Planteuse de type «Bändchen», 4 rangs, 1.80 m</t>
  </si>
  <si>
    <t>Planteuse de type «Spidy», 4 rangs, 1.80 m</t>
  </si>
  <si>
    <t>Planteuse à rampon, essence, 3.5 kW (5 ch), automoteur, 1.50 m, 2500 pl./h</t>
  </si>
  <si>
    <t>Planteuse semi-automatique avec système de séparation, 4 rangs</t>
  </si>
  <si>
    <t>Dérouleuse de film plastique légère (semis)</t>
  </si>
  <si>
    <t>Dérouleuse de film plastique 1.80 m, lourde (CM)</t>
  </si>
  <si>
    <t>Soin et protection des plantes</t>
  </si>
  <si>
    <t>Sarcleuse à socs avec distributeur d'engrais, 4 rangs, 1.80 m</t>
  </si>
  <si>
    <t>Sarcleuse à doigts, 1.80 m, 4 rangs</t>
  </si>
  <si>
    <t>#Sarcleuse à doigts, 3.0 m, 5 rangs</t>
  </si>
  <si>
    <t>#Sarcleuse à étoile, 3.0 m, 5 rangs</t>
  </si>
  <si>
    <t>#Butteuse-bineuse, 3.0 m, 5 rangs</t>
  </si>
  <si>
    <t>#Bineuse fraiseuse, 3.0 m, 5 rangs</t>
  </si>
  <si>
    <t>#Herse étrille de précision, 6 m</t>
  </si>
  <si>
    <t>Pompe à traiter avec tuyau sur enrouleur, réservoir 300 l sur châssis, essence, 4 kW</t>
  </si>
  <si>
    <t>Pulvérisateur 200 l pour traitement en bande, 1.80 m, combiné</t>
  </si>
  <si>
    <t>Herse de sarclage, 1.7 m</t>
  </si>
  <si>
    <t>Herse de sarclage, 4.7 m</t>
  </si>
  <si>
    <t>Robot de sarclage, frontal/axial</t>
  </si>
  <si>
    <t>Broyeur pour les asperges</t>
  </si>
  <si>
    <t>Sarcleuse à brosses, 5 rangs</t>
  </si>
  <si>
    <t>Contrôle de la caméra pour sarcleuses</t>
  </si>
  <si>
    <t>Récolte</t>
  </si>
  <si>
    <t>Récolteuse de carottes, 1 rang, attelage 3 points</t>
  </si>
  <si>
    <t>Récolteuse de carottes, 1 rang, trainée</t>
  </si>
  <si>
    <t>Récolteuse de carottes, 2 rangs, avec convoyeur, trainée</t>
  </si>
  <si>
    <t>Défaneuse à pommes de terre, 1.80 m</t>
  </si>
  <si>
    <t>Récolteuse à oignons, 1.80 m</t>
  </si>
  <si>
    <t>Récolteuse à pommes de terre avec système de récolte pour oignons, 1.80 m</t>
  </si>
  <si>
    <t>Machine à couteaux pour récolte de poireaux, 1.80 m</t>
  </si>
  <si>
    <t>Arracheuse pour poireaux, attelage 3 points (à préhension par les fanes)</t>
  </si>
  <si>
    <t>Machine de récolte avec toit (6.5 x 2.5 m), 10 palettes</t>
  </si>
  <si>
    <t>Machine de récolte avec toit (9 x 2.5 m), 16 palettes</t>
  </si>
  <si>
    <t>Tapis de récolte pour machine à récolter, 8 m</t>
  </si>
  <si>
    <t>Tapis de récolte pour machine à récolter, 10 m</t>
  </si>
  <si>
    <t>Récolteuse à salade, traînée, 1.80 m</t>
  </si>
  <si>
    <t>Tunnel de nettoyage pour légumes frais</t>
  </si>
  <si>
    <t>Machine d’assistance à la récolte des asperges</t>
  </si>
  <si>
    <t>Aide-récolteuse de concombre</t>
  </si>
  <si>
    <t>Transpalette électrique</t>
  </si>
  <si>
    <t>Tractoscope calcul du seuil d'achat</t>
  </si>
  <si>
    <t>Acheter ou louer? Déléguer les travaux ou les faire soi-même?</t>
  </si>
  <si>
    <t>Mode d'emploi</t>
  </si>
  <si>
    <t xml:space="preserve">Allez sur la feuille "Calcul des machines" et définissez d'abord si vous voulez calculer une seule machine  </t>
  </si>
  <si>
    <r>
      <t xml:space="preserve">(acheter ou louer une machine?) &gt; </t>
    </r>
    <r>
      <rPr>
        <sz val="10"/>
        <color indexed="10"/>
        <rFont val="Arial"/>
        <family val="2"/>
      </rPr>
      <t xml:space="preserve">choisissez  1 </t>
    </r>
    <r>
      <rPr>
        <sz val="10"/>
        <rFont val="Arial"/>
        <family val="2"/>
      </rPr>
      <t xml:space="preserve"> ou tout un procédé de travail</t>
    </r>
  </si>
  <si>
    <r>
      <t>(faire les travaux seul ou déléguer en  externe) &gt;</t>
    </r>
    <r>
      <rPr>
        <sz val="10"/>
        <color indexed="10"/>
        <rFont val="Arial"/>
        <family val="2"/>
      </rPr>
      <t xml:space="preserve"> choisissez 2 </t>
    </r>
    <r>
      <rPr>
        <sz val="10"/>
        <rFont val="Arial"/>
        <family val="2"/>
      </rPr>
      <t xml:space="preserve">  </t>
    </r>
  </si>
  <si>
    <t>Cliquez ici pour faire votre choix !</t>
  </si>
  <si>
    <t>Choisissez la(les) machines(e) et adaptez éventuellement les données à votre exploitation</t>
  </si>
  <si>
    <r>
      <rPr>
        <sz val="10"/>
        <color indexed="10"/>
        <rFont val="Arial"/>
        <family val="2"/>
      </rPr>
      <t>Attention!</t>
    </r>
    <r>
      <rPr>
        <sz val="10"/>
        <rFont val="Arial"/>
        <family val="2"/>
      </rPr>
      <t xml:space="preserve"> Vous ne pouvez indiquer au max. qu'un tracteur (A) et une machine (A1) </t>
    </r>
  </si>
  <si>
    <t>Retournez ensuite au calculateur de seuil d'achat</t>
  </si>
  <si>
    <t xml:space="preserve">Remplissez les cellules vertes </t>
  </si>
  <si>
    <t xml:space="preserve">   &gt; Tarif externe = prix de location ou tarif forfaitaire (entreprise de travaux agricoles)</t>
  </si>
  <si>
    <t xml:space="preserve">   &gt; Indiquez le degré d'utilisation échelonné sur votre exploitation (pour la représentation graphique en bas)</t>
  </si>
  <si>
    <t>Main d'oeuvre var.</t>
  </si>
  <si>
    <t>Fr./ h</t>
  </si>
  <si>
    <t>h/UT</t>
  </si>
  <si>
    <t>Tracteur var.</t>
  </si>
  <si>
    <t>Machine Var.</t>
  </si>
  <si>
    <t>Fr. par</t>
  </si>
  <si>
    <t xml:space="preserve"> =UT</t>
  </si>
  <si>
    <t>Seuil d'achat</t>
  </si>
  <si>
    <t>Supplément optionnel</t>
  </si>
  <si>
    <t>Fr./ UT</t>
  </si>
  <si>
    <t>(pour l'achat ou pour exécuter soi-même)</t>
  </si>
  <si>
    <t>Tarif externe (Fr./UT)</t>
  </si>
  <si>
    <t>Utilisation annuelle</t>
  </si>
  <si>
    <t xml:space="preserve">Coûts fixes </t>
  </si>
  <si>
    <t xml:space="preserve">Coûts variables </t>
  </si>
  <si>
    <t>Tarif externe /an</t>
  </si>
  <si>
    <t>Coûts par UT</t>
  </si>
  <si>
    <t>Coûts var. par UT</t>
  </si>
  <si>
    <t>Tableau 1: Coûts annuels</t>
  </si>
  <si>
    <t>Coûts fixes/UT</t>
  </si>
  <si>
    <t>Coûts variables/UT</t>
  </si>
  <si>
    <t>Tableau 1: Coûts par Unité de travail (UT)</t>
  </si>
  <si>
    <r>
      <t xml:space="preserve">TracSharing </t>
    </r>
    <r>
      <rPr>
        <b/>
        <sz val="11"/>
        <rFont val="Arial Black"/>
        <family val="2"/>
      </rPr>
      <t>(Programme de calcul pour communauté de machines)</t>
    </r>
  </si>
  <si>
    <t xml:space="preserve">Attention: ce calcul donne une vue d'ensemble simplifiée des conséquences financières d'une communauté de machines. </t>
  </si>
  <si>
    <t xml:space="preserve">             Il ne remplace PAS le logiciel et le contrat pour les communautés de machines d'AGRIDEA </t>
  </si>
  <si>
    <t>Calcul machine</t>
  </si>
  <si>
    <t>Unité de travail (UT)</t>
  </si>
  <si>
    <t>Indications personelles (part I)</t>
  </si>
  <si>
    <t>Prix d'achat, contribution..</t>
  </si>
  <si>
    <t xml:space="preserve">   Associé1=gérant de la machine, avec emplacement</t>
  </si>
  <si>
    <t xml:space="preserve">   Associé2</t>
  </si>
  <si>
    <t xml:space="preserve">   Associé3</t>
  </si>
  <si>
    <t xml:space="preserve">   Associé4</t>
  </si>
  <si>
    <t xml:space="preserve">   Associé5</t>
  </si>
  <si>
    <t xml:space="preserve">   Associé6</t>
  </si>
  <si>
    <t>Facteur de réparation</t>
  </si>
  <si>
    <t>Maintenance nécessaire</t>
  </si>
  <si>
    <t>Std./UT</t>
  </si>
  <si>
    <t>pro UT</t>
  </si>
  <si>
    <t>Données individuelles plus bas</t>
  </si>
  <si>
    <t>Réparations, lubrifiants, etc.</t>
  </si>
  <si>
    <t>Fr. par an</t>
  </si>
  <si>
    <t>Coûts de revient pour la machine</t>
  </si>
  <si>
    <t>Coûts de revient par associé (sans les coûts admnistratifs)</t>
  </si>
  <si>
    <t xml:space="preserve">   Associé1=gérant de la machine (avec emplacement de la machine)</t>
  </si>
  <si>
    <t>Valeur résiduelle probable par associé (en cas d'échange/ de vente de la machine)</t>
  </si>
  <si>
    <t>Coûts pour le gérant de la machine (Associé1, emplacement de machine)</t>
  </si>
  <si>
    <t>Indications personelles (part II)</t>
  </si>
  <si>
    <t>saisie valeur effective</t>
  </si>
  <si>
    <t>Réparations, Entretien</t>
  </si>
  <si>
    <t>saisie valeur effective (total)</t>
  </si>
  <si>
    <t>Carburant / Additifs</t>
  </si>
  <si>
    <t>Coûts administratifs annuels du détenteur de la machine</t>
  </si>
  <si>
    <t xml:space="preserve">   - moins les recettes tirées de la location</t>
  </si>
  <si>
    <t>Total des indemnisations auxquelles a droit celui qui gère la machine</t>
  </si>
  <si>
    <t>Coûts fixes du financement commun:</t>
  </si>
  <si>
    <t>Amortissement annuel et intérêts (total)</t>
  </si>
  <si>
    <t xml:space="preserve">Coûts totaux par unité de travail, y compris coûts administratifs et recettes de la location </t>
  </si>
  <si>
    <t>Coûts de revient par associé (brut)</t>
  </si>
  <si>
    <t>Valeur Agroscope</t>
  </si>
  <si>
    <t>Valeur personnelle (prioritaire)</t>
  </si>
  <si>
    <t>Intérêts calculés de la part de financement</t>
  </si>
  <si>
    <t>Avoir en fonction de la part de financement par associé, intérêts compris</t>
  </si>
  <si>
    <t>Avoir annuel total</t>
  </si>
  <si>
    <t>de la part de financement</t>
  </si>
  <si>
    <t>(=amortissement sans valeur résiduelle + intérêt calculé)</t>
  </si>
  <si>
    <t>Clef de répartition des coûts de réparation (seulement, si l'utilisation des associés est irrégulière)</t>
  </si>
  <si>
    <t>Coûts de réparation dans l'année calendaire</t>
  </si>
  <si>
    <t xml:space="preserve">Fr. coûts de réparations </t>
  </si>
  <si>
    <t xml:space="preserve">   Utilisation ancienne Ass.1 (gérant de la machine)</t>
  </si>
  <si>
    <t>pour toutes les années</t>
  </si>
  <si>
    <t xml:space="preserve">   Utilisation ancienne</t>
  </si>
  <si>
    <t>Paiement compensatoire par associé</t>
  </si>
  <si>
    <t xml:space="preserve">Mode de paiement, voir commentaire dans </t>
  </si>
  <si>
    <t>cellule B140</t>
  </si>
  <si>
    <t>Calcul de la valeur résiduelle / valeur actuelle</t>
  </si>
  <si>
    <t>Prix d'acquisition de la machine en (année X)</t>
  </si>
  <si>
    <t>Durée d'utilisation de la machine...</t>
  </si>
  <si>
    <t>jusqu'à aujourd'hui (âge)</t>
  </si>
  <si>
    <t>total (durée de vie attendue)</t>
  </si>
  <si>
    <t>(année X jusqu'à aujourd hui)</t>
  </si>
  <si>
    <t>ans</t>
  </si>
  <si>
    <t>TractoScope - Programme de calcul Coûts-machines</t>
  </si>
  <si>
    <t>Version 5.8 (Octobre 2025)</t>
  </si>
  <si>
    <t>Ce programme permet de calculer individuellement les coûts des machines. Il permet également d’effectuer les calculs parallèlement pour deux machines.</t>
  </si>
  <si>
    <t>Le programme permet au maximum de calculer 8 machines dans 8 blocs de saisie (dont deux véhicules à moteur)</t>
  </si>
  <si>
    <t xml:space="preserve"> Il est possible de calculer une variante individuelle avec ses propres données et de la contrôler à l’aide de la valeur indicative Agroscope.</t>
  </si>
  <si>
    <t>Certaines machines spéciales ne peuvent pas être calculées avec ce programme (avertissement).</t>
  </si>
  <si>
    <t xml:space="preserve"> www.cataloguedescouts.ch</t>
  </si>
  <si>
    <t xml:space="preserve">Dans l’intérêt d’une future optimisation du programme, nous serions reconnaissants aux utilisatrices et utilisateurs du programme de nous communiquer par E-mail </t>
  </si>
  <si>
    <t xml:space="preserve">les problèmes/erreurs constatés.  </t>
  </si>
  <si>
    <t>Mode d’emploi et sélection de machines</t>
  </si>
  <si>
    <t xml:space="preserve"> - Principe: saisie uniquement dans les champs verts!</t>
  </si>
  <si>
    <t xml:space="preserve"> - Les caractères bleus correspondent à un lien, c.-à-d. qu’il suffit de cliquer dessus pour être dirigé automatiquement vers l’adresse indiquée.</t>
  </si>
  <si>
    <t xml:space="preserve"> - Les caractères rouges correspondent à une indication ou à un avertissement </t>
  </si>
  <si>
    <t xml:space="preserve"> - Les cellules avec un angle rouge (en haut à droite) ont des champs commentaires qui apparaissent automatiquement lorsque vous passez la souris à cet endroit</t>
  </si>
  <si>
    <t xml:space="preserve"> - Imprimer cette page et allez sur le lien ci-dessous "Calcul des machines" ou sur la feuille "Calcul des machines"</t>
  </si>
  <si>
    <t xml:space="preserve"> - Vous découvrez deux blocs de saisie : ils sont répartis en données (valeurs par défaut, en gris; valeurs Agroscope) et en cellules vertes (colonnes F et M)</t>
  </si>
  <si>
    <t xml:space="preserve"> - Sélectionnez : calcul de machine isolée ou combinaison de machines (avec véhicule à moteur); cellule C4</t>
  </si>
  <si>
    <t xml:space="preserve"> - Si vous voulez, définissez le groupe de machines et insérez le manuellement dans le champ texte (p. ex. tracteur, remorque, charrue, etc.)</t>
  </si>
  <si>
    <t xml:space="preserve"> - Sélectionnez une machine dans la feuille "Maschinenliste" (Liste de machines)</t>
  </si>
  <si>
    <t>- si vous ne disposez pas du rapport Coûts-machines &gt; consulter la feuille "Liste de machines"</t>
  </si>
  <si>
    <t xml:space="preserve"> - la flèche Drop-down permet en outre de chercher directement le numéro (mais sans désignation)</t>
  </si>
  <si>
    <t xml:space="preserve">   (Cela peut toutefois être utile en cas de changement rapide pour un type de machines apparenté (p. ex. changement pour un tracteur plus puissant)</t>
  </si>
  <si>
    <t xml:space="preserve"> - Les données fixes (valeurs Agroscope) apparaissent également dans les cellules vertes. Mais vous pouvez apporter tous les changements souhaités!</t>
  </si>
  <si>
    <t xml:space="preserve"> - Procédez de haut en bas et contrôlez ou remplissez les champs verts dans le bloc de saisie A et/ou B</t>
  </si>
  <si>
    <t>- Si vous le souhaitez, vous pouvez modifier les hypothèses générales dans le tableau: "Hypothèses" (champs verts)  &gt; allez au tableau "Hypothèses"</t>
  </si>
  <si>
    <t xml:space="preserve">     - Attention: En changeant les hypothèses générales, vous changez aussi les valeurs indicatives Agroscope! (Avertissement)</t>
  </si>
  <si>
    <t xml:space="preserve"> - Pour le calcul des combinaisons de machines, poursuivez dans le bloc de saisie A1 - A3 resp. B1 - B3</t>
  </si>
  <si>
    <t xml:space="preserve"> - Dans la feuille "Résumé" (lien sous les blocs de saisie, ligne 251), indiquez une désignation pour le procédé (p. ex. tracteur avec charrue 4 socs).</t>
  </si>
  <si>
    <t xml:space="preserve"> - Choisissez ensuite la main-d’œuvre, resp. les coûts de l’opérateur (tarif horaire). &gt; D21 resp. L21</t>
  </si>
  <si>
    <t xml:space="preserve"> - Choisissez une capacité de travail individuelle (cellule D9 resp. L9)</t>
  </si>
  <si>
    <t xml:space="preserve"> - Le résultat total apparaît juste en dessous en deux unités de travail; un forfait de déplacement peut être ajouté si souhaité.</t>
  </si>
  <si>
    <t>Autres indications:</t>
  </si>
  <si>
    <t>- Lorsque les caractères sont coupés, la colonne doit être élargie.</t>
  </si>
  <si>
    <t xml:space="preserve"> - Impression: veuillez indiquer le nombre exact de pages à imprimer &gt; cf. aperçu avant impression.</t>
  </si>
  <si>
    <t xml:space="preserve"> - Saisie individuelle de la puissance en kW aux véhicules à moteur (tracteurs):</t>
  </si>
  <si>
    <t xml:space="preserve">   Pour les tracteurs en feuille "Maschinenliste" colonne D.</t>
  </si>
  <si>
    <t>Accédez au calcul de la machine en cliquant sur le lien ci-contre</t>
  </si>
  <si>
    <t>Calcul des machines</t>
  </si>
  <si>
    <t>Modules neufs / Compléments</t>
  </si>
  <si>
    <t>Combinaison de machines avec roues jumelées est possible avec des unités de travail comme hectares, charretées, m3 etc.</t>
  </si>
  <si>
    <t>&gt; Saisie roues jumelées cellule G10 et G11 ; système hydraulique frontal avec prise de force (optional) doit être inclus manuellement en prix d'achat.</t>
  </si>
  <si>
    <t>Avec le mudule "TracSharing" on peut calculer le paiement compensatoire pour un achat commun avec jusqu'à 4 associès</t>
  </si>
  <si>
    <t xml:space="preserve"> 1. Saisie du montant financement par associé -  la somme correspond au prix d'achat de la machine! </t>
  </si>
  <si>
    <t xml:space="preserve"> 2. Saisie de l'utilisation anuelle pour chaque associé (nombre d'heures, hectares, charrétées etc.) - la somme correspond à l'utilisation annuelle totale de la machine sans locations.</t>
  </si>
  <si>
    <t>Nouveau Version 4:</t>
  </si>
  <si>
    <t xml:space="preserve"> - Réparation et entretien sont ensemble dans une position.</t>
  </si>
  <si>
    <t xml:space="preserve"> - Saisie manuelle pour les coûts des produits auxiliaires.</t>
  </si>
  <si>
    <t xml:space="preserve"> - plus des indications et avertissements</t>
  </si>
  <si>
    <t>Nouveau: Version 5:</t>
  </si>
  <si>
    <t>TractoScope-Calculateur de seuil d'achat ("Acheter ou louer")</t>
  </si>
  <si>
    <t>Quand vaut-il la peine d'acheter la machine? Calculez ici, si l'achat d'une machine vaut la peine avec un degré d'utilisation donnée ou s'il est plus rentable</t>
  </si>
  <si>
    <t>de louer la machine ou même de déléguer les travaux à une entreprise de travaux agricoles (lorsque c'est possible).</t>
  </si>
  <si>
    <t>Accès au calculateur de seuil d'achat</t>
  </si>
  <si>
    <t>Nouveau: Version 5.1:</t>
  </si>
  <si>
    <t>Erreur dans la calculation "acheter ou louer" avec des machines calculées en heures est eliminée.</t>
  </si>
  <si>
    <t>Tableau supplémentaire pour "acheter ou louer"</t>
  </si>
  <si>
    <t>Nouveau: Version 5.2</t>
  </si>
  <si>
    <t>Mise à jour des taux de salaire horaire de la main-d'œuvre</t>
  </si>
  <si>
    <t>Correction de petites erreurs</t>
  </si>
  <si>
    <t>Nouveau: Version 5.3</t>
  </si>
  <si>
    <t>Calcul possible pour les machines utilisant le gaz ou l'électricité comme carburant</t>
  </si>
  <si>
    <t>Nouveau: Version 5.4</t>
  </si>
  <si>
    <t>Correction d'une erreur de référence dans la formule Excel.</t>
  </si>
  <si>
    <t>Nouveau: Version 5.5</t>
  </si>
  <si>
    <t>Correction d'une erreur dans une formule Excel. Calculations des couts carburants individuell pour Machine B.</t>
  </si>
  <si>
    <t>Nouveau: Version 5.6</t>
  </si>
  <si>
    <t xml:space="preserve">Correction d'une erreur dans la formule Excel. Erreur d'arrondissement des tarifs. </t>
  </si>
  <si>
    <t>Nouveau: Version 5.7 | TractoScope 2024</t>
  </si>
  <si>
    <t>Base de données actualisée, catalogue des coûts 2024; Correction d'une erreur dans la formule Valeur résiduelle</t>
  </si>
  <si>
    <t>Nouveau: Version 5.8</t>
  </si>
  <si>
    <t xml:space="preserve">Correction d'une erreur dans une formule. </t>
  </si>
  <si>
    <r>
      <t xml:space="preserve"> ou deux combinaisons de machines avec opérateur (main-d'oevre). </t>
    </r>
    <r>
      <rPr>
        <sz val="10"/>
        <rFont val="Arial"/>
        <family val="2"/>
      </rPr>
      <t>Chaque machine est calculée à partir des données Agroscope.</t>
    </r>
  </si>
  <si>
    <r>
      <t xml:space="preserve">La liste de machines (base de données) s’appuie sur Agroscope Transfer "Catalogue des coûts" (Rutz und Gazzarin, </t>
    </r>
    <r>
      <rPr>
        <sz val="10"/>
        <color indexed="10"/>
        <rFont val="Arial"/>
        <family val="2"/>
      </rPr>
      <t>2025</t>
    </r>
    <r>
      <rPr>
        <sz val="10"/>
        <rFont val="Arial"/>
        <family val="2"/>
      </rPr>
      <t xml:space="preserve">).  </t>
    </r>
  </si>
  <si>
    <r>
      <t xml:space="preserve">Pour un bon fonctionnement du programme, nous vous recommandons de suivre impérativement le mode d’emploi!  </t>
    </r>
    <r>
      <rPr>
        <b/>
        <sz val="14"/>
        <color indexed="58"/>
        <rFont val="Arial"/>
        <family val="2"/>
      </rPr>
      <t>(Veuillez IMPRIMER cette page)</t>
    </r>
  </si>
  <si>
    <r>
      <t>- Sélectionnez le type de machine et retenez le code à quatre chiffres (1</t>
    </r>
    <r>
      <rPr>
        <vertAlign val="superscript"/>
        <sz val="10"/>
        <color indexed="58"/>
        <rFont val="Arial"/>
        <family val="2"/>
      </rPr>
      <t>ère</t>
    </r>
    <r>
      <rPr>
        <sz val="10"/>
        <color indexed="58"/>
        <rFont val="Arial"/>
        <family val="2"/>
      </rPr>
      <t xml:space="preserve"> colonne) </t>
    </r>
  </si>
  <si>
    <r>
      <t xml:space="preserve">Aide: Les codes sont identiques à ceux du rapport Coûts-machines </t>
    </r>
    <r>
      <rPr>
        <i/>
        <sz val="10"/>
        <color indexed="10"/>
        <rFont val="Arial"/>
        <family val="2"/>
      </rPr>
      <t>2025</t>
    </r>
    <r>
      <rPr>
        <i/>
        <sz val="10"/>
        <rFont val="Arial"/>
        <family val="2"/>
      </rPr>
      <t>.</t>
    </r>
  </si>
  <si>
    <t>Taux d'intérêt moyens</t>
  </si>
  <si>
    <t xml:space="preserve">   sans carburant</t>
  </si>
  <si>
    <t>diesel</t>
  </si>
  <si>
    <t>essence</t>
  </si>
  <si>
    <t xml:space="preserve">       essence alkylat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</si>
</sst>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1">
    <numFmt numFmtId="43" formatCode="_ * #,##0.00_ ;_ * \-#,##0.00_ ;_ * &quot;-&quot;??_ ;_ @_ "/>
    <numFmt numFmtId="164" formatCode="0.00&quot;/ha&quot;"/>
    <numFmt numFmtId="165" formatCode="0.00&quot;/m3&quot;"/>
    <numFmt numFmtId="166" formatCode="#\ ##0"/>
    <numFmt numFmtId="167" formatCode="0\ &quot;kW&quot;"/>
    <numFmt numFmtId="168" formatCode="#\ ##0\ &quot;h&quot;"/>
    <numFmt numFmtId="169" formatCode="0.00&quot;/h&quot;"/>
    <numFmt numFmtId="170" formatCode="0.00&quot;*&quot;"/>
    <numFmt numFmtId="171" formatCode="0\ &quot;KW&quot;"/>
    <numFmt numFmtId="172" formatCode="0\ &quot;km/h&quot;"/>
    <numFmt numFmtId="173" formatCode="#&quot; &quot;??/????"/>
    <numFmt numFmtId="174" formatCode="0.00&quot;/km&quot;"/>
    <numFmt numFmtId="175" formatCode="#\ ##0&quot; km&quot;"/>
    <numFmt numFmtId="176" formatCode="0.00&quot;/l Benz.&quot;"/>
    <numFmt numFmtId="177" formatCode="0\ &quot;Rb/h&quot;"/>
    <numFmt numFmtId="178" formatCode="0.00&quot;/Rb&quot;"/>
    <numFmt numFmtId="179" formatCode="0\ &quot;a/h&quot;"/>
    <numFmt numFmtId="180" formatCode="0\ &quot;Fu/h&quot;"/>
    <numFmt numFmtId="181" formatCode="0.00&quot;/Fu&quot;"/>
    <numFmt numFmtId="182" formatCode="#\ ##0\ &quot;Fu&quot;"/>
    <numFmt numFmtId="183" formatCode="0.00&quot;/Tag&quot;"/>
    <numFmt numFmtId="184" formatCode="0.00&quot;/Sack&quot;"/>
    <numFmt numFmtId="185" formatCode="#\ ##0\ &quot;ha&quot;"/>
    <numFmt numFmtId="186" formatCode="0.00&quot; 1)&quot;"/>
    <numFmt numFmtId="187" formatCode="0.00&quot;/Fu 2)&quot;"/>
    <numFmt numFmtId="188" formatCode="0\ &quot;m/h&quot;"/>
    <numFmt numFmtId="189" formatCode="0.00&quot;/m&quot;"/>
    <numFmt numFmtId="190" formatCode="0&quot; h&quot;"/>
    <numFmt numFmtId="191" formatCode="0\ &quot;m3/min&quot;"/>
    <numFmt numFmtId="192" formatCode="#\ ##0\ &quot;Fa&quot;"/>
    <numFmt numFmtId="193" formatCode="0.00&quot;/Fa&quot;"/>
    <numFmt numFmtId="194" formatCode="0.0\ &quot;Fa/h&quot;"/>
    <numFmt numFmtId="195" formatCode="0.00&quot;/ha 3)&quot;"/>
    <numFmt numFmtId="196" formatCode="0.00&quot;/Ba&quot;"/>
    <numFmt numFmtId="197" formatCode="0.00&quot;/Qb&quot;"/>
    <numFmt numFmtId="198" formatCode="#&quot; &quot;???/???"/>
    <numFmt numFmtId="199" formatCode="0\ &quot;t/h&quot;"/>
    <numFmt numFmtId="200" formatCode="0.00&quot;/t&quot;"/>
    <numFmt numFmtId="201" formatCode="0.00&quot;/ha 11)&quot;"/>
    <numFmt numFmtId="202" formatCode="#\ ##0.00&quot;/ha&quot;"/>
    <numFmt numFmtId="203" formatCode="0.00&quot;/Jahr&quot;"/>
    <numFmt numFmtId="204" formatCode="#\ ##0\ &quot;t&quot;"/>
    <numFmt numFmtId="205" formatCode="0.0\ &quot;t/h&quot;"/>
    <numFmt numFmtId="206" formatCode="0.00&quot;/Tier&quot;"/>
    <numFmt numFmtId="207" formatCode="0\ &quot;kg/h&quot;"/>
    <numFmt numFmtId="208" formatCode="0.00&quot;/dt&quot;"/>
    <numFmt numFmtId="209" formatCode="0\ &quot;Bäume/h&quot;"/>
    <numFmt numFmtId="210" formatCode="0.00&quot;/Baum&quot;"/>
    <numFmt numFmtId="211" formatCode="0\ &quot;Fu/ha&quot;"/>
    <numFmt numFmtId="212" formatCode="0.00&quot;/hl&quot;"/>
    <numFmt numFmtId="213" formatCode="0.00&quot;/ha 15)&quot;"/>
    <numFmt numFmtId="214" formatCode="#\ ???/???"/>
    <numFmt numFmtId="215" formatCode="0.00\ "/>
    <numFmt numFmtId="216" formatCode="0.0000"/>
    <numFmt numFmtId="217" formatCode="#,##0&quot; m&quot;"/>
    <numFmt numFmtId="218" formatCode="0.00&quot; kg/Rb&quot;"/>
    <numFmt numFmtId="219" formatCode="0&quot; m3&quot;"/>
    <numFmt numFmtId="220" formatCode="0.00&quot; l/h&quot;"/>
    <numFmt numFmtId="221" formatCode="0.000"/>
    <numFmt numFmtId="222" formatCode="0.00&quot;*&quot;\ "/>
    <numFmt numFmtId="223" formatCode="0\ "/>
    <numFmt numFmtId="224" formatCode="_ * #,##0_ ;_ * \-#,##0_ ;_ * &quot;-&quot;??_ ;_ @_ "/>
    <numFmt numFmtId="225" formatCode="0.0%"/>
    <numFmt numFmtId="226" formatCode="0.00&quot;l/h&quot;"/>
    <numFmt numFmtId="227" formatCode="0.00&quot;/lm&quot;"/>
    <numFmt numFmtId="228" formatCode="0.000&quot;/h&quot;"/>
    <numFmt numFmtId="229" formatCode="0.000&quot;/lm&quot;"/>
    <numFmt numFmtId="230" formatCode="0.0000&quot;/lm&quot;"/>
    <numFmt numFmtId="231" formatCode="0.0\ &quot;kW&quot;"/>
    <numFmt numFmtId="232" formatCode="0.00\ &quot;a/h&quot;"/>
    <numFmt numFmtId="233" formatCode="0.00000"/>
    <numFmt numFmtId="234" formatCode="0.0"/>
    <numFmt numFmtId="235" formatCode="#\ ##0\ &quot;hl&quot;"/>
    <numFmt numFmtId="236" formatCode="0.00&quot;/l ess.&quot;"/>
    <numFmt numFmtId="237" formatCode="0\ &quot;m³/h&quot;"/>
    <numFmt numFmtId="238" formatCode="0.00&quot;/m³&quot;"/>
    <numFmt numFmtId="239" formatCode="#\ ##0\ &quot;m³&quot;"/>
    <numFmt numFmtId="240" formatCode="0.00&quot;/mc&quot;"/>
    <numFmt numFmtId="241" formatCode="&quot;Fr.&quot;\ #,##0\ &quot;/an&quot;"/>
    <numFmt numFmtId="242" formatCode="0\ &quot;ch/h&quot;"/>
    <numFmt numFmtId="243" formatCode="0.00&quot;/ch&quot;"/>
    <numFmt numFmtId="244" formatCode="0.0\ &quot;ch/h&quot;"/>
    <numFmt numFmtId="245" formatCode="#\ ##0\ &quot; ch&quot;"/>
    <numFmt numFmtId="246" formatCode="0.00&quot;/jour&quot;"/>
    <numFmt numFmtId="247" formatCode="#\ ##0\ &quot;jours&quot;"/>
    <numFmt numFmtId="248" formatCode="0\ &quot;bot/h&quot;"/>
    <numFmt numFmtId="249" formatCode="0.00&quot;/bot&quot;"/>
    <numFmt numFmtId="250" formatCode="#\ ##0\ &quot;bot&quot;"/>
    <numFmt numFmtId="251" formatCode="0&quot; bal/h&quot;"/>
    <numFmt numFmtId="252" formatCode="0.00&quot;/bal&quot;"/>
    <numFmt numFmtId="253" formatCode="#\ ##0\ &quot;bal&quot;"/>
    <numFmt numFmtId="254" formatCode="0\ &quot;bal/h&quot;"/>
    <numFmt numFmtId="255" formatCode="0.00&quot;/bête&quot;"/>
    <numFmt numFmtId="256" formatCode="#\ ##0\ &quot;bêtes&quot;"/>
    <numFmt numFmtId="257" formatCode="#\ ##0\ &quot;mc&quot;"/>
    <numFmt numFmtId="258" formatCode="0.000&quot;/mc&quot;"/>
    <numFmt numFmtId="259" formatCode="0\ &quot;arbres/h&quot;"/>
    <numFmt numFmtId="260" formatCode="0.00&quot;/arbre&quot;"/>
    <numFmt numFmtId="261" formatCode="#\ ##0\ &quot;arbres&quot;"/>
    <numFmt numFmtId="262" formatCode="0\ &quot;mc/h&quot;"/>
    <numFmt numFmtId="263" formatCode="#\ ###\ ##0\ &quot;mc&quot;"/>
  </numFmts>
  <fonts count="116">
    <font>
      <sz val="10"/>
      <name val="Arial"/>
    </font>
    <font>
      <sz val="10"/>
      <name val="Arial"/>
      <family val="2"/>
    </font>
    <font>
      <sz val="10"/>
      <color indexed="8"/>
      <name val="Arial"/>
      <family val="2"/>
    </font>
    <font>
      <sz val="10"/>
      <color indexed="10"/>
      <name val="Arial"/>
      <family val="2"/>
    </font>
    <font>
      <b/>
      <u/>
      <sz val="12"/>
      <name val="Arial"/>
      <family val="2"/>
    </font>
    <font>
      <b/>
      <sz val="16"/>
      <name val="Arial"/>
      <family val="2"/>
    </font>
    <font>
      <sz val="11.5"/>
      <name val="Arial"/>
      <family val="2"/>
    </font>
    <font>
      <b/>
      <sz val="12"/>
      <name val="Arial"/>
      <family val="2"/>
    </font>
    <font>
      <u/>
      <sz val="10"/>
      <color indexed="12"/>
      <name val="Arial"/>
      <family val="2"/>
    </font>
    <font>
      <sz val="10"/>
      <name val="Arial"/>
      <family val="2"/>
    </font>
    <font>
      <b/>
      <sz val="10"/>
      <name val="Arial"/>
      <family val="2"/>
    </font>
    <font>
      <b/>
      <u/>
      <sz val="10"/>
      <name val="Arial"/>
      <family val="2"/>
    </font>
    <font>
      <u/>
      <sz val="10"/>
      <name val="Arial"/>
      <family val="2"/>
    </font>
    <font>
      <b/>
      <sz val="10"/>
      <color indexed="9"/>
      <name val="Arial"/>
      <family val="2"/>
    </font>
    <font>
      <b/>
      <i/>
      <u/>
      <sz val="12"/>
      <name val="Helv"/>
    </font>
    <font>
      <i/>
      <sz val="12"/>
      <name val="Helv"/>
    </font>
    <font>
      <sz val="8"/>
      <name val="Helv"/>
    </font>
    <font>
      <b/>
      <sz val="8"/>
      <name val="Helv"/>
    </font>
    <font>
      <b/>
      <sz val="8"/>
      <color indexed="8"/>
      <name val="Helv"/>
    </font>
    <font>
      <b/>
      <sz val="8"/>
      <color indexed="10"/>
      <name val="Helv"/>
    </font>
    <font>
      <b/>
      <sz val="8"/>
      <color indexed="12"/>
      <name val="Helv"/>
    </font>
    <font>
      <sz val="8"/>
      <color indexed="10"/>
      <name val="Helv"/>
    </font>
    <font>
      <b/>
      <u/>
      <sz val="8"/>
      <color indexed="8"/>
      <name val="Helv"/>
    </font>
    <font>
      <sz val="7"/>
      <name val="Helv"/>
    </font>
    <font>
      <b/>
      <u/>
      <sz val="8"/>
      <color indexed="10"/>
      <name val="Helv"/>
    </font>
    <font>
      <sz val="10"/>
      <color indexed="17"/>
      <name val="Arial"/>
      <family val="2"/>
    </font>
    <font>
      <b/>
      <i/>
      <u/>
      <sz val="8"/>
      <name val="Helv"/>
    </font>
    <font>
      <sz val="10.5"/>
      <color indexed="8"/>
      <name val="Syntax LT"/>
    </font>
    <font>
      <b/>
      <sz val="10.5"/>
      <color indexed="8"/>
      <name val="Syntax LT"/>
    </font>
    <font>
      <sz val="10.5"/>
      <color indexed="8"/>
      <name val="Frutiger LT 45 Light"/>
      <family val="1"/>
    </font>
    <font>
      <b/>
      <sz val="10.5"/>
      <color indexed="8"/>
      <name val="Frutiger LT 45 Light"/>
      <family val="1"/>
    </font>
    <font>
      <sz val="11"/>
      <color indexed="8"/>
      <name val="Frutiger LT 45 Light"/>
      <family val="1"/>
    </font>
    <font>
      <sz val="11"/>
      <name val="Frutiger LT 45 Light"/>
      <family val="1"/>
    </font>
    <font>
      <b/>
      <sz val="11"/>
      <name val="Frutiger LT 45 Light"/>
      <family val="1"/>
    </font>
    <font>
      <b/>
      <sz val="11"/>
      <color indexed="8"/>
      <name val="Frutiger LT 45 Light"/>
      <family val="1"/>
    </font>
    <font>
      <i/>
      <sz val="10"/>
      <name val="Arial"/>
      <family val="2"/>
    </font>
    <font>
      <b/>
      <sz val="10"/>
      <color indexed="10"/>
      <name val="Arial"/>
      <family val="2"/>
    </font>
    <font>
      <b/>
      <sz val="14"/>
      <name val="Arial"/>
      <family val="2"/>
    </font>
    <font>
      <sz val="8"/>
      <name val="Arial"/>
      <family val="2"/>
    </font>
    <font>
      <sz val="10"/>
      <color indexed="12"/>
      <name val="Arial"/>
      <family val="2"/>
    </font>
    <font>
      <b/>
      <sz val="12"/>
      <color indexed="10"/>
      <name val="Arial"/>
      <family val="2"/>
    </font>
    <font>
      <b/>
      <sz val="12"/>
      <color indexed="12"/>
      <name val="Arial"/>
      <family val="2"/>
    </font>
    <font>
      <b/>
      <sz val="14"/>
      <color indexed="63"/>
      <name val="Arial"/>
      <family val="2"/>
    </font>
    <font>
      <b/>
      <sz val="10"/>
      <color indexed="12"/>
      <name val="Arial"/>
      <family val="2"/>
    </font>
    <font>
      <b/>
      <sz val="10"/>
      <color indexed="17"/>
      <name val="Arial"/>
      <family val="2"/>
    </font>
    <font>
      <sz val="12"/>
      <color indexed="10"/>
      <name val="Arial"/>
      <family val="2"/>
    </font>
    <font>
      <b/>
      <sz val="20"/>
      <name val="Arial"/>
      <family val="2"/>
    </font>
    <font>
      <b/>
      <sz val="10"/>
      <color indexed="16"/>
      <name val="Arial"/>
      <family val="2"/>
    </font>
    <font>
      <sz val="10"/>
      <color indexed="22"/>
      <name val="Arial"/>
      <family val="2"/>
    </font>
    <font>
      <b/>
      <sz val="12"/>
      <color indexed="58"/>
      <name val="Arial"/>
      <family val="2"/>
    </font>
    <font>
      <b/>
      <sz val="18"/>
      <name val="Arial"/>
      <family val="2"/>
    </font>
    <font>
      <sz val="10"/>
      <color indexed="58"/>
      <name val="Arial"/>
      <family val="2"/>
    </font>
    <font>
      <sz val="9"/>
      <color indexed="58"/>
      <name val="Arial"/>
      <family val="2"/>
    </font>
    <font>
      <b/>
      <sz val="14"/>
      <color indexed="58"/>
      <name val="Arial"/>
      <family val="2"/>
    </font>
    <font>
      <b/>
      <sz val="10"/>
      <color indexed="8"/>
      <name val="Arial"/>
      <family val="2"/>
    </font>
    <font>
      <b/>
      <sz val="10"/>
      <color indexed="58"/>
      <name val="Arial"/>
      <family val="2"/>
    </font>
    <font>
      <b/>
      <sz val="18"/>
      <name val="Arial Black"/>
      <family val="2"/>
    </font>
    <font>
      <sz val="10"/>
      <color indexed="9"/>
      <name val="Arial"/>
      <family val="2"/>
    </font>
    <font>
      <b/>
      <sz val="16"/>
      <name val="Arial Black"/>
      <family val="2"/>
    </font>
    <font>
      <sz val="9"/>
      <color indexed="81"/>
      <name val="Tahoma"/>
      <family val="2"/>
    </font>
    <font>
      <b/>
      <sz val="9"/>
      <color indexed="81"/>
      <name val="Tahoma"/>
      <family val="2"/>
    </font>
    <font>
      <b/>
      <sz val="11"/>
      <name val="Arial Black"/>
      <family val="2"/>
    </font>
    <font>
      <vertAlign val="superscript"/>
      <sz val="11.5"/>
      <name val="Arial"/>
      <family val="2"/>
    </font>
    <font>
      <b/>
      <i/>
      <sz val="10"/>
      <name val="Arial"/>
      <family val="2"/>
    </font>
    <font>
      <sz val="12"/>
      <name val="Arial"/>
      <family val="2"/>
    </font>
    <font>
      <i/>
      <sz val="10"/>
      <color indexed="10"/>
      <name val="Arial"/>
      <family val="2"/>
    </font>
    <font>
      <sz val="10"/>
      <color indexed="10"/>
      <name val="Arial"/>
      <family val="2"/>
    </font>
    <font>
      <sz val="8"/>
      <name val="Verdana"/>
      <family val="2"/>
    </font>
    <font>
      <b/>
      <sz val="10"/>
      <name val="Arial Narrow"/>
      <family val="2"/>
    </font>
    <font>
      <sz val="10"/>
      <name val="Arial"/>
      <family val="2"/>
    </font>
    <font>
      <sz val="10"/>
      <color rgb="FFFF0000"/>
      <name val="Arial"/>
      <family val="2"/>
    </font>
    <font>
      <sz val="10"/>
      <color rgb="FF000000"/>
      <name val="Arial"/>
      <family val="2"/>
    </font>
    <font>
      <sz val="10"/>
      <color rgb="FF002060"/>
      <name val="Arial"/>
      <family val="2"/>
    </font>
    <font>
      <b/>
      <i/>
      <sz val="10"/>
      <color rgb="FF002060"/>
      <name val="Arial"/>
      <family val="2"/>
    </font>
    <font>
      <b/>
      <sz val="10"/>
      <color rgb="FF002060"/>
      <name val="Arial"/>
      <family val="2"/>
    </font>
    <font>
      <sz val="10.5"/>
      <color rgb="FFFF0000"/>
      <name val="Frutiger LT 45 Light"/>
      <family val="1"/>
    </font>
    <font>
      <sz val="10.5"/>
      <color rgb="FF000000"/>
      <name val="Syntax LT"/>
    </font>
    <font>
      <b/>
      <sz val="11"/>
      <color rgb="FF000000"/>
      <name val="Frutiger LT 45 Light"/>
      <family val="1"/>
    </font>
    <font>
      <sz val="11"/>
      <color rgb="FF000000"/>
      <name val="Syntax LT"/>
    </font>
    <font>
      <u/>
      <sz val="10"/>
      <color indexed="58"/>
      <name val="Arial"/>
      <family val="2"/>
    </font>
    <font>
      <sz val="12"/>
      <name val="Frutiger LT Std 55 Roman"/>
      <family val="2"/>
    </font>
    <font>
      <b/>
      <sz val="12"/>
      <name val="Frutiger LT Std 55 Roman"/>
      <family val="2"/>
    </font>
    <font>
      <b/>
      <sz val="9"/>
      <color indexed="81"/>
      <name val="Segoe UI"/>
      <family val="2"/>
    </font>
    <font>
      <sz val="9"/>
      <color indexed="81"/>
      <name val="Segoe UI"/>
      <family val="2"/>
    </font>
    <font>
      <sz val="12"/>
      <color rgb="FF000000"/>
      <name val="Frutiger LT Std 55 Roman"/>
      <family val="2"/>
    </font>
    <font>
      <sz val="12"/>
      <color rgb="FFFF0000"/>
      <name val="Frutiger LT Std 55 Roman"/>
      <family val="2"/>
    </font>
    <font>
      <b/>
      <i/>
      <sz val="12"/>
      <name val="Frutiger LT Std 55 Roman"/>
      <family val="2"/>
    </font>
    <font>
      <sz val="12"/>
      <color indexed="8"/>
      <name val="Frutiger LT Std 55 Roman"/>
      <family val="2"/>
    </font>
    <font>
      <b/>
      <sz val="12"/>
      <color indexed="8"/>
      <name val="Frutiger LT Std 55 Roman"/>
      <family val="2"/>
    </font>
    <font>
      <b/>
      <sz val="12"/>
      <color rgb="FF000000"/>
      <name val="Frutiger LT Std 55 Roman"/>
      <family val="2"/>
    </font>
    <font>
      <b/>
      <i/>
      <sz val="12"/>
      <color indexed="8"/>
      <name val="Frutiger LT Std 55 Roman"/>
      <family val="2"/>
    </font>
    <font>
      <i/>
      <sz val="12"/>
      <color indexed="8"/>
      <name val="Frutiger LT Std 55 Roman"/>
      <family val="2"/>
    </font>
    <font>
      <b/>
      <sz val="12"/>
      <color rgb="FFFF0000"/>
      <name val="Frutiger LT Std 55 Roman"/>
      <family val="2"/>
    </font>
    <font>
      <sz val="12"/>
      <color indexed="10"/>
      <name val="Frutiger LT Std 55 Roman"/>
      <family val="2"/>
    </font>
    <font>
      <b/>
      <i/>
      <sz val="12"/>
      <color rgb="FF000000"/>
      <name val="Frutiger LT Std 55 Roman"/>
      <family val="2"/>
    </font>
    <font>
      <b/>
      <sz val="12"/>
      <color indexed="10"/>
      <name val="Frutiger LT Std 55 Roman"/>
      <family val="2"/>
    </font>
    <font>
      <b/>
      <sz val="8"/>
      <color rgb="FF003300"/>
      <name val="Arial"/>
      <family val="2"/>
    </font>
    <font>
      <sz val="10"/>
      <color rgb="FF003300"/>
      <name val="Arial"/>
      <family val="2"/>
    </font>
    <font>
      <sz val="10"/>
      <color theme="0" tint="-0.34998626667073579"/>
      <name val="Arial"/>
      <family val="2"/>
    </font>
    <font>
      <b/>
      <sz val="10"/>
      <color rgb="FFFF0000"/>
      <name val="Arial"/>
      <family val="2"/>
    </font>
    <font>
      <sz val="10"/>
      <color theme="9" tint="-0.499984740745262"/>
      <name val="Arial"/>
      <family val="2"/>
    </font>
    <font>
      <sz val="10"/>
      <color theme="6" tint="-0.499984740745262"/>
      <name val="Arial"/>
      <family val="2"/>
    </font>
    <font>
      <b/>
      <u/>
      <sz val="10"/>
      <color indexed="12"/>
      <name val="Arial"/>
      <family val="2"/>
    </font>
    <font>
      <sz val="11"/>
      <color indexed="81"/>
      <name val="Tahoma"/>
      <family val="2"/>
    </font>
    <font>
      <b/>
      <sz val="8"/>
      <color indexed="81"/>
      <name val="Tahoma"/>
      <family val="2"/>
    </font>
    <font>
      <b/>
      <sz val="10"/>
      <color rgb="FFC00000"/>
      <name val="Arial"/>
      <family val="2"/>
    </font>
    <font>
      <sz val="10"/>
      <color indexed="8"/>
      <name val="Syntax LT"/>
    </font>
    <font>
      <sz val="10"/>
      <name val="Syntax LT"/>
    </font>
    <font>
      <sz val="10"/>
      <color rgb="FFC00000"/>
      <name val="Arial"/>
      <family val="2"/>
    </font>
    <font>
      <sz val="10"/>
      <color theme="0"/>
      <name val="Arial"/>
      <family val="2"/>
    </font>
    <font>
      <b/>
      <sz val="14"/>
      <color rgb="FF003300"/>
      <name val="Arial"/>
      <family val="2"/>
    </font>
    <font>
      <b/>
      <sz val="12"/>
      <color theme="0" tint="-4.9989318521683403E-2"/>
      <name val="Arial"/>
      <family val="2"/>
    </font>
    <font>
      <b/>
      <sz val="10"/>
      <color theme="0" tint="-4.9989318521683403E-2"/>
      <name val="Arial"/>
      <family val="2"/>
    </font>
    <font>
      <b/>
      <sz val="20"/>
      <name val="Arial Black"/>
      <family val="2"/>
    </font>
    <font>
      <b/>
      <sz val="10"/>
      <color indexed="39"/>
      <name val="Arial"/>
      <family val="2"/>
    </font>
    <font>
      <vertAlign val="superscript"/>
      <sz val="10"/>
      <color indexed="58"/>
      <name val="Arial"/>
      <family val="2"/>
    </font>
  </fonts>
  <fills count="4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gray125">
        <bgColor indexed="9"/>
      </patternFill>
    </fill>
    <fill>
      <patternFill patternType="solid">
        <fgColor indexed="42"/>
        <bgColor indexed="27"/>
      </patternFill>
    </fill>
    <fill>
      <patternFill patternType="solid">
        <fgColor indexed="50"/>
        <bgColor indexed="64"/>
      </patternFill>
    </fill>
    <fill>
      <patternFill patternType="solid">
        <fgColor indexed="22"/>
        <bgColor indexed="27"/>
      </patternFill>
    </fill>
    <fill>
      <patternFill patternType="solid">
        <fgColor indexed="9"/>
        <bgColor indexed="27"/>
      </patternFill>
    </fill>
    <fill>
      <patternFill patternType="solid">
        <fgColor indexed="23"/>
        <bgColor indexed="64"/>
      </patternFill>
    </fill>
    <fill>
      <patternFill patternType="solid">
        <fgColor indexed="51"/>
        <bgColor indexed="64"/>
      </patternFill>
    </fill>
    <fill>
      <patternFill patternType="solid">
        <fgColor indexed="57"/>
        <bgColor indexed="64"/>
      </patternFill>
    </fill>
    <fill>
      <patternFill patternType="lightGray"/>
    </fill>
    <fill>
      <patternFill patternType="lightGray">
        <bgColor indexed="9"/>
      </patternFill>
    </fill>
    <fill>
      <patternFill patternType="solid">
        <fgColor indexed="27"/>
        <bgColor indexed="64"/>
      </patternFill>
    </fill>
    <fill>
      <patternFill patternType="solid">
        <fgColor indexed="63"/>
        <bgColor indexed="64"/>
      </patternFill>
    </fill>
    <fill>
      <patternFill patternType="solid">
        <fgColor rgb="FF92D050"/>
        <bgColor indexed="64"/>
      </patternFill>
    </fill>
    <fill>
      <patternFill patternType="solid">
        <fgColor theme="0"/>
        <bgColor indexed="64"/>
      </patternFill>
    </fill>
    <fill>
      <patternFill patternType="solid">
        <fgColor rgb="FFFFFF66"/>
        <bgColor indexed="64"/>
      </patternFill>
    </fill>
    <fill>
      <patternFill patternType="solid">
        <fgColor rgb="FFC0C0C0"/>
        <bgColor rgb="FF000000"/>
      </patternFill>
    </fill>
    <fill>
      <patternFill patternType="solid">
        <fgColor rgb="FFCCFFCC"/>
        <bgColor rgb="FF000000"/>
      </patternFill>
    </fill>
    <fill>
      <patternFill patternType="solid">
        <fgColor rgb="FF333333"/>
        <bgColor rgb="FF000000"/>
      </patternFill>
    </fill>
    <fill>
      <patternFill patternType="solid">
        <fgColor rgb="FFFFFF00"/>
        <bgColor rgb="FF000000"/>
      </patternFill>
    </fill>
    <fill>
      <patternFill patternType="solid">
        <fgColor rgb="FF33CC33"/>
        <bgColor indexed="64"/>
      </patternFill>
    </fill>
    <fill>
      <patternFill patternType="solid">
        <fgColor rgb="FF339966"/>
        <bgColor indexed="64"/>
      </patternFill>
    </fill>
    <fill>
      <patternFill patternType="solid">
        <fgColor rgb="FFCCFFCC"/>
        <bgColor indexed="64"/>
      </patternFill>
    </fill>
    <fill>
      <patternFill patternType="solid">
        <fgColor rgb="FFCFF3CF"/>
        <bgColor indexed="64"/>
      </patternFill>
    </fill>
    <fill>
      <patternFill patternType="solid">
        <fgColor rgb="FFCEFFCE"/>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A4C3DC"/>
        <bgColor indexed="64"/>
      </patternFill>
    </fill>
    <fill>
      <patternFill patternType="solid">
        <fgColor rgb="FF508CB9"/>
        <bgColor indexed="64"/>
      </patternFill>
    </fill>
    <fill>
      <patternFill patternType="solid">
        <fgColor rgb="FFBFBFBF"/>
        <bgColor rgb="FF000000"/>
      </patternFill>
    </fill>
    <fill>
      <patternFill patternType="solid">
        <fgColor theme="1" tint="0.249977111117893"/>
        <bgColor indexed="64"/>
      </patternFill>
    </fill>
    <fill>
      <patternFill patternType="solid">
        <fgColor theme="0"/>
        <bgColor indexed="27"/>
      </patternFill>
    </fill>
    <fill>
      <patternFill patternType="solid">
        <fgColor rgb="FFCCFFCC"/>
        <bgColor indexed="27"/>
      </patternFill>
    </fill>
    <fill>
      <patternFill patternType="solid">
        <fgColor rgb="FFFFC0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indexed="41"/>
        <bgColor indexed="64"/>
      </patternFill>
    </fill>
    <fill>
      <patternFill patternType="solid">
        <fgColor rgb="FFFFFF99"/>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style="thick">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ck">
        <color indexed="64"/>
      </left>
      <right/>
      <top/>
      <bottom/>
      <diagonal/>
    </border>
    <border>
      <left/>
      <right style="thin">
        <color indexed="64"/>
      </right>
      <top style="medium">
        <color indexed="64"/>
      </top>
      <bottom/>
      <diagonal/>
    </border>
    <border>
      <left style="thin">
        <color indexed="9"/>
      </left>
      <right style="thin">
        <color indexed="9"/>
      </right>
      <top style="thin">
        <color indexed="9"/>
      </top>
      <bottom style="thin">
        <color indexed="9"/>
      </bottom>
      <diagonal/>
    </border>
    <border>
      <left style="hair">
        <color indexed="55"/>
      </left>
      <right style="hair">
        <color indexed="55"/>
      </right>
      <top style="hair">
        <color indexed="55"/>
      </top>
      <bottom style="hair">
        <color indexed="55"/>
      </bottom>
      <diagonal/>
    </border>
    <border>
      <left/>
      <right style="hair">
        <color indexed="55"/>
      </right>
      <top style="hair">
        <color indexed="55"/>
      </top>
      <bottom style="hair">
        <color indexed="55"/>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hair">
        <color indexed="64"/>
      </bottom>
      <diagonal/>
    </border>
    <border>
      <left/>
      <right/>
      <top/>
      <bottom style="double">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1018">
    <xf numFmtId="0" fontId="0" fillId="0" borderId="0" xfId="0"/>
    <xf numFmtId="0" fontId="2" fillId="0" borderId="0" xfId="0" applyFont="1"/>
    <xf numFmtId="0" fontId="2" fillId="0" borderId="0" xfId="0" applyFont="1" applyAlignment="1">
      <alignment horizontal="left"/>
    </xf>
    <xf numFmtId="0" fontId="4" fillId="0" borderId="0" xfId="0" applyFont="1"/>
    <xf numFmtId="0" fontId="5" fillId="0" borderId="0" xfId="0" applyFont="1"/>
    <xf numFmtId="0" fontId="0" fillId="2" borderId="0" xfId="0" applyFill="1"/>
    <xf numFmtId="0" fontId="0" fillId="3" borderId="0" xfId="0" applyFill="1"/>
    <xf numFmtId="0" fontId="11" fillId="0" borderId="0" xfId="0" applyFont="1"/>
    <xf numFmtId="2" fontId="2" fillId="0" borderId="0" xfId="0" applyNumberFormat="1" applyFont="1"/>
    <xf numFmtId="0" fontId="0" fillId="0" borderId="1" xfId="0" applyBorder="1"/>
    <xf numFmtId="0" fontId="10" fillId="3" borderId="0" xfId="0" applyFont="1" applyFill="1"/>
    <xf numFmtId="0" fontId="9" fillId="3" borderId="0" xfId="0" applyFont="1" applyFill="1"/>
    <xf numFmtId="0" fontId="14" fillId="0" borderId="0" xfId="0" applyFont="1"/>
    <xf numFmtId="0" fontId="15" fillId="0" borderId="0" xfId="0" applyFont="1"/>
    <xf numFmtId="0" fontId="15" fillId="0" borderId="0" xfId="0" applyFont="1" applyAlignment="1">
      <alignment horizontal="center"/>
    </xf>
    <xf numFmtId="0" fontId="15" fillId="2" borderId="0" xfId="0" applyFont="1" applyFill="1" applyAlignment="1">
      <alignment horizontal="center"/>
    </xf>
    <xf numFmtId="0" fontId="15" fillId="4" borderId="0" xfId="0" applyFont="1" applyFill="1" applyAlignment="1">
      <alignment horizontal="center"/>
    </xf>
    <xf numFmtId="0" fontId="16" fillId="0" borderId="0" xfId="0" applyFont="1"/>
    <xf numFmtId="0" fontId="16" fillId="0" borderId="0" xfId="0" applyFont="1" applyAlignment="1">
      <alignment horizontal="center"/>
    </xf>
    <xf numFmtId="0" fontId="16" fillId="2" borderId="0" xfId="0" applyFont="1" applyFill="1" applyAlignment="1">
      <alignment horizontal="center"/>
    </xf>
    <xf numFmtId="0" fontId="16" fillId="4" borderId="0" xfId="0" applyFont="1" applyFill="1" applyAlignment="1">
      <alignment horizontal="center"/>
    </xf>
    <xf numFmtId="0" fontId="17" fillId="0" borderId="2" xfId="0" applyFont="1" applyBorder="1"/>
    <xf numFmtId="0" fontId="16" fillId="0" borderId="3" xfId="0" applyFont="1" applyBorder="1"/>
    <xf numFmtId="0" fontId="16" fillId="0" borderId="3" xfId="0" applyFont="1" applyBorder="1" applyAlignment="1">
      <alignment horizontal="center"/>
    </xf>
    <xf numFmtId="0" fontId="17" fillId="2" borderId="4" xfId="0" applyFont="1" applyFill="1" applyBorder="1" applyAlignment="1">
      <alignment horizontal="center"/>
    </xf>
    <xf numFmtId="0" fontId="17" fillId="0" borderId="4" xfId="0" applyFont="1" applyBorder="1" applyAlignment="1">
      <alignment horizontal="center"/>
    </xf>
    <xf numFmtId="0" fontId="17" fillId="4" borderId="4" xfId="0" applyFont="1" applyFill="1" applyBorder="1" applyAlignment="1">
      <alignment horizontal="center"/>
    </xf>
    <xf numFmtId="0" fontId="16" fillId="0" borderId="5" xfId="0" applyFont="1" applyBorder="1"/>
    <xf numFmtId="0" fontId="16" fillId="0" borderId="6" xfId="0" applyFont="1" applyBorder="1"/>
    <xf numFmtId="0" fontId="16" fillId="0" borderId="6" xfId="0" applyFont="1" applyBorder="1" applyAlignment="1">
      <alignment horizontal="center"/>
    </xf>
    <xf numFmtId="14" fontId="16" fillId="2" borderId="7" xfId="0" applyNumberFormat="1" applyFont="1" applyFill="1" applyBorder="1" applyAlignment="1">
      <alignment horizontal="center"/>
    </xf>
    <xf numFmtId="14" fontId="16" fillId="0" borderId="7" xfId="0" applyNumberFormat="1" applyFont="1" applyBorder="1" applyAlignment="1">
      <alignment horizontal="center"/>
    </xf>
    <xf numFmtId="14" fontId="16" fillId="4" borderId="7" xfId="0" applyNumberFormat="1" applyFont="1" applyFill="1" applyBorder="1" applyAlignment="1">
      <alignment horizontal="center"/>
    </xf>
    <xf numFmtId="0" fontId="16" fillId="0" borderId="2" xfId="0" applyFont="1" applyBorder="1"/>
    <xf numFmtId="0" fontId="16" fillId="0" borderId="8" xfId="0" applyFont="1" applyBorder="1"/>
    <xf numFmtId="0" fontId="16" fillId="0" borderId="4" xfId="0" applyFont="1" applyBorder="1" applyAlignment="1">
      <alignment horizontal="center"/>
    </xf>
    <xf numFmtId="0" fontId="16" fillId="2" borderId="4" xfId="0" applyFont="1" applyFill="1" applyBorder="1" applyAlignment="1">
      <alignment horizontal="center"/>
    </xf>
    <xf numFmtId="0" fontId="16" fillId="4" borderId="4" xfId="0" applyFont="1" applyFill="1" applyBorder="1" applyAlignment="1">
      <alignment horizontal="center"/>
    </xf>
    <xf numFmtId="0" fontId="17" fillId="0" borderId="9" xfId="0" applyFont="1" applyBorder="1"/>
    <xf numFmtId="0" fontId="16" fillId="0" borderId="10" xfId="0" applyFont="1" applyBorder="1"/>
    <xf numFmtId="0" fontId="16" fillId="0" borderId="11" xfId="0" applyFont="1" applyBorder="1" applyAlignment="1">
      <alignment horizontal="center"/>
    </xf>
    <xf numFmtId="0" fontId="16" fillId="2" borderId="11" xfId="0" applyFont="1" applyFill="1" applyBorder="1" applyAlignment="1">
      <alignment horizontal="center"/>
    </xf>
    <xf numFmtId="0" fontId="16" fillId="4" borderId="11" xfId="0" applyFont="1" applyFill="1" applyBorder="1" applyAlignment="1">
      <alignment horizontal="center"/>
    </xf>
    <xf numFmtId="0" fontId="16" fillId="0" borderId="9" xfId="0" applyFont="1" applyBorder="1"/>
    <xf numFmtId="2" fontId="16" fillId="2" borderId="11" xfId="0" applyNumberFormat="1" applyFont="1" applyFill="1" applyBorder="1" applyAlignment="1">
      <alignment horizontal="center"/>
    </xf>
    <xf numFmtId="2" fontId="16" fillId="0" borderId="11" xfId="0" applyNumberFormat="1" applyFont="1" applyBorder="1" applyAlignment="1">
      <alignment horizontal="center"/>
    </xf>
    <xf numFmtId="2" fontId="16" fillId="4" borderId="11" xfId="0" applyNumberFormat="1" applyFont="1" applyFill="1" applyBorder="1" applyAlignment="1">
      <alignment horizontal="center"/>
    </xf>
    <xf numFmtId="2" fontId="18" fillId="2" borderId="11" xfId="0" applyNumberFormat="1" applyFont="1" applyFill="1" applyBorder="1" applyAlignment="1">
      <alignment horizontal="center"/>
    </xf>
    <xf numFmtId="2" fontId="18" fillId="0" borderId="11" xfId="0" applyNumberFormat="1" applyFont="1" applyBorder="1" applyAlignment="1">
      <alignment horizontal="center"/>
    </xf>
    <xf numFmtId="2" fontId="17" fillId="2" borderId="11" xfId="0" applyNumberFormat="1" applyFont="1" applyFill="1" applyBorder="1" applyAlignment="1">
      <alignment horizontal="center"/>
    </xf>
    <xf numFmtId="2" fontId="17" fillId="0" borderId="11" xfId="0" applyNumberFormat="1" applyFont="1" applyBorder="1" applyAlignment="1">
      <alignment horizontal="center"/>
    </xf>
    <xf numFmtId="2" fontId="19" fillId="2" borderId="11" xfId="0" applyNumberFormat="1" applyFont="1" applyFill="1" applyBorder="1" applyAlignment="1">
      <alignment horizontal="center"/>
    </xf>
    <xf numFmtId="10" fontId="16" fillId="0" borderId="11" xfId="0" applyNumberFormat="1" applyFont="1" applyBorder="1" applyAlignment="1">
      <alignment horizontal="center"/>
    </xf>
    <xf numFmtId="10" fontId="16" fillId="2" borderId="11" xfId="0" applyNumberFormat="1" applyFont="1" applyFill="1" applyBorder="1" applyAlignment="1">
      <alignment horizontal="center"/>
    </xf>
    <xf numFmtId="10" fontId="16" fillId="4" borderId="11" xfId="0" applyNumberFormat="1" applyFont="1" applyFill="1" applyBorder="1" applyAlignment="1">
      <alignment horizontal="center"/>
    </xf>
    <xf numFmtId="10" fontId="16" fillId="0" borderId="11" xfId="0" applyNumberFormat="1" applyFont="1" applyBorder="1" applyAlignment="1">
      <alignment horizontal="left"/>
    </xf>
    <xf numFmtId="10" fontId="16" fillId="2" borderId="11" xfId="0" applyNumberFormat="1" applyFont="1" applyFill="1" applyBorder="1" applyAlignment="1">
      <alignment horizontal="left"/>
    </xf>
    <xf numFmtId="10" fontId="16" fillId="4" borderId="11" xfId="0" applyNumberFormat="1" applyFont="1" applyFill="1" applyBorder="1" applyAlignment="1">
      <alignment horizontal="left"/>
    </xf>
    <xf numFmtId="10" fontId="16" fillId="5" borderId="11" xfId="0" applyNumberFormat="1" applyFont="1" applyFill="1" applyBorder="1" applyAlignment="1">
      <alignment horizontal="center"/>
    </xf>
    <xf numFmtId="10" fontId="17" fillId="2" borderId="11" xfId="0" applyNumberFormat="1" applyFont="1" applyFill="1" applyBorder="1" applyAlignment="1">
      <alignment horizontal="center"/>
    </xf>
    <xf numFmtId="10" fontId="17" fillId="0" borderId="11" xfId="0" applyNumberFormat="1" applyFont="1" applyBorder="1" applyAlignment="1">
      <alignment horizontal="center"/>
    </xf>
    <xf numFmtId="2" fontId="16" fillId="5" borderId="11" xfId="0" applyNumberFormat="1" applyFont="1" applyFill="1" applyBorder="1" applyAlignment="1">
      <alignment horizontal="center"/>
    </xf>
    <xf numFmtId="2" fontId="20" fillId="2" borderId="11" xfId="0" applyNumberFormat="1" applyFont="1" applyFill="1" applyBorder="1" applyAlignment="1">
      <alignment horizontal="center"/>
    </xf>
    <xf numFmtId="2" fontId="19" fillId="0" borderId="11" xfId="0" applyNumberFormat="1" applyFont="1" applyBorder="1" applyAlignment="1">
      <alignment horizontal="center"/>
    </xf>
    <xf numFmtId="2" fontId="21" fillId="2" borderId="11" xfId="0" applyNumberFormat="1" applyFont="1" applyFill="1" applyBorder="1" applyAlignment="1">
      <alignment horizontal="center"/>
    </xf>
    <xf numFmtId="2" fontId="21" fillId="4" borderId="11" xfId="0" applyNumberFormat="1" applyFont="1" applyFill="1" applyBorder="1" applyAlignment="1">
      <alignment horizontal="center"/>
    </xf>
    <xf numFmtId="2" fontId="21" fillId="0" borderId="11" xfId="0" applyNumberFormat="1" applyFont="1" applyBorder="1" applyAlignment="1">
      <alignment horizontal="center"/>
    </xf>
    <xf numFmtId="0" fontId="22" fillId="2" borderId="11" xfId="0" applyFont="1" applyFill="1" applyBorder="1" applyAlignment="1">
      <alignment horizontal="center"/>
    </xf>
    <xf numFmtId="216" fontId="16" fillId="5" borderId="11" xfId="0" applyNumberFormat="1" applyFont="1" applyFill="1" applyBorder="1" applyAlignment="1">
      <alignment horizontal="center"/>
    </xf>
    <xf numFmtId="216" fontId="16" fillId="2" borderId="11" xfId="0" applyNumberFormat="1" applyFont="1" applyFill="1" applyBorder="1" applyAlignment="1">
      <alignment horizontal="center"/>
    </xf>
    <xf numFmtId="216" fontId="16" fillId="0" borderId="11" xfId="0" applyNumberFormat="1" applyFont="1" applyBorder="1" applyAlignment="1">
      <alignment horizontal="center"/>
    </xf>
    <xf numFmtId="216" fontId="16" fillId="4" borderId="11" xfId="0" applyNumberFormat="1" applyFont="1" applyFill="1" applyBorder="1" applyAlignment="1">
      <alignment horizontal="center"/>
    </xf>
    <xf numFmtId="0" fontId="17" fillId="0" borderId="10" xfId="0" applyFont="1" applyBorder="1"/>
    <xf numFmtId="2" fontId="20" fillId="5" borderId="11" xfId="0" applyNumberFormat="1" applyFont="1" applyFill="1" applyBorder="1" applyAlignment="1">
      <alignment horizontal="center"/>
    </xf>
    <xf numFmtId="2" fontId="17" fillId="4" borderId="11" xfId="0" applyNumberFormat="1" applyFont="1" applyFill="1" applyBorder="1" applyAlignment="1">
      <alignment horizontal="center"/>
    </xf>
    <xf numFmtId="217" fontId="18" fillId="2" borderId="11" xfId="0" applyNumberFormat="1" applyFont="1" applyFill="1" applyBorder="1" applyAlignment="1">
      <alignment horizontal="center"/>
    </xf>
    <xf numFmtId="2" fontId="17" fillId="5" borderId="11" xfId="0" applyNumberFormat="1" applyFont="1" applyFill="1" applyBorder="1" applyAlignment="1">
      <alignment horizontal="center"/>
    </xf>
    <xf numFmtId="218" fontId="16" fillId="5" borderId="11" xfId="0" applyNumberFormat="1" applyFont="1" applyFill="1" applyBorder="1" applyAlignment="1">
      <alignment horizontal="center"/>
    </xf>
    <xf numFmtId="218" fontId="16" fillId="2" borderId="11" xfId="0" applyNumberFormat="1" applyFont="1" applyFill="1" applyBorder="1" applyAlignment="1">
      <alignment horizontal="center"/>
    </xf>
    <xf numFmtId="218" fontId="16" fillId="0" borderId="11" xfId="0" applyNumberFormat="1" applyFont="1" applyBorder="1" applyAlignment="1">
      <alignment horizontal="center"/>
    </xf>
    <xf numFmtId="218" fontId="16" fillId="4" borderId="11" xfId="0" applyNumberFormat="1" applyFont="1" applyFill="1" applyBorder="1" applyAlignment="1">
      <alignment horizontal="center"/>
    </xf>
    <xf numFmtId="218" fontId="23" fillId="5" borderId="11" xfId="0" applyNumberFormat="1" applyFont="1" applyFill="1" applyBorder="1" applyAlignment="1">
      <alignment horizontal="center"/>
    </xf>
    <xf numFmtId="218" fontId="23" fillId="2" borderId="11" xfId="0" applyNumberFormat="1" applyFont="1" applyFill="1" applyBorder="1" applyAlignment="1">
      <alignment horizontal="center"/>
    </xf>
    <xf numFmtId="218" fontId="23" fillId="0" borderId="11" xfId="0" applyNumberFormat="1" applyFont="1" applyBorder="1" applyAlignment="1">
      <alignment horizontal="center"/>
    </xf>
    <xf numFmtId="218" fontId="23" fillId="4" borderId="11" xfId="0" applyNumberFormat="1" applyFont="1" applyFill="1" applyBorder="1" applyAlignment="1">
      <alignment horizontal="center"/>
    </xf>
    <xf numFmtId="0" fontId="24" fillId="4" borderId="0" xfId="0" applyFont="1" applyFill="1"/>
    <xf numFmtId="0" fontId="16" fillId="5" borderId="11" xfId="0" applyFont="1" applyFill="1" applyBorder="1" applyAlignment="1">
      <alignment horizontal="center"/>
    </xf>
    <xf numFmtId="219" fontId="16" fillId="2" borderId="11" xfId="0" applyNumberFormat="1" applyFont="1" applyFill="1" applyBorder="1" applyAlignment="1">
      <alignment horizontal="center"/>
    </xf>
    <xf numFmtId="219" fontId="16" fillId="0" borderId="11" xfId="0" applyNumberFormat="1" applyFont="1" applyBorder="1" applyAlignment="1">
      <alignment horizontal="center"/>
    </xf>
    <xf numFmtId="219" fontId="16" fillId="4" borderId="11" xfId="0" applyNumberFormat="1" applyFont="1" applyFill="1" applyBorder="1" applyAlignment="1">
      <alignment horizontal="center"/>
    </xf>
    <xf numFmtId="220" fontId="16" fillId="0" borderId="11" xfId="0" applyNumberFormat="1" applyFont="1" applyBorder="1" applyAlignment="1">
      <alignment horizontal="center"/>
    </xf>
    <xf numFmtId="220" fontId="16" fillId="2" borderId="11" xfId="0" applyNumberFormat="1" applyFont="1" applyFill="1" applyBorder="1" applyAlignment="1">
      <alignment horizontal="center"/>
    </xf>
    <xf numFmtId="0" fontId="17" fillId="0" borderId="11" xfId="0" applyFont="1" applyBorder="1" applyAlignment="1">
      <alignment horizontal="center"/>
    </xf>
    <xf numFmtId="0" fontId="17" fillId="2" borderId="11" xfId="0" applyFont="1" applyFill="1" applyBorder="1" applyAlignment="1">
      <alignment horizontal="center"/>
    </xf>
    <xf numFmtId="0" fontId="17" fillId="4" borderId="11" xfId="0" applyFont="1" applyFill="1" applyBorder="1" applyAlignment="1">
      <alignment horizontal="center"/>
    </xf>
    <xf numFmtId="0" fontId="17" fillId="0" borderId="0" xfId="0" applyFont="1"/>
    <xf numFmtId="0" fontId="16" fillId="0" borderId="12" xfId="0" applyFont="1" applyBorder="1"/>
    <xf numFmtId="0" fontId="16" fillId="0" borderId="7" xfId="0" applyFont="1" applyBorder="1" applyAlignment="1">
      <alignment horizontal="center"/>
    </xf>
    <xf numFmtId="2" fontId="16" fillId="2" borderId="7" xfId="0" applyNumberFormat="1" applyFont="1" applyFill="1" applyBorder="1" applyAlignment="1">
      <alignment horizontal="center"/>
    </xf>
    <xf numFmtId="2" fontId="16" fillId="0" borderId="7" xfId="0" applyNumberFormat="1" applyFont="1" applyBorder="1" applyAlignment="1">
      <alignment horizontal="center"/>
    </xf>
    <xf numFmtId="2" fontId="16" fillId="4" borderId="7" xfId="0" applyNumberFormat="1" applyFont="1" applyFill="1" applyBorder="1" applyAlignment="1">
      <alignment horizontal="center"/>
    </xf>
    <xf numFmtId="2" fontId="18" fillId="5" borderId="11" xfId="0" applyNumberFormat="1" applyFont="1" applyFill="1" applyBorder="1" applyAlignment="1">
      <alignment horizontal="center"/>
    </xf>
    <xf numFmtId="0" fontId="25" fillId="0" borderId="0" xfId="0" applyFont="1" applyAlignment="1">
      <alignment horizontal="left"/>
    </xf>
    <xf numFmtId="0" fontId="17" fillId="0" borderId="3" xfId="0" applyFont="1" applyBorder="1" applyAlignment="1">
      <alignment horizontal="center"/>
    </xf>
    <xf numFmtId="14" fontId="16" fillId="0" borderId="6" xfId="0" applyNumberFormat="1" applyFont="1" applyBorder="1" applyAlignment="1">
      <alignment horizontal="center"/>
    </xf>
    <xf numFmtId="0" fontId="21" fillId="5" borderId="0" xfId="0" applyFont="1" applyFill="1" applyAlignment="1">
      <alignment horizontal="center"/>
    </xf>
    <xf numFmtId="2" fontId="19" fillId="5" borderId="11" xfId="0" applyNumberFormat="1" applyFont="1" applyFill="1" applyBorder="1" applyAlignment="1">
      <alignment horizontal="center"/>
    </xf>
    <xf numFmtId="216" fontId="21" fillId="5" borderId="11" xfId="0" applyNumberFormat="1" applyFont="1" applyFill="1" applyBorder="1" applyAlignment="1">
      <alignment horizontal="center"/>
    </xf>
    <xf numFmtId="0" fontId="25" fillId="0" borderId="0" xfId="0" applyFont="1"/>
    <xf numFmtId="0" fontId="26" fillId="0" borderId="0" xfId="0" applyFont="1"/>
    <xf numFmtId="221" fontId="21" fillId="2" borderId="11" xfId="0" applyNumberFormat="1" applyFont="1" applyFill="1" applyBorder="1" applyAlignment="1">
      <alignment horizontal="center"/>
    </xf>
    <xf numFmtId="0" fontId="0" fillId="3" borderId="2" xfId="0" applyFill="1" applyBorder="1"/>
    <xf numFmtId="0" fontId="10" fillId="3" borderId="8" xfId="0" applyFont="1" applyFill="1" applyBorder="1"/>
    <xf numFmtId="0" fontId="0" fillId="3" borderId="9" xfId="0" applyFill="1" applyBorder="1"/>
    <xf numFmtId="0" fontId="10" fillId="3" borderId="10" xfId="0" applyFont="1" applyFill="1" applyBorder="1"/>
    <xf numFmtId="0" fontId="0" fillId="3" borderId="10" xfId="0" applyFill="1" applyBorder="1"/>
    <xf numFmtId="0" fontId="12" fillId="3" borderId="10" xfId="0" applyFont="1" applyFill="1" applyBorder="1"/>
    <xf numFmtId="0" fontId="0" fillId="3" borderId="5" xfId="0" applyFill="1" applyBorder="1"/>
    <xf numFmtId="0" fontId="0" fillId="3" borderId="12" xfId="0" applyFill="1" applyBorder="1"/>
    <xf numFmtId="0" fontId="0" fillId="0" borderId="12" xfId="0" applyBorder="1"/>
    <xf numFmtId="0" fontId="9" fillId="3" borderId="12" xfId="0" applyFont="1" applyFill="1" applyBorder="1"/>
    <xf numFmtId="0" fontId="9" fillId="3" borderId="10" xfId="0" applyFont="1" applyFill="1" applyBorder="1"/>
    <xf numFmtId="0" fontId="10" fillId="3" borderId="12" xfId="0" applyFont="1" applyFill="1" applyBorder="1"/>
    <xf numFmtId="0" fontId="3" fillId="3" borderId="12" xfId="0" applyFont="1" applyFill="1" applyBorder="1"/>
    <xf numFmtId="0" fontId="27" fillId="0" borderId="0" xfId="0" applyFont="1"/>
    <xf numFmtId="0" fontId="28" fillId="0" borderId="0" xfId="0" applyFont="1"/>
    <xf numFmtId="0" fontId="27" fillId="0" borderId="3" xfId="0" applyFont="1" applyBorder="1"/>
    <xf numFmtId="0" fontId="31" fillId="0" borderId="11" xfId="0" applyFont="1" applyBorder="1" applyAlignment="1">
      <alignment vertical="top" wrapText="1"/>
    </xf>
    <xf numFmtId="0" fontId="32" fillId="0" borderId="11" xfId="0" applyFont="1" applyBorder="1" applyAlignment="1">
      <alignment horizontal="left" vertical="top" wrapText="1"/>
    </xf>
    <xf numFmtId="0" fontId="32" fillId="0" borderId="11" xfId="0" applyFont="1" applyBorder="1" applyAlignment="1">
      <alignment horizontal="center" vertical="top" wrapText="1"/>
    </xf>
    <xf numFmtId="0" fontId="33" fillId="0" borderId="11" xfId="0" applyFont="1" applyBorder="1" applyAlignment="1">
      <alignment horizontal="center" vertical="top" wrapText="1"/>
    </xf>
    <xf numFmtId="0" fontId="34" fillId="0" borderId="11" xfId="0" applyFont="1" applyBorder="1" applyAlignment="1">
      <alignment horizontal="center" vertical="top" wrapText="1"/>
    </xf>
    <xf numFmtId="0" fontId="29" fillId="0" borderId="0" xfId="0" applyFont="1" applyAlignment="1">
      <alignment vertical="top"/>
    </xf>
    <xf numFmtId="0" fontId="30" fillId="0" borderId="0" xfId="0" applyFont="1" applyAlignment="1">
      <alignment vertical="top"/>
    </xf>
    <xf numFmtId="0" fontId="29" fillId="0" borderId="3" xfId="0" applyFont="1" applyBorder="1" applyAlignment="1">
      <alignment vertical="top"/>
    </xf>
    <xf numFmtId="0" fontId="31" fillId="0" borderId="11" xfId="0" applyFont="1" applyBorder="1" applyAlignment="1">
      <alignment horizontal="center" vertical="top" wrapText="1"/>
    </xf>
    <xf numFmtId="0" fontId="32" fillId="0" borderId="11" xfId="0" applyFont="1" applyBorder="1" applyAlignment="1">
      <alignment horizontal="left" vertical="top" wrapText="1" indent="1"/>
    </xf>
    <xf numFmtId="0" fontId="31" fillId="0" borderId="0" xfId="0" applyFont="1" applyAlignment="1">
      <alignment vertical="top" wrapText="1"/>
    </xf>
    <xf numFmtId="0" fontId="34" fillId="0" borderId="9" xfId="0" applyFont="1" applyBorder="1" applyAlignment="1">
      <alignment vertical="top" wrapText="1"/>
    </xf>
    <xf numFmtId="0" fontId="34" fillId="0" borderId="0" xfId="0" applyFont="1" applyAlignment="1">
      <alignment vertical="top" wrapText="1"/>
    </xf>
    <xf numFmtId="0" fontId="34" fillId="0" borderId="11" xfId="0" applyFont="1" applyBorder="1" applyAlignment="1">
      <alignment vertical="top" wrapText="1"/>
    </xf>
    <xf numFmtId="215" fontId="33" fillId="0" borderId="11" xfId="0" applyNumberFormat="1" applyFont="1" applyBorder="1" applyAlignment="1">
      <alignment vertical="top" wrapText="1"/>
    </xf>
    <xf numFmtId="0" fontId="33" fillId="0" borderId="11" xfId="0" applyFont="1" applyBorder="1" applyAlignment="1">
      <alignment horizontal="left" vertical="top" wrapText="1" indent="1"/>
    </xf>
    <xf numFmtId="0" fontId="31" fillId="0" borderId="2" xfId="0" applyFont="1" applyBorder="1" applyAlignment="1">
      <alignment vertical="top" wrapText="1"/>
    </xf>
    <xf numFmtId="0" fontId="31" fillId="0" borderId="3" xfId="0" applyFont="1" applyBorder="1" applyAlignment="1">
      <alignment vertical="top" wrapText="1"/>
    </xf>
    <xf numFmtId="0" fontId="31" fillId="3" borderId="4" xfId="0" applyFont="1" applyFill="1" applyBorder="1" applyAlignment="1">
      <alignment vertical="top" wrapText="1"/>
    </xf>
    <xf numFmtId="0" fontId="32" fillId="3" borderId="4" xfId="0" applyFont="1" applyFill="1" applyBorder="1" applyAlignment="1">
      <alignment horizontal="center" vertical="top" wrapText="1"/>
    </xf>
    <xf numFmtId="0" fontId="33" fillId="3" borderId="2" xfId="0" applyFont="1" applyFill="1" applyBorder="1" applyAlignment="1">
      <alignment horizontal="center" vertical="top" wrapText="1"/>
    </xf>
    <xf numFmtId="0" fontId="34" fillId="3" borderId="3" xfId="0" applyFont="1" applyFill="1" applyBorder="1" applyAlignment="1">
      <alignment horizontal="center" vertical="top" wrapText="1"/>
    </xf>
    <xf numFmtId="0" fontId="31" fillId="3" borderId="3" xfId="0" applyFont="1" applyFill="1" applyBorder="1" applyAlignment="1">
      <alignment horizontal="center" vertical="top" wrapText="1"/>
    </xf>
    <xf numFmtId="0" fontId="31" fillId="3" borderId="8" xfId="0" applyFont="1" applyFill="1" applyBorder="1" applyAlignment="1">
      <alignment horizontal="center" vertical="top" wrapText="1"/>
    </xf>
    <xf numFmtId="0" fontId="32" fillId="3" borderId="2" xfId="0" applyFont="1" applyFill="1" applyBorder="1" applyAlignment="1">
      <alignment horizontal="center" vertical="top" wrapText="1"/>
    </xf>
    <xf numFmtId="0" fontId="32" fillId="3" borderId="8" xfId="0" applyFont="1" applyFill="1" applyBorder="1" applyAlignment="1">
      <alignment horizontal="center" vertical="top" wrapText="1"/>
    </xf>
    <xf numFmtId="0" fontId="32" fillId="3" borderId="4" xfId="0" applyFont="1" applyFill="1" applyBorder="1" applyAlignment="1">
      <alignment horizontal="left" vertical="top" wrapText="1" indent="1"/>
    </xf>
    <xf numFmtId="0" fontId="31" fillId="3" borderId="2" xfId="0" applyFont="1" applyFill="1" applyBorder="1" applyAlignment="1">
      <alignment horizontal="center" vertical="top" wrapText="1"/>
    </xf>
    <xf numFmtId="0" fontId="34" fillId="3" borderId="8" xfId="0" applyFont="1" applyFill="1" applyBorder="1" applyAlignment="1">
      <alignment horizontal="center" vertical="top" wrapText="1"/>
    </xf>
    <xf numFmtId="0" fontId="32" fillId="3" borderId="11" xfId="0" applyFont="1" applyFill="1" applyBorder="1" applyAlignment="1">
      <alignment horizontal="center" vertical="top" wrapText="1"/>
    </xf>
    <xf numFmtId="0" fontId="32" fillId="3" borderId="9" xfId="0" applyFont="1" applyFill="1" applyBorder="1" applyAlignment="1">
      <alignment horizontal="center" vertical="top" wrapText="1"/>
    </xf>
    <xf numFmtId="215" fontId="32" fillId="3" borderId="11" xfId="0" applyNumberFormat="1" applyFont="1" applyFill="1" applyBorder="1" applyAlignment="1">
      <alignment horizontal="center" vertical="top" wrapText="1"/>
    </xf>
    <xf numFmtId="0" fontId="32" fillId="3" borderId="10" xfId="0" applyFont="1" applyFill="1" applyBorder="1" applyAlignment="1">
      <alignment horizontal="center" vertical="top" wrapText="1"/>
    </xf>
    <xf numFmtId="0" fontId="31" fillId="3" borderId="9" xfId="0" applyFont="1" applyFill="1" applyBorder="1" applyAlignment="1">
      <alignment horizontal="center" vertical="top" wrapText="1"/>
    </xf>
    <xf numFmtId="0" fontId="31" fillId="3" borderId="0" xfId="0" applyFont="1" applyFill="1" applyAlignment="1">
      <alignment horizontal="center" vertical="top" wrapText="1"/>
    </xf>
    <xf numFmtId="0" fontId="34" fillId="3" borderId="0" xfId="0" applyFont="1" applyFill="1" applyAlignment="1">
      <alignment horizontal="center" vertical="top" wrapText="1"/>
    </xf>
    <xf numFmtId="0" fontId="31" fillId="3" borderId="10" xfId="0" applyFont="1" applyFill="1" applyBorder="1" applyAlignment="1">
      <alignment horizontal="center" vertical="top" wrapText="1"/>
    </xf>
    <xf numFmtId="0" fontId="34" fillId="3" borderId="10" xfId="0" applyFont="1" applyFill="1" applyBorder="1" applyAlignment="1">
      <alignment horizontal="center" vertical="top" wrapText="1"/>
    </xf>
    <xf numFmtId="0" fontId="33" fillId="3" borderId="11" xfId="0" applyFont="1" applyFill="1" applyBorder="1" applyAlignment="1">
      <alignment horizontal="center" vertical="top" wrapText="1"/>
    </xf>
    <xf numFmtId="0" fontId="31" fillId="3" borderId="11" xfId="0" applyFont="1" applyFill="1" applyBorder="1" applyAlignment="1">
      <alignment horizontal="center" vertical="top" wrapText="1"/>
    </xf>
    <xf numFmtId="0" fontId="34" fillId="3" borderId="11" xfId="0" applyFont="1" applyFill="1" applyBorder="1" applyAlignment="1">
      <alignment horizontal="center" vertical="top" wrapText="1"/>
    </xf>
    <xf numFmtId="215" fontId="32" fillId="3" borderId="11" xfId="0" applyNumberFormat="1" applyFont="1" applyFill="1" applyBorder="1" applyAlignment="1">
      <alignment vertical="top" wrapText="1"/>
    </xf>
    <xf numFmtId="9" fontId="32" fillId="3" borderId="11" xfId="0" applyNumberFormat="1" applyFont="1" applyFill="1" applyBorder="1" applyAlignment="1">
      <alignment horizontal="center" vertical="top" wrapText="1"/>
    </xf>
    <xf numFmtId="0" fontId="31" fillId="0" borderId="5" xfId="0" applyFont="1" applyBorder="1" applyAlignment="1">
      <alignment vertical="top" wrapText="1"/>
    </xf>
    <xf numFmtId="0" fontId="31" fillId="0" borderId="6" xfId="0" applyFont="1" applyBorder="1" applyAlignment="1">
      <alignment vertical="top" wrapText="1"/>
    </xf>
    <xf numFmtId="0" fontId="32" fillId="3" borderId="7" xfId="0" applyFont="1" applyFill="1" applyBorder="1" applyAlignment="1">
      <alignment horizontal="center" vertical="top" wrapText="1"/>
    </xf>
    <xf numFmtId="0" fontId="31" fillId="3" borderId="7" xfId="0" applyFont="1" applyFill="1" applyBorder="1" applyAlignment="1">
      <alignment horizontal="center" vertical="top" wrapText="1"/>
    </xf>
    <xf numFmtId="0" fontId="32" fillId="0" borderId="4" xfId="0" applyFont="1" applyBorder="1" applyAlignment="1">
      <alignment horizontal="center" vertical="top" wrapText="1"/>
    </xf>
    <xf numFmtId="166" fontId="31" fillId="0" borderId="11" xfId="0" applyNumberFormat="1" applyFont="1" applyBorder="1" applyAlignment="1">
      <alignment horizontal="center" vertical="top" wrapText="1"/>
    </xf>
    <xf numFmtId="166" fontId="32" fillId="0" borderId="11" xfId="0" applyNumberFormat="1" applyFont="1" applyBorder="1" applyAlignment="1">
      <alignment horizontal="center" vertical="top" wrapText="1"/>
    </xf>
    <xf numFmtId="0" fontId="6" fillId="5" borderId="0" xfId="0" applyFont="1" applyFill="1"/>
    <xf numFmtId="2" fontId="6" fillId="5" borderId="0" xfId="0" applyNumberFormat="1" applyFont="1" applyFill="1"/>
    <xf numFmtId="0" fontId="0" fillId="6" borderId="0" xfId="0" applyFill="1"/>
    <xf numFmtId="223" fontId="32" fillId="0" borderId="11" xfId="0" applyNumberFormat="1" applyFont="1" applyBorder="1" applyAlignment="1">
      <alignment horizontal="center" vertical="top" wrapText="1"/>
    </xf>
    <xf numFmtId="0" fontId="10" fillId="3" borderId="1" xfId="0" applyFont="1" applyFill="1" applyBorder="1"/>
    <xf numFmtId="0" fontId="27" fillId="0" borderId="0" xfId="0" applyFont="1" applyAlignment="1">
      <alignment vertical="top"/>
    </xf>
    <xf numFmtId="0" fontId="28" fillId="0" borderId="0" xfId="0" applyFont="1" applyAlignment="1">
      <alignment vertical="top"/>
    </xf>
    <xf numFmtId="0" fontId="27" fillId="0" borderId="3" xfId="0" applyFont="1" applyBorder="1" applyAlignment="1">
      <alignment vertical="top"/>
    </xf>
    <xf numFmtId="0" fontId="35" fillId="6" borderId="0" xfId="0" applyFont="1" applyFill="1"/>
    <xf numFmtId="0" fontId="0" fillId="3" borderId="6" xfId="0" applyFill="1" applyBorder="1"/>
    <xf numFmtId="0" fontId="0" fillId="3" borderId="0" xfId="0" applyFill="1" applyAlignment="1">
      <alignment horizontal="right"/>
    </xf>
    <xf numFmtId="0" fontId="10" fillId="3" borderId="13" xfId="0" applyFont="1" applyFill="1" applyBorder="1"/>
    <xf numFmtId="0" fontId="0" fillId="3" borderId="14" xfId="0" applyFill="1" applyBorder="1"/>
    <xf numFmtId="0" fontId="0" fillId="3" borderId="15" xfId="0" applyFill="1" applyBorder="1"/>
    <xf numFmtId="0" fontId="0" fillId="3" borderId="16" xfId="0" applyFill="1" applyBorder="1"/>
    <xf numFmtId="0" fontId="37" fillId="3" borderId="0" xfId="0" applyFont="1" applyFill="1"/>
    <xf numFmtId="0" fontId="0" fillId="3" borderId="17" xfId="0" applyFill="1" applyBorder="1"/>
    <xf numFmtId="0" fontId="0" fillId="6" borderId="17" xfId="0" applyFill="1" applyBorder="1"/>
    <xf numFmtId="0" fontId="8" fillId="3" borderId="0" xfId="2" applyFill="1" applyAlignment="1" applyProtection="1"/>
    <xf numFmtId="0" fontId="3" fillId="3" borderId="0" xfId="0" applyFont="1" applyFill="1"/>
    <xf numFmtId="0" fontId="5" fillId="3" borderId="0" xfId="0" applyFont="1" applyFill="1"/>
    <xf numFmtId="0" fontId="42" fillId="6" borderId="0" xfId="0" applyFont="1" applyFill="1"/>
    <xf numFmtId="0" fontId="7" fillId="3" borderId="6" xfId="0" applyFont="1" applyFill="1" applyBorder="1"/>
    <xf numFmtId="0" fontId="0" fillId="0" borderId="15" xfId="0" applyBorder="1"/>
    <xf numFmtId="0" fontId="0" fillId="0" borderId="3" xfId="0" applyBorder="1"/>
    <xf numFmtId="0" fontId="0" fillId="3" borderId="3" xfId="0" applyFill="1" applyBorder="1"/>
    <xf numFmtId="0" fontId="10" fillId="3" borderId="3" xfId="0" applyFont="1" applyFill="1" applyBorder="1"/>
    <xf numFmtId="0" fontId="0" fillId="3" borderId="8" xfId="0" applyFill="1" applyBorder="1"/>
    <xf numFmtId="0" fontId="10" fillId="3" borderId="6" xfId="0" applyFont="1" applyFill="1" applyBorder="1"/>
    <xf numFmtId="14" fontId="0" fillId="3" borderId="0" xfId="0" applyNumberFormat="1" applyFill="1"/>
    <xf numFmtId="0" fontId="0" fillId="3" borderId="0" xfId="0" applyFill="1" applyAlignment="1">
      <alignment horizontal="center"/>
    </xf>
    <xf numFmtId="0" fontId="7" fillId="3" borderId="0" xfId="0" applyFont="1" applyFill="1"/>
    <xf numFmtId="0" fontId="0" fillId="2" borderId="18" xfId="0" applyFill="1" applyBorder="1"/>
    <xf numFmtId="0" fontId="10" fillId="3" borderId="19" xfId="0" applyFont="1" applyFill="1" applyBorder="1"/>
    <xf numFmtId="0" fontId="10" fillId="3" borderId="20" xfId="0" applyFont="1" applyFill="1" applyBorder="1"/>
    <xf numFmtId="0" fontId="10" fillId="3" borderId="21" xfId="0" applyFont="1" applyFill="1" applyBorder="1"/>
    <xf numFmtId="2" fontId="10" fillId="3" borderId="15" xfId="0" applyNumberFormat="1" applyFont="1" applyFill="1" applyBorder="1"/>
    <xf numFmtId="0" fontId="0" fillId="3" borderId="22" xfId="0" applyFill="1" applyBorder="1"/>
    <xf numFmtId="2" fontId="10" fillId="3" borderId="23" xfId="0" applyNumberFormat="1" applyFont="1" applyFill="1" applyBorder="1"/>
    <xf numFmtId="2" fontId="10" fillId="3" borderId="24" xfId="0" applyNumberFormat="1" applyFont="1" applyFill="1" applyBorder="1"/>
    <xf numFmtId="2" fontId="10" fillId="3" borderId="25" xfId="0" applyNumberFormat="1" applyFont="1" applyFill="1" applyBorder="1"/>
    <xf numFmtId="2" fontId="10" fillId="3" borderId="26" xfId="0" applyNumberFormat="1" applyFont="1" applyFill="1" applyBorder="1"/>
    <xf numFmtId="2" fontId="10" fillId="5" borderId="15" xfId="0" applyNumberFormat="1" applyFont="1" applyFill="1" applyBorder="1"/>
    <xf numFmtId="2" fontId="0" fillId="3" borderId="14" xfId="0" applyNumberFormat="1" applyFill="1" applyBorder="1" applyAlignment="1">
      <alignment horizontal="right"/>
    </xf>
    <xf numFmtId="2" fontId="10" fillId="5" borderId="27" xfId="0" applyNumberFormat="1" applyFont="1" applyFill="1" applyBorder="1"/>
    <xf numFmtId="2" fontId="0" fillId="3" borderId="28" xfId="0" applyNumberFormat="1" applyFill="1" applyBorder="1" applyAlignment="1">
      <alignment horizontal="right"/>
    </xf>
    <xf numFmtId="2" fontId="10" fillId="3" borderId="29" xfId="0" applyNumberFormat="1" applyFont="1" applyFill="1" applyBorder="1"/>
    <xf numFmtId="0" fontId="10" fillId="3" borderId="23" xfId="0" applyFont="1" applyFill="1" applyBorder="1"/>
    <xf numFmtId="0" fontId="10" fillId="3" borderId="30" xfId="0" applyFont="1" applyFill="1" applyBorder="1"/>
    <xf numFmtId="0" fontId="0" fillId="3" borderId="19" xfId="0" applyFill="1" applyBorder="1"/>
    <xf numFmtId="0" fontId="46" fillId="3" borderId="0" xfId="0" applyFont="1" applyFill="1"/>
    <xf numFmtId="2" fontId="10" fillId="5" borderId="1" xfId="0" applyNumberFormat="1" applyFont="1" applyFill="1" applyBorder="1"/>
    <xf numFmtId="2" fontId="10" fillId="3" borderId="31" xfId="0" applyNumberFormat="1" applyFont="1" applyFill="1" applyBorder="1"/>
    <xf numFmtId="2" fontId="10" fillId="3" borderId="32" xfId="0" applyNumberFormat="1" applyFont="1" applyFill="1" applyBorder="1"/>
    <xf numFmtId="2" fontId="10" fillId="3" borderId="33" xfId="0" applyNumberFormat="1" applyFont="1" applyFill="1" applyBorder="1"/>
    <xf numFmtId="0" fontId="0" fillId="2" borderId="1" xfId="0" applyFill="1" applyBorder="1" applyProtection="1">
      <protection locked="0"/>
    </xf>
    <xf numFmtId="0" fontId="0" fillId="2" borderId="34" xfId="0" applyFill="1" applyBorder="1" applyProtection="1">
      <protection locked="0"/>
    </xf>
    <xf numFmtId="0" fontId="0" fillId="2" borderId="35" xfId="0" applyFill="1" applyBorder="1" applyProtection="1">
      <protection locked="0"/>
    </xf>
    <xf numFmtId="9" fontId="0" fillId="2" borderId="35" xfId="0" applyNumberFormat="1" applyFill="1" applyBorder="1" applyProtection="1">
      <protection locked="0"/>
    </xf>
    <xf numFmtId="0" fontId="7" fillId="2" borderId="13" xfId="0" applyFont="1" applyFill="1" applyBorder="1" applyProtection="1">
      <protection locked="0"/>
    </xf>
    <xf numFmtId="0" fontId="0" fillId="2" borderId="36" xfId="0" applyFill="1" applyBorder="1" applyProtection="1">
      <protection locked="0"/>
    </xf>
    <xf numFmtId="0" fontId="0" fillId="3" borderId="37" xfId="0" applyFill="1" applyBorder="1"/>
    <xf numFmtId="0" fontId="0" fillId="3" borderId="14" xfId="0" applyFill="1" applyBorder="1" applyAlignment="1">
      <alignment horizontal="right"/>
    </xf>
    <xf numFmtId="0" fontId="0" fillId="2" borderId="38" xfId="0" applyFill="1" applyBorder="1" applyProtection="1">
      <protection locked="0"/>
    </xf>
    <xf numFmtId="0" fontId="32" fillId="0" borderId="0" xfId="0" applyFont="1" applyAlignment="1">
      <alignment horizontal="center" vertical="top" wrapText="1"/>
    </xf>
    <xf numFmtId="0" fontId="34" fillId="0" borderId="0" xfId="0" applyFont="1" applyAlignment="1">
      <alignment horizontal="center" vertical="top" wrapText="1"/>
    </xf>
    <xf numFmtId="0" fontId="32" fillId="3" borderId="0" xfId="0" applyFont="1" applyFill="1" applyAlignment="1">
      <alignment horizontal="center" vertical="top" wrapText="1"/>
    </xf>
    <xf numFmtId="0" fontId="50" fillId="0" borderId="0" xfId="0" applyFont="1"/>
    <xf numFmtId="0" fontId="0" fillId="3" borderId="28" xfId="0" applyFill="1" applyBorder="1"/>
    <xf numFmtId="0" fontId="0" fillId="8" borderId="0" xfId="0" applyFill="1"/>
    <xf numFmtId="2" fontId="0" fillId="8" borderId="0" xfId="0" applyNumberFormat="1" applyFill="1"/>
    <xf numFmtId="2" fontId="10" fillId="8" borderId="0" xfId="0" applyNumberFormat="1" applyFont="1" applyFill="1"/>
    <xf numFmtId="0" fontId="0" fillId="3" borderId="40" xfId="0" applyFill="1" applyBorder="1"/>
    <xf numFmtId="0" fontId="53" fillId="3" borderId="0" xfId="0" applyFont="1" applyFill="1"/>
    <xf numFmtId="2" fontId="0" fillId="3" borderId="0" xfId="0" applyNumberFormat="1" applyFill="1" applyAlignment="1">
      <alignment horizontal="right"/>
    </xf>
    <xf numFmtId="2" fontId="0" fillId="3" borderId="37" xfId="0" applyNumberFormat="1" applyFill="1" applyBorder="1" applyAlignment="1">
      <alignment horizontal="right"/>
    </xf>
    <xf numFmtId="0" fontId="10" fillId="8" borderId="0" xfId="0" applyFont="1" applyFill="1"/>
    <xf numFmtId="2" fontId="47" fillId="8" borderId="0" xfId="0" applyNumberFormat="1" applyFont="1" applyFill="1"/>
    <xf numFmtId="2" fontId="10" fillId="8" borderId="0" xfId="0" applyNumberFormat="1" applyFont="1" applyFill="1" applyAlignment="1">
      <alignment horizontal="right"/>
    </xf>
    <xf numFmtId="2" fontId="0" fillId="8" borderId="0" xfId="0" applyNumberFormat="1" applyFill="1" applyAlignment="1">
      <alignment horizontal="right"/>
    </xf>
    <xf numFmtId="0" fontId="10" fillId="10" borderId="19" xfId="0" applyFont="1" applyFill="1" applyBorder="1"/>
    <xf numFmtId="0" fontId="0" fillId="10" borderId="16" xfId="0" applyFill="1" applyBorder="1"/>
    <xf numFmtId="2" fontId="54" fillId="3" borderId="15" xfId="0" applyNumberFormat="1" applyFont="1" applyFill="1" applyBorder="1"/>
    <xf numFmtId="2" fontId="54" fillId="3" borderId="22" xfId="0" applyNumberFormat="1" applyFont="1" applyFill="1" applyBorder="1"/>
    <xf numFmtId="2" fontId="10" fillId="2" borderId="20" xfId="0" applyNumberFormat="1" applyFont="1" applyFill="1" applyBorder="1" applyProtection="1">
      <protection locked="0"/>
    </xf>
    <xf numFmtId="0" fontId="0" fillId="2" borderId="21" xfId="0" applyFill="1" applyBorder="1" applyAlignment="1" applyProtection="1">
      <alignment horizontal="right"/>
      <protection locked="0"/>
    </xf>
    <xf numFmtId="2" fontId="47" fillId="3" borderId="32" xfId="0" applyNumberFormat="1" applyFont="1" applyFill="1" applyBorder="1"/>
    <xf numFmtId="2" fontId="47" fillId="3" borderId="33" xfId="0" applyNumberFormat="1" applyFont="1" applyFill="1" applyBorder="1" applyAlignment="1">
      <alignment horizontal="right"/>
    </xf>
    <xf numFmtId="0" fontId="0" fillId="8" borderId="0" xfId="0" applyFill="1" applyProtection="1">
      <protection locked="0"/>
    </xf>
    <xf numFmtId="0" fontId="37" fillId="3" borderId="19" xfId="0" applyFont="1" applyFill="1" applyBorder="1"/>
    <xf numFmtId="0" fontId="0" fillId="3" borderId="40" xfId="0" applyFill="1" applyBorder="1" applyAlignment="1">
      <alignment horizontal="right"/>
    </xf>
    <xf numFmtId="0" fontId="10" fillId="3" borderId="40" xfId="0" applyFont="1" applyFill="1" applyBorder="1"/>
    <xf numFmtId="0" fontId="37" fillId="3" borderId="15" xfId="0" applyFont="1" applyFill="1" applyBorder="1"/>
    <xf numFmtId="0" fontId="10" fillId="3" borderId="0" xfId="0" applyFont="1" applyFill="1" applyAlignment="1">
      <alignment horizontal="right"/>
    </xf>
    <xf numFmtId="0" fontId="37" fillId="3" borderId="27" xfId="0" applyFont="1" applyFill="1" applyBorder="1"/>
    <xf numFmtId="0" fontId="0" fillId="3" borderId="37" xfId="0" applyFill="1" applyBorder="1" applyAlignment="1">
      <alignment horizontal="right"/>
    </xf>
    <xf numFmtId="0" fontId="10" fillId="3" borderId="37" xfId="0" applyFont="1" applyFill="1" applyBorder="1"/>
    <xf numFmtId="0" fontId="7" fillId="3" borderId="40" xfId="0" applyFont="1" applyFill="1" applyBorder="1" applyAlignment="1">
      <alignment horizontal="left"/>
    </xf>
    <xf numFmtId="0" fontId="37" fillId="8" borderId="0" xfId="0" applyFont="1" applyFill="1"/>
    <xf numFmtId="0" fontId="0" fillId="8" borderId="0" xfId="0" applyFill="1" applyAlignment="1">
      <alignment horizontal="right"/>
    </xf>
    <xf numFmtId="0" fontId="0" fillId="1" borderId="0" xfId="0" applyFill="1"/>
    <xf numFmtId="0" fontId="10" fillId="2" borderId="44" xfId="0" applyFont="1" applyFill="1" applyBorder="1" applyAlignment="1" applyProtection="1">
      <alignment horizontal="right"/>
      <protection locked="0"/>
    </xf>
    <xf numFmtId="0" fontId="41" fillId="3" borderId="37" xfId="0" applyFont="1" applyFill="1" applyBorder="1"/>
    <xf numFmtId="0" fontId="41" fillId="8" borderId="0" xfId="0" applyFont="1" applyFill="1"/>
    <xf numFmtId="0" fontId="7" fillId="8" borderId="0" xfId="0" applyFont="1" applyFill="1"/>
    <xf numFmtId="0" fontId="43" fillId="8" borderId="0" xfId="0" applyFont="1" applyFill="1"/>
    <xf numFmtId="0" fontId="7" fillId="3" borderId="23" xfId="0" applyFont="1" applyFill="1" applyBorder="1"/>
    <xf numFmtId="0" fontId="0" fillId="3" borderId="45" xfId="0" applyFill="1" applyBorder="1"/>
    <xf numFmtId="0" fontId="0" fillId="3" borderId="27" xfId="0" applyFill="1" applyBorder="1"/>
    <xf numFmtId="0" fontId="7" fillId="3" borderId="37" xfId="0" applyFont="1" applyFill="1" applyBorder="1"/>
    <xf numFmtId="2" fontId="10" fillId="3" borderId="37" xfId="0" applyNumberFormat="1" applyFont="1" applyFill="1" applyBorder="1"/>
    <xf numFmtId="2" fontId="10" fillId="3" borderId="28" xfId="0" applyNumberFormat="1" applyFont="1" applyFill="1" applyBorder="1"/>
    <xf numFmtId="0" fontId="7" fillId="3" borderId="40" xfId="0" applyFont="1" applyFill="1" applyBorder="1"/>
    <xf numFmtId="2" fontId="10" fillId="3" borderId="46" xfId="0" applyNumberFormat="1" applyFont="1" applyFill="1" applyBorder="1"/>
    <xf numFmtId="2" fontId="10" fillId="3" borderId="47" xfId="0" applyNumberFormat="1" applyFont="1" applyFill="1" applyBorder="1"/>
    <xf numFmtId="0" fontId="0" fillId="0" borderId="40" xfId="0" applyBorder="1" applyAlignment="1">
      <alignment horizontal="right"/>
    </xf>
    <xf numFmtId="0" fontId="49" fillId="3" borderId="0" xfId="0" applyFont="1" applyFill="1"/>
    <xf numFmtId="0" fontId="51" fillId="3" borderId="0" xfId="0" applyFont="1" applyFill="1"/>
    <xf numFmtId="0" fontId="55" fillId="6" borderId="0" xfId="0" applyFont="1" applyFill="1"/>
    <xf numFmtId="0" fontId="51" fillId="6" borderId="0" xfId="0" applyFont="1" applyFill="1"/>
    <xf numFmtId="0" fontId="36" fillId="6" borderId="0" xfId="0" applyFont="1" applyFill="1"/>
    <xf numFmtId="2" fontId="7" fillId="5" borderId="1" xfId="0" applyNumberFormat="1" applyFont="1" applyFill="1" applyBorder="1"/>
    <xf numFmtId="2" fontId="47" fillId="0" borderId="33" xfId="0" applyNumberFormat="1" applyFont="1" applyBorder="1" applyAlignment="1">
      <alignment horizontal="right"/>
    </xf>
    <xf numFmtId="0" fontId="0" fillId="3" borderId="49" xfId="0" applyFill="1" applyBorder="1"/>
    <xf numFmtId="0" fontId="56" fillId="3" borderId="0" xfId="0" applyFont="1" applyFill="1"/>
    <xf numFmtId="0" fontId="0" fillId="11" borderId="0" xfId="0" applyFill="1"/>
    <xf numFmtId="0" fontId="10" fillId="11" borderId="0" xfId="0" applyFont="1" applyFill="1"/>
    <xf numFmtId="0" fontId="0" fillId="5" borderId="0" xfId="0" applyFill="1"/>
    <xf numFmtId="176" fontId="0" fillId="5" borderId="0" xfId="0" applyNumberFormat="1" applyFill="1"/>
    <xf numFmtId="0" fontId="0" fillId="9" borderId="50" xfId="0" applyFill="1" applyBorder="1"/>
    <xf numFmtId="0" fontId="0" fillId="2" borderId="40" xfId="0" applyFill="1" applyBorder="1"/>
    <xf numFmtId="0" fontId="49" fillId="12" borderId="27" xfId="0" applyFont="1" applyFill="1" applyBorder="1"/>
    <xf numFmtId="0" fontId="0" fillId="12" borderId="37" xfId="0" applyFill="1" applyBorder="1"/>
    <xf numFmtId="0" fontId="0" fillId="12" borderId="28" xfId="0" applyFill="1" applyBorder="1"/>
    <xf numFmtId="0" fontId="44" fillId="12" borderId="0" xfId="0" applyFont="1" applyFill="1"/>
    <xf numFmtId="0" fontId="0" fillId="12" borderId="0" xfId="0" applyFill="1"/>
    <xf numFmtId="0" fontId="49" fillId="3" borderId="27" xfId="0" applyFont="1" applyFill="1" applyBorder="1"/>
    <xf numFmtId="0" fontId="36" fillId="11" borderId="0" xfId="0" applyFont="1" applyFill="1"/>
    <xf numFmtId="0" fontId="10" fillId="11" borderId="51" xfId="0" applyFont="1" applyFill="1" applyBorder="1"/>
    <xf numFmtId="176" fontId="52" fillId="11" borderId="52" xfId="0" applyNumberFormat="1" applyFont="1" applyFill="1" applyBorder="1" applyAlignment="1">
      <alignment horizontal="left"/>
    </xf>
    <xf numFmtId="0" fontId="10" fillId="5" borderId="51" xfId="0" applyFont="1" applyFill="1" applyBorder="1"/>
    <xf numFmtId="176" fontId="52" fillId="5" borderId="52" xfId="0" applyNumberFormat="1" applyFont="1" applyFill="1" applyBorder="1" applyAlignment="1">
      <alignment horizontal="left"/>
    </xf>
    <xf numFmtId="0" fontId="3" fillId="11" borderId="0" xfId="0" applyFont="1" applyFill="1" applyAlignment="1">
      <alignment horizontal="right"/>
    </xf>
    <xf numFmtId="0" fontId="3" fillId="5" borderId="0" xfId="0" applyFont="1" applyFill="1" applyAlignment="1">
      <alignment horizontal="right"/>
    </xf>
    <xf numFmtId="0" fontId="0" fillId="11" borderId="0" xfId="0" applyFill="1" applyAlignment="1">
      <alignment horizontal="right"/>
    </xf>
    <xf numFmtId="0" fontId="0" fillId="5" borderId="0" xfId="0" applyFill="1" applyAlignment="1">
      <alignment horizontal="right"/>
    </xf>
    <xf numFmtId="2" fontId="51" fillId="11" borderId="1" xfId="0" applyNumberFormat="1" applyFont="1" applyFill="1" applyBorder="1"/>
    <xf numFmtId="0" fontId="51" fillId="11" borderId="53" xfId="0" applyFont="1" applyFill="1" applyBorder="1" applyAlignment="1">
      <alignment horizontal="right"/>
    </xf>
    <xf numFmtId="0" fontId="51" fillId="11" borderId="52" xfId="0" applyFont="1" applyFill="1" applyBorder="1"/>
    <xf numFmtId="2" fontId="0" fillId="3" borderId="18" xfId="0" applyNumberFormat="1" applyFill="1" applyBorder="1"/>
    <xf numFmtId="0" fontId="51" fillId="3" borderId="0" xfId="0" applyFont="1" applyFill="1" applyAlignment="1">
      <alignment horizontal="right"/>
    </xf>
    <xf numFmtId="0" fontId="0" fillId="13" borderId="0" xfId="0" applyFill="1" applyAlignment="1">
      <alignment horizontal="right"/>
    </xf>
    <xf numFmtId="0" fontId="0" fillId="13" borderId="1" xfId="0" applyFill="1" applyBorder="1"/>
    <xf numFmtId="0" fontId="38" fillId="13" borderId="7" xfId="0" applyFont="1" applyFill="1" applyBorder="1" applyAlignment="1">
      <alignment horizontal="right"/>
    </xf>
    <xf numFmtId="0" fontId="0" fillId="13" borderId="0" xfId="0" applyFill="1"/>
    <xf numFmtId="0" fontId="48" fillId="3" borderId="54" xfId="0" applyFont="1" applyFill="1" applyBorder="1"/>
    <xf numFmtId="0" fontId="57" fillId="3" borderId="55" xfId="0" applyFont="1" applyFill="1" applyBorder="1"/>
    <xf numFmtId="0" fontId="7" fillId="10" borderId="13" xfId="0" applyFont="1" applyFill="1" applyBorder="1"/>
    <xf numFmtId="0" fontId="0" fillId="10" borderId="36" xfId="0" applyFill="1" applyBorder="1"/>
    <xf numFmtId="0" fontId="0" fillId="10" borderId="56" xfId="0" applyFill="1" applyBorder="1"/>
    <xf numFmtId="0" fontId="3" fillId="3" borderId="0" xfId="0" applyFont="1" applyFill="1" applyAlignment="1">
      <alignment horizontal="right"/>
    </xf>
    <xf numFmtId="0" fontId="10" fillId="3" borderId="41" xfId="0" applyFont="1" applyFill="1" applyBorder="1"/>
    <xf numFmtId="0" fontId="10" fillId="3" borderId="57" xfId="0" applyFont="1" applyFill="1" applyBorder="1"/>
    <xf numFmtId="0" fontId="0" fillId="5" borderId="15" xfId="0" applyFill="1" applyBorder="1"/>
    <xf numFmtId="9" fontId="0" fillId="5" borderId="15" xfId="0" applyNumberFormat="1" applyFill="1" applyBorder="1"/>
    <xf numFmtId="0" fontId="39" fillId="3" borderId="0" xfId="0" applyFont="1" applyFill="1"/>
    <xf numFmtId="9" fontId="0" fillId="5" borderId="35" xfId="0" applyNumberFormat="1" applyFill="1" applyBorder="1"/>
    <xf numFmtId="2" fontId="0" fillId="5" borderId="35" xfId="0" applyNumberFormat="1" applyFill="1" applyBorder="1"/>
    <xf numFmtId="215" fontId="32" fillId="0" borderId="0" xfId="0" applyNumberFormat="1" applyFont="1" applyAlignment="1">
      <alignment horizontal="center" vertical="top" wrapText="1"/>
    </xf>
    <xf numFmtId="226" fontId="0" fillId="3" borderId="14" xfId="0" applyNumberFormat="1" applyFill="1" applyBorder="1"/>
    <xf numFmtId="226" fontId="0" fillId="8" borderId="0" xfId="0" applyNumberFormat="1" applyFill="1"/>
    <xf numFmtId="0" fontId="0" fillId="0" borderId="14" xfId="0" applyBorder="1"/>
    <xf numFmtId="0" fontId="0" fillId="3" borderId="18" xfId="0" applyFill="1" applyBorder="1"/>
    <xf numFmtId="0" fontId="0" fillId="3" borderId="42" xfId="0" applyFill="1" applyBorder="1"/>
    <xf numFmtId="0" fontId="0" fillId="3" borderId="13" xfId="0" applyFill="1" applyBorder="1"/>
    <xf numFmtId="0" fontId="0" fillId="3" borderId="21" xfId="0" applyFill="1" applyBorder="1"/>
    <xf numFmtId="0" fontId="35" fillId="3" borderId="0" xfId="0" applyFont="1" applyFill="1"/>
    <xf numFmtId="1" fontId="0" fillId="7" borderId="24" xfId="0" applyNumberFormat="1" applyFill="1" applyBorder="1"/>
    <xf numFmtId="2" fontId="0" fillId="7" borderId="58" xfId="0" applyNumberFormat="1" applyFill="1" applyBorder="1"/>
    <xf numFmtId="2" fontId="0" fillId="7" borderId="59" xfId="0" applyNumberFormat="1" applyFill="1" applyBorder="1"/>
    <xf numFmtId="1" fontId="0" fillId="3" borderId="15" xfId="0" applyNumberFormat="1" applyFill="1" applyBorder="1"/>
    <xf numFmtId="2" fontId="0" fillId="3" borderId="0" xfId="0" applyNumberFormat="1" applyFill="1"/>
    <xf numFmtId="2" fontId="0" fillId="3" borderId="14" xfId="0" applyNumberFormat="1" applyFill="1" applyBorder="1"/>
    <xf numFmtId="0" fontId="35" fillId="3" borderId="58" xfId="0" applyFont="1" applyFill="1" applyBorder="1" applyAlignment="1">
      <alignment vertical="top" wrapText="1"/>
    </xf>
    <xf numFmtId="0" fontId="51" fillId="3" borderId="15" xfId="0" applyFont="1" applyFill="1" applyBorder="1" applyAlignment="1">
      <alignment horizontal="right"/>
    </xf>
    <xf numFmtId="2" fontId="0" fillId="7" borderId="3" xfId="0" applyNumberFormat="1" applyFill="1" applyBorder="1"/>
    <xf numFmtId="2" fontId="0" fillId="7" borderId="60" xfId="0" applyNumberFormat="1" applyFill="1" applyBorder="1"/>
    <xf numFmtId="2" fontId="10" fillId="14" borderId="61" xfId="0" applyNumberFormat="1" applyFont="1" applyFill="1" applyBorder="1"/>
    <xf numFmtId="2" fontId="10" fillId="14" borderId="62" xfId="0" applyNumberFormat="1" applyFont="1" applyFill="1" applyBorder="1"/>
    <xf numFmtId="2" fontId="10" fillId="3" borderId="0" xfId="0" applyNumberFormat="1" applyFont="1" applyFill="1"/>
    <xf numFmtId="0" fontId="51" fillId="3" borderId="19" xfId="0" applyFont="1" applyFill="1" applyBorder="1" applyAlignment="1">
      <alignment horizontal="right"/>
    </xf>
    <xf numFmtId="2" fontId="10" fillId="14" borderId="58" xfId="0" applyNumberFormat="1" applyFont="1" applyFill="1" applyBorder="1"/>
    <xf numFmtId="224" fontId="10" fillId="3" borderId="63" xfId="1" applyNumberFormat="1" applyFont="1" applyFill="1" applyBorder="1" applyAlignment="1" applyProtection="1">
      <alignment horizontal="right"/>
    </xf>
    <xf numFmtId="224" fontId="13" fillId="3" borderId="0" xfId="1" applyNumberFormat="1" applyFont="1" applyFill="1" applyBorder="1" applyAlignment="1" applyProtection="1">
      <alignment horizontal="right"/>
    </xf>
    <xf numFmtId="224" fontId="13" fillId="8" borderId="0" xfId="1" applyNumberFormat="1" applyFont="1" applyFill="1" applyBorder="1" applyAlignment="1" applyProtection="1">
      <alignment horizontal="right"/>
    </xf>
    <xf numFmtId="43" fontId="10" fillId="3" borderId="63" xfId="1" applyFont="1" applyFill="1" applyBorder="1" applyAlignment="1" applyProtection="1">
      <alignment horizontal="right"/>
    </xf>
    <xf numFmtId="224" fontId="10" fillId="3" borderId="0" xfId="1" applyNumberFormat="1" applyFont="1" applyFill="1" applyBorder="1" applyAlignment="1" applyProtection="1">
      <alignment horizontal="right"/>
    </xf>
    <xf numFmtId="0" fontId="45" fillId="3" borderId="35" xfId="0" applyFont="1" applyFill="1" applyBorder="1"/>
    <xf numFmtId="0" fontId="40" fillId="3" borderId="0" xfId="0" applyFont="1" applyFill="1"/>
    <xf numFmtId="0" fontId="36" fillId="3" borderId="0" xfId="0" applyFont="1" applyFill="1"/>
    <xf numFmtId="0" fontId="0" fillId="3" borderId="0" xfId="0" applyFill="1" applyAlignment="1">
      <alignment horizontal="left"/>
    </xf>
    <xf numFmtId="225" fontId="51" fillId="3" borderId="1" xfId="0" applyNumberFormat="1" applyFont="1" applyFill="1" applyBorder="1"/>
    <xf numFmtId="225" fontId="39" fillId="8" borderId="0" xfId="0" applyNumberFormat="1" applyFont="1" applyFill="1"/>
    <xf numFmtId="0" fontId="55" fillId="3" borderId="0" xfId="0" applyFont="1" applyFill="1" applyAlignment="1">
      <alignment horizontal="left"/>
    </xf>
    <xf numFmtId="0" fontId="55" fillId="3" borderId="0" xfId="0" applyFont="1" applyFill="1"/>
    <xf numFmtId="0" fontId="36" fillId="12" borderId="0" xfId="0" applyFont="1" applyFill="1"/>
    <xf numFmtId="0" fontId="0" fillId="9" borderId="64" xfId="0" applyFill="1" applyBorder="1" applyProtection="1">
      <protection locked="0"/>
    </xf>
    <xf numFmtId="0" fontId="7" fillId="2" borderId="19" xfId="0" applyFont="1" applyFill="1" applyBorder="1" applyProtection="1">
      <protection locked="0"/>
    </xf>
    <xf numFmtId="0" fontId="10" fillId="2" borderId="1" xfId="0" applyFont="1" applyFill="1" applyBorder="1" applyProtection="1">
      <protection locked="0"/>
    </xf>
    <xf numFmtId="0" fontId="7" fillId="9" borderId="19" xfId="0" applyFont="1" applyFill="1" applyBorder="1" applyProtection="1">
      <protection locked="0"/>
    </xf>
    <xf numFmtId="0" fontId="0" fillId="2" borderId="40" xfId="0" applyFill="1" applyBorder="1" applyProtection="1">
      <protection locked="0"/>
    </xf>
    <xf numFmtId="0" fontId="27" fillId="0" borderId="9" xfId="0" applyFont="1" applyBorder="1"/>
    <xf numFmtId="0" fontId="32" fillId="15" borderId="9" xfId="0" applyFont="1" applyFill="1" applyBorder="1" applyAlignment="1">
      <alignment horizontal="center" vertical="top" wrapText="1"/>
    </xf>
    <xf numFmtId="0" fontId="33" fillId="15" borderId="9" xfId="0" applyFont="1" applyFill="1" applyBorder="1" applyAlignment="1">
      <alignment horizontal="center" vertical="top" wrapText="1"/>
    </xf>
    <xf numFmtId="0" fontId="31" fillId="15" borderId="9" xfId="0" applyFont="1" applyFill="1" applyBorder="1" applyAlignment="1">
      <alignment horizontal="center" vertical="top" wrapText="1"/>
    </xf>
    <xf numFmtId="0" fontId="32" fillId="15" borderId="11" xfId="0" applyFont="1" applyFill="1" applyBorder="1" applyAlignment="1">
      <alignment horizontal="center" vertical="top" wrapText="1"/>
    </xf>
    <xf numFmtId="215" fontId="32" fillId="15" borderId="11" xfId="0" applyNumberFormat="1" applyFont="1" applyFill="1" applyBorder="1" applyAlignment="1">
      <alignment horizontal="center" vertical="top" wrapText="1"/>
    </xf>
    <xf numFmtId="0" fontId="31" fillId="15" borderId="11" xfId="0" applyFont="1" applyFill="1" applyBorder="1" applyAlignment="1">
      <alignment horizontal="center" vertical="top" wrapText="1"/>
    </xf>
    <xf numFmtId="0" fontId="34" fillId="15" borderId="0" xfId="0" applyFont="1" applyFill="1" applyAlignment="1">
      <alignment horizontal="center" vertical="top" wrapText="1"/>
    </xf>
    <xf numFmtId="0" fontId="34" fillId="15" borderId="11" xfId="0" applyFont="1" applyFill="1" applyBorder="1" applyAlignment="1">
      <alignment horizontal="center" vertical="top" wrapText="1"/>
    </xf>
    <xf numFmtId="0" fontId="29" fillId="15" borderId="9" xfId="0" applyFont="1" applyFill="1" applyBorder="1" applyAlignment="1">
      <alignment horizontal="center" vertical="top"/>
    </xf>
    <xf numFmtId="0" fontId="29" fillId="15" borderId="0" xfId="0" applyFont="1" applyFill="1" applyAlignment="1">
      <alignment vertical="top"/>
    </xf>
    <xf numFmtId="0" fontId="27" fillId="0" borderId="11" xfId="0" applyFont="1" applyBorder="1"/>
    <xf numFmtId="2" fontId="0" fillId="2" borderId="42" xfId="0" applyNumberFormat="1" applyFill="1" applyBorder="1" applyProtection="1">
      <protection locked="0"/>
    </xf>
    <xf numFmtId="0" fontId="9" fillId="0" borderId="0" xfId="0" applyFont="1"/>
    <xf numFmtId="0" fontId="10" fillId="0" borderId="0" xfId="0" applyFont="1"/>
    <xf numFmtId="0" fontId="66" fillId="0" borderId="0" xfId="0" applyFont="1"/>
    <xf numFmtId="1" fontId="0" fillId="7" borderId="0" xfId="0" applyNumberFormat="1" applyFill="1"/>
    <xf numFmtId="1" fontId="0" fillId="7" borderId="58" xfId="0" applyNumberFormat="1" applyFill="1" applyBorder="1"/>
    <xf numFmtId="0" fontId="6" fillId="2" borderId="1" xfId="0" applyFont="1" applyFill="1" applyBorder="1" applyAlignment="1">
      <alignment horizontal="justify" vertical="top" wrapText="1"/>
    </xf>
    <xf numFmtId="0" fontId="6" fillId="2" borderId="36" xfId="0" applyFont="1" applyFill="1" applyBorder="1" applyAlignment="1">
      <alignment horizontal="justify" vertical="top" wrapText="1"/>
    </xf>
    <xf numFmtId="0" fontId="6" fillId="2" borderId="11" xfId="0" applyFont="1" applyFill="1" applyBorder="1" applyAlignment="1">
      <alignment horizontal="justify" vertical="top" wrapText="1"/>
    </xf>
    <xf numFmtId="0" fontId="6" fillId="2" borderId="10" xfId="0" applyFont="1" applyFill="1" applyBorder="1" applyAlignment="1">
      <alignment horizontal="center" vertical="top" wrapText="1"/>
    </xf>
    <xf numFmtId="0" fontId="6" fillId="2" borderId="7" xfId="0" applyFont="1" applyFill="1" applyBorder="1" applyAlignment="1">
      <alignment horizontal="justify" vertical="top" wrapText="1"/>
    </xf>
    <xf numFmtId="0" fontId="6" fillId="2" borderId="12" xfId="0" applyFont="1" applyFill="1" applyBorder="1" applyAlignment="1">
      <alignment horizontal="center" vertical="top" wrapText="1"/>
    </xf>
    <xf numFmtId="1" fontId="0" fillId="7" borderId="2" xfId="0" applyNumberFormat="1" applyFill="1" applyBorder="1"/>
    <xf numFmtId="1" fontId="0" fillId="7" borderId="9" xfId="0" applyNumberFormat="1" applyFill="1" applyBorder="1"/>
    <xf numFmtId="1" fontId="0" fillId="7" borderId="5" xfId="0" applyNumberFormat="1" applyFill="1" applyBorder="1"/>
    <xf numFmtId="0" fontId="0" fillId="16" borderId="0" xfId="0" applyFill="1"/>
    <xf numFmtId="0" fontId="0" fillId="17" borderId="0" xfId="0" applyFill="1"/>
    <xf numFmtId="0" fontId="35" fillId="0" borderId="0" xfId="0" applyFont="1"/>
    <xf numFmtId="0" fontId="0" fillId="3" borderId="67" xfId="0" applyFill="1" applyBorder="1"/>
    <xf numFmtId="1" fontId="0" fillId="3" borderId="68" xfId="0" applyNumberFormat="1" applyFill="1" applyBorder="1"/>
    <xf numFmtId="0" fontId="0" fillId="3" borderId="69" xfId="0" applyFill="1" applyBorder="1"/>
    <xf numFmtId="0" fontId="38" fillId="3" borderId="0" xfId="0" applyFont="1" applyFill="1"/>
    <xf numFmtId="0" fontId="0" fillId="2" borderId="0" xfId="0" applyFill="1" applyProtection="1">
      <protection locked="0"/>
    </xf>
    <xf numFmtId="10" fontId="0" fillId="2" borderId="1" xfId="3" applyNumberFormat="1" applyFont="1" applyFill="1" applyBorder="1" applyProtection="1">
      <protection locked="0"/>
    </xf>
    <xf numFmtId="0" fontId="64" fillId="10" borderId="13" xfId="0" applyFont="1" applyFill="1" applyBorder="1"/>
    <xf numFmtId="2" fontId="0" fillId="0" borderId="0" xfId="0" applyNumberFormat="1"/>
    <xf numFmtId="0" fontId="31" fillId="15" borderId="0" xfId="0" applyFont="1" applyFill="1" applyAlignment="1">
      <alignment vertical="top" wrapText="1"/>
    </xf>
    <xf numFmtId="0" fontId="31" fillId="15" borderId="10" xfId="0" applyFont="1" applyFill="1" applyBorder="1" applyAlignment="1">
      <alignment vertical="top" wrapText="1"/>
    </xf>
    <xf numFmtId="0" fontId="34" fillId="15" borderId="10" xfId="0" applyFont="1" applyFill="1" applyBorder="1" applyAlignment="1">
      <alignment vertical="top" wrapText="1"/>
    </xf>
    <xf numFmtId="0" fontId="32" fillId="19" borderId="9" xfId="0" applyFont="1" applyFill="1" applyBorder="1" applyAlignment="1">
      <alignment horizontal="center" vertical="top" wrapText="1"/>
    </xf>
    <xf numFmtId="166" fontId="31" fillId="19" borderId="11" xfId="0" applyNumberFormat="1" applyFont="1" applyFill="1" applyBorder="1" applyAlignment="1">
      <alignment horizontal="center" vertical="top" wrapText="1"/>
    </xf>
    <xf numFmtId="13" fontId="32" fillId="19" borderId="9" xfId="0" applyNumberFormat="1" applyFont="1" applyFill="1" applyBorder="1" applyAlignment="1">
      <alignment horizontal="center" vertical="top" wrapText="1"/>
    </xf>
    <xf numFmtId="0" fontId="27" fillId="19" borderId="9" xfId="0" applyFont="1" applyFill="1" applyBorder="1"/>
    <xf numFmtId="173" fontId="32" fillId="19" borderId="9" xfId="0" applyNumberFormat="1" applyFont="1" applyFill="1" applyBorder="1" applyAlignment="1">
      <alignment horizontal="center" vertical="top" wrapText="1"/>
    </xf>
    <xf numFmtId="214" fontId="32" fillId="19" borderId="9" xfId="0" applyNumberFormat="1" applyFont="1" applyFill="1" applyBorder="1" applyAlignment="1">
      <alignment horizontal="center" vertical="top" wrapText="1"/>
    </xf>
    <xf numFmtId="1" fontId="32" fillId="19" borderId="9" xfId="0" applyNumberFormat="1" applyFont="1" applyFill="1" applyBorder="1" applyAlignment="1">
      <alignment horizontal="center" vertical="top" wrapText="1"/>
    </xf>
    <xf numFmtId="198" fontId="32" fillId="19" borderId="9" xfId="0" applyNumberFormat="1" applyFont="1" applyFill="1" applyBorder="1" applyAlignment="1">
      <alignment horizontal="center" vertical="top" wrapText="1"/>
    </xf>
    <xf numFmtId="221" fontId="32" fillId="19" borderId="9" xfId="0" applyNumberFormat="1" applyFont="1" applyFill="1" applyBorder="1" applyAlignment="1">
      <alignment horizontal="center" vertical="top" wrapText="1"/>
    </xf>
    <xf numFmtId="0" fontId="31" fillId="19" borderId="9" xfId="0" applyFont="1" applyFill="1" applyBorder="1" applyAlignment="1">
      <alignment horizontal="center" vertical="top" wrapText="1"/>
    </xf>
    <xf numFmtId="169" fontId="31" fillId="19" borderId="9" xfId="0" applyNumberFormat="1" applyFont="1" applyFill="1" applyBorder="1" applyAlignment="1">
      <alignment horizontal="center" vertical="top" wrapText="1"/>
    </xf>
    <xf numFmtId="164" fontId="31" fillId="19" borderId="9" xfId="0" applyNumberFormat="1" applyFont="1" applyFill="1" applyBorder="1" applyAlignment="1">
      <alignment horizontal="center" vertical="top" wrapText="1"/>
    </xf>
    <xf numFmtId="174" fontId="31" fillId="19" borderId="9" xfId="0" applyNumberFormat="1" applyFont="1" applyFill="1" applyBorder="1" applyAlignment="1">
      <alignment horizontal="center" vertical="top" wrapText="1"/>
    </xf>
    <xf numFmtId="200" fontId="31" fillId="19" borderId="9" xfId="0" applyNumberFormat="1" applyFont="1" applyFill="1" applyBorder="1" applyAlignment="1">
      <alignment horizontal="center" vertical="top" wrapText="1"/>
    </xf>
    <xf numFmtId="183" fontId="31" fillId="19" borderId="9" xfId="0" applyNumberFormat="1" applyFont="1" applyFill="1" applyBorder="1" applyAlignment="1">
      <alignment horizontal="center" vertical="top" wrapText="1"/>
    </xf>
    <xf numFmtId="181" fontId="31" fillId="19" borderId="9" xfId="0" applyNumberFormat="1" applyFont="1" applyFill="1" applyBorder="1" applyAlignment="1">
      <alignment horizontal="center" vertical="top" wrapText="1"/>
    </xf>
    <xf numFmtId="165" fontId="31" fillId="19" borderId="9" xfId="0" applyNumberFormat="1" applyFont="1" applyFill="1" applyBorder="1" applyAlignment="1">
      <alignment horizontal="center" vertical="top" wrapText="1"/>
    </xf>
    <xf numFmtId="193" fontId="31" fillId="19" borderId="9" xfId="0" applyNumberFormat="1" applyFont="1" applyFill="1" applyBorder="1" applyAlignment="1">
      <alignment horizontal="center" vertical="top" wrapText="1"/>
    </xf>
    <xf numFmtId="203" fontId="31" fillId="19" borderId="9" xfId="0" applyNumberFormat="1" applyFont="1" applyFill="1" applyBorder="1" applyAlignment="1">
      <alignment horizontal="center" vertical="top" wrapText="1"/>
    </xf>
    <xf numFmtId="202" fontId="31" fillId="19" borderId="9" xfId="0" applyNumberFormat="1" applyFont="1" applyFill="1" applyBorder="1" applyAlignment="1">
      <alignment horizontal="center" vertical="top" wrapText="1"/>
    </xf>
    <xf numFmtId="196" fontId="31" fillId="19" borderId="9" xfId="0" applyNumberFormat="1" applyFont="1" applyFill="1" applyBorder="1" applyAlignment="1">
      <alignment horizontal="center" vertical="top" wrapText="1"/>
    </xf>
    <xf numFmtId="178" fontId="31" fillId="19" borderId="9" xfId="0" applyNumberFormat="1" applyFont="1" applyFill="1" applyBorder="1" applyAlignment="1">
      <alignment horizontal="center" vertical="top" wrapText="1"/>
    </xf>
    <xf numFmtId="197" fontId="31" fillId="19" borderId="9" xfId="0" applyNumberFormat="1" applyFont="1" applyFill="1" applyBorder="1" applyAlignment="1">
      <alignment horizontal="center" vertical="top" wrapText="1"/>
    </xf>
    <xf numFmtId="184" fontId="31" fillId="19" borderId="9" xfId="0" applyNumberFormat="1" applyFont="1" applyFill="1" applyBorder="1" applyAlignment="1">
      <alignment horizontal="center" vertical="top" wrapText="1"/>
    </xf>
    <xf numFmtId="206" fontId="31" fillId="19" borderId="9" xfId="0" applyNumberFormat="1" applyFont="1" applyFill="1" applyBorder="1" applyAlignment="1">
      <alignment horizontal="center" vertical="top" wrapText="1"/>
    </xf>
    <xf numFmtId="169" fontId="32" fillId="19" borderId="9" xfId="0" applyNumberFormat="1" applyFont="1" applyFill="1" applyBorder="1" applyAlignment="1">
      <alignment horizontal="center" vertical="top" wrapText="1"/>
    </xf>
    <xf numFmtId="228" fontId="31" fillId="19" borderId="9" xfId="0" applyNumberFormat="1" applyFont="1" applyFill="1" applyBorder="1" applyAlignment="1">
      <alignment horizontal="center" vertical="top" wrapText="1"/>
    </xf>
    <xf numFmtId="210" fontId="31" fillId="19" borderId="9" xfId="0" applyNumberFormat="1" applyFont="1" applyFill="1" applyBorder="1" applyAlignment="1">
      <alignment horizontal="center" vertical="top" wrapText="1"/>
    </xf>
    <xf numFmtId="212" fontId="31" fillId="19" borderId="9" xfId="0" applyNumberFormat="1" applyFont="1" applyFill="1" applyBorder="1" applyAlignment="1">
      <alignment horizontal="center" vertical="top" wrapText="1"/>
    </xf>
    <xf numFmtId="2" fontId="0" fillId="5" borderId="0" xfId="0" applyNumberFormat="1" applyFill="1"/>
    <xf numFmtId="1" fontId="0" fillId="5" borderId="0" xfId="0" applyNumberFormat="1" applyFill="1"/>
    <xf numFmtId="234" fontId="0" fillId="5" borderId="0" xfId="0" applyNumberFormat="1" applyFill="1"/>
    <xf numFmtId="2" fontId="36" fillId="3" borderId="58" xfId="0" applyNumberFormat="1" applyFont="1" applyFill="1" applyBorder="1"/>
    <xf numFmtId="0" fontId="1" fillId="3" borderId="0" xfId="0" applyFont="1" applyFill="1"/>
    <xf numFmtId="0" fontId="33" fillId="3" borderId="9" xfId="0" applyFont="1" applyFill="1" applyBorder="1" applyAlignment="1">
      <alignment horizontal="center" vertical="top" wrapText="1"/>
    </xf>
    <xf numFmtId="0" fontId="5" fillId="20" borderId="0" xfId="0" applyFont="1" applyFill="1"/>
    <xf numFmtId="0" fontId="0" fillId="20" borderId="0" xfId="0" applyFill="1"/>
    <xf numFmtId="0" fontId="56" fillId="0" borderId="0" xfId="0" applyFont="1"/>
    <xf numFmtId="0" fontId="0" fillId="21" borderId="0" xfId="0" applyFill="1"/>
    <xf numFmtId="0" fontId="8" fillId="20" borderId="0" xfId="2" applyFill="1" applyAlignment="1" applyProtection="1"/>
    <xf numFmtId="0" fontId="0" fillId="22" borderId="0" xfId="0" applyFill="1"/>
    <xf numFmtId="0" fontId="8" fillId="22" borderId="0" xfId="2" applyFill="1" applyAlignment="1" applyProtection="1"/>
    <xf numFmtId="0" fontId="8" fillId="21" borderId="0" xfId="2" applyFill="1" applyAlignment="1" applyProtection="1"/>
    <xf numFmtId="0" fontId="9" fillId="0" borderId="10" xfId="0" applyFont="1" applyBorder="1"/>
    <xf numFmtId="0" fontId="70" fillId="0" borderId="0" xfId="0" applyFont="1"/>
    <xf numFmtId="0" fontId="70" fillId="3" borderId="0" xfId="0" applyFont="1" applyFill="1" applyAlignment="1">
      <alignment horizontal="right"/>
    </xf>
    <xf numFmtId="2" fontId="70" fillId="23" borderId="0" xfId="0" applyNumberFormat="1" applyFont="1" applyFill="1" applyAlignment="1">
      <alignment horizontal="center"/>
    </xf>
    <xf numFmtId="2" fontId="70" fillId="24" borderId="0" xfId="0" applyNumberFormat="1" applyFont="1" applyFill="1" applyAlignment="1">
      <alignment horizontal="center"/>
    </xf>
    <xf numFmtId="0" fontId="71" fillId="0" borderId="0" xfId="0" applyFont="1" applyAlignment="1">
      <alignment horizontal="center"/>
    </xf>
    <xf numFmtId="1" fontId="70" fillId="23" borderId="0" xfId="0" applyNumberFormat="1" applyFont="1" applyFill="1" applyAlignment="1">
      <alignment horizontal="center"/>
    </xf>
    <xf numFmtId="10" fontId="71" fillId="0" borderId="0" xfId="0" applyNumberFormat="1" applyFont="1" applyAlignment="1">
      <alignment horizontal="center"/>
    </xf>
    <xf numFmtId="0" fontId="71" fillId="23" borderId="0" xfId="0" applyFont="1" applyFill="1" applyAlignment="1">
      <alignment horizontal="center"/>
    </xf>
    <xf numFmtId="2" fontId="70" fillId="25" borderId="0" xfId="0" applyNumberFormat="1" applyFont="1" applyFill="1" applyAlignment="1">
      <alignment horizontal="center"/>
    </xf>
    <xf numFmtId="2" fontId="71" fillId="23" borderId="0" xfId="0" applyNumberFormat="1" applyFont="1" applyFill="1" applyAlignment="1">
      <alignment horizontal="center"/>
    </xf>
    <xf numFmtId="0" fontId="70" fillId="26" borderId="0" xfId="0" applyFont="1" applyFill="1" applyAlignment="1">
      <alignment horizontal="center"/>
    </xf>
    <xf numFmtId="0" fontId="74" fillId="3" borderId="19" xfId="0" applyFont="1" applyFill="1" applyBorder="1"/>
    <xf numFmtId="0" fontId="74" fillId="3" borderId="40" xfId="0" applyFont="1" applyFill="1" applyBorder="1"/>
    <xf numFmtId="0" fontId="74" fillId="3" borderId="27" xfId="0" applyFont="1" applyFill="1" applyBorder="1" applyAlignment="1">
      <alignment horizontal="right"/>
    </xf>
    <xf numFmtId="0" fontId="74" fillId="3" borderId="37" xfId="0" applyFont="1" applyFill="1" applyBorder="1"/>
    <xf numFmtId="0" fontId="74" fillId="3" borderId="37" xfId="0" applyFont="1" applyFill="1" applyBorder="1" applyAlignment="1">
      <alignment horizontal="right"/>
    </xf>
    <xf numFmtId="0" fontId="10" fillId="21" borderId="40" xfId="0" applyFont="1" applyFill="1" applyBorder="1"/>
    <xf numFmtId="0" fontId="10" fillId="21" borderId="16" xfId="0" applyFont="1" applyFill="1" applyBorder="1"/>
    <xf numFmtId="0" fontId="74" fillId="21" borderId="27" xfId="0" applyFont="1" applyFill="1" applyBorder="1" applyAlignment="1">
      <alignment horizontal="right"/>
    </xf>
    <xf numFmtId="0" fontId="74" fillId="21" borderId="37" xfId="0" applyFont="1" applyFill="1" applyBorder="1"/>
    <xf numFmtId="0" fontId="10" fillId="21" borderId="37" xfId="0" applyFont="1" applyFill="1" applyBorder="1"/>
    <xf numFmtId="0" fontId="10" fillId="21" borderId="28" xfId="0" applyFont="1" applyFill="1" applyBorder="1"/>
    <xf numFmtId="0" fontId="31" fillId="29" borderId="0" xfId="0" applyFont="1" applyFill="1" applyAlignment="1">
      <alignment vertical="top" wrapText="1"/>
    </xf>
    <xf numFmtId="0" fontId="31" fillId="27" borderId="11" xfId="0" applyFont="1" applyFill="1" applyBorder="1" applyAlignment="1">
      <alignment horizontal="center" vertical="top" wrapText="1"/>
    </xf>
    <xf numFmtId="166" fontId="31" fillId="18" borderId="11" xfId="0" applyNumberFormat="1" applyFont="1" applyFill="1" applyBorder="1" applyAlignment="1">
      <alignment horizontal="center" vertical="top" wrapText="1"/>
    </xf>
    <xf numFmtId="166" fontId="31" fillId="28" borderId="11" xfId="0" applyNumberFormat="1" applyFont="1" applyFill="1" applyBorder="1" applyAlignment="1">
      <alignment horizontal="center" vertical="top" wrapText="1"/>
    </xf>
    <xf numFmtId="3" fontId="31" fillId="0" borderId="11" xfId="0" applyNumberFormat="1" applyFont="1" applyBorder="1" applyAlignment="1">
      <alignment horizontal="center" vertical="top" wrapText="1"/>
    </xf>
    <xf numFmtId="3" fontId="31" fillId="18" borderId="11" xfId="0" applyNumberFormat="1" applyFont="1" applyFill="1" applyBorder="1" applyAlignment="1">
      <alignment horizontal="center" vertical="top" wrapText="1"/>
    </xf>
    <xf numFmtId="3" fontId="31" fillId="30" borderId="11" xfId="0" applyNumberFormat="1" applyFont="1" applyFill="1" applyBorder="1" applyAlignment="1">
      <alignment horizontal="center" vertical="top" wrapText="1"/>
    </xf>
    <xf numFmtId="3" fontId="31" fillId="28" borderId="11" xfId="0" applyNumberFormat="1" applyFont="1" applyFill="1" applyBorder="1" applyAlignment="1">
      <alignment horizontal="center" vertical="top" wrapText="1"/>
    </xf>
    <xf numFmtId="166" fontId="31" fillId="30" borderId="11" xfId="0" applyNumberFormat="1" applyFont="1" applyFill="1" applyBorder="1" applyAlignment="1">
      <alignment horizontal="center" vertical="top" wrapText="1"/>
    </xf>
    <xf numFmtId="166" fontId="31" fillId="29" borderId="11" xfId="0" applyNumberFormat="1" applyFont="1" applyFill="1" applyBorder="1" applyAlignment="1">
      <alignment horizontal="center" vertical="top" wrapText="1"/>
    </xf>
    <xf numFmtId="166" fontId="31" fillId="31" borderId="11" xfId="0" applyNumberFormat="1" applyFont="1" applyFill="1" applyBorder="1" applyAlignment="1">
      <alignment horizontal="center" vertical="top" wrapText="1"/>
    </xf>
    <xf numFmtId="3" fontId="32" fillId="18" borderId="11" xfId="0" applyNumberFormat="1" applyFont="1" applyFill="1" applyBorder="1" applyAlignment="1">
      <alignment horizontal="center" vertical="top" wrapText="1"/>
    </xf>
    <xf numFmtId="166" fontId="32" fillId="18" borderId="11" xfId="0" applyNumberFormat="1" applyFont="1" applyFill="1" applyBorder="1" applyAlignment="1">
      <alignment horizontal="center" vertical="top" wrapText="1"/>
    </xf>
    <xf numFmtId="10" fontId="11" fillId="0" borderId="0" xfId="0" applyNumberFormat="1" applyFont="1"/>
    <xf numFmtId="10" fontId="0" fillId="0" borderId="0" xfId="0" applyNumberFormat="1"/>
    <xf numFmtId="10" fontId="9" fillId="0" borderId="0" xfId="0" applyNumberFormat="1" applyFont="1"/>
    <xf numFmtId="10" fontId="9" fillId="0" borderId="0" xfId="0" applyNumberFormat="1" applyFont="1" applyAlignment="1">
      <alignment horizontal="right"/>
    </xf>
    <xf numFmtId="1" fontId="0" fillId="20" borderId="0" xfId="0" applyNumberFormat="1" applyFill="1"/>
    <xf numFmtId="2" fontId="68" fillId="32" borderId="1" xfId="0" applyNumberFormat="1" applyFont="1" applyFill="1" applyBorder="1" applyAlignment="1">
      <alignment horizontal="right" vertical="top" wrapText="1"/>
    </xf>
    <xf numFmtId="224" fontId="0" fillId="0" borderId="0" xfId="1" applyNumberFormat="1" applyFont="1"/>
    <xf numFmtId="224" fontId="69" fillId="33" borderId="58" xfId="1" applyNumberFormat="1" applyFont="1" applyFill="1" applyBorder="1"/>
    <xf numFmtId="10" fontId="0" fillId="4" borderId="0" xfId="0" applyNumberFormat="1" applyFill="1"/>
    <xf numFmtId="1" fontId="0" fillId="0" borderId="0" xfId="0" applyNumberFormat="1"/>
    <xf numFmtId="10" fontId="10" fillId="0" borderId="0" xfId="0" applyNumberFormat="1" applyFont="1" applyAlignment="1">
      <alignment horizontal="right"/>
    </xf>
    <xf numFmtId="10" fontId="0" fillId="34" borderId="3" xfId="0" applyNumberFormat="1" applyFill="1" applyBorder="1"/>
    <xf numFmtId="10" fontId="0" fillId="34" borderId="8" xfId="0" applyNumberFormat="1" applyFill="1" applyBorder="1"/>
    <xf numFmtId="0" fontId="0" fillId="34" borderId="5" xfId="0" applyFill="1" applyBorder="1"/>
    <xf numFmtId="0" fontId="0" fillId="34" borderId="6" xfId="0" applyFill="1" applyBorder="1"/>
    <xf numFmtId="0" fontId="0" fillId="34" borderId="12" xfId="0" applyFill="1" applyBorder="1"/>
    <xf numFmtId="10" fontId="4" fillId="0" borderId="0" xfId="0" applyNumberFormat="1" applyFont="1"/>
    <xf numFmtId="0" fontId="75" fillId="0" borderId="0" xfId="0" applyFont="1" applyAlignment="1">
      <alignment vertical="top"/>
    </xf>
    <xf numFmtId="0" fontId="0" fillId="0" borderId="13" xfId="0" applyBorder="1"/>
    <xf numFmtId="0" fontId="0" fillId="0" borderId="36" xfId="0" applyBorder="1"/>
    <xf numFmtId="0" fontId="0" fillId="21" borderId="9" xfId="0" applyFill="1" applyBorder="1"/>
    <xf numFmtId="0" fontId="10" fillId="21" borderId="8" xfId="0" applyFont="1" applyFill="1" applyBorder="1"/>
    <xf numFmtId="0" fontId="9" fillId="21" borderId="10" xfId="0" applyFont="1" applyFill="1" applyBorder="1"/>
    <xf numFmtId="1" fontId="0" fillId="20" borderId="0" xfId="0" applyNumberFormat="1" applyFill="1" applyProtection="1">
      <protection locked="0"/>
    </xf>
    <xf numFmtId="234" fontId="0" fillId="20" borderId="0" xfId="0" applyNumberFormat="1" applyFill="1" applyProtection="1">
      <protection locked="0"/>
    </xf>
    <xf numFmtId="0" fontId="32" fillId="15" borderId="0" xfId="0" applyFont="1" applyFill="1" applyAlignment="1">
      <alignment horizontal="center" vertical="top" wrapText="1"/>
    </xf>
    <xf numFmtId="0" fontId="76" fillId="0" borderId="0" xfId="0" applyFont="1"/>
    <xf numFmtId="164" fontId="77" fillId="0" borderId="11" xfId="0" applyNumberFormat="1" applyFont="1" applyBorder="1" applyAlignment="1">
      <alignment horizontal="center" vertical="top" wrapText="1"/>
    </xf>
    <xf numFmtId="0" fontId="1" fillId="6" borderId="0" xfId="0" applyFont="1" applyFill="1"/>
    <xf numFmtId="0" fontId="1" fillId="0" borderId="0" xfId="0" applyFont="1"/>
    <xf numFmtId="2" fontId="71" fillId="24" borderId="0" xfId="0" applyNumberFormat="1" applyFont="1" applyFill="1" applyAlignment="1" applyProtection="1">
      <alignment horizontal="center"/>
      <protection locked="0"/>
    </xf>
    <xf numFmtId="0" fontId="80" fillId="0" borderId="0" xfId="0" applyFont="1"/>
    <xf numFmtId="0" fontId="80" fillId="0" borderId="10" xfId="0" applyFont="1" applyBorder="1"/>
    <xf numFmtId="0" fontId="80" fillId="0" borderId="0" xfId="0" applyFont="1" applyAlignment="1">
      <alignment vertical="top" wrapText="1"/>
    </xf>
    <xf numFmtId="0" fontId="80" fillId="0" borderId="10" xfId="0" applyFont="1" applyBorder="1" applyAlignment="1">
      <alignment vertical="top" wrapText="1"/>
    </xf>
    <xf numFmtId="0" fontId="76" fillId="0" borderId="10" xfId="0" applyFont="1" applyBorder="1"/>
    <xf numFmtId="171" fontId="80" fillId="0" borderId="9" xfId="0" applyNumberFormat="1" applyFont="1" applyBorder="1" applyAlignment="1">
      <alignment horizontal="center" vertical="top" wrapText="1"/>
    </xf>
    <xf numFmtId="166" fontId="80" fillId="0" borderId="9" xfId="0" applyNumberFormat="1" applyFont="1" applyBorder="1" applyAlignment="1">
      <alignment horizontal="center" vertical="top" wrapText="1"/>
    </xf>
    <xf numFmtId="2" fontId="81" fillId="0" borderId="9" xfId="0" applyNumberFormat="1" applyFont="1" applyBorder="1" applyAlignment="1">
      <alignment horizontal="center" vertical="top" wrapText="1"/>
    </xf>
    <xf numFmtId="0" fontId="80" fillId="0" borderId="9" xfId="0" applyFont="1" applyBorder="1"/>
    <xf numFmtId="169" fontId="80" fillId="0" borderId="9" xfId="0" applyNumberFormat="1" applyFont="1" applyBorder="1" applyAlignment="1">
      <alignment horizontal="center" vertical="top" wrapText="1"/>
    </xf>
    <xf numFmtId="168" fontId="80" fillId="0" borderId="11" xfId="0" applyNumberFormat="1" applyFont="1" applyBorder="1" applyAlignment="1">
      <alignment horizontal="center" vertical="top" wrapText="1"/>
    </xf>
    <xf numFmtId="0" fontId="80" fillId="0" borderId="11" xfId="0" applyFont="1" applyBorder="1"/>
    <xf numFmtId="167" fontId="80" fillId="0" borderId="9" xfId="0" applyNumberFormat="1" applyFont="1" applyBorder="1" applyAlignment="1">
      <alignment horizontal="center" vertical="top" wrapText="1"/>
    </xf>
    <xf numFmtId="170" fontId="81" fillId="0" borderId="9" xfId="0" applyNumberFormat="1" applyFont="1" applyBorder="1" applyAlignment="1">
      <alignment horizontal="center" vertical="top" wrapText="1"/>
    </xf>
    <xf numFmtId="0" fontId="81" fillId="0" borderId="9" xfId="0" applyFont="1" applyBorder="1" applyAlignment="1">
      <alignment horizontal="center" vertical="top" wrapText="1"/>
    </xf>
    <xf numFmtId="0" fontId="80" fillId="0" borderId="11" xfId="0" applyFont="1" applyBorder="1" applyAlignment="1">
      <alignment horizontal="center" vertical="top" wrapText="1"/>
    </xf>
    <xf numFmtId="171" fontId="80" fillId="0" borderId="11" xfId="0" applyNumberFormat="1" applyFont="1" applyBorder="1" applyAlignment="1">
      <alignment horizontal="center" vertical="top" wrapText="1"/>
    </xf>
    <xf numFmtId="166" fontId="80" fillId="0" borderId="11" xfId="0" applyNumberFormat="1" applyFont="1" applyBorder="1" applyAlignment="1">
      <alignment horizontal="center" vertical="top" wrapText="1"/>
    </xf>
    <xf numFmtId="2" fontId="81" fillId="0" borderId="11" xfId="0" applyNumberFormat="1" applyFont="1" applyBorder="1" applyAlignment="1">
      <alignment horizontal="center" vertical="top" wrapText="1"/>
    </xf>
    <xf numFmtId="215" fontId="81" fillId="0" borderId="9" xfId="0" applyNumberFormat="1" applyFont="1" applyBorder="1" applyAlignment="1">
      <alignment horizontal="center" vertical="top" wrapText="1"/>
    </xf>
    <xf numFmtId="179" fontId="80" fillId="0" borderId="9" xfId="0" applyNumberFormat="1" applyFont="1" applyBorder="1" applyAlignment="1">
      <alignment horizontal="center" vertical="top" wrapText="1"/>
    </xf>
    <xf numFmtId="164" fontId="80" fillId="0" borderId="9" xfId="0" applyNumberFormat="1" applyFont="1" applyBorder="1" applyAlignment="1">
      <alignment horizontal="center" vertical="top" wrapText="1"/>
    </xf>
    <xf numFmtId="185" fontId="80" fillId="0" borderId="11" xfId="0" applyNumberFormat="1" applyFont="1" applyBorder="1" applyAlignment="1">
      <alignment horizontal="center" vertical="top" wrapText="1"/>
    </xf>
    <xf numFmtId="0" fontId="80" fillId="0" borderId="9" xfId="0" applyFont="1" applyBorder="1" applyAlignment="1">
      <alignment horizontal="center" vertical="top" wrapText="1"/>
    </xf>
    <xf numFmtId="172" fontId="80" fillId="0" borderId="9" xfId="0" applyNumberFormat="1" applyFont="1" applyBorder="1" applyAlignment="1">
      <alignment horizontal="center" vertical="top" wrapText="1"/>
    </xf>
    <xf numFmtId="175" fontId="80" fillId="0" borderId="11" xfId="0" applyNumberFormat="1" applyFont="1" applyBorder="1" applyAlignment="1">
      <alignment horizontal="center" vertical="top" wrapText="1"/>
    </xf>
    <xf numFmtId="177" fontId="80" fillId="0" borderId="9" xfId="0" applyNumberFormat="1" applyFont="1" applyBorder="1" applyAlignment="1">
      <alignment horizontal="center" vertical="top" wrapText="1"/>
    </xf>
    <xf numFmtId="180" fontId="80" fillId="0" borderId="9" xfId="0" applyNumberFormat="1" applyFont="1" applyBorder="1" applyAlignment="1">
      <alignment horizontal="center" vertical="top" wrapText="1"/>
    </xf>
    <xf numFmtId="204" fontId="80" fillId="0" borderId="11" xfId="0" applyNumberFormat="1" applyFont="1" applyBorder="1" applyAlignment="1">
      <alignment horizontal="center" vertical="top" wrapText="1"/>
    </xf>
    <xf numFmtId="182" fontId="80" fillId="0" borderId="11" xfId="0" applyNumberFormat="1" applyFont="1" applyBorder="1" applyAlignment="1">
      <alignment horizontal="center" vertical="top" wrapText="1"/>
    </xf>
    <xf numFmtId="179" fontId="80" fillId="0" borderId="11" xfId="0" applyNumberFormat="1" applyFont="1" applyBorder="1" applyAlignment="1">
      <alignment horizontal="center" vertical="top" wrapText="1"/>
    </xf>
    <xf numFmtId="167" fontId="80" fillId="0" borderId="11" xfId="0" applyNumberFormat="1" applyFont="1" applyBorder="1" applyAlignment="1">
      <alignment horizontal="center" vertical="top" wrapText="1"/>
    </xf>
    <xf numFmtId="186" fontId="81" fillId="0" borderId="11" xfId="0" applyNumberFormat="1" applyFont="1" applyBorder="1" applyAlignment="1">
      <alignment horizontal="center" vertical="top" wrapText="1"/>
    </xf>
    <xf numFmtId="186" fontId="81" fillId="0" borderId="9" xfId="0" applyNumberFormat="1" applyFont="1" applyBorder="1" applyAlignment="1">
      <alignment horizontal="center" vertical="top" wrapText="1"/>
    </xf>
    <xf numFmtId="1" fontId="80" fillId="0" borderId="11" xfId="0" applyNumberFormat="1" applyFont="1" applyBorder="1" applyAlignment="1">
      <alignment horizontal="center" vertical="top" wrapText="1"/>
    </xf>
    <xf numFmtId="194" fontId="80" fillId="0" borderId="11" xfId="0" applyNumberFormat="1" applyFont="1" applyBorder="1" applyAlignment="1">
      <alignment horizontal="center" vertical="top" wrapText="1"/>
    </xf>
    <xf numFmtId="190" fontId="80" fillId="0" borderId="11" xfId="0" applyNumberFormat="1" applyFont="1" applyBorder="1" applyAlignment="1">
      <alignment horizontal="center" vertical="top" wrapText="1"/>
    </xf>
    <xf numFmtId="191" fontId="80" fillId="0" borderId="9" xfId="0" applyNumberFormat="1" applyFont="1" applyBorder="1" applyAlignment="1">
      <alignment horizontal="center" vertical="top" wrapText="1"/>
    </xf>
    <xf numFmtId="207" fontId="80" fillId="0" borderId="9" xfId="0" applyNumberFormat="1" applyFont="1" applyBorder="1" applyAlignment="1">
      <alignment horizontal="center" vertical="top" wrapText="1"/>
    </xf>
    <xf numFmtId="188" fontId="80" fillId="0" borderId="9" xfId="0" applyNumberFormat="1" applyFont="1" applyBorder="1" applyAlignment="1">
      <alignment horizontal="center" vertical="top" wrapText="1"/>
    </xf>
    <xf numFmtId="180" fontId="80" fillId="0" borderId="11" xfId="0" applyNumberFormat="1" applyFont="1" applyBorder="1" applyAlignment="1">
      <alignment horizontal="center" vertical="top" wrapText="1"/>
    </xf>
    <xf numFmtId="0" fontId="81" fillId="0" borderId="9" xfId="0" applyFont="1" applyBorder="1" applyAlignment="1">
      <alignment vertical="top" wrapText="1"/>
    </xf>
    <xf numFmtId="199" fontId="80" fillId="0" borderId="9" xfId="0" applyNumberFormat="1" applyFont="1" applyBorder="1" applyAlignment="1">
      <alignment horizontal="center" vertical="top" wrapText="1"/>
    </xf>
    <xf numFmtId="209" fontId="80" fillId="0" borderId="9" xfId="0" applyNumberFormat="1" applyFont="1" applyBorder="1" applyAlignment="1">
      <alignment horizontal="center" vertical="top" wrapText="1"/>
    </xf>
    <xf numFmtId="205" fontId="80" fillId="0" borderId="9" xfId="0" applyNumberFormat="1" applyFont="1" applyBorder="1" applyAlignment="1">
      <alignment horizontal="center" vertical="top" wrapText="1"/>
    </xf>
    <xf numFmtId="211" fontId="80" fillId="0" borderId="9" xfId="0" applyNumberFormat="1" applyFont="1" applyBorder="1" applyAlignment="1">
      <alignment horizontal="center" vertical="top" wrapText="1"/>
    </xf>
    <xf numFmtId="235" fontId="80" fillId="0" borderId="11" xfId="0" applyNumberFormat="1" applyFont="1" applyBorder="1" applyAlignment="1">
      <alignment horizontal="center" vertical="top" wrapText="1"/>
    </xf>
    <xf numFmtId="232" fontId="80" fillId="0" borderId="9" xfId="0" applyNumberFormat="1" applyFont="1" applyBorder="1" applyAlignment="1">
      <alignment horizontal="center" vertical="top" wrapText="1"/>
    </xf>
    <xf numFmtId="0" fontId="76" fillId="0" borderId="11" xfId="0" applyFont="1" applyBorder="1"/>
    <xf numFmtId="0" fontId="76" fillId="0" borderId="9" xfId="0" applyFont="1" applyBorder="1"/>
    <xf numFmtId="192" fontId="80" fillId="0" borderId="11" xfId="0" applyNumberFormat="1" applyFont="1" applyBorder="1" applyAlignment="1">
      <alignment horizontal="center" vertical="top" wrapText="1"/>
    </xf>
    <xf numFmtId="0" fontId="80" fillId="0" borderId="9" xfId="0" applyFont="1" applyBorder="1" applyAlignment="1">
      <alignment horizontal="center" vertical="center" wrapText="1"/>
    </xf>
    <xf numFmtId="185" fontId="80" fillId="0" borderId="11" xfId="0" applyNumberFormat="1" applyFont="1" applyBorder="1" applyAlignment="1">
      <alignment horizontal="left" vertical="top" wrapText="1"/>
    </xf>
    <xf numFmtId="215" fontId="80" fillId="0" borderId="11" xfId="0" applyNumberFormat="1" applyFont="1" applyBorder="1" applyAlignment="1">
      <alignment horizontal="center" vertical="top" wrapText="1"/>
    </xf>
    <xf numFmtId="0" fontId="80" fillId="0" borderId="9" xfId="0" applyFont="1" applyBorder="1" applyAlignment="1">
      <alignment horizontal="center" vertical="center"/>
    </xf>
    <xf numFmtId="2" fontId="80" fillId="0" borderId="0" xfId="0" applyNumberFormat="1" applyFont="1" applyAlignment="1">
      <alignment horizontal="center" vertical="top" wrapText="1"/>
    </xf>
    <xf numFmtId="166" fontId="81" fillId="0" borderId="0" xfId="0" applyNumberFormat="1" applyFont="1" applyAlignment="1">
      <alignment horizontal="center" vertical="top" wrapText="1"/>
    </xf>
    <xf numFmtId="2" fontId="80" fillId="0" borderId="9" xfId="0" applyNumberFormat="1" applyFont="1" applyBorder="1" applyAlignment="1">
      <alignment horizontal="center" vertical="top"/>
    </xf>
    <xf numFmtId="164" fontId="80" fillId="0" borderId="11" xfId="0" applyNumberFormat="1" applyFont="1" applyBorder="1" applyAlignment="1">
      <alignment horizontal="center" vertical="top"/>
    </xf>
    <xf numFmtId="164" fontId="81" fillId="0" borderId="11" xfId="0" applyNumberFormat="1" applyFont="1" applyBorder="1" applyAlignment="1">
      <alignment horizontal="center" vertical="top" wrapText="1"/>
    </xf>
    <xf numFmtId="181" fontId="80" fillId="0" borderId="11" xfId="0" applyNumberFormat="1" applyFont="1" applyBorder="1" applyAlignment="1">
      <alignment horizontal="center" vertical="top"/>
    </xf>
    <xf numFmtId="0" fontId="84" fillId="0" borderId="0" xfId="0" applyFont="1"/>
    <xf numFmtId="0" fontId="84" fillId="0" borderId="0" xfId="0" applyFont="1" applyAlignment="1">
      <alignment vertical="top"/>
    </xf>
    <xf numFmtId="0" fontId="80" fillId="0" borderId="0" xfId="0" applyFont="1" applyAlignment="1">
      <alignment vertical="top"/>
    </xf>
    <xf numFmtId="1" fontId="80" fillId="0" borderId="0" xfId="0" applyNumberFormat="1" applyFont="1" applyAlignment="1">
      <alignment horizontal="center" vertical="top"/>
    </xf>
    <xf numFmtId="0" fontId="78" fillId="0" borderId="0" xfId="0" applyFont="1"/>
    <xf numFmtId="0" fontId="0" fillId="0" borderId="0" xfId="0" applyAlignment="1">
      <alignment horizontal="right"/>
    </xf>
    <xf numFmtId="0" fontId="0" fillId="7" borderId="1" xfId="0" applyFill="1" applyBorder="1"/>
    <xf numFmtId="0" fontId="34" fillId="3" borderId="3" xfId="0" applyFont="1" applyFill="1" applyBorder="1" applyAlignment="1">
      <alignment horizontal="center" vertical="top"/>
    </xf>
    <xf numFmtId="0" fontId="31" fillId="3" borderId="7" xfId="0" applyFont="1" applyFill="1" applyBorder="1" applyAlignment="1">
      <alignment horizontal="center" vertical="top"/>
    </xf>
    <xf numFmtId="0" fontId="34" fillId="0" borderId="11" xfId="0" applyFont="1" applyBorder="1" applyAlignment="1">
      <alignment horizontal="center" vertical="top"/>
    </xf>
    <xf numFmtId="0" fontId="34" fillId="15" borderId="9" xfId="0" applyFont="1" applyFill="1" applyBorder="1" applyAlignment="1">
      <alignment horizontal="center" vertical="top"/>
    </xf>
    <xf numFmtId="0" fontId="2" fillId="0" borderId="0" xfId="0" applyFont="1" applyAlignment="1">
      <alignment horizontal="center"/>
    </xf>
    <xf numFmtId="237" fontId="80" fillId="0" borderId="9" xfId="0" applyNumberFormat="1" applyFont="1" applyBorder="1" applyAlignment="1">
      <alignment horizontal="center" vertical="top" wrapText="1"/>
    </xf>
    <xf numFmtId="169" fontId="81" fillId="0" borderId="9" xfId="0" applyNumberFormat="1" applyFont="1" applyBorder="1" applyAlignment="1">
      <alignment horizontal="center" vertical="top"/>
    </xf>
    <xf numFmtId="238" fontId="80" fillId="0" borderId="9" xfId="0" applyNumberFormat="1" applyFont="1" applyBorder="1" applyAlignment="1">
      <alignment horizontal="center" vertical="top" wrapText="1"/>
    </xf>
    <xf numFmtId="239" fontId="80" fillId="0" borderId="11" xfId="0" applyNumberFormat="1" applyFont="1" applyBorder="1" applyAlignment="1">
      <alignment horizontal="center" vertical="top" wrapText="1"/>
    </xf>
    <xf numFmtId="237" fontId="80" fillId="0" borderId="11" xfId="0" applyNumberFormat="1" applyFont="1" applyBorder="1" applyAlignment="1">
      <alignment horizontal="center" vertical="top" wrapText="1"/>
    </xf>
    <xf numFmtId="0" fontId="80" fillId="0" borderId="0" xfId="0" applyFont="1" applyAlignment="1">
      <alignment horizontal="center" vertical="top" wrapText="1"/>
    </xf>
    <xf numFmtId="2" fontId="84" fillId="0" borderId="9" xfId="0" applyNumberFormat="1" applyFont="1" applyBorder="1" applyAlignment="1">
      <alignment horizontal="center" vertical="top"/>
    </xf>
    <xf numFmtId="0" fontId="84" fillId="0" borderId="11" xfId="0" applyFont="1" applyBorder="1" applyAlignment="1">
      <alignment horizontal="center" vertical="top"/>
    </xf>
    <xf numFmtId="164" fontId="84" fillId="0" borderId="11" xfId="0" applyNumberFormat="1" applyFont="1" applyBorder="1" applyAlignment="1">
      <alignment horizontal="center" vertical="top"/>
    </xf>
    <xf numFmtId="0" fontId="0" fillId="3" borderId="21" xfId="0" applyFill="1" applyBorder="1" applyAlignment="1">
      <alignment horizontal="center"/>
    </xf>
    <xf numFmtId="0" fontId="0" fillId="3" borderId="42" xfId="0" applyFill="1" applyBorder="1" applyAlignment="1">
      <alignment horizontal="center"/>
    </xf>
    <xf numFmtId="0" fontId="0" fillId="3" borderId="13" xfId="0" applyFill="1" applyBorder="1" applyAlignment="1">
      <alignment horizontal="center"/>
    </xf>
    <xf numFmtId="0" fontId="87" fillId="35" borderId="0" xfId="0" applyFont="1" applyFill="1" applyAlignment="1">
      <alignment vertical="top" wrapText="1"/>
    </xf>
    <xf numFmtId="0" fontId="87" fillId="35" borderId="10" xfId="0" applyFont="1" applyFill="1" applyBorder="1" applyAlignment="1">
      <alignment vertical="top" wrapText="1"/>
    </xf>
    <xf numFmtId="0" fontId="81" fillId="35" borderId="10" xfId="0" applyFont="1" applyFill="1" applyBorder="1" applyAlignment="1">
      <alignment vertical="top" wrapText="1"/>
    </xf>
    <xf numFmtId="0" fontId="80" fillId="35" borderId="9" xfId="0" applyFont="1" applyFill="1" applyBorder="1" applyAlignment="1">
      <alignment horizontal="center" vertical="top" wrapText="1"/>
    </xf>
    <xf numFmtId="166" fontId="80" fillId="35" borderId="9" xfId="0" applyNumberFormat="1" applyFont="1" applyFill="1" applyBorder="1" applyAlignment="1">
      <alignment horizontal="center" vertical="top" wrapText="1"/>
    </xf>
    <xf numFmtId="0" fontId="81" fillId="35" borderId="9" xfId="0" applyFont="1" applyFill="1" applyBorder="1" applyAlignment="1">
      <alignment horizontal="center" vertical="top" wrapText="1"/>
    </xf>
    <xf numFmtId="0" fontId="88" fillId="35" borderId="9" xfId="0" applyFont="1" applyFill="1" applyBorder="1" applyAlignment="1">
      <alignment horizontal="center" vertical="top"/>
    </xf>
    <xf numFmtId="0" fontId="87" fillId="35" borderId="9" xfId="0" applyFont="1" applyFill="1" applyBorder="1" applyAlignment="1">
      <alignment horizontal="center" vertical="top" wrapText="1"/>
    </xf>
    <xf numFmtId="0" fontId="80" fillId="35" borderId="11" xfId="0" applyFont="1" applyFill="1" applyBorder="1" applyAlignment="1">
      <alignment horizontal="center" vertical="top" wrapText="1"/>
    </xf>
    <xf numFmtId="0" fontId="87" fillId="0" borderId="0" xfId="0" applyFont="1"/>
    <xf numFmtId="0" fontId="87" fillId="0" borderId="10" xfId="0" applyFont="1" applyBorder="1"/>
    <xf numFmtId="0" fontId="87" fillId="0" borderId="9" xfId="0" applyFont="1" applyBorder="1"/>
    <xf numFmtId="169" fontId="87" fillId="0" borderId="9" xfId="0" applyNumberFormat="1" applyFont="1" applyBorder="1" applyAlignment="1">
      <alignment horizontal="center" vertical="top" wrapText="1"/>
    </xf>
    <xf numFmtId="0" fontId="87" fillId="0" borderId="11" xfId="0" applyFont="1" applyBorder="1"/>
    <xf numFmtId="0" fontId="84" fillId="0" borderId="0" xfId="0" applyFont="1" applyAlignment="1">
      <alignment vertical="top" wrapText="1"/>
    </xf>
    <xf numFmtId="0" fontId="84" fillId="0" borderId="10" xfId="0" applyFont="1" applyBorder="1" applyAlignment="1">
      <alignment vertical="top" wrapText="1"/>
    </xf>
    <xf numFmtId="170" fontId="86" fillId="0" borderId="9" xfId="0" applyNumberFormat="1" applyFont="1" applyBorder="1" applyAlignment="1">
      <alignment horizontal="center" vertical="top" wrapText="1"/>
    </xf>
    <xf numFmtId="0" fontId="89" fillId="0" borderId="9" xfId="0" applyFont="1" applyBorder="1" applyAlignment="1">
      <alignment horizontal="center" vertical="top"/>
    </xf>
    <xf numFmtId="169" fontId="84" fillId="0" borderId="9" xfId="0" applyNumberFormat="1" applyFont="1" applyBorder="1" applyAlignment="1">
      <alignment horizontal="center" vertical="top" wrapText="1"/>
    </xf>
    <xf numFmtId="0" fontId="87" fillId="0" borderId="0" xfId="0" applyFont="1" applyAlignment="1">
      <alignment vertical="top" wrapText="1"/>
    </xf>
    <xf numFmtId="0" fontId="87" fillId="0" borderId="10" xfId="0" applyFont="1" applyBorder="1" applyAlignment="1">
      <alignment vertical="top" wrapText="1"/>
    </xf>
    <xf numFmtId="0" fontId="88" fillId="0" borderId="9" xfId="0" applyFont="1" applyBorder="1" applyAlignment="1">
      <alignment horizontal="center" vertical="top"/>
    </xf>
    <xf numFmtId="0" fontId="86" fillId="35" borderId="9" xfId="0" applyFont="1" applyFill="1" applyBorder="1" applyAlignment="1">
      <alignment horizontal="center" vertical="top" wrapText="1"/>
    </xf>
    <xf numFmtId="2" fontId="86" fillId="0" borderId="11" xfId="0" applyNumberFormat="1" applyFont="1" applyBorder="1" applyAlignment="1">
      <alignment horizontal="center" vertical="top" wrapText="1"/>
    </xf>
    <xf numFmtId="215" fontId="86" fillId="0" borderId="9" xfId="0" applyNumberFormat="1" applyFont="1" applyBorder="1" applyAlignment="1">
      <alignment horizontal="center" vertical="top" wrapText="1"/>
    </xf>
    <xf numFmtId="2" fontId="86" fillId="0" borderId="9" xfId="0" applyNumberFormat="1" applyFont="1" applyBorder="1" applyAlignment="1">
      <alignment horizontal="center" vertical="top" wrapText="1"/>
    </xf>
    <xf numFmtId="0" fontId="81" fillId="35" borderId="10" xfId="0" applyFont="1" applyFill="1" applyBorder="1" applyAlignment="1">
      <alignment vertical="top"/>
    </xf>
    <xf numFmtId="0" fontId="80" fillId="35" borderId="0" xfId="0" applyFont="1" applyFill="1" applyAlignment="1">
      <alignment horizontal="center" vertical="top"/>
    </xf>
    <xf numFmtId="236" fontId="88" fillId="0" borderId="9" xfId="0" applyNumberFormat="1" applyFont="1" applyBorder="1" applyAlignment="1">
      <alignment horizontal="center" vertical="top"/>
    </xf>
    <xf numFmtId="164" fontId="90" fillId="0" borderId="9" xfId="0" applyNumberFormat="1" applyFont="1" applyBorder="1" applyAlignment="1">
      <alignment horizontal="center" vertical="top"/>
    </xf>
    <xf numFmtId="164" fontId="87" fillId="0" borderId="9" xfId="0" applyNumberFormat="1" applyFont="1" applyBorder="1" applyAlignment="1">
      <alignment horizontal="center" vertical="top" wrapText="1"/>
    </xf>
    <xf numFmtId="164" fontId="88" fillId="0" borderId="9" xfId="0" applyNumberFormat="1" applyFont="1" applyBorder="1" applyAlignment="1">
      <alignment horizontal="center" vertical="top"/>
    </xf>
    <xf numFmtId="0" fontId="86" fillId="0" borderId="9" xfId="0" applyFont="1" applyBorder="1" applyAlignment="1">
      <alignment horizontal="center" vertical="top" wrapText="1"/>
    </xf>
    <xf numFmtId="0" fontId="87" fillId="0" borderId="9" xfId="0" applyFont="1" applyBorder="1" applyAlignment="1">
      <alignment horizontal="center" vertical="top" wrapText="1"/>
    </xf>
    <xf numFmtId="0" fontId="91" fillId="0" borderId="0" xfId="0" applyFont="1"/>
    <xf numFmtId="176" fontId="88" fillId="0" borderId="9" xfId="0" applyNumberFormat="1" applyFont="1" applyBorder="1" applyAlignment="1">
      <alignment horizontal="center" vertical="top"/>
    </xf>
    <xf numFmtId="169" fontId="88" fillId="0" borderId="9" xfId="0" applyNumberFormat="1" applyFont="1" applyBorder="1" applyAlignment="1">
      <alignment horizontal="center" vertical="top"/>
    </xf>
    <xf numFmtId="174" fontId="90" fillId="0" borderId="9" xfId="0" applyNumberFormat="1" applyFont="1" applyBorder="1" applyAlignment="1">
      <alignment horizontal="center" vertical="top"/>
    </xf>
    <xf numFmtId="174" fontId="87" fillId="0" borderId="9" xfId="0" applyNumberFormat="1" applyFont="1" applyBorder="1" applyAlignment="1">
      <alignment horizontal="center" vertical="top" wrapText="1"/>
    </xf>
    <xf numFmtId="0" fontId="87" fillId="36" borderId="0" xfId="0" applyFont="1" applyFill="1" applyAlignment="1">
      <alignment vertical="top" wrapText="1"/>
    </xf>
    <xf numFmtId="0" fontId="87" fillId="36" borderId="10" xfId="0" applyFont="1" applyFill="1" applyBorder="1" applyAlignment="1">
      <alignment vertical="top" wrapText="1"/>
    </xf>
    <xf numFmtId="0" fontId="88" fillId="36" borderId="10" xfId="0" applyFont="1" applyFill="1" applyBorder="1" applyAlignment="1">
      <alignment vertical="top" wrapText="1"/>
    </xf>
    <xf numFmtId="171" fontId="80" fillId="36" borderId="9" xfId="0" applyNumberFormat="1" applyFont="1" applyFill="1" applyBorder="1" applyAlignment="1">
      <alignment horizontal="center" vertical="top" wrapText="1"/>
    </xf>
    <xf numFmtId="166" fontId="80" fillId="36" borderId="9" xfId="0" applyNumberFormat="1" applyFont="1" applyFill="1" applyBorder="1" applyAlignment="1">
      <alignment horizontal="center" vertical="top" wrapText="1"/>
    </xf>
    <xf numFmtId="2" fontId="81" fillId="36" borderId="9" xfId="0" applyNumberFormat="1" applyFont="1" applyFill="1" applyBorder="1" applyAlignment="1">
      <alignment horizontal="center" vertical="top" wrapText="1"/>
    </xf>
    <xf numFmtId="0" fontId="88" fillId="36" borderId="9" xfId="0" applyFont="1" applyFill="1" applyBorder="1" applyAlignment="1">
      <alignment horizontal="center" vertical="top"/>
    </xf>
    <xf numFmtId="169" fontId="87" fillId="36" borderId="9" xfId="0" applyNumberFormat="1" applyFont="1" applyFill="1" applyBorder="1" applyAlignment="1">
      <alignment horizontal="center" vertical="top" wrapText="1"/>
    </xf>
    <xf numFmtId="168" fontId="80" fillId="36" borderId="11" xfId="0" applyNumberFormat="1" applyFont="1" applyFill="1" applyBorder="1" applyAlignment="1">
      <alignment horizontal="center" vertical="top" wrapText="1"/>
    </xf>
    <xf numFmtId="0" fontId="80" fillId="36" borderId="11" xfId="0" applyFont="1" applyFill="1" applyBorder="1" applyAlignment="1">
      <alignment horizontal="center" vertical="top" wrapText="1"/>
    </xf>
    <xf numFmtId="178" fontId="88" fillId="0" borderId="9" xfId="0" applyNumberFormat="1" applyFont="1" applyBorder="1" applyAlignment="1">
      <alignment horizontal="center" vertical="top"/>
    </xf>
    <xf numFmtId="0" fontId="92" fillId="0" borderId="9" xfId="0" applyFont="1" applyBorder="1" applyAlignment="1">
      <alignment horizontal="center" vertical="top"/>
    </xf>
    <xf numFmtId="0" fontId="88" fillId="36" borderId="0" xfId="0" applyFont="1" applyFill="1" applyAlignment="1">
      <alignment vertical="top" wrapText="1"/>
    </xf>
    <xf numFmtId="0" fontId="80" fillId="36" borderId="10" xfId="0" applyFont="1" applyFill="1" applyBorder="1" applyAlignment="1">
      <alignment vertical="top" wrapText="1"/>
    </xf>
    <xf numFmtId="0" fontId="93" fillId="0" borderId="10" xfId="0" applyFont="1" applyBorder="1" applyAlignment="1">
      <alignment vertical="top" wrapText="1"/>
    </xf>
    <xf numFmtId="200" fontId="90" fillId="0" borderId="9" xfId="0" applyNumberFormat="1" applyFont="1" applyBorder="1" applyAlignment="1">
      <alignment horizontal="center" vertical="top"/>
    </xf>
    <xf numFmtId="200" fontId="87" fillId="0" borderId="9" xfId="0" applyNumberFormat="1" applyFont="1" applyBorder="1" applyAlignment="1">
      <alignment horizontal="center" vertical="top" wrapText="1"/>
    </xf>
    <xf numFmtId="181" fontId="88" fillId="0" borderId="9" xfId="0" applyNumberFormat="1" applyFont="1" applyBorder="1" applyAlignment="1">
      <alignment horizontal="center" vertical="top"/>
    </xf>
    <xf numFmtId="181" fontId="90" fillId="0" borderId="9" xfId="0" applyNumberFormat="1" applyFont="1" applyBorder="1" applyAlignment="1">
      <alignment horizontal="center" vertical="top"/>
    </xf>
    <xf numFmtId="181" fontId="87" fillId="0" borderId="9" xfId="0" applyNumberFormat="1" applyFont="1" applyBorder="1" applyAlignment="1">
      <alignment horizontal="center" vertical="top" wrapText="1"/>
    </xf>
    <xf numFmtId="222" fontId="86" fillId="0" borderId="9" xfId="0" applyNumberFormat="1" applyFont="1" applyBorder="1" applyAlignment="1">
      <alignment horizontal="center" vertical="top" wrapText="1"/>
    </xf>
    <xf numFmtId="0" fontId="87" fillId="0" borderId="10" xfId="0" applyFont="1" applyBorder="1" applyAlignment="1">
      <alignment horizontal="center" vertical="top" wrapText="1"/>
    </xf>
    <xf numFmtId="0" fontId="88" fillId="0" borderId="10" xfId="0" applyFont="1" applyBorder="1" applyAlignment="1">
      <alignment vertical="top" wrapText="1"/>
    </xf>
    <xf numFmtId="0" fontId="81" fillId="35" borderId="9" xfId="0" applyFont="1" applyFill="1" applyBorder="1" applyAlignment="1">
      <alignment vertical="top" wrapText="1"/>
    </xf>
    <xf numFmtId="0" fontId="90" fillId="35" borderId="9" xfId="0" applyFont="1" applyFill="1" applyBorder="1" applyAlignment="1">
      <alignment horizontal="center" vertical="top"/>
    </xf>
    <xf numFmtId="179" fontId="80" fillId="36" borderId="9" xfId="0" applyNumberFormat="1" applyFont="1" applyFill="1" applyBorder="1" applyAlignment="1">
      <alignment horizontal="center" vertical="top" wrapText="1"/>
    </xf>
    <xf numFmtId="164" fontId="88" fillId="36" borderId="9" xfId="0" applyNumberFormat="1" applyFont="1" applyFill="1" applyBorder="1" applyAlignment="1">
      <alignment horizontal="center" vertical="top"/>
    </xf>
    <xf numFmtId="164" fontId="87" fillId="36" borderId="9" xfId="0" applyNumberFormat="1" applyFont="1" applyFill="1" applyBorder="1" applyAlignment="1">
      <alignment horizontal="center" vertical="top" wrapText="1"/>
    </xf>
    <xf numFmtId="185" fontId="80" fillId="36" borderId="11" xfId="0" applyNumberFormat="1" applyFont="1" applyFill="1" applyBorder="1" applyAlignment="1">
      <alignment horizontal="center" vertical="top" wrapText="1"/>
    </xf>
    <xf numFmtId="0" fontId="91" fillId="0" borderId="9" xfId="0" applyFont="1" applyBorder="1"/>
    <xf numFmtId="0" fontId="90" fillId="0" borderId="9" xfId="0" applyFont="1" applyBorder="1" applyAlignment="1">
      <alignment horizontal="center" vertical="top"/>
    </xf>
    <xf numFmtId="164" fontId="90" fillId="36" borderId="9" xfId="0" applyNumberFormat="1" applyFont="1" applyFill="1" applyBorder="1" applyAlignment="1">
      <alignment horizontal="center" vertical="top"/>
    </xf>
    <xf numFmtId="187" fontId="88" fillId="0" borderId="9" xfId="0" applyNumberFormat="1" applyFont="1" applyBorder="1" applyAlignment="1">
      <alignment horizontal="center" vertical="top"/>
    </xf>
    <xf numFmtId="238" fontId="88" fillId="0" borderId="9" xfId="0" applyNumberFormat="1" applyFont="1" applyBorder="1" applyAlignment="1">
      <alignment horizontal="center" vertical="top"/>
    </xf>
    <xf numFmtId="0" fontId="87" fillId="0" borderId="10" xfId="0" applyFont="1" applyBorder="1" applyAlignment="1">
      <alignment horizontal="centerContinuous" vertical="top" wrapText="1"/>
    </xf>
    <xf numFmtId="238" fontId="90" fillId="0" borderId="9" xfId="0" applyNumberFormat="1" applyFont="1" applyBorder="1" applyAlignment="1">
      <alignment horizontal="center" vertical="top"/>
    </xf>
    <xf numFmtId="238" fontId="87" fillId="0" borderId="9" xfId="0" applyNumberFormat="1" applyFont="1" applyBorder="1" applyAlignment="1">
      <alignment horizontal="center" vertical="top" wrapText="1"/>
    </xf>
    <xf numFmtId="169" fontId="90" fillId="0" borderId="9" xfId="0" applyNumberFormat="1" applyFont="1" applyBorder="1" applyAlignment="1">
      <alignment horizontal="center" vertical="top"/>
    </xf>
    <xf numFmtId="0" fontId="85" fillId="0" borderId="10" xfId="0" applyFont="1" applyBorder="1"/>
    <xf numFmtId="193" fontId="88" fillId="0" borderId="9" xfId="0" applyNumberFormat="1" applyFont="1" applyBorder="1" applyAlignment="1">
      <alignment horizontal="center" vertical="top"/>
    </xf>
    <xf numFmtId="193" fontId="87" fillId="0" borderId="9" xfId="0" applyNumberFormat="1" applyFont="1" applyBorder="1" applyAlignment="1">
      <alignment horizontal="center" vertical="top" wrapText="1"/>
    </xf>
    <xf numFmtId="169" fontId="93" fillId="0" borderId="9" xfId="0" applyNumberFormat="1" applyFont="1" applyBorder="1" applyAlignment="1">
      <alignment horizontal="center" vertical="top" wrapText="1"/>
    </xf>
    <xf numFmtId="0" fontId="85" fillId="0" borderId="10" xfId="0" applyFont="1" applyBorder="1" applyAlignment="1">
      <alignment vertical="top" wrapText="1"/>
    </xf>
    <xf numFmtId="208" fontId="88" fillId="0" borderId="9" xfId="0" applyNumberFormat="1" applyFont="1" applyBorder="1" applyAlignment="1">
      <alignment horizontal="center" vertical="top"/>
    </xf>
    <xf numFmtId="189" fontId="88" fillId="0" borderId="9" xfId="0" applyNumberFormat="1" applyFont="1" applyBorder="1" applyAlignment="1">
      <alignment horizontal="center" vertical="top"/>
    </xf>
    <xf numFmtId="0" fontId="80" fillId="35" borderId="9" xfId="0" applyFont="1" applyFill="1" applyBorder="1" applyAlignment="1">
      <alignment horizontal="center" vertical="top"/>
    </xf>
    <xf numFmtId="201" fontId="90" fillId="0" borderId="9" xfId="0" applyNumberFormat="1" applyFont="1" applyBorder="1" applyAlignment="1">
      <alignment horizontal="center" vertical="top"/>
    </xf>
    <xf numFmtId="200" fontId="88" fillId="0" borderId="9" xfId="0" applyNumberFormat="1" applyFont="1" applyBorder="1" applyAlignment="1">
      <alignment horizontal="center" vertical="top"/>
    </xf>
    <xf numFmtId="0" fontId="81" fillId="35" borderId="0" xfId="0" applyFont="1" applyFill="1" applyAlignment="1">
      <alignment vertical="top" wrapText="1"/>
    </xf>
    <xf numFmtId="164" fontId="94" fillId="0" borderId="9" xfId="0" applyNumberFormat="1" applyFont="1" applyBorder="1" applyAlignment="1">
      <alignment horizontal="center" vertical="top"/>
    </xf>
    <xf numFmtId="164" fontId="84" fillId="0" borderId="9" xfId="0" applyNumberFormat="1" applyFont="1" applyBorder="1" applyAlignment="1">
      <alignment horizontal="center" vertical="top" wrapText="1"/>
    </xf>
    <xf numFmtId="0" fontId="90" fillId="0" borderId="9" xfId="0" applyFont="1" applyBorder="1"/>
    <xf numFmtId="0" fontId="80" fillId="35" borderId="0" xfId="0" applyFont="1" applyFill="1" applyAlignment="1">
      <alignment vertical="top" wrapText="1"/>
    </xf>
    <xf numFmtId="238" fontId="86" fillId="0" borderId="9" xfId="0" applyNumberFormat="1" applyFont="1" applyBorder="1" applyAlignment="1">
      <alignment horizontal="center" vertical="top"/>
    </xf>
    <xf numFmtId="164" fontId="86" fillId="0" borderId="9" xfId="0" applyNumberFormat="1" applyFont="1" applyBorder="1" applyAlignment="1">
      <alignment horizontal="center" vertical="top"/>
    </xf>
    <xf numFmtId="169" fontId="88" fillId="36" borderId="9" xfId="0" applyNumberFormat="1" applyFont="1" applyFill="1" applyBorder="1" applyAlignment="1">
      <alignment horizontal="center" vertical="top"/>
    </xf>
    <xf numFmtId="238" fontId="93" fillId="0" borderId="9" xfId="0" applyNumberFormat="1" applyFont="1" applyBorder="1" applyAlignment="1">
      <alignment horizontal="center" vertical="top" wrapText="1"/>
    </xf>
    <xf numFmtId="0" fontId="93" fillId="35" borderId="9" xfId="0" applyFont="1" applyFill="1" applyBorder="1" applyAlignment="1">
      <alignment horizontal="center" vertical="top" wrapText="1"/>
    </xf>
    <xf numFmtId="206" fontId="87" fillId="0" borderId="9" xfId="0" applyNumberFormat="1" applyFont="1" applyBorder="1" applyAlignment="1">
      <alignment horizontal="center" vertical="top" wrapText="1"/>
    </xf>
    <xf numFmtId="206" fontId="88" fillId="0" borderId="9" xfId="0" applyNumberFormat="1" applyFont="1" applyBorder="1" applyAlignment="1">
      <alignment horizontal="center" vertical="top"/>
    </xf>
    <xf numFmtId="0" fontId="81" fillId="35" borderId="10" xfId="0" applyFont="1" applyFill="1" applyBorder="1" applyAlignment="1">
      <alignment horizontal="left" vertical="top"/>
    </xf>
    <xf numFmtId="176" fontId="95" fillId="0" borderId="9" xfId="0" applyNumberFormat="1" applyFont="1" applyBorder="1" applyAlignment="1">
      <alignment horizontal="center" vertical="top"/>
    </xf>
    <xf numFmtId="240" fontId="87" fillId="0" borderId="9" xfId="0" applyNumberFormat="1" applyFont="1" applyBorder="1" applyAlignment="1">
      <alignment horizontal="center" vertical="top" wrapText="1"/>
    </xf>
    <xf numFmtId="195" fontId="90" fillId="0" borderId="9" xfId="0" applyNumberFormat="1" applyFont="1" applyBorder="1" applyAlignment="1">
      <alignment horizontal="center" vertical="top"/>
    </xf>
    <xf numFmtId="210" fontId="88" fillId="0" borderId="9" xfId="0" applyNumberFormat="1" applyFont="1" applyBorder="1" applyAlignment="1">
      <alignment horizontal="center" vertical="top"/>
    </xf>
    <xf numFmtId="183" fontId="88" fillId="0" borderId="9" xfId="0" applyNumberFormat="1" applyFont="1" applyBorder="1" applyAlignment="1">
      <alignment horizontal="center" vertical="top"/>
    </xf>
    <xf numFmtId="212" fontId="90" fillId="0" borderId="9" xfId="0" applyNumberFormat="1" applyFont="1" applyBorder="1" applyAlignment="1">
      <alignment horizontal="center" vertical="top"/>
    </xf>
    <xf numFmtId="212" fontId="87" fillId="0" borderId="9" xfId="0" applyNumberFormat="1" applyFont="1" applyBorder="1" applyAlignment="1">
      <alignment horizontal="center" vertical="top" wrapText="1"/>
    </xf>
    <xf numFmtId="212" fontId="88" fillId="0" borderId="9" xfId="0" applyNumberFormat="1" applyFont="1" applyBorder="1" applyAlignment="1">
      <alignment horizontal="center" vertical="top"/>
    </xf>
    <xf numFmtId="169" fontId="95" fillId="0" borderId="9" xfId="0" applyNumberFormat="1" applyFont="1" applyBorder="1" applyAlignment="1">
      <alignment horizontal="center" vertical="top"/>
    </xf>
    <xf numFmtId="227" fontId="88" fillId="0" borderId="9" xfId="0" applyNumberFormat="1" applyFont="1" applyBorder="1" applyAlignment="1">
      <alignment horizontal="center" vertical="top"/>
    </xf>
    <xf numFmtId="213" fontId="88" fillId="0" borderId="9" xfId="0" applyNumberFormat="1" applyFont="1" applyBorder="1" applyAlignment="1">
      <alignment horizontal="center" vertical="top"/>
    </xf>
    <xf numFmtId="202" fontId="88" fillId="0" borderId="9" xfId="0" applyNumberFormat="1" applyFont="1" applyBorder="1" applyAlignment="1">
      <alignment horizontal="center" vertical="top"/>
    </xf>
    <xf numFmtId="195" fontId="88" fillId="0" borderId="9" xfId="0" applyNumberFormat="1" applyFont="1" applyBorder="1" applyAlignment="1">
      <alignment horizontal="center" vertical="top"/>
    </xf>
    <xf numFmtId="0" fontId="80" fillId="36" borderId="9" xfId="0" applyFont="1" applyFill="1" applyBorder="1" applyAlignment="1">
      <alignment horizontal="center" vertical="top" wrapText="1"/>
    </xf>
    <xf numFmtId="0" fontId="87" fillId="0" borderId="0" xfId="0" applyFont="1" applyAlignment="1">
      <alignment horizontal="center" vertical="center"/>
    </xf>
    <xf numFmtId="215" fontId="80" fillId="35" borderId="11" xfId="0" applyNumberFormat="1" applyFont="1" applyFill="1" applyBorder="1" applyAlignment="1">
      <alignment horizontal="center" vertical="top" wrapText="1"/>
    </xf>
    <xf numFmtId="215" fontId="80" fillId="36" borderId="11" xfId="0" applyNumberFormat="1" applyFont="1" applyFill="1" applyBorder="1" applyAlignment="1">
      <alignment horizontal="center" vertical="top" wrapText="1"/>
    </xf>
    <xf numFmtId="0" fontId="80" fillId="35" borderId="0" xfId="0" applyFont="1" applyFill="1" applyAlignment="1">
      <alignment horizontal="center" vertical="top" wrapText="1"/>
    </xf>
    <xf numFmtId="0" fontId="80" fillId="35" borderId="9" xfId="0" applyFont="1" applyFill="1" applyBorder="1" applyAlignment="1">
      <alignment horizontal="center" vertical="center" wrapText="1"/>
    </xf>
    <xf numFmtId="0" fontId="87" fillId="0" borderId="9" xfId="0" applyFont="1" applyBorder="1" applyAlignment="1">
      <alignment horizontal="center" vertical="center"/>
    </xf>
    <xf numFmtId="2" fontId="80" fillId="35" borderId="0" xfId="0" applyNumberFormat="1" applyFont="1" applyFill="1" applyAlignment="1">
      <alignment horizontal="center" vertical="top" wrapText="1"/>
    </xf>
    <xf numFmtId="0" fontId="87" fillId="0" borderId="11" xfId="0" applyFont="1" applyBorder="1" applyAlignment="1">
      <alignment horizontal="center" vertical="center"/>
    </xf>
    <xf numFmtId="2" fontId="80" fillId="36" borderId="0" xfId="0" applyNumberFormat="1" applyFont="1" applyFill="1" applyAlignment="1">
      <alignment horizontal="center" vertical="top" wrapText="1"/>
    </xf>
    <xf numFmtId="0" fontId="80" fillId="36" borderId="9" xfId="0" applyFont="1" applyFill="1" applyBorder="1" applyAlignment="1">
      <alignment horizontal="center" vertical="center" wrapText="1"/>
    </xf>
    <xf numFmtId="2" fontId="80" fillId="21" borderId="0" xfId="0" applyNumberFormat="1" applyFont="1" applyFill="1" applyAlignment="1">
      <alignment horizontal="center" vertical="top" wrapText="1"/>
    </xf>
    <xf numFmtId="1" fontId="80" fillId="0" borderId="0" xfId="0" applyNumberFormat="1" applyFont="1" applyAlignment="1">
      <alignment horizontal="center" vertical="center" wrapText="1"/>
    </xf>
    <xf numFmtId="166" fontId="88" fillId="35" borderId="0" xfId="0" applyNumberFormat="1" applyFont="1" applyFill="1" applyAlignment="1">
      <alignment horizontal="center" vertical="top" wrapText="1"/>
    </xf>
    <xf numFmtId="166" fontId="88" fillId="0" borderId="0" xfId="0" applyNumberFormat="1" applyFont="1" applyAlignment="1">
      <alignment horizontal="center" vertical="top" wrapText="1"/>
    </xf>
    <xf numFmtId="166" fontId="89" fillId="0" borderId="0" xfId="0" applyNumberFormat="1" applyFont="1" applyAlignment="1">
      <alignment horizontal="center" vertical="top" wrapText="1"/>
    </xf>
    <xf numFmtId="166" fontId="88" fillId="0" borderId="11" xfId="0" applyNumberFormat="1" applyFont="1" applyBorder="1" applyAlignment="1">
      <alignment horizontal="center" vertical="top" wrapText="1"/>
    </xf>
    <xf numFmtId="166" fontId="88" fillId="36" borderId="0" xfId="0" applyNumberFormat="1" applyFont="1" applyFill="1" applyAlignment="1">
      <alignment horizontal="center" vertical="top" wrapText="1"/>
    </xf>
    <xf numFmtId="169" fontId="87" fillId="0" borderId="11" xfId="0" applyNumberFormat="1" applyFont="1" applyBorder="1" applyAlignment="1">
      <alignment horizontal="center" vertical="top" wrapText="1"/>
    </xf>
    <xf numFmtId="184" fontId="87" fillId="0" borderId="9" xfId="0" applyNumberFormat="1" applyFont="1" applyBorder="1" applyAlignment="1">
      <alignment horizontal="center" vertical="top" wrapText="1"/>
    </xf>
    <xf numFmtId="164" fontId="87" fillId="0" borderId="11" xfId="0" applyNumberFormat="1" applyFont="1" applyBorder="1" applyAlignment="1">
      <alignment horizontal="center" vertical="top" wrapText="1"/>
    </xf>
    <xf numFmtId="181" fontId="87" fillId="0" borderId="11" xfId="0" applyNumberFormat="1" applyFont="1" applyBorder="1" applyAlignment="1">
      <alignment horizontal="center" vertical="top" wrapText="1"/>
    </xf>
    <xf numFmtId="229" fontId="87" fillId="0" borderId="9" xfId="0" applyNumberFormat="1" applyFont="1" applyBorder="1" applyAlignment="1">
      <alignment horizontal="center" vertical="top" wrapText="1"/>
    </xf>
    <xf numFmtId="0" fontId="88" fillId="35" borderId="11" xfId="0" applyFont="1" applyFill="1" applyBorder="1" applyAlignment="1">
      <alignment horizontal="center" vertical="top" wrapText="1"/>
    </xf>
    <xf numFmtId="169" fontId="88" fillId="0" borderId="11" xfId="0" applyNumberFormat="1" applyFont="1" applyBorder="1" applyAlignment="1">
      <alignment horizontal="center" vertical="top" wrapText="1"/>
    </xf>
    <xf numFmtId="169" fontId="89" fillId="0" borderId="11" xfId="0" applyNumberFormat="1" applyFont="1" applyBorder="1" applyAlignment="1">
      <alignment horizontal="center" vertical="top" wrapText="1"/>
    </xf>
    <xf numFmtId="169" fontId="88" fillId="35" borderId="11" xfId="0" applyNumberFormat="1" applyFont="1" applyFill="1" applyBorder="1" applyAlignment="1">
      <alignment horizontal="center" vertical="top" wrapText="1"/>
    </xf>
    <xf numFmtId="164" fontId="88" fillId="0" borderId="11" xfId="0" applyNumberFormat="1" applyFont="1" applyBorder="1" applyAlignment="1">
      <alignment horizontal="center" vertical="top" wrapText="1"/>
    </xf>
    <xf numFmtId="174" fontId="88" fillId="0" borderId="11" xfId="0" applyNumberFormat="1" applyFont="1" applyBorder="1" applyAlignment="1">
      <alignment horizontal="center" vertical="top" wrapText="1"/>
    </xf>
    <xf numFmtId="169" fontId="88" fillId="36" borderId="11" xfId="0" applyNumberFormat="1" applyFont="1" applyFill="1" applyBorder="1" applyAlignment="1">
      <alignment horizontal="center" vertical="top" wrapText="1"/>
    </xf>
    <xf numFmtId="200" fontId="88" fillId="0" borderId="11" xfId="0" applyNumberFormat="1" applyFont="1" applyBorder="1" applyAlignment="1">
      <alignment horizontal="center" vertical="top" wrapText="1"/>
    </xf>
    <xf numFmtId="164" fontId="88" fillId="35" borderId="11" xfId="0" applyNumberFormat="1" applyFont="1" applyFill="1" applyBorder="1" applyAlignment="1">
      <alignment horizontal="center" vertical="top" wrapText="1"/>
    </xf>
    <xf numFmtId="164" fontId="88" fillId="36" borderId="11" xfId="0" applyNumberFormat="1" applyFont="1" applyFill="1" applyBorder="1" applyAlignment="1">
      <alignment horizontal="center" vertical="top" wrapText="1"/>
    </xf>
    <xf numFmtId="238" fontId="88" fillId="0" borderId="11" xfId="0" applyNumberFormat="1" applyFont="1" applyBorder="1" applyAlignment="1">
      <alignment horizontal="center" vertical="top" wrapText="1"/>
    </xf>
    <xf numFmtId="164" fontId="89" fillId="0" borderId="11" xfId="0" applyNumberFormat="1" applyFont="1" applyBorder="1" applyAlignment="1">
      <alignment horizontal="center" vertical="top" wrapText="1"/>
    </xf>
    <xf numFmtId="229" fontId="88" fillId="0" borderId="11" xfId="0" applyNumberFormat="1" applyFont="1" applyBorder="1" applyAlignment="1">
      <alignment horizontal="center" vertical="top" wrapText="1"/>
    </xf>
    <xf numFmtId="212" fontId="88" fillId="0" borderId="11" xfId="0" applyNumberFormat="1" applyFont="1" applyBorder="1" applyAlignment="1">
      <alignment horizontal="center" vertical="top" wrapText="1"/>
    </xf>
    <xf numFmtId="0" fontId="87" fillId="35" borderId="9" xfId="0" applyFont="1" applyFill="1" applyBorder="1" applyAlignment="1">
      <alignment horizontal="center" vertical="top"/>
    </xf>
    <xf numFmtId="0" fontId="87" fillId="35" borderId="11" xfId="0" applyFont="1" applyFill="1" applyBorder="1" applyAlignment="1">
      <alignment horizontal="center" vertical="top"/>
    </xf>
    <xf numFmtId="2" fontId="87" fillId="0" borderId="9" xfId="0" applyNumberFormat="1" applyFont="1" applyBorder="1" applyAlignment="1">
      <alignment horizontal="center" vertical="top"/>
    </xf>
    <xf numFmtId="0" fontId="87" fillId="0" borderId="11" xfId="0" applyFont="1" applyBorder="1" applyAlignment="1">
      <alignment horizontal="center" vertical="top"/>
    </xf>
    <xf numFmtId="2" fontId="87" fillId="0" borderId="11" xfId="0" applyNumberFormat="1" applyFont="1" applyBorder="1" applyAlignment="1">
      <alignment horizontal="center" vertical="top"/>
    </xf>
    <xf numFmtId="236" fontId="87" fillId="0" borderId="11" xfId="0" applyNumberFormat="1" applyFont="1" applyBorder="1" applyAlignment="1">
      <alignment horizontal="center" vertical="top"/>
    </xf>
    <xf numFmtId="164" fontId="87" fillId="0" borderId="11" xfId="0" applyNumberFormat="1" applyFont="1" applyBorder="1" applyAlignment="1">
      <alignment horizontal="center" vertical="top"/>
    </xf>
    <xf numFmtId="0" fontId="87" fillId="0" borderId="10" xfId="0" applyFont="1" applyBorder="1" applyAlignment="1">
      <alignment horizontal="center" vertical="top"/>
    </xf>
    <xf numFmtId="176" fontId="87" fillId="0" borderId="11" xfId="0" applyNumberFormat="1" applyFont="1" applyBorder="1" applyAlignment="1">
      <alignment horizontal="center" vertical="top"/>
    </xf>
    <xf numFmtId="0" fontId="87" fillId="0" borderId="9" xfId="0" applyFont="1" applyBorder="1" applyAlignment="1">
      <alignment horizontal="center" vertical="top"/>
    </xf>
    <xf numFmtId="174" fontId="87" fillId="0" borderId="11" xfId="0" applyNumberFormat="1" applyFont="1" applyBorder="1" applyAlignment="1">
      <alignment horizontal="center" vertical="top"/>
    </xf>
    <xf numFmtId="2" fontId="87" fillId="36" borderId="9" xfId="0" applyNumberFormat="1" applyFont="1" applyFill="1" applyBorder="1" applyAlignment="1">
      <alignment horizontal="center" vertical="top"/>
    </xf>
    <xf numFmtId="0" fontId="87" fillId="36" borderId="11" xfId="0" applyFont="1" applyFill="1" applyBorder="1" applyAlignment="1">
      <alignment horizontal="center" vertical="top"/>
    </xf>
    <xf numFmtId="178" fontId="87" fillId="0" borderId="11" xfId="0" applyNumberFormat="1" applyFont="1" applyBorder="1" applyAlignment="1">
      <alignment horizontal="center" vertical="top"/>
    </xf>
    <xf numFmtId="181" fontId="87" fillId="0" borderId="11" xfId="0" applyNumberFormat="1" applyFont="1" applyBorder="1" applyAlignment="1">
      <alignment horizontal="center" vertical="top"/>
    </xf>
    <xf numFmtId="0" fontId="87" fillId="0" borderId="9" xfId="0" applyFont="1" applyBorder="1" applyAlignment="1">
      <alignment vertical="top"/>
    </xf>
    <xf numFmtId="200" fontId="87" fillId="0" borderId="11" xfId="0" applyNumberFormat="1" applyFont="1" applyBorder="1" applyAlignment="1">
      <alignment horizontal="center" vertical="top"/>
    </xf>
    <xf numFmtId="183" fontId="87" fillId="0" borderId="11" xfId="0" applyNumberFormat="1" applyFont="1" applyBorder="1" applyAlignment="1">
      <alignment horizontal="center" vertical="top"/>
    </xf>
    <xf numFmtId="164" fontId="87" fillId="36" borderId="11" xfId="0" applyNumberFormat="1" applyFont="1" applyFill="1" applyBorder="1" applyAlignment="1">
      <alignment horizontal="center" vertical="top"/>
    </xf>
    <xf numFmtId="238" fontId="87" fillId="0" borderId="11" xfId="0" applyNumberFormat="1" applyFont="1" applyBorder="1" applyAlignment="1">
      <alignment horizontal="center" vertical="top"/>
    </xf>
    <xf numFmtId="193" fontId="87" fillId="0" borderId="11" xfId="0" applyNumberFormat="1" applyFont="1" applyBorder="1" applyAlignment="1">
      <alignment horizontal="center" vertical="top"/>
    </xf>
    <xf numFmtId="208" fontId="87" fillId="0" borderId="11" xfId="0" applyNumberFormat="1" applyFont="1" applyBorder="1" applyAlignment="1">
      <alignment horizontal="center" vertical="top"/>
    </xf>
    <xf numFmtId="189" fontId="87" fillId="0" borderId="11" xfId="0" applyNumberFormat="1" applyFont="1" applyBorder="1" applyAlignment="1">
      <alignment horizontal="center" vertical="top"/>
    </xf>
    <xf numFmtId="181" fontId="87" fillId="0" borderId="10" xfId="0" applyNumberFormat="1" applyFont="1" applyBorder="1" applyAlignment="1">
      <alignment horizontal="center" vertical="top"/>
    </xf>
    <xf numFmtId="1" fontId="87" fillId="0" borderId="9" xfId="0" applyNumberFormat="1" applyFont="1" applyBorder="1" applyAlignment="1">
      <alignment horizontal="center" vertical="top"/>
    </xf>
    <xf numFmtId="164" fontId="87" fillId="0" borderId="10" xfId="0" applyNumberFormat="1" applyFont="1" applyBorder="1" applyAlignment="1">
      <alignment horizontal="center" vertical="top"/>
    </xf>
    <xf numFmtId="196" fontId="87" fillId="0" borderId="11" xfId="0" applyNumberFormat="1" applyFont="1" applyBorder="1" applyAlignment="1">
      <alignment horizontal="center" vertical="top"/>
    </xf>
    <xf numFmtId="197" fontId="87" fillId="0" borderId="11" xfId="0" applyNumberFormat="1" applyFont="1" applyBorder="1" applyAlignment="1">
      <alignment horizontal="center" vertical="top"/>
    </xf>
    <xf numFmtId="181" fontId="87" fillId="36" borderId="11" xfId="0" applyNumberFormat="1" applyFont="1" applyFill="1" applyBorder="1" applyAlignment="1">
      <alignment horizontal="center" vertical="top"/>
    </xf>
    <xf numFmtId="238" fontId="87" fillId="0" borderId="10" xfId="0" applyNumberFormat="1" applyFont="1" applyBorder="1" applyAlignment="1">
      <alignment horizontal="center" vertical="top"/>
    </xf>
    <xf numFmtId="206" fontId="87" fillId="0" borderId="11" xfId="0" applyNumberFormat="1" applyFont="1" applyBorder="1" applyAlignment="1">
      <alignment horizontal="center" vertical="top"/>
    </xf>
    <xf numFmtId="176" fontId="93" fillId="0" borderId="11" xfId="0" applyNumberFormat="1" applyFont="1" applyBorder="1" applyAlignment="1">
      <alignment horizontal="center" vertical="top"/>
    </xf>
    <xf numFmtId="230" fontId="87" fillId="0" borderId="11" xfId="0" applyNumberFormat="1" applyFont="1" applyBorder="1" applyAlignment="1">
      <alignment horizontal="center" vertical="top"/>
    </xf>
    <xf numFmtId="210" fontId="87" fillId="0" borderId="11" xfId="0" applyNumberFormat="1" applyFont="1" applyBorder="1" applyAlignment="1">
      <alignment horizontal="center" vertical="top"/>
    </xf>
    <xf numFmtId="212" fontId="87" fillId="0" borderId="11" xfId="0" applyNumberFormat="1" applyFont="1" applyBorder="1" applyAlignment="1">
      <alignment horizontal="center" vertical="top"/>
    </xf>
    <xf numFmtId="202" fontId="87" fillId="0" borderId="11" xfId="0" applyNumberFormat="1" applyFont="1" applyBorder="1" applyAlignment="1">
      <alignment horizontal="center" vertical="top"/>
    </xf>
    <xf numFmtId="0" fontId="87" fillId="35" borderId="0" xfId="0" applyFont="1" applyFill="1" applyAlignment="1">
      <alignment vertical="top"/>
    </xf>
    <xf numFmtId="0" fontId="87" fillId="0" borderId="0" xfId="0" applyFont="1" applyAlignment="1">
      <alignment vertical="top"/>
    </xf>
    <xf numFmtId="167" fontId="87" fillId="0" borderId="0" xfId="0" applyNumberFormat="1" applyFont="1" applyAlignment="1">
      <alignment horizontal="center" vertical="top"/>
    </xf>
    <xf numFmtId="0" fontId="87" fillId="36" borderId="0" xfId="0" applyFont="1" applyFill="1" applyAlignment="1">
      <alignment vertical="top"/>
    </xf>
    <xf numFmtId="1" fontId="87" fillId="0" borderId="0" xfId="0" applyNumberFormat="1" applyFont="1" applyAlignment="1">
      <alignment vertical="top"/>
    </xf>
    <xf numFmtId="0" fontId="93" fillId="0" borderId="0" xfId="0" applyFont="1" applyAlignment="1">
      <alignment vertical="top"/>
    </xf>
    <xf numFmtId="231" fontId="87" fillId="0" borderId="0" xfId="0" applyNumberFormat="1" applyFont="1" applyAlignment="1">
      <alignment horizontal="center" vertical="top"/>
    </xf>
    <xf numFmtId="1" fontId="87" fillId="35" borderId="0" xfId="0" applyNumberFormat="1" applyFont="1" applyFill="1" applyAlignment="1">
      <alignment horizontal="center" vertical="top"/>
    </xf>
    <xf numFmtId="1" fontId="87" fillId="0" borderId="0" xfId="0" applyNumberFormat="1" applyFont="1" applyAlignment="1">
      <alignment horizontal="center" vertical="top"/>
    </xf>
    <xf numFmtId="1" fontId="84" fillId="0" borderId="0" xfId="0" applyNumberFormat="1" applyFont="1" applyAlignment="1">
      <alignment horizontal="center" vertical="top"/>
    </xf>
    <xf numFmtId="1" fontId="87" fillId="0" borderId="11" xfId="0" applyNumberFormat="1" applyFont="1" applyBorder="1" applyAlignment="1">
      <alignment horizontal="center" vertical="top"/>
    </xf>
    <xf numFmtId="1" fontId="87" fillId="36" borderId="0" xfId="0" applyNumberFormat="1" applyFont="1" applyFill="1" applyAlignment="1">
      <alignment horizontal="center" vertical="top"/>
    </xf>
    <xf numFmtId="0" fontId="87" fillId="0" borderId="11" xfId="0" applyFont="1" applyBorder="1" applyAlignment="1">
      <alignment vertical="top"/>
    </xf>
    <xf numFmtId="0" fontId="71" fillId="24" borderId="0" xfId="0" applyFont="1" applyFill="1" applyAlignment="1">
      <alignment horizontal="center"/>
    </xf>
    <xf numFmtId="2" fontId="71" fillId="24" borderId="0" xfId="0" applyNumberFormat="1" applyFont="1" applyFill="1" applyAlignment="1">
      <alignment horizontal="center"/>
    </xf>
    <xf numFmtId="2" fontId="70" fillId="37" borderId="0" xfId="0" applyNumberFormat="1" applyFont="1" applyFill="1" applyAlignment="1">
      <alignment horizontal="center"/>
    </xf>
    <xf numFmtId="0" fontId="0" fillId="38" borderId="0" xfId="0" applyFill="1"/>
    <xf numFmtId="0" fontId="1" fillId="11" borderId="0" xfId="0" applyFont="1" applyFill="1"/>
    <xf numFmtId="0" fontId="96" fillId="11" borderId="0" xfId="0" applyFont="1" applyFill="1"/>
    <xf numFmtId="0" fontId="97" fillId="39" borderId="0" xfId="0" applyFont="1" applyFill="1"/>
    <xf numFmtId="0" fontId="0" fillId="40" borderId="1" xfId="0" applyFill="1" applyBorder="1" applyAlignment="1" applyProtection="1">
      <alignment horizontal="center"/>
      <protection locked="0"/>
    </xf>
    <xf numFmtId="0" fontId="98" fillId="8" borderId="0" xfId="0" applyFont="1" applyFill="1"/>
    <xf numFmtId="0" fontId="1" fillId="11" borderId="0" xfId="0" applyFont="1" applyFill="1" applyAlignment="1">
      <alignment horizontal="right"/>
    </xf>
    <xf numFmtId="2" fontId="98" fillId="11" borderId="65" xfId="0" applyNumberFormat="1" applyFont="1" applyFill="1" applyBorder="1"/>
    <xf numFmtId="0" fontId="1" fillId="5" borderId="0" xfId="0" applyFont="1" applyFill="1" applyAlignment="1">
      <alignment horizontal="right"/>
    </xf>
    <xf numFmtId="0" fontId="1" fillId="9" borderId="1" xfId="0" applyFont="1" applyFill="1" applyBorder="1" applyProtection="1">
      <protection locked="0"/>
    </xf>
    <xf numFmtId="0" fontId="1" fillId="11" borderId="53" xfId="0" applyFont="1" applyFill="1" applyBorder="1" applyAlignment="1">
      <alignment horizontal="left"/>
    </xf>
    <xf numFmtId="0" fontId="1" fillId="2" borderId="1" xfId="0" applyFont="1" applyFill="1" applyBorder="1" applyProtection="1">
      <protection locked="0"/>
    </xf>
    <xf numFmtId="0" fontId="1" fillId="5" borderId="0" xfId="0" applyFont="1" applyFill="1"/>
    <xf numFmtId="0" fontId="1" fillId="13" borderId="1" xfId="0" applyFont="1" applyFill="1" applyBorder="1"/>
    <xf numFmtId="0" fontId="48" fillId="3" borderId="54" xfId="0" applyFont="1" applyFill="1" applyBorder="1" applyProtection="1">
      <protection locked="0"/>
    </xf>
    <xf numFmtId="0" fontId="99" fillId="3" borderId="0" xfId="0" applyFont="1" applyFill="1"/>
    <xf numFmtId="2" fontId="1" fillId="2" borderId="42" xfId="0" applyNumberFormat="1" applyFont="1" applyFill="1" applyBorder="1" applyAlignment="1" applyProtection="1">
      <alignment horizontal="center"/>
      <protection locked="0"/>
    </xf>
    <xf numFmtId="2" fontId="1" fillId="5" borderId="41" xfId="0" applyNumberFormat="1" applyFont="1" applyFill="1" applyBorder="1" applyAlignment="1" applyProtection="1">
      <alignment horizontal="center"/>
      <protection locked="0"/>
    </xf>
    <xf numFmtId="2" fontId="1" fillId="5" borderId="42" xfId="0" applyNumberFormat="1" applyFont="1" applyFill="1" applyBorder="1" applyAlignment="1" applyProtection="1">
      <alignment horizontal="center"/>
      <protection locked="0"/>
    </xf>
    <xf numFmtId="0" fontId="1" fillId="2" borderId="34" xfId="0" applyFont="1" applyFill="1" applyBorder="1" applyProtection="1">
      <protection locked="0"/>
    </xf>
    <xf numFmtId="241" fontId="0" fillId="3" borderId="14" xfId="0" applyNumberFormat="1" applyFill="1" applyBorder="1"/>
    <xf numFmtId="1" fontId="1" fillId="7" borderId="15" xfId="0" applyNumberFormat="1" applyFont="1" applyFill="1" applyBorder="1"/>
    <xf numFmtId="1" fontId="1" fillId="29" borderId="15" xfId="0" applyNumberFormat="1" applyFont="1" applyFill="1" applyBorder="1" applyProtection="1">
      <protection locked="0"/>
    </xf>
    <xf numFmtId="0" fontId="1" fillId="3" borderId="0" xfId="0" applyFont="1" applyFill="1" applyAlignment="1">
      <alignment vertical="top" wrapText="1"/>
    </xf>
    <xf numFmtId="2" fontId="100" fillId="3" borderId="14" xfId="0" applyNumberFormat="1" applyFont="1" applyFill="1" applyBorder="1"/>
    <xf numFmtId="2" fontId="0" fillId="30" borderId="14" xfId="0" applyNumberFormat="1" applyFill="1" applyBorder="1" applyProtection="1">
      <protection locked="0"/>
    </xf>
    <xf numFmtId="0" fontId="3" fillId="3" borderId="15" xfId="0" applyFont="1" applyFill="1" applyBorder="1" applyAlignment="1">
      <alignment horizontal="right"/>
    </xf>
    <xf numFmtId="0" fontId="1" fillId="3" borderId="27" xfId="0" applyFont="1" applyFill="1" applyBorder="1" applyAlignment="1">
      <alignment horizontal="right"/>
    </xf>
    <xf numFmtId="0" fontId="1" fillId="3" borderId="15" xfId="0" applyFont="1" applyFill="1" applyBorder="1" applyAlignment="1">
      <alignment horizontal="right"/>
    </xf>
    <xf numFmtId="0" fontId="1" fillId="5" borderId="53" xfId="0" applyFont="1" applyFill="1" applyBorder="1" applyAlignment="1">
      <alignment horizontal="left"/>
    </xf>
    <xf numFmtId="2" fontId="1" fillId="2" borderId="41" xfId="0" applyNumberFormat="1" applyFont="1" applyFill="1" applyBorder="1" applyAlignment="1" applyProtection="1">
      <alignment horizontal="center"/>
      <protection locked="0"/>
    </xf>
    <xf numFmtId="2" fontId="1" fillId="2" borderId="48" xfId="0" applyNumberFormat="1" applyFont="1" applyFill="1" applyBorder="1" applyAlignment="1" applyProtection="1">
      <alignment horizontal="center"/>
      <protection locked="0"/>
    </xf>
    <xf numFmtId="2" fontId="1" fillId="5" borderId="48" xfId="0" applyNumberFormat="1" applyFont="1" applyFill="1" applyBorder="1" applyAlignment="1" applyProtection="1">
      <alignment horizontal="center"/>
      <protection locked="0"/>
    </xf>
    <xf numFmtId="0" fontId="101" fillId="3" borderId="15" xfId="0" applyFont="1" applyFill="1" applyBorder="1" applyAlignment="1">
      <alignment horizontal="right"/>
    </xf>
    <xf numFmtId="0" fontId="101" fillId="3" borderId="27" xfId="0" applyFont="1" applyFill="1" applyBorder="1" applyAlignment="1">
      <alignment horizontal="right"/>
    </xf>
    <xf numFmtId="0" fontId="1" fillId="3" borderId="21" xfId="0" applyFont="1" applyFill="1" applyBorder="1" applyAlignment="1">
      <alignment horizontal="center"/>
    </xf>
    <xf numFmtId="0" fontId="102" fillId="3" borderId="0" xfId="2" applyFont="1" applyFill="1" applyAlignment="1" applyProtection="1"/>
    <xf numFmtId="0" fontId="1" fillId="3" borderId="39" xfId="0" applyFont="1" applyFill="1" applyBorder="1" applyAlignment="1">
      <alignment horizontal="right"/>
    </xf>
    <xf numFmtId="2" fontId="1" fillId="3" borderId="43" xfId="0" applyNumberFormat="1" applyFont="1" applyFill="1" applyBorder="1"/>
    <xf numFmtId="0" fontId="1" fillId="21" borderId="40" xfId="0" applyFont="1" applyFill="1" applyBorder="1" applyAlignment="1">
      <alignment horizontal="left"/>
    </xf>
    <xf numFmtId="0" fontId="1" fillId="3" borderId="15" xfId="0" applyFont="1" applyFill="1" applyBorder="1"/>
    <xf numFmtId="0" fontId="1" fillId="3" borderId="15" xfId="0" applyFont="1" applyFill="1" applyBorder="1" applyAlignment="1">
      <alignment horizontal="left"/>
    </xf>
    <xf numFmtId="2" fontId="0" fillId="2" borderId="70" xfId="0" applyNumberFormat="1" applyFill="1" applyBorder="1" applyProtection="1">
      <protection locked="0"/>
    </xf>
    <xf numFmtId="0" fontId="105" fillId="3" borderId="66" xfId="0" applyFont="1" applyFill="1" applyBorder="1"/>
    <xf numFmtId="0" fontId="70" fillId="3" borderId="16" xfId="0" applyFont="1" applyFill="1" applyBorder="1" applyAlignment="1">
      <alignment horizontal="right"/>
    </xf>
    <xf numFmtId="0" fontId="31" fillId="0" borderId="9" xfId="0" applyFont="1" applyBorder="1" applyAlignment="1">
      <alignment vertical="top" wrapText="1"/>
    </xf>
    <xf numFmtId="215" fontId="32" fillId="0" borderId="11" xfId="0" applyNumberFormat="1" applyFont="1" applyBorder="1" applyAlignment="1">
      <alignment vertical="top" wrapText="1"/>
    </xf>
    <xf numFmtId="0" fontId="106" fillId="3" borderId="11" xfId="0" applyFont="1" applyFill="1" applyBorder="1" applyAlignment="1">
      <alignment horizontal="left" vertical="top" wrapText="1"/>
    </xf>
    <xf numFmtId="0" fontId="34" fillId="3" borderId="9" xfId="0" applyFont="1" applyFill="1" applyBorder="1" applyAlignment="1">
      <alignment horizontal="centerContinuous" vertical="top" wrapText="1"/>
    </xf>
    <xf numFmtId="0" fontId="31" fillId="3" borderId="0" xfId="0" applyFont="1" applyFill="1" applyAlignment="1">
      <alignment horizontal="centerContinuous" vertical="top" wrapText="1"/>
    </xf>
    <xf numFmtId="0" fontId="34" fillId="3" borderId="0" xfId="0" applyFont="1" applyFill="1" applyAlignment="1">
      <alignment horizontal="centerContinuous" vertical="top" wrapText="1"/>
    </xf>
    <xf numFmtId="0" fontId="31" fillId="3" borderId="10" xfId="0" applyFont="1" applyFill="1" applyBorder="1" applyAlignment="1">
      <alignment horizontal="centerContinuous" vertical="top" wrapText="1"/>
    </xf>
    <xf numFmtId="166" fontId="32" fillId="3" borderId="9" xfId="0" applyNumberFormat="1" applyFont="1" applyFill="1" applyBorder="1" applyAlignment="1">
      <alignment horizontal="center" vertical="top" wrapText="1"/>
    </xf>
    <xf numFmtId="0" fontId="32" fillId="3" borderId="9" xfId="0" applyFont="1" applyFill="1" applyBorder="1" applyAlignment="1">
      <alignment horizontal="centerContinuous" vertical="top" wrapText="1"/>
    </xf>
    <xf numFmtId="0" fontId="31" fillId="3" borderId="11" xfId="0" applyFont="1" applyFill="1" applyBorder="1" applyAlignment="1">
      <alignment horizontal="centerContinuous" vertical="top" wrapText="1"/>
    </xf>
    <xf numFmtId="0" fontId="33" fillId="3" borderId="9" xfId="0" applyFont="1" applyFill="1" applyBorder="1" applyAlignment="1">
      <alignment horizontal="centerContinuous" vertical="top" wrapText="1"/>
    </xf>
    <xf numFmtId="0" fontId="34" fillId="3" borderId="9" xfId="0" applyFont="1" applyFill="1" applyBorder="1" applyAlignment="1">
      <alignment horizontal="left" vertical="top"/>
    </xf>
    <xf numFmtId="0" fontId="31" fillId="3" borderId="0" xfId="0" applyFont="1" applyFill="1" applyAlignment="1">
      <alignment vertical="top" wrapText="1"/>
    </xf>
    <xf numFmtId="0" fontId="34" fillId="3" borderId="9" xfId="0" applyFont="1" applyFill="1" applyBorder="1" applyAlignment="1">
      <alignment horizontal="centerContinuous" vertical="top"/>
    </xf>
    <xf numFmtId="49" fontId="31" fillId="3" borderId="9" xfId="0" applyNumberFormat="1" applyFont="1" applyFill="1" applyBorder="1" applyAlignment="1">
      <alignment horizontal="center" vertical="top" wrapText="1"/>
    </xf>
    <xf numFmtId="0" fontId="34" fillId="21" borderId="9" xfId="0" applyFont="1" applyFill="1" applyBorder="1" applyAlignment="1">
      <alignment horizontal="center" vertical="top"/>
    </xf>
    <xf numFmtId="0" fontId="31" fillId="3" borderId="7" xfId="0" applyFont="1" applyFill="1" applyBorder="1" applyAlignment="1">
      <alignment horizontal="centerContinuous" vertical="top" wrapText="1"/>
    </xf>
    <xf numFmtId="242" fontId="80" fillId="0" borderId="9" xfId="0" applyNumberFormat="1" applyFont="1" applyBorder="1" applyAlignment="1">
      <alignment horizontal="center" vertical="top" wrapText="1"/>
    </xf>
    <xf numFmtId="243" fontId="88" fillId="0" borderId="9" xfId="0" applyNumberFormat="1" applyFont="1" applyBorder="1" applyAlignment="1">
      <alignment horizontal="center" vertical="top"/>
    </xf>
    <xf numFmtId="244" fontId="80" fillId="0" borderId="9" xfId="0" applyNumberFormat="1" applyFont="1" applyBorder="1" applyAlignment="1">
      <alignment horizontal="center" vertical="top" wrapText="1"/>
    </xf>
    <xf numFmtId="243" fontId="90" fillId="0" borderId="9" xfId="0" applyNumberFormat="1" applyFont="1" applyBorder="1" applyAlignment="1">
      <alignment horizontal="center" vertical="top"/>
    </xf>
    <xf numFmtId="243" fontId="87" fillId="0" borderId="9" xfId="0" applyNumberFormat="1" applyFont="1" applyBorder="1" applyAlignment="1">
      <alignment horizontal="center" vertical="top" wrapText="1"/>
    </xf>
    <xf numFmtId="245" fontId="80" fillId="0" borderId="11" xfId="0" applyNumberFormat="1" applyFont="1" applyBorder="1" applyAlignment="1">
      <alignment horizontal="center" vertical="top" wrapText="1"/>
    </xf>
    <xf numFmtId="243" fontId="88" fillId="0" borderId="11" xfId="0" applyNumberFormat="1" applyFont="1" applyBorder="1" applyAlignment="1">
      <alignment horizontal="center" vertical="top" wrapText="1"/>
    </xf>
    <xf numFmtId="246" fontId="90" fillId="0" borderId="9" xfId="0" applyNumberFormat="1" applyFont="1" applyBorder="1" applyAlignment="1">
      <alignment horizontal="center" vertical="top"/>
    </xf>
    <xf numFmtId="246" fontId="87" fillId="0" borderId="9" xfId="0" applyNumberFormat="1" applyFont="1" applyBorder="1" applyAlignment="1">
      <alignment horizontal="center" vertical="top" wrapText="1"/>
    </xf>
    <xf numFmtId="247" fontId="80" fillId="0" borderId="11" xfId="0" applyNumberFormat="1" applyFont="1" applyBorder="1" applyAlignment="1">
      <alignment horizontal="center" vertical="top" wrapText="1"/>
    </xf>
    <xf numFmtId="246" fontId="88" fillId="0" borderId="11" xfId="0" applyNumberFormat="1" applyFont="1" applyBorder="1" applyAlignment="1">
      <alignment horizontal="center" vertical="top" wrapText="1"/>
    </xf>
    <xf numFmtId="244" fontId="80" fillId="0" borderId="11" xfId="0" applyNumberFormat="1" applyFont="1" applyBorder="1" applyAlignment="1">
      <alignment horizontal="center" vertical="top" wrapText="1"/>
    </xf>
    <xf numFmtId="243" fontId="80" fillId="0" borderId="9" xfId="0" applyNumberFormat="1" applyFont="1" applyBorder="1" applyAlignment="1">
      <alignment horizontal="center" vertical="top" wrapText="1"/>
    </xf>
    <xf numFmtId="248" fontId="80" fillId="0" borderId="9" xfId="0" applyNumberFormat="1" applyFont="1" applyBorder="1" applyAlignment="1">
      <alignment horizontal="center" vertical="top" wrapText="1"/>
    </xf>
    <xf numFmtId="249" fontId="90" fillId="0" borderId="9" xfId="0" applyNumberFormat="1" applyFont="1" applyBorder="1" applyAlignment="1">
      <alignment horizontal="center" vertical="top"/>
    </xf>
    <xf numFmtId="249" fontId="87" fillId="0" borderId="9" xfId="0" applyNumberFormat="1" applyFont="1" applyBorder="1" applyAlignment="1">
      <alignment horizontal="center" vertical="top" wrapText="1"/>
    </xf>
    <xf numFmtId="250" fontId="80" fillId="0" borderId="11" xfId="0" applyNumberFormat="1" applyFont="1" applyBorder="1" applyAlignment="1">
      <alignment horizontal="center" vertical="top" wrapText="1"/>
    </xf>
    <xf numFmtId="249" fontId="88" fillId="0" borderId="11" xfId="0" applyNumberFormat="1" applyFont="1" applyBorder="1" applyAlignment="1">
      <alignment horizontal="center" vertical="top" wrapText="1"/>
    </xf>
    <xf numFmtId="251" fontId="80" fillId="0" borderId="9" xfId="0" applyNumberFormat="1" applyFont="1" applyBorder="1" applyAlignment="1">
      <alignment horizontal="center" vertical="top" wrapText="1"/>
    </xf>
    <xf numFmtId="252" fontId="90" fillId="0" borderId="9" xfId="0" applyNumberFormat="1" applyFont="1" applyBorder="1" applyAlignment="1">
      <alignment horizontal="center" vertical="top"/>
    </xf>
    <xf numFmtId="252" fontId="87" fillId="0" borderId="9" xfId="0" applyNumberFormat="1" applyFont="1" applyBorder="1" applyAlignment="1">
      <alignment horizontal="center" vertical="top" wrapText="1"/>
    </xf>
    <xf numFmtId="253" fontId="80" fillId="0" borderId="11" xfId="0" applyNumberFormat="1" applyFont="1" applyBorder="1" applyAlignment="1">
      <alignment horizontal="center" vertical="top" wrapText="1"/>
    </xf>
    <xf numFmtId="252" fontId="88" fillId="0" borderId="11" xfId="0" applyNumberFormat="1" applyFont="1" applyBorder="1" applyAlignment="1">
      <alignment horizontal="center" vertical="top" wrapText="1"/>
    </xf>
    <xf numFmtId="254" fontId="80" fillId="0" borderId="9" xfId="0" applyNumberFormat="1" applyFont="1" applyBorder="1" applyAlignment="1">
      <alignment horizontal="center" vertical="top" wrapText="1"/>
    </xf>
    <xf numFmtId="255" fontId="90" fillId="0" borderId="9" xfId="0" applyNumberFormat="1" applyFont="1" applyBorder="1" applyAlignment="1">
      <alignment horizontal="center" vertical="top"/>
    </xf>
    <xf numFmtId="255" fontId="87" fillId="0" borderId="9" xfId="0" applyNumberFormat="1" applyFont="1" applyBorder="1" applyAlignment="1">
      <alignment horizontal="center" vertical="top" wrapText="1"/>
    </xf>
    <xf numFmtId="256" fontId="80" fillId="0" borderId="11" xfId="0" applyNumberFormat="1" applyFont="1" applyBorder="1" applyAlignment="1">
      <alignment horizontal="center" vertical="top" wrapText="1"/>
    </xf>
    <xf numFmtId="255" fontId="88" fillId="0" borderId="11" xfId="0" applyNumberFormat="1" applyFont="1" applyBorder="1" applyAlignment="1">
      <alignment horizontal="center" vertical="top" wrapText="1"/>
    </xf>
    <xf numFmtId="240" fontId="90" fillId="0" borderId="9" xfId="0" applyNumberFormat="1" applyFont="1" applyBorder="1" applyAlignment="1">
      <alignment horizontal="center" vertical="top"/>
    </xf>
    <xf numFmtId="257" fontId="80" fillId="0" borderId="11" xfId="0" applyNumberFormat="1" applyFont="1" applyBorder="1" applyAlignment="1">
      <alignment horizontal="center" vertical="top" wrapText="1"/>
    </xf>
    <xf numFmtId="258" fontId="87" fillId="0" borderId="9" xfId="0" applyNumberFormat="1" applyFont="1" applyBorder="1" applyAlignment="1">
      <alignment horizontal="center" vertical="top" wrapText="1"/>
    </xf>
    <xf numFmtId="258" fontId="88" fillId="0" borderId="11" xfId="0" applyNumberFormat="1" applyFont="1" applyBorder="1" applyAlignment="1">
      <alignment horizontal="center" vertical="top" wrapText="1"/>
    </xf>
    <xf numFmtId="259" fontId="80" fillId="0" borderId="9" xfId="0" applyNumberFormat="1" applyFont="1" applyBorder="1" applyAlignment="1">
      <alignment horizontal="center" vertical="top" wrapText="1"/>
    </xf>
    <xf numFmtId="260" fontId="90" fillId="0" borderId="9" xfId="0" applyNumberFormat="1" applyFont="1" applyBorder="1" applyAlignment="1">
      <alignment horizontal="center" vertical="top"/>
    </xf>
    <xf numFmtId="260" fontId="87" fillId="0" borderId="9" xfId="0" applyNumberFormat="1" applyFont="1" applyBorder="1" applyAlignment="1">
      <alignment horizontal="center" vertical="top" wrapText="1"/>
    </xf>
    <xf numFmtId="261" fontId="80" fillId="0" borderId="11" xfId="0" applyNumberFormat="1" applyFont="1" applyBorder="1" applyAlignment="1">
      <alignment horizontal="center" vertical="top" wrapText="1"/>
    </xf>
    <xf numFmtId="260" fontId="88" fillId="0" borderId="11" xfId="0" applyNumberFormat="1" applyFont="1" applyBorder="1" applyAlignment="1">
      <alignment horizontal="center" vertical="top" wrapText="1"/>
    </xf>
    <xf numFmtId="227" fontId="31" fillId="19" borderId="9" xfId="0" applyNumberFormat="1" applyFont="1" applyFill="1" applyBorder="1" applyAlignment="1">
      <alignment horizontal="center" vertical="top" wrapText="1"/>
    </xf>
    <xf numFmtId="262" fontId="80" fillId="0" borderId="9" xfId="0" applyNumberFormat="1" applyFont="1" applyBorder="1" applyAlignment="1">
      <alignment horizontal="center" vertical="top" wrapText="1"/>
    </xf>
    <xf numFmtId="263" fontId="80" fillId="0" borderId="11" xfId="0" applyNumberFormat="1" applyFont="1" applyBorder="1" applyAlignment="1">
      <alignment horizontal="center" vertical="top" wrapText="1"/>
    </xf>
    <xf numFmtId="0" fontId="7" fillId="21" borderId="0" xfId="0" applyFont="1" applyFill="1"/>
    <xf numFmtId="0" fontId="1" fillId="22" borderId="0" xfId="0" applyFont="1" applyFill="1"/>
    <xf numFmtId="0" fontId="1" fillId="21" borderId="0" xfId="0" applyFont="1" applyFill="1"/>
    <xf numFmtId="0" fontId="73" fillId="3" borderId="0" xfId="0" applyFont="1" applyFill="1"/>
    <xf numFmtId="0" fontId="72" fillId="0" borderId="40" xfId="0" applyFont="1" applyBorder="1"/>
    <xf numFmtId="0" fontId="10" fillId="3" borderId="16" xfId="0" applyFont="1" applyFill="1" applyBorder="1"/>
    <xf numFmtId="0" fontId="10" fillId="3" borderId="28" xfId="0" applyFont="1" applyFill="1" applyBorder="1"/>
    <xf numFmtId="0" fontId="1" fillId="3" borderId="0" xfId="0" applyFont="1" applyFill="1" applyAlignment="1">
      <alignment horizontal="right"/>
    </xf>
    <xf numFmtId="0" fontId="1" fillId="3" borderId="0" xfId="0" applyFont="1" applyFill="1" applyAlignment="1">
      <alignment horizontal="left"/>
    </xf>
    <xf numFmtId="0" fontId="1" fillId="3" borderId="0" xfId="0" applyFont="1" applyFill="1" applyProtection="1">
      <protection locked="0"/>
    </xf>
    <xf numFmtId="0" fontId="0" fillId="33" borderId="0" xfId="0" applyFill="1"/>
    <xf numFmtId="0" fontId="108" fillId="21" borderId="0" xfId="0" applyFont="1" applyFill="1" applyAlignment="1">
      <alignment horizontal="left"/>
    </xf>
    <xf numFmtId="0" fontId="108" fillId="21" borderId="0" xfId="0" applyFont="1" applyFill="1"/>
    <xf numFmtId="0" fontId="10" fillId="21" borderId="0" xfId="0" applyFont="1" applyFill="1" applyProtection="1">
      <protection locked="0"/>
    </xf>
    <xf numFmtId="0" fontId="109" fillId="3" borderId="55" xfId="0" applyFont="1" applyFill="1" applyBorder="1"/>
    <xf numFmtId="0" fontId="0" fillId="33" borderId="34" xfId="0" applyFill="1" applyBorder="1"/>
    <xf numFmtId="0" fontId="1" fillId="29" borderId="0" xfId="0" applyFont="1" applyFill="1" applyProtection="1">
      <protection locked="0"/>
    </xf>
    <xf numFmtId="0" fontId="0" fillId="33" borderId="35" xfId="0" applyFill="1" applyBorder="1"/>
    <xf numFmtId="2" fontId="0" fillId="5" borderId="15" xfId="0" applyNumberFormat="1" applyFill="1" applyBorder="1"/>
    <xf numFmtId="2" fontId="0" fillId="33" borderId="35" xfId="0" applyNumberFormat="1" applyFill="1" applyBorder="1"/>
    <xf numFmtId="0" fontId="108" fillId="21" borderId="14" xfId="0" applyFont="1" applyFill="1" applyBorder="1"/>
    <xf numFmtId="0" fontId="3" fillId="3" borderId="27" xfId="0" applyFont="1" applyFill="1" applyBorder="1" applyAlignment="1">
      <alignment horizontal="right"/>
    </xf>
    <xf numFmtId="0" fontId="58" fillId="3" borderId="0" xfId="0" applyFont="1" applyFill="1"/>
    <xf numFmtId="0" fontId="110" fillId="21" borderId="0" xfId="0" applyFont="1" applyFill="1"/>
    <xf numFmtId="0" fontId="1" fillId="3" borderId="1" xfId="0" applyFont="1" applyFill="1" applyBorder="1"/>
    <xf numFmtId="0" fontId="1" fillId="21" borderId="0" xfId="0" applyFont="1" applyFill="1" applyAlignment="1">
      <alignment horizontal="right"/>
    </xf>
    <xf numFmtId="224" fontId="63" fillId="41" borderId="1" xfId="1" applyNumberFormat="1" applyFont="1" applyFill="1" applyBorder="1"/>
    <xf numFmtId="2" fontId="63" fillId="41" borderId="1" xfId="0" applyNumberFormat="1" applyFont="1" applyFill="1" applyBorder="1"/>
    <xf numFmtId="0" fontId="10" fillId="21" borderId="0" xfId="0" applyFont="1" applyFill="1"/>
    <xf numFmtId="0" fontId="8" fillId="21" borderId="0" xfId="2" applyFill="1" applyBorder="1" applyAlignment="1" applyProtection="1"/>
    <xf numFmtId="0" fontId="1" fillId="10" borderId="36" xfId="0" applyFont="1" applyFill="1" applyBorder="1"/>
    <xf numFmtId="0" fontId="0" fillId="29" borderId="0" xfId="0" applyFill="1" applyProtection="1">
      <protection locked="0"/>
    </xf>
    <xf numFmtId="1" fontId="0" fillId="42" borderId="58" xfId="0" applyNumberFormat="1" applyFill="1" applyBorder="1"/>
    <xf numFmtId="2" fontId="0" fillId="41" borderId="7" xfId="0" applyNumberFormat="1" applyFill="1" applyBorder="1"/>
    <xf numFmtId="1" fontId="70" fillId="3" borderId="0" xfId="0" applyNumberFormat="1" applyFont="1" applyFill="1"/>
    <xf numFmtId="233" fontId="0" fillId="21" borderId="0" xfId="0" applyNumberFormat="1" applyFill="1"/>
    <xf numFmtId="1" fontId="0" fillId="41" borderId="0" xfId="0" applyNumberFormat="1" applyFill="1"/>
    <xf numFmtId="2" fontId="0" fillId="21" borderId="0" xfId="0" applyNumberFormat="1" applyFill="1"/>
    <xf numFmtId="0" fontId="10" fillId="21" borderId="0" xfId="0" applyFont="1" applyFill="1" applyAlignment="1">
      <alignment horizontal="right"/>
    </xf>
    <xf numFmtId="10" fontId="1" fillId="43" borderId="1" xfId="3" applyNumberFormat="1" applyFont="1" applyFill="1" applyBorder="1"/>
    <xf numFmtId="10" fontId="1" fillId="21" borderId="0" xfId="3" applyNumberFormat="1" applyFont="1" applyFill="1"/>
    <xf numFmtId="0" fontId="1" fillId="3" borderId="13" xfId="0" applyFont="1" applyFill="1" applyBorder="1"/>
    <xf numFmtId="0" fontId="0" fillId="21" borderId="36" xfId="0" applyFill="1" applyBorder="1"/>
    <xf numFmtId="0" fontId="10" fillId="21" borderId="67" xfId="0" applyFont="1" applyFill="1" applyBorder="1"/>
    <xf numFmtId="1" fontId="1" fillId="44" borderId="69" xfId="0" applyNumberFormat="1" applyFont="1" applyFill="1" applyBorder="1"/>
    <xf numFmtId="9" fontId="1" fillId="21" borderId="67" xfId="3" applyFont="1" applyFill="1" applyBorder="1" applyAlignment="1">
      <alignment horizontal="center"/>
    </xf>
    <xf numFmtId="9" fontId="1" fillId="21" borderId="69" xfId="3" applyFont="1" applyFill="1" applyBorder="1" applyAlignment="1">
      <alignment horizontal="center"/>
    </xf>
    <xf numFmtId="10" fontId="35" fillId="21" borderId="0" xfId="3" applyNumberFormat="1" applyFont="1" applyFill="1"/>
    <xf numFmtId="0" fontId="0" fillId="29" borderId="1" xfId="0" applyFill="1" applyBorder="1" applyProtection="1">
      <protection locked="0"/>
    </xf>
    <xf numFmtId="0" fontId="1" fillId="21" borderId="67" xfId="0" applyFont="1" applyFill="1" applyBorder="1"/>
    <xf numFmtId="9" fontId="1" fillId="33" borderId="67" xfId="3" applyFont="1" applyFill="1" applyBorder="1"/>
    <xf numFmtId="0" fontId="38" fillId="21" borderId="0" xfId="0" applyFont="1" applyFill="1"/>
    <xf numFmtId="0" fontId="1" fillId="21" borderId="69" xfId="0" applyFont="1" applyFill="1" applyBorder="1" applyAlignment="1">
      <alignment horizontal="right"/>
    </xf>
    <xf numFmtId="0" fontId="0" fillId="3" borderId="69" xfId="0" applyFill="1" applyBorder="1" applyAlignment="1">
      <alignment horizontal="right"/>
    </xf>
    <xf numFmtId="1" fontId="10" fillId="41" borderId="67" xfId="0" applyNumberFormat="1" applyFont="1" applyFill="1" applyBorder="1"/>
    <xf numFmtId="0" fontId="111" fillId="3" borderId="0" xfId="0" applyFont="1" applyFill="1"/>
    <xf numFmtId="0" fontId="112" fillId="3" borderId="0" xfId="0" applyFont="1" applyFill="1"/>
    <xf numFmtId="10" fontId="1" fillId="0" borderId="0" xfId="0" applyNumberFormat="1" applyFont="1"/>
    <xf numFmtId="10" fontId="1" fillId="0" borderId="0" xfId="0" applyNumberFormat="1" applyFont="1" applyAlignment="1">
      <alignment horizontal="right"/>
    </xf>
    <xf numFmtId="224" fontId="1" fillId="33" borderId="58" xfId="1" applyNumberFormat="1" applyFont="1" applyFill="1" applyBorder="1"/>
    <xf numFmtId="10" fontId="1" fillId="34" borderId="2" xfId="0" applyNumberFormat="1" applyFont="1" applyFill="1" applyBorder="1"/>
    <xf numFmtId="10" fontId="1" fillId="4" borderId="0" xfId="0" applyNumberFormat="1" applyFont="1" applyFill="1"/>
    <xf numFmtId="0" fontId="113" fillId="3" borderId="0" xfId="0" applyFont="1" applyFill="1"/>
    <xf numFmtId="0" fontId="55" fillId="21" borderId="0" xfId="0" applyFont="1" applyFill="1"/>
    <xf numFmtId="0" fontId="51" fillId="0" borderId="0" xfId="0" applyFont="1"/>
    <xf numFmtId="0" fontId="114" fillId="6" borderId="0" xfId="0" applyFont="1" applyFill="1"/>
    <xf numFmtId="0" fontId="79" fillId="45" borderId="0" xfId="0" applyFont="1" applyFill="1"/>
    <xf numFmtId="0" fontId="51" fillId="45" borderId="0" xfId="0" applyFont="1" applyFill="1"/>
    <xf numFmtId="0" fontId="10" fillId="20" borderId="0" xfId="0" applyFont="1" applyFill="1" applyAlignment="1">
      <alignment vertical="center"/>
    </xf>
    <xf numFmtId="0" fontId="0" fillId="20" borderId="0" xfId="0" applyFill="1" applyAlignment="1">
      <alignment vertical="center"/>
    </xf>
    <xf numFmtId="0" fontId="102" fillId="20" borderId="0" xfId="2" applyFont="1" applyFill="1" applyAlignment="1" applyProtection="1">
      <alignment vertical="center"/>
    </xf>
    <xf numFmtId="0" fontId="102" fillId="20" borderId="0" xfId="2" applyFont="1" applyFill="1" applyAlignment="1" applyProtection="1"/>
    <xf numFmtId="0" fontId="0" fillId="20" borderId="17" xfId="0" applyFill="1" applyBorder="1"/>
    <xf numFmtId="0" fontId="37" fillId="21" borderId="0" xfId="0" applyFont="1" applyFill="1"/>
    <xf numFmtId="0" fontId="64" fillId="20" borderId="0" xfId="0" applyFont="1" applyFill="1"/>
    <xf numFmtId="0" fontId="1" fillId="20" borderId="0" xfId="0" applyFont="1" applyFill="1"/>
    <xf numFmtId="0" fontId="35" fillId="21" borderId="0" xfId="0" applyFont="1" applyFill="1"/>
    <xf numFmtId="0" fontId="6" fillId="21" borderId="0" xfId="0" applyFont="1" applyFill="1" applyAlignment="1">
      <alignment horizontal="justify" vertical="top" wrapText="1"/>
    </xf>
    <xf numFmtId="0" fontId="6" fillId="21" borderId="0" xfId="0" applyFont="1" applyFill="1" applyAlignment="1">
      <alignment horizontal="center" vertical="top" wrapText="1"/>
    </xf>
    <xf numFmtId="0" fontId="34" fillId="21" borderId="9" xfId="0" applyFont="1" applyFill="1" applyBorder="1" applyAlignment="1">
      <alignment horizontal="center" vertical="top" wrapText="1"/>
    </xf>
    <xf numFmtId="0" fontId="32" fillId="0" borderId="0" xfId="0" applyFont="1" applyAlignment="1">
      <alignment horizontal="center" vertical="top" wrapText="1"/>
    </xf>
    <xf numFmtId="0" fontId="32" fillId="0" borderId="10" xfId="0" applyFont="1" applyBorder="1" applyAlignment="1">
      <alignment horizontal="center" vertical="top" wrapText="1"/>
    </xf>
    <xf numFmtId="0" fontId="32" fillId="0" borderId="9" xfId="0" applyFont="1" applyBorder="1" applyAlignment="1">
      <alignment horizontal="center" vertical="top" wrapText="1"/>
    </xf>
    <xf numFmtId="0" fontId="31" fillId="3" borderId="9" xfId="0" applyFont="1" applyFill="1" applyBorder="1" applyAlignment="1">
      <alignment horizontal="center" vertical="top"/>
    </xf>
    <xf numFmtId="0" fontId="32" fillId="0" borderId="10" xfId="0" applyFont="1" applyBorder="1" applyAlignment="1">
      <alignment horizontal="center" vertical="top"/>
    </xf>
    <xf numFmtId="0" fontId="32" fillId="3" borderId="11" xfId="0" applyFont="1" applyFill="1" applyBorder="1" applyAlignment="1">
      <alignment horizontal="left" vertical="top"/>
    </xf>
    <xf numFmtId="0" fontId="32" fillId="0" borderId="11" xfId="0" applyFont="1" applyBorder="1" applyAlignment="1">
      <alignment vertical="top"/>
    </xf>
    <xf numFmtId="0" fontId="107" fillId="21" borderId="9" xfId="0" applyFont="1" applyFill="1" applyBorder="1" applyAlignment="1">
      <alignment horizontal="center" vertical="top" wrapText="1"/>
    </xf>
    <xf numFmtId="0" fontId="107" fillId="21" borderId="10" xfId="0" applyFont="1" applyFill="1" applyBorder="1" applyAlignment="1">
      <alignment horizontal="center" vertical="top" wrapText="1"/>
    </xf>
    <xf numFmtId="0" fontId="32" fillId="21" borderId="9" xfId="0" applyFont="1" applyFill="1" applyBorder="1" applyAlignment="1">
      <alignment horizontal="center" vertical="top" wrapText="1"/>
    </xf>
  </cellXfs>
  <cellStyles count="4">
    <cellStyle name="Komma" xfId="1" builtinId="3"/>
    <cellStyle name="Link" xfId="2" builtinId="8"/>
    <cellStyle name="Prozent" xfId="3" builtinId="5"/>
    <cellStyle name="Standard" xfId="0" builtinId="0"/>
  </cellStyles>
  <dxfs count="6">
    <dxf>
      <fill>
        <patternFill>
          <bgColor rgb="FFD0DEEC"/>
        </patternFill>
      </fill>
    </dxf>
    <dxf>
      <fill>
        <patternFill>
          <bgColor rgb="FFD0DEEC"/>
        </patternFill>
      </fill>
    </dxf>
    <dxf>
      <fill>
        <patternFill>
          <bgColor rgb="FFD0DEEC"/>
        </patternFill>
      </fill>
    </dxf>
    <dxf>
      <fill>
        <patternFill>
          <bgColor rgb="FFD0DEEC"/>
        </patternFill>
      </fill>
    </dxf>
    <dxf>
      <fill>
        <patternFill>
          <bgColor rgb="FFD0DEEC"/>
        </patternFill>
      </fill>
    </dxf>
    <dxf>
      <fill>
        <patternFill>
          <bgColor rgb="FFD0DEE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75DD75"/>
      <rgbColor rgb="00CFF3C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5105293667103"/>
          <c:y val="9.030089274523552E-2"/>
          <c:w val="0.61525182047821114"/>
          <c:h val="0.6521731142711451"/>
        </c:manualLayout>
      </c:layout>
      <c:areaChart>
        <c:grouping val="stacked"/>
        <c:varyColors val="0"/>
        <c:ser>
          <c:idx val="1"/>
          <c:order val="0"/>
          <c:tx>
            <c:strRef>
              <c:f>'[2]Acheter ou louer'!$B$65</c:f>
              <c:strCache>
                <c:ptCount val="1"/>
                <c:pt idx="0">
                  <c:v>Coûts fixes/UT</c:v>
                </c:pt>
              </c:strCache>
            </c:strRef>
          </c:tx>
          <c:spPr>
            <a:solidFill>
              <a:srgbClr val="558ED5"/>
            </a:solidFill>
            <a:ln w="12700">
              <a:solidFill>
                <a:srgbClr val="000000"/>
              </a:solidFill>
              <a:prstDash val="solid"/>
            </a:ln>
          </c:spPr>
          <c:cat>
            <c:numRef>
              <c:f>'[2]Acheter ou louer'!$C$23:$I$23</c:f>
              <c:numCache>
                <c:formatCode>General</c:formatCode>
                <c:ptCount val="7"/>
                <c:pt idx="0">
                  <c:v>1000</c:v>
                </c:pt>
                <c:pt idx="1">
                  <c:v>2000</c:v>
                </c:pt>
                <c:pt idx="2">
                  <c:v>3000</c:v>
                </c:pt>
                <c:pt idx="3">
                  <c:v>4000</c:v>
                </c:pt>
                <c:pt idx="4">
                  <c:v>5000</c:v>
                </c:pt>
                <c:pt idx="5">
                  <c:v>6000</c:v>
                </c:pt>
                <c:pt idx="6">
                  <c:v>7000</c:v>
                </c:pt>
              </c:numCache>
            </c:numRef>
          </c:cat>
          <c:val>
            <c:numRef>
              <c:f>'[2]Acheter ou louer'!$C$65:$I$65</c:f>
              <c:numCache>
                <c:formatCode>General</c:formatCode>
                <c:ptCount val="7"/>
                <c:pt idx="0">
                  <c:v>15.2454</c:v>
                </c:pt>
                <c:pt idx="1">
                  <c:v>7.6227</c:v>
                </c:pt>
                <c:pt idx="2">
                  <c:v>5.0818000000000003</c:v>
                </c:pt>
                <c:pt idx="3">
                  <c:v>3.81135</c:v>
                </c:pt>
                <c:pt idx="4">
                  <c:v>3.04908</c:v>
                </c:pt>
                <c:pt idx="5">
                  <c:v>2.5409000000000002</c:v>
                </c:pt>
                <c:pt idx="6">
                  <c:v>2.1779142857142855</c:v>
                </c:pt>
              </c:numCache>
            </c:numRef>
          </c:val>
          <c:extLst>
            <c:ext xmlns:c16="http://schemas.microsoft.com/office/drawing/2014/chart" uri="{C3380CC4-5D6E-409C-BE32-E72D297353CC}">
              <c16:uniqueId val="{00000000-CD5F-43D1-98C5-EFECF0062696}"/>
            </c:ext>
          </c:extLst>
        </c:ser>
        <c:ser>
          <c:idx val="0"/>
          <c:order val="1"/>
          <c:tx>
            <c:strRef>
              <c:f>'[2]Acheter ou louer'!$B$66</c:f>
              <c:strCache>
                <c:ptCount val="1"/>
                <c:pt idx="0">
                  <c:v>Coûts variables/UT</c:v>
                </c:pt>
              </c:strCache>
            </c:strRef>
          </c:tx>
          <c:spPr>
            <a:solidFill>
              <a:srgbClr val="77933C"/>
            </a:solidFill>
            <a:ln w="25400">
              <a:noFill/>
            </a:ln>
          </c:spPr>
          <c:cat>
            <c:numRef>
              <c:f>'[2]Acheter ou louer'!$C$23:$I$23</c:f>
              <c:numCache>
                <c:formatCode>General</c:formatCode>
                <c:ptCount val="7"/>
                <c:pt idx="0">
                  <c:v>1000</c:v>
                </c:pt>
                <c:pt idx="1">
                  <c:v>2000</c:v>
                </c:pt>
                <c:pt idx="2">
                  <c:v>3000</c:v>
                </c:pt>
                <c:pt idx="3">
                  <c:v>4000</c:v>
                </c:pt>
                <c:pt idx="4">
                  <c:v>5000</c:v>
                </c:pt>
                <c:pt idx="5">
                  <c:v>6000</c:v>
                </c:pt>
                <c:pt idx="6">
                  <c:v>7000</c:v>
                </c:pt>
              </c:numCache>
            </c:numRef>
          </c:cat>
          <c:val>
            <c:numRef>
              <c:f>'[2]Acheter ou louer'!$C$66:$I$66</c:f>
              <c:numCache>
                <c:formatCode>General</c:formatCode>
                <c:ptCount val="7"/>
                <c:pt idx="0">
                  <c:v>2.1738729034512887</c:v>
                </c:pt>
                <c:pt idx="1">
                  <c:v>2.1738729034512887</c:v>
                </c:pt>
                <c:pt idx="2">
                  <c:v>2.1738729034512887</c:v>
                </c:pt>
                <c:pt idx="3">
                  <c:v>2.1738729034512887</c:v>
                </c:pt>
                <c:pt idx="4">
                  <c:v>2.1738729034512887</c:v>
                </c:pt>
                <c:pt idx="5">
                  <c:v>2.1738729034512887</c:v>
                </c:pt>
                <c:pt idx="6">
                  <c:v>2.1738729034512887</c:v>
                </c:pt>
              </c:numCache>
            </c:numRef>
          </c:val>
          <c:extLst>
            <c:ext xmlns:c16="http://schemas.microsoft.com/office/drawing/2014/chart" uri="{C3380CC4-5D6E-409C-BE32-E72D297353CC}">
              <c16:uniqueId val="{00000001-CD5F-43D1-98C5-EFECF0062696}"/>
            </c:ext>
          </c:extLst>
        </c:ser>
        <c:dLbls>
          <c:showLegendKey val="0"/>
          <c:showVal val="0"/>
          <c:showCatName val="0"/>
          <c:showSerName val="0"/>
          <c:showPercent val="0"/>
          <c:showBubbleSize val="0"/>
        </c:dLbls>
        <c:axId val="553151848"/>
        <c:axId val="1"/>
      </c:areaChart>
      <c:lineChart>
        <c:grouping val="standard"/>
        <c:varyColors val="0"/>
        <c:ser>
          <c:idx val="3"/>
          <c:order val="2"/>
          <c:tx>
            <c:strRef>
              <c:f>'[2]Acheter ou louer'!$B$67</c:f>
              <c:strCache>
                <c:ptCount val="1"/>
                <c:pt idx="0">
                  <c:v>Tarif externe (Fr./UT)</c:v>
                </c:pt>
              </c:strCache>
            </c:strRef>
          </c:tx>
          <c:spPr>
            <a:ln>
              <a:solidFill>
                <a:srgbClr val="FF0000"/>
              </a:solidFill>
            </a:ln>
          </c:spPr>
          <c:marker>
            <c:symbol val="none"/>
          </c:marker>
          <c:val>
            <c:numRef>
              <c:f>'[2]Acheter ou louer'!$C$67:$I$67</c:f>
              <c:numCache>
                <c:formatCode>General</c:formatCode>
                <c:ptCount val="7"/>
                <c:pt idx="0">
                  <c:v>6</c:v>
                </c:pt>
                <c:pt idx="1">
                  <c:v>6</c:v>
                </c:pt>
                <c:pt idx="2">
                  <c:v>6</c:v>
                </c:pt>
                <c:pt idx="3">
                  <c:v>6</c:v>
                </c:pt>
                <c:pt idx="4">
                  <c:v>6</c:v>
                </c:pt>
                <c:pt idx="5">
                  <c:v>6</c:v>
                </c:pt>
                <c:pt idx="6">
                  <c:v>6</c:v>
                </c:pt>
              </c:numCache>
            </c:numRef>
          </c:val>
          <c:smooth val="0"/>
          <c:extLst>
            <c:ext xmlns:c16="http://schemas.microsoft.com/office/drawing/2014/chart" uri="{C3380CC4-5D6E-409C-BE32-E72D297353CC}">
              <c16:uniqueId val="{00000002-CD5F-43D1-98C5-EFECF0062696}"/>
            </c:ext>
          </c:extLst>
        </c:ser>
        <c:dLbls>
          <c:showLegendKey val="0"/>
          <c:showVal val="0"/>
          <c:showCatName val="0"/>
          <c:showSerName val="0"/>
          <c:showPercent val="0"/>
          <c:showBubbleSize val="0"/>
        </c:dLbls>
        <c:marker val="1"/>
        <c:smooth val="0"/>
        <c:axId val="553151848"/>
        <c:axId val="1"/>
      </c:lineChart>
      <c:catAx>
        <c:axId val="553151848"/>
        <c:scaling>
          <c:orientation val="minMax"/>
        </c:scaling>
        <c:delete val="0"/>
        <c:axPos val="b"/>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de-CH"/>
                  <a:t>nombre UT par année (utilisation annuelle)</a:t>
                </a:r>
              </a:p>
            </c:rich>
          </c:tx>
          <c:layout>
            <c:manualLayout>
              <c:xMode val="edge"/>
              <c:yMode val="edge"/>
              <c:x val="0.16485785211228055"/>
              <c:y val="0.868988510870103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pattFill prst="pct50">
                <a:fgClr>
                  <a:srgbClr val="000000"/>
                </a:fgClr>
                <a:bgClr>
                  <a:srgbClr val="FFFFFF"/>
                </a:bgClr>
              </a:pattFill>
              <a:prstDash val="solid"/>
            </a:ln>
          </c:spPr>
        </c:majorGridlines>
        <c:title>
          <c:tx>
            <c:rich>
              <a:bodyPr/>
              <a:lstStyle/>
              <a:p>
                <a:pPr>
                  <a:defRPr sz="1400" b="1" i="0" u="none" strike="noStrike" baseline="0">
                    <a:solidFill>
                      <a:srgbClr val="000000"/>
                    </a:solidFill>
                    <a:latin typeface="Arial"/>
                    <a:ea typeface="Arial"/>
                    <a:cs typeface="Arial"/>
                  </a:defRPr>
                </a:pPr>
                <a:r>
                  <a:rPr lang="de-CH"/>
                  <a:t>C0ûts / UT  (Fr.)</a:t>
                </a:r>
              </a:p>
            </c:rich>
          </c:tx>
          <c:layout>
            <c:manualLayout>
              <c:xMode val="edge"/>
              <c:yMode val="edge"/>
              <c:x val="6.6626978332416011E-3"/>
              <c:y val="0.258895161689694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553151848"/>
        <c:crosses val="autoZero"/>
        <c:crossBetween val="midCat"/>
      </c:valAx>
      <c:spPr>
        <a:noFill/>
        <a:ln w="3175">
          <a:solidFill>
            <a:srgbClr val="000000"/>
          </a:solidFill>
          <a:prstDash val="solid"/>
        </a:ln>
      </c:spPr>
    </c:plotArea>
    <c:legend>
      <c:legendPos val="r"/>
      <c:layout>
        <c:manualLayout>
          <c:xMode val="edge"/>
          <c:yMode val="edge"/>
          <c:x val="0.76210932263994824"/>
          <c:y val="0.29009458723319959"/>
          <c:w val="0.16550769242289798"/>
          <c:h val="0.2631909572624177"/>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1325" b="0" i="0" u="none" strike="noStrike" baseline="0">
          <a:solidFill>
            <a:srgbClr val="000000"/>
          </a:solidFill>
          <a:latin typeface="Arial"/>
          <a:ea typeface="Arial"/>
          <a:cs typeface="Arial"/>
        </a:defRPr>
      </a:pPr>
      <a:endParaRPr lang="de-DE"/>
    </a:p>
  </c:txPr>
  <c:printSettings>
    <c:headerFooter alignWithMargins="0"/>
    <c:pageMargins b="0.98425196899999989" l="0.78740157499999996" r="0.78740157499999996" t="0.98425196899999989" header="0.49212598450000006" footer="0.4921259845000000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5105293667103"/>
          <c:y val="9.030089274523552E-2"/>
          <c:w val="0.61525182047821114"/>
          <c:h val="0.6521731142711451"/>
        </c:manualLayout>
      </c:layout>
      <c:areaChart>
        <c:grouping val="stacked"/>
        <c:varyColors val="0"/>
        <c:ser>
          <c:idx val="1"/>
          <c:order val="0"/>
          <c:tx>
            <c:strRef>
              <c:f>'[2]Acheter ou louer'!$B$24</c:f>
              <c:strCache>
                <c:ptCount val="1"/>
                <c:pt idx="0">
                  <c:v>Coûts fixes </c:v>
                </c:pt>
              </c:strCache>
            </c:strRef>
          </c:tx>
          <c:spPr>
            <a:solidFill>
              <a:srgbClr val="558ED5"/>
            </a:solidFill>
            <a:ln w="12700">
              <a:solidFill>
                <a:srgbClr val="000000"/>
              </a:solidFill>
              <a:prstDash val="solid"/>
            </a:ln>
          </c:spPr>
          <c:cat>
            <c:numRef>
              <c:f>'[2]Acheter ou louer'!$C$23:$I$23</c:f>
              <c:numCache>
                <c:formatCode>General</c:formatCode>
                <c:ptCount val="7"/>
                <c:pt idx="0">
                  <c:v>1000</c:v>
                </c:pt>
                <c:pt idx="1">
                  <c:v>2000</c:v>
                </c:pt>
                <c:pt idx="2">
                  <c:v>3000</c:v>
                </c:pt>
                <c:pt idx="3">
                  <c:v>4000</c:v>
                </c:pt>
                <c:pt idx="4">
                  <c:v>5000</c:v>
                </c:pt>
                <c:pt idx="5">
                  <c:v>6000</c:v>
                </c:pt>
                <c:pt idx="6">
                  <c:v>7000</c:v>
                </c:pt>
              </c:numCache>
            </c:numRef>
          </c:cat>
          <c:val>
            <c:numRef>
              <c:f>'[2]Acheter ou louer'!$C$24:$I$24</c:f>
              <c:numCache>
                <c:formatCode>General</c:formatCode>
                <c:ptCount val="7"/>
                <c:pt idx="0">
                  <c:v>15245.4</c:v>
                </c:pt>
                <c:pt idx="1">
                  <c:v>15245.4</c:v>
                </c:pt>
                <c:pt idx="2">
                  <c:v>15245.4</c:v>
                </c:pt>
                <c:pt idx="3">
                  <c:v>15245.4</c:v>
                </c:pt>
                <c:pt idx="4">
                  <c:v>15245.4</c:v>
                </c:pt>
                <c:pt idx="5">
                  <c:v>15245.4</c:v>
                </c:pt>
                <c:pt idx="6">
                  <c:v>15245.4</c:v>
                </c:pt>
              </c:numCache>
            </c:numRef>
          </c:val>
          <c:extLst>
            <c:ext xmlns:c16="http://schemas.microsoft.com/office/drawing/2014/chart" uri="{C3380CC4-5D6E-409C-BE32-E72D297353CC}">
              <c16:uniqueId val="{00000000-5E37-4EE6-B727-0547AF8CF8EA}"/>
            </c:ext>
          </c:extLst>
        </c:ser>
        <c:ser>
          <c:idx val="0"/>
          <c:order val="1"/>
          <c:tx>
            <c:strRef>
              <c:f>'[2]Acheter ou louer'!$B$25</c:f>
              <c:strCache>
                <c:ptCount val="1"/>
                <c:pt idx="0">
                  <c:v>Coûts variables </c:v>
                </c:pt>
              </c:strCache>
            </c:strRef>
          </c:tx>
          <c:spPr>
            <a:solidFill>
              <a:srgbClr val="77933C"/>
            </a:solidFill>
            <a:ln w="25400">
              <a:noFill/>
            </a:ln>
          </c:spPr>
          <c:cat>
            <c:numRef>
              <c:f>'[2]Acheter ou louer'!$C$23:$I$23</c:f>
              <c:numCache>
                <c:formatCode>General</c:formatCode>
                <c:ptCount val="7"/>
                <c:pt idx="0">
                  <c:v>1000</c:v>
                </c:pt>
                <c:pt idx="1">
                  <c:v>2000</c:v>
                </c:pt>
                <c:pt idx="2">
                  <c:v>3000</c:v>
                </c:pt>
                <c:pt idx="3">
                  <c:v>4000</c:v>
                </c:pt>
                <c:pt idx="4">
                  <c:v>5000</c:v>
                </c:pt>
                <c:pt idx="5">
                  <c:v>6000</c:v>
                </c:pt>
                <c:pt idx="6">
                  <c:v>7000</c:v>
                </c:pt>
              </c:numCache>
            </c:numRef>
          </c:cat>
          <c:val>
            <c:numRef>
              <c:f>'[2]Acheter ou louer'!$C$25:$I$25</c:f>
              <c:numCache>
                <c:formatCode>General</c:formatCode>
                <c:ptCount val="7"/>
                <c:pt idx="0">
                  <c:v>2173.8729034512885</c:v>
                </c:pt>
                <c:pt idx="1">
                  <c:v>4347.745806902577</c:v>
                </c:pt>
                <c:pt idx="2">
                  <c:v>6521.6187103538659</c:v>
                </c:pt>
                <c:pt idx="3">
                  <c:v>8695.491613805154</c:v>
                </c:pt>
                <c:pt idx="4">
                  <c:v>10869.364517256443</c:v>
                </c:pt>
                <c:pt idx="5">
                  <c:v>13043.237420707732</c:v>
                </c:pt>
                <c:pt idx="6">
                  <c:v>15217.110324159021</c:v>
                </c:pt>
              </c:numCache>
            </c:numRef>
          </c:val>
          <c:extLst>
            <c:ext xmlns:c16="http://schemas.microsoft.com/office/drawing/2014/chart" uri="{C3380CC4-5D6E-409C-BE32-E72D297353CC}">
              <c16:uniqueId val="{00000001-5E37-4EE6-B727-0547AF8CF8EA}"/>
            </c:ext>
          </c:extLst>
        </c:ser>
        <c:dLbls>
          <c:showLegendKey val="0"/>
          <c:showVal val="0"/>
          <c:showCatName val="0"/>
          <c:showSerName val="0"/>
          <c:showPercent val="0"/>
          <c:showBubbleSize val="0"/>
        </c:dLbls>
        <c:axId val="553146928"/>
        <c:axId val="1"/>
      </c:areaChart>
      <c:lineChart>
        <c:grouping val="standard"/>
        <c:varyColors val="0"/>
        <c:ser>
          <c:idx val="3"/>
          <c:order val="2"/>
          <c:tx>
            <c:strRef>
              <c:f>'[2]Acheter ou louer'!$B$26</c:f>
              <c:strCache>
                <c:ptCount val="1"/>
                <c:pt idx="0">
                  <c:v>Tarif externe /an</c:v>
                </c:pt>
              </c:strCache>
            </c:strRef>
          </c:tx>
          <c:spPr>
            <a:ln>
              <a:solidFill>
                <a:srgbClr val="FF0000"/>
              </a:solidFill>
            </a:ln>
          </c:spPr>
          <c:marker>
            <c:symbol val="none"/>
          </c:marker>
          <c:val>
            <c:numRef>
              <c:f>'[2]Acheter ou louer'!$C$26:$I$26</c:f>
              <c:numCache>
                <c:formatCode>General</c:formatCode>
                <c:ptCount val="7"/>
                <c:pt idx="0">
                  <c:v>6000</c:v>
                </c:pt>
                <c:pt idx="1">
                  <c:v>12000</c:v>
                </c:pt>
                <c:pt idx="2">
                  <c:v>18000</c:v>
                </c:pt>
                <c:pt idx="3">
                  <c:v>24000</c:v>
                </c:pt>
                <c:pt idx="4">
                  <c:v>30000</c:v>
                </c:pt>
                <c:pt idx="5">
                  <c:v>36000</c:v>
                </c:pt>
                <c:pt idx="6">
                  <c:v>42000</c:v>
                </c:pt>
              </c:numCache>
            </c:numRef>
          </c:val>
          <c:smooth val="0"/>
          <c:extLst>
            <c:ext xmlns:c16="http://schemas.microsoft.com/office/drawing/2014/chart" uri="{C3380CC4-5D6E-409C-BE32-E72D297353CC}">
              <c16:uniqueId val="{00000002-5E37-4EE6-B727-0547AF8CF8EA}"/>
            </c:ext>
          </c:extLst>
        </c:ser>
        <c:dLbls>
          <c:showLegendKey val="0"/>
          <c:showVal val="0"/>
          <c:showCatName val="0"/>
          <c:showSerName val="0"/>
          <c:showPercent val="0"/>
          <c:showBubbleSize val="0"/>
        </c:dLbls>
        <c:marker val="1"/>
        <c:smooth val="0"/>
        <c:axId val="553146928"/>
        <c:axId val="1"/>
      </c:lineChart>
      <c:catAx>
        <c:axId val="553146928"/>
        <c:scaling>
          <c:orientation val="minMax"/>
        </c:scaling>
        <c:delete val="0"/>
        <c:axPos val="b"/>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de-CH"/>
                  <a:t>nombre UT par année (utilisation annuelle)</a:t>
                </a:r>
              </a:p>
            </c:rich>
          </c:tx>
          <c:layout>
            <c:manualLayout>
              <c:xMode val="edge"/>
              <c:yMode val="edge"/>
              <c:x val="0.16485783957856334"/>
              <c:y val="0.8689885917725630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pattFill prst="pct50">
                <a:fgClr>
                  <a:srgbClr val="000000"/>
                </a:fgClr>
                <a:bgClr>
                  <a:srgbClr val="FFFFFF"/>
                </a:bgClr>
              </a:pattFill>
              <a:prstDash val="solid"/>
            </a:ln>
          </c:spPr>
        </c:majorGridlines>
        <c:title>
          <c:tx>
            <c:rich>
              <a:bodyPr/>
              <a:lstStyle/>
              <a:p>
                <a:pPr>
                  <a:defRPr sz="1400" b="1" i="0" u="none" strike="noStrike" baseline="0">
                    <a:solidFill>
                      <a:srgbClr val="000000"/>
                    </a:solidFill>
                    <a:latin typeface="Arial"/>
                    <a:ea typeface="Arial"/>
                    <a:cs typeface="Arial"/>
                  </a:defRPr>
                </a:pPr>
                <a:r>
                  <a:rPr lang="de-CH"/>
                  <a:t>C0ûts annuels (Fr.)</a:t>
                </a:r>
              </a:p>
            </c:rich>
          </c:tx>
          <c:layout>
            <c:manualLayout>
              <c:xMode val="edge"/>
              <c:yMode val="edge"/>
              <c:x val="6.6627203514454314E-3"/>
              <c:y val="0.258895039110210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553146928"/>
        <c:crosses val="autoZero"/>
        <c:crossBetween val="midCat"/>
      </c:valAx>
      <c:spPr>
        <a:noFill/>
        <a:ln w="3175">
          <a:solidFill>
            <a:srgbClr val="000000"/>
          </a:solidFill>
          <a:prstDash val="solid"/>
        </a:ln>
      </c:spPr>
    </c:plotArea>
    <c:legend>
      <c:legendPos val="r"/>
      <c:layout>
        <c:manualLayout>
          <c:xMode val="edge"/>
          <c:yMode val="edge"/>
          <c:x val="0.762109417173917"/>
          <c:y val="0.29009459213637895"/>
          <c:w val="0.16550771579084522"/>
          <c:h val="0.15312803721317014"/>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1325" b="0" i="0" u="none" strike="noStrike" baseline="0">
          <a:solidFill>
            <a:srgbClr val="000000"/>
          </a:solidFill>
          <a:latin typeface="Arial"/>
          <a:ea typeface="Arial"/>
          <a:cs typeface="Arial"/>
        </a:defRPr>
      </a:pPr>
      <a:endParaRPr lang="de-DE"/>
    </a:p>
  </c:txPr>
  <c:printSettings>
    <c:headerFooter alignWithMargins="0"/>
    <c:pageMargins b="0.98425196899999989" l="0.78740157499999996" r="0.78740157499999996" t="0.98425196899999989" header="0.49212598450000006" footer="0.4921259845000000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5105293667103"/>
          <c:y val="9.030089274523552E-2"/>
          <c:w val="0.61525182047821114"/>
          <c:h val="0.6521731142711451"/>
        </c:manualLayout>
      </c:layout>
      <c:areaChart>
        <c:grouping val="stacked"/>
        <c:varyColors val="0"/>
        <c:ser>
          <c:idx val="1"/>
          <c:order val="0"/>
          <c:tx>
            <c:strRef>
              <c:f>'[2]Acheter ou louer'!$B$65</c:f>
              <c:strCache>
                <c:ptCount val="1"/>
                <c:pt idx="0">
                  <c:v>Coûts fixes/UT</c:v>
                </c:pt>
              </c:strCache>
            </c:strRef>
          </c:tx>
          <c:spPr>
            <a:solidFill>
              <a:srgbClr val="558ED5"/>
            </a:solidFill>
            <a:ln w="12700">
              <a:solidFill>
                <a:srgbClr val="000000"/>
              </a:solidFill>
              <a:prstDash val="solid"/>
            </a:ln>
          </c:spPr>
          <c:cat>
            <c:numRef>
              <c:f>'[2]Acheter ou louer'!$C$23:$I$23</c:f>
              <c:numCache>
                <c:formatCode>General</c:formatCode>
                <c:ptCount val="7"/>
                <c:pt idx="0">
                  <c:v>1000</c:v>
                </c:pt>
                <c:pt idx="1">
                  <c:v>2000</c:v>
                </c:pt>
                <c:pt idx="2">
                  <c:v>3000</c:v>
                </c:pt>
                <c:pt idx="3">
                  <c:v>4000</c:v>
                </c:pt>
                <c:pt idx="4">
                  <c:v>5000</c:v>
                </c:pt>
                <c:pt idx="5">
                  <c:v>6000</c:v>
                </c:pt>
                <c:pt idx="6">
                  <c:v>7000</c:v>
                </c:pt>
              </c:numCache>
            </c:numRef>
          </c:cat>
          <c:val>
            <c:numRef>
              <c:f>'[2]Acheter ou louer'!$C$65:$I$65</c:f>
              <c:numCache>
                <c:formatCode>General</c:formatCode>
                <c:ptCount val="7"/>
                <c:pt idx="0">
                  <c:v>15.2454</c:v>
                </c:pt>
                <c:pt idx="1">
                  <c:v>7.6227</c:v>
                </c:pt>
                <c:pt idx="2">
                  <c:v>5.0818000000000003</c:v>
                </c:pt>
                <c:pt idx="3">
                  <c:v>3.81135</c:v>
                </c:pt>
                <c:pt idx="4">
                  <c:v>3.04908</c:v>
                </c:pt>
                <c:pt idx="5">
                  <c:v>2.5409000000000002</c:v>
                </c:pt>
                <c:pt idx="6">
                  <c:v>2.1779142857142855</c:v>
                </c:pt>
              </c:numCache>
            </c:numRef>
          </c:val>
          <c:extLst>
            <c:ext xmlns:c16="http://schemas.microsoft.com/office/drawing/2014/chart" uri="{C3380CC4-5D6E-409C-BE32-E72D297353CC}">
              <c16:uniqueId val="{00000000-AFDB-4E3F-8D01-BB3442BBADA4}"/>
            </c:ext>
          </c:extLst>
        </c:ser>
        <c:ser>
          <c:idx val="0"/>
          <c:order val="1"/>
          <c:tx>
            <c:strRef>
              <c:f>'[2]Acheter ou louer'!$B$66</c:f>
              <c:strCache>
                <c:ptCount val="1"/>
                <c:pt idx="0">
                  <c:v>Coûts variables/UT</c:v>
                </c:pt>
              </c:strCache>
            </c:strRef>
          </c:tx>
          <c:spPr>
            <a:solidFill>
              <a:srgbClr val="77933C"/>
            </a:solidFill>
            <a:ln w="25400">
              <a:noFill/>
            </a:ln>
          </c:spPr>
          <c:cat>
            <c:numRef>
              <c:f>'[2]Acheter ou louer'!$C$23:$I$23</c:f>
              <c:numCache>
                <c:formatCode>General</c:formatCode>
                <c:ptCount val="7"/>
                <c:pt idx="0">
                  <c:v>1000</c:v>
                </c:pt>
                <c:pt idx="1">
                  <c:v>2000</c:v>
                </c:pt>
                <c:pt idx="2">
                  <c:v>3000</c:v>
                </c:pt>
                <c:pt idx="3">
                  <c:v>4000</c:v>
                </c:pt>
                <c:pt idx="4">
                  <c:v>5000</c:v>
                </c:pt>
                <c:pt idx="5">
                  <c:v>6000</c:v>
                </c:pt>
                <c:pt idx="6">
                  <c:v>7000</c:v>
                </c:pt>
              </c:numCache>
            </c:numRef>
          </c:cat>
          <c:val>
            <c:numRef>
              <c:f>'[2]Acheter ou louer'!$C$66:$I$66</c:f>
              <c:numCache>
                <c:formatCode>General</c:formatCode>
                <c:ptCount val="7"/>
                <c:pt idx="0">
                  <c:v>2.1738729034512887</c:v>
                </c:pt>
                <c:pt idx="1">
                  <c:v>2.1738729034512887</c:v>
                </c:pt>
                <c:pt idx="2">
                  <c:v>2.1738729034512887</c:v>
                </c:pt>
                <c:pt idx="3">
                  <c:v>2.1738729034512887</c:v>
                </c:pt>
                <c:pt idx="4">
                  <c:v>2.1738729034512887</c:v>
                </c:pt>
                <c:pt idx="5">
                  <c:v>2.1738729034512887</c:v>
                </c:pt>
                <c:pt idx="6">
                  <c:v>2.1738729034512887</c:v>
                </c:pt>
              </c:numCache>
            </c:numRef>
          </c:val>
          <c:extLst>
            <c:ext xmlns:c16="http://schemas.microsoft.com/office/drawing/2014/chart" uri="{C3380CC4-5D6E-409C-BE32-E72D297353CC}">
              <c16:uniqueId val="{00000001-AFDB-4E3F-8D01-BB3442BBADA4}"/>
            </c:ext>
          </c:extLst>
        </c:ser>
        <c:dLbls>
          <c:showLegendKey val="0"/>
          <c:showVal val="0"/>
          <c:showCatName val="0"/>
          <c:showSerName val="0"/>
          <c:showPercent val="0"/>
          <c:showBubbleSize val="0"/>
        </c:dLbls>
        <c:axId val="553151848"/>
        <c:axId val="1"/>
      </c:areaChart>
      <c:lineChart>
        <c:grouping val="standard"/>
        <c:varyColors val="0"/>
        <c:ser>
          <c:idx val="3"/>
          <c:order val="2"/>
          <c:tx>
            <c:strRef>
              <c:f>'[2]Acheter ou louer'!$B$67</c:f>
              <c:strCache>
                <c:ptCount val="1"/>
                <c:pt idx="0">
                  <c:v>Tarif externe (Fr./UT)</c:v>
                </c:pt>
              </c:strCache>
            </c:strRef>
          </c:tx>
          <c:spPr>
            <a:ln>
              <a:solidFill>
                <a:srgbClr val="FF0000"/>
              </a:solidFill>
            </a:ln>
          </c:spPr>
          <c:marker>
            <c:symbol val="none"/>
          </c:marker>
          <c:val>
            <c:numRef>
              <c:f>'[2]Acheter ou louer'!$C$67:$I$67</c:f>
              <c:numCache>
                <c:formatCode>General</c:formatCode>
                <c:ptCount val="7"/>
                <c:pt idx="0">
                  <c:v>6</c:v>
                </c:pt>
                <c:pt idx="1">
                  <c:v>6</c:v>
                </c:pt>
                <c:pt idx="2">
                  <c:v>6</c:v>
                </c:pt>
                <c:pt idx="3">
                  <c:v>6</c:v>
                </c:pt>
                <c:pt idx="4">
                  <c:v>6</c:v>
                </c:pt>
                <c:pt idx="5">
                  <c:v>6</c:v>
                </c:pt>
                <c:pt idx="6">
                  <c:v>6</c:v>
                </c:pt>
              </c:numCache>
            </c:numRef>
          </c:val>
          <c:smooth val="0"/>
          <c:extLst>
            <c:ext xmlns:c16="http://schemas.microsoft.com/office/drawing/2014/chart" uri="{C3380CC4-5D6E-409C-BE32-E72D297353CC}">
              <c16:uniqueId val="{00000002-AFDB-4E3F-8D01-BB3442BBADA4}"/>
            </c:ext>
          </c:extLst>
        </c:ser>
        <c:dLbls>
          <c:showLegendKey val="0"/>
          <c:showVal val="0"/>
          <c:showCatName val="0"/>
          <c:showSerName val="0"/>
          <c:showPercent val="0"/>
          <c:showBubbleSize val="0"/>
        </c:dLbls>
        <c:marker val="1"/>
        <c:smooth val="0"/>
        <c:axId val="553151848"/>
        <c:axId val="1"/>
      </c:lineChart>
      <c:catAx>
        <c:axId val="553151848"/>
        <c:scaling>
          <c:orientation val="minMax"/>
        </c:scaling>
        <c:delete val="0"/>
        <c:axPos val="b"/>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de-CH"/>
                  <a:t>nombre UT par année (utilisation annuelle)</a:t>
                </a:r>
              </a:p>
            </c:rich>
          </c:tx>
          <c:layout>
            <c:manualLayout>
              <c:xMode val="edge"/>
              <c:yMode val="edge"/>
              <c:x val="0.16485785211228055"/>
              <c:y val="0.868988510870103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pattFill prst="pct50">
                <a:fgClr>
                  <a:srgbClr val="000000"/>
                </a:fgClr>
                <a:bgClr>
                  <a:srgbClr val="FFFFFF"/>
                </a:bgClr>
              </a:pattFill>
              <a:prstDash val="solid"/>
            </a:ln>
          </c:spPr>
        </c:majorGridlines>
        <c:title>
          <c:tx>
            <c:rich>
              <a:bodyPr/>
              <a:lstStyle/>
              <a:p>
                <a:pPr>
                  <a:defRPr sz="1400" b="1" i="0" u="none" strike="noStrike" baseline="0">
                    <a:solidFill>
                      <a:srgbClr val="000000"/>
                    </a:solidFill>
                    <a:latin typeface="Arial"/>
                    <a:ea typeface="Arial"/>
                    <a:cs typeface="Arial"/>
                  </a:defRPr>
                </a:pPr>
                <a:r>
                  <a:rPr lang="de-CH"/>
                  <a:t>C0ûts / UT  (Fr.)</a:t>
                </a:r>
              </a:p>
            </c:rich>
          </c:tx>
          <c:layout>
            <c:manualLayout>
              <c:xMode val="edge"/>
              <c:yMode val="edge"/>
              <c:x val="6.6626978332416011E-3"/>
              <c:y val="0.2588951616896944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de-DE"/>
          </a:p>
        </c:txPr>
        <c:crossAx val="553151848"/>
        <c:crosses val="autoZero"/>
        <c:crossBetween val="midCat"/>
      </c:valAx>
      <c:spPr>
        <a:noFill/>
        <a:ln w="3175">
          <a:solidFill>
            <a:srgbClr val="000000"/>
          </a:solidFill>
          <a:prstDash val="solid"/>
        </a:ln>
      </c:spPr>
    </c:plotArea>
    <c:legend>
      <c:legendPos val="r"/>
      <c:layout>
        <c:manualLayout>
          <c:xMode val="edge"/>
          <c:yMode val="edge"/>
          <c:x val="0.76210932263994824"/>
          <c:y val="0.29009458723319959"/>
          <c:w val="0.16550769242289798"/>
          <c:h val="0.2631909572624177"/>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1325" b="0" i="0" u="none" strike="noStrike" baseline="0">
          <a:solidFill>
            <a:srgbClr val="000000"/>
          </a:solidFill>
          <a:latin typeface="Arial"/>
          <a:ea typeface="Arial"/>
          <a:cs typeface="Arial"/>
        </a:defRPr>
      </a:pPr>
      <a:endParaRPr lang="de-DE"/>
    </a:p>
  </c:txPr>
  <c:printSettings>
    <c:headerFooter alignWithMargins="0"/>
    <c:pageMargins b="0.98425196899999989" l="0.78740157499999996" r="0.78740157499999996" t="0.98425196899999989" header="0.49212598450000006" footer="0.4921259845000000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65503198814798"/>
          <c:y val="8.6065746001188687E-2"/>
          <c:w val="0.5594544572817951"/>
          <c:h val="0.60655859086552022"/>
        </c:manualLayout>
      </c:layout>
      <c:areaChart>
        <c:grouping val="standard"/>
        <c:varyColors val="0"/>
        <c:ser>
          <c:idx val="1"/>
          <c:order val="0"/>
          <c:tx>
            <c:strRef>
              <c:f>Grafik!$A$13</c:f>
              <c:strCache>
                <c:ptCount val="1"/>
                <c:pt idx="0">
                  <c:v>Fixe Kosten</c:v>
                </c:pt>
              </c:strCache>
            </c:strRef>
          </c:tx>
          <c:spPr>
            <a:solidFill>
              <a:srgbClr val="0000FF"/>
            </a:solidFill>
            <a:ln w="12700">
              <a:solidFill>
                <a:srgbClr val="000000"/>
              </a:solidFill>
              <a:prstDash val="solid"/>
            </a:ln>
          </c:spPr>
          <c:cat>
            <c:numRef>
              <c:f>Grafik!$B$12:$K$12</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cat>
          <c:val>
            <c:numRef>
              <c:f>Grafik!$B$13:$K$13</c:f>
              <c:numCache>
                <c:formatCode>General</c:formatCode>
                <c:ptCount val="10"/>
                <c:pt idx="0">
                  <c:v>126.23</c:v>
                </c:pt>
                <c:pt idx="1">
                  <c:v>74.87</c:v>
                </c:pt>
                <c:pt idx="2">
                  <c:v>58.973333333333336</c:v>
                </c:pt>
                <c:pt idx="3">
                  <c:v>51.022500000000001</c:v>
                </c:pt>
                <c:pt idx="4">
                  <c:v>46.253999999999998</c:v>
                </c:pt>
                <c:pt idx="5">
                  <c:v>43.685000000000002</c:v>
                </c:pt>
                <c:pt idx="6">
                  <c:v>40.802857142857142</c:v>
                </c:pt>
                <c:pt idx="7">
                  <c:v>38.641249999999999</c:v>
                </c:pt>
                <c:pt idx="8">
                  <c:v>36.96</c:v>
                </c:pt>
                <c:pt idx="9">
                  <c:v>35.615000000000002</c:v>
                </c:pt>
              </c:numCache>
            </c:numRef>
          </c:val>
          <c:extLst>
            <c:ext xmlns:c16="http://schemas.microsoft.com/office/drawing/2014/chart" uri="{C3380CC4-5D6E-409C-BE32-E72D297353CC}">
              <c16:uniqueId val="{00000000-41C1-42AC-8222-E5688C728E97}"/>
            </c:ext>
          </c:extLst>
        </c:ser>
        <c:ser>
          <c:idx val="2"/>
          <c:order val="1"/>
          <c:tx>
            <c:strRef>
              <c:f>Grafik!$A$14</c:f>
              <c:strCache>
                <c:ptCount val="1"/>
                <c:pt idx="0">
                  <c:v>Variable Kosten</c:v>
                </c:pt>
              </c:strCache>
            </c:strRef>
          </c:tx>
          <c:spPr>
            <a:solidFill>
              <a:srgbClr val="99CC00"/>
            </a:solidFill>
            <a:ln w="12700">
              <a:solidFill>
                <a:srgbClr val="000000"/>
              </a:solidFill>
              <a:prstDash val="solid"/>
            </a:ln>
          </c:spPr>
          <c:cat>
            <c:numRef>
              <c:f>Grafik!$B$12:$K$12</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cat>
          <c:val>
            <c:numRef>
              <c:f>Grafik!$B$14:$K$14</c:f>
              <c:numCache>
                <c:formatCode>General</c:formatCode>
                <c:ptCount val="10"/>
                <c:pt idx="0">
                  <c:v>23.51</c:v>
                </c:pt>
                <c:pt idx="1">
                  <c:v>23.51</c:v>
                </c:pt>
                <c:pt idx="2">
                  <c:v>23.51</c:v>
                </c:pt>
                <c:pt idx="3">
                  <c:v>23.51</c:v>
                </c:pt>
                <c:pt idx="4">
                  <c:v>23.51</c:v>
                </c:pt>
                <c:pt idx="5">
                  <c:v>23.51</c:v>
                </c:pt>
                <c:pt idx="6">
                  <c:v>23.51</c:v>
                </c:pt>
                <c:pt idx="7">
                  <c:v>23.51</c:v>
                </c:pt>
                <c:pt idx="8">
                  <c:v>23.51</c:v>
                </c:pt>
                <c:pt idx="9">
                  <c:v>23.51</c:v>
                </c:pt>
              </c:numCache>
            </c:numRef>
          </c:val>
          <c:extLst>
            <c:ext xmlns:c16="http://schemas.microsoft.com/office/drawing/2014/chart" uri="{C3380CC4-5D6E-409C-BE32-E72D297353CC}">
              <c16:uniqueId val="{00000001-41C1-42AC-8222-E5688C728E97}"/>
            </c:ext>
          </c:extLst>
        </c:ser>
        <c:dLbls>
          <c:showLegendKey val="0"/>
          <c:showVal val="0"/>
          <c:showCatName val="0"/>
          <c:showSerName val="0"/>
          <c:showPercent val="0"/>
          <c:showBubbleSize val="0"/>
        </c:dLbls>
        <c:axId val="369462168"/>
        <c:axId val="1"/>
      </c:areaChart>
      <c:lineChart>
        <c:grouping val="standard"/>
        <c:varyColors val="0"/>
        <c:ser>
          <c:idx val="0"/>
          <c:order val="2"/>
          <c:tx>
            <c:strRef>
              <c:f>Grafik!$A$7</c:f>
              <c:strCache>
                <c:ptCount val="1"/>
                <c:pt idx="0">
                  <c:v>Miete</c:v>
                </c:pt>
              </c:strCache>
            </c:strRef>
          </c:tx>
          <c:spPr>
            <a:ln w="25400">
              <a:solidFill>
                <a:srgbClr val="FF0000"/>
              </a:solidFill>
              <a:prstDash val="solid"/>
            </a:ln>
          </c:spPr>
          <c:marker>
            <c:symbol val="none"/>
          </c:marker>
          <c:val>
            <c:numRef>
              <c:f>Grafik!$B$7:$K$7</c:f>
              <c:numCache>
                <c:formatCode>General</c:formatCode>
                <c:ptCount val="10"/>
                <c:pt idx="0">
                  <c:v>49</c:v>
                </c:pt>
                <c:pt idx="1">
                  <c:v>49</c:v>
                </c:pt>
                <c:pt idx="2">
                  <c:v>49</c:v>
                </c:pt>
                <c:pt idx="3">
                  <c:v>49</c:v>
                </c:pt>
                <c:pt idx="4">
                  <c:v>49</c:v>
                </c:pt>
                <c:pt idx="5">
                  <c:v>49</c:v>
                </c:pt>
                <c:pt idx="6">
                  <c:v>49</c:v>
                </c:pt>
                <c:pt idx="7">
                  <c:v>49</c:v>
                </c:pt>
                <c:pt idx="8">
                  <c:v>49</c:v>
                </c:pt>
                <c:pt idx="9">
                  <c:v>49</c:v>
                </c:pt>
              </c:numCache>
            </c:numRef>
          </c:val>
          <c:smooth val="0"/>
          <c:extLst>
            <c:ext xmlns:c16="http://schemas.microsoft.com/office/drawing/2014/chart" uri="{C3380CC4-5D6E-409C-BE32-E72D297353CC}">
              <c16:uniqueId val="{00000002-41C1-42AC-8222-E5688C728E97}"/>
            </c:ext>
          </c:extLst>
        </c:ser>
        <c:dLbls>
          <c:showLegendKey val="0"/>
          <c:showVal val="0"/>
          <c:showCatName val="0"/>
          <c:showSerName val="0"/>
          <c:showPercent val="0"/>
          <c:showBubbleSize val="0"/>
        </c:dLbls>
        <c:marker val="1"/>
        <c:smooth val="0"/>
        <c:axId val="369462168"/>
        <c:axId val="1"/>
      </c:lineChart>
      <c:catAx>
        <c:axId val="36946216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de-CH"/>
                  <a:t>Anzahl Betriebsstunden pro Jahr</a:t>
                </a:r>
              </a:p>
            </c:rich>
          </c:tx>
          <c:layout>
            <c:manualLayout>
              <c:xMode val="edge"/>
              <c:yMode val="edge"/>
              <c:x val="0.20800016797900261"/>
              <c:y val="0.87246612959507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150"/>
          <c:min val="0"/>
        </c:scaling>
        <c:delete val="0"/>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de-CH"/>
                  <a:t>Kosten pro Betriebsstunde (Fr.)</a:t>
                </a:r>
              </a:p>
            </c:rich>
          </c:tx>
          <c:layout>
            <c:manualLayout>
              <c:xMode val="edge"/>
              <c:yMode val="edge"/>
              <c:x val="2.5600000000000001E-2"/>
              <c:y val="3.7681185805531536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369462168"/>
        <c:crosses val="autoZero"/>
        <c:crossBetween val="midCat"/>
      </c:valAx>
      <c:spPr>
        <a:noFill/>
        <a:ln w="3175">
          <a:solidFill>
            <a:srgbClr val="000000"/>
          </a:solidFill>
          <a:prstDash val="solid"/>
        </a:ln>
      </c:spPr>
    </c:plotArea>
    <c:legend>
      <c:legendPos val="r"/>
      <c:layout>
        <c:manualLayout>
          <c:xMode val="edge"/>
          <c:yMode val="edge"/>
          <c:x val="0.73920050393700787"/>
          <c:y val="0.29190781788114634"/>
          <c:w val="0.24800016797900259"/>
          <c:h val="0.2109829623898169"/>
        </c:manualLayout>
      </c:layout>
      <c:overlay val="0"/>
      <c:spPr>
        <a:solidFill>
          <a:srgbClr val="FFFFFF"/>
        </a:solidFill>
        <a:ln w="3175">
          <a:solidFill>
            <a:srgbClr val="000000"/>
          </a:solidFill>
          <a:prstDash val="solid"/>
        </a:ln>
      </c:spPr>
      <c:txPr>
        <a:bodyPr/>
        <a:lstStyle/>
        <a:p>
          <a:pPr>
            <a:defRPr sz="65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24176054775795"/>
          <c:y val="8.6065746001188687E-2"/>
          <c:w val="0.5304522480499313"/>
          <c:h val="0.60655859086552022"/>
        </c:manualLayout>
      </c:layout>
      <c:areaChart>
        <c:grouping val="stacked"/>
        <c:varyColors val="0"/>
        <c:ser>
          <c:idx val="1"/>
          <c:order val="0"/>
          <c:tx>
            <c:strRef>
              <c:f>Grafik!$A$9</c:f>
              <c:strCache>
                <c:ptCount val="1"/>
                <c:pt idx="0">
                  <c:v>Fixe Kosten</c:v>
                </c:pt>
              </c:strCache>
            </c:strRef>
          </c:tx>
          <c:spPr>
            <a:solidFill>
              <a:srgbClr val="0000FF"/>
            </a:solidFill>
            <a:ln w="12700">
              <a:solidFill>
                <a:srgbClr val="000000"/>
              </a:solidFill>
              <a:prstDash val="solid"/>
            </a:ln>
          </c:spPr>
          <c:cat>
            <c:numRef>
              <c:f>Grafik!$B$12:$K$12</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cat>
          <c:val>
            <c:numRef>
              <c:f>Grafik!$B$9:$K$9</c:f>
              <c:numCache>
                <c:formatCode>General</c:formatCode>
                <c:ptCount val="10"/>
                <c:pt idx="0">
                  <c:v>10272</c:v>
                </c:pt>
                <c:pt idx="1">
                  <c:v>10272</c:v>
                </c:pt>
                <c:pt idx="2">
                  <c:v>10639</c:v>
                </c:pt>
                <c:pt idx="3">
                  <c:v>11005</c:v>
                </c:pt>
                <c:pt idx="4">
                  <c:v>11372</c:v>
                </c:pt>
                <c:pt idx="5">
                  <c:v>12105</c:v>
                </c:pt>
                <c:pt idx="6">
                  <c:v>12105</c:v>
                </c:pt>
                <c:pt idx="7">
                  <c:v>12105</c:v>
                </c:pt>
                <c:pt idx="8">
                  <c:v>12105</c:v>
                </c:pt>
                <c:pt idx="9">
                  <c:v>12105</c:v>
                </c:pt>
              </c:numCache>
            </c:numRef>
          </c:val>
          <c:extLst>
            <c:ext xmlns:c16="http://schemas.microsoft.com/office/drawing/2014/chart" uri="{C3380CC4-5D6E-409C-BE32-E72D297353CC}">
              <c16:uniqueId val="{00000000-37D6-46E8-B14F-FDD0B2FBBDA8}"/>
            </c:ext>
          </c:extLst>
        </c:ser>
        <c:ser>
          <c:idx val="2"/>
          <c:order val="1"/>
          <c:tx>
            <c:strRef>
              <c:f>Grafik!$A$10</c:f>
              <c:strCache>
                <c:ptCount val="1"/>
                <c:pt idx="0">
                  <c:v>Variable Kosten</c:v>
                </c:pt>
              </c:strCache>
            </c:strRef>
          </c:tx>
          <c:spPr>
            <a:solidFill>
              <a:srgbClr val="99CC00"/>
            </a:solidFill>
            <a:ln w="12700">
              <a:solidFill>
                <a:srgbClr val="000000"/>
              </a:solidFill>
              <a:prstDash val="solid"/>
            </a:ln>
          </c:spPr>
          <c:cat>
            <c:numRef>
              <c:f>Grafik!$B$12:$K$12</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cat>
          <c:val>
            <c:numRef>
              <c:f>Grafik!$B$10:$K$10</c:f>
              <c:numCache>
                <c:formatCode>General</c:formatCode>
                <c:ptCount val="10"/>
                <c:pt idx="0">
                  <c:v>2351</c:v>
                </c:pt>
                <c:pt idx="1">
                  <c:v>4702</c:v>
                </c:pt>
                <c:pt idx="2">
                  <c:v>7053.0000000000009</c:v>
                </c:pt>
                <c:pt idx="3">
                  <c:v>9404</c:v>
                </c:pt>
                <c:pt idx="4">
                  <c:v>11755</c:v>
                </c:pt>
                <c:pt idx="5">
                  <c:v>14106.000000000002</c:v>
                </c:pt>
                <c:pt idx="6">
                  <c:v>16457</c:v>
                </c:pt>
                <c:pt idx="7">
                  <c:v>18808</c:v>
                </c:pt>
                <c:pt idx="8">
                  <c:v>21159</c:v>
                </c:pt>
                <c:pt idx="9">
                  <c:v>23510</c:v>
                </c:pt>
              </c:numCache>
            </c:numRef>
          </c:val>
          <c:extLst>
            <c:ext xmlns:c16="http://schemas.microsoft.com/office/drawing/2014/chart" uri="{C3380CC4-5D6E-409C-BE32-E72D297353CC}">
              <c16:uniqueId val="{00000001-37D6-46E8-B14F-FDD0B2FBBDA8}"/>
            </c:ext>
          </c:extLst>
        </c:ser>
        <c:dLbls>
          <c:showLegendKey val="0"/>
          <c:showVal val="0"/>
          <c:showCatName val="0"/>
          <c:showSerName val="0"/>
          <c:showPercent val="0"/>
          <c:showBubbleSize val="0"/>
        </c:dLbls>
        <c:axId val="369458560"/>
        <c:axId val="1"/>
      </c:areaChart>
      <c:lineChart>
        <c:grouping val="standard"/>
        <c:varyColors val="0"/>
        <c:ser>
          <c:idx val="0"/>
          <c:order val="2"/>
          <c:tx>
            <c:strRef>
              <c:f>Grafik!$A$16</c:f>
              <c:strCache>
                <c:ptCount val="1"/>
                <c:pt idx="0">
                  <c:v>Miete</c:v>
                </c:pt>
              </c:strCache>
            </c:strRef>
          </c:tx>
          <c:spPr>
            <a:ln w="25400">
              <a:solidFill>
                <a:srgbClr val="FF0000"/>
              </a:solidFill>
              <a:prstDash val="solid"/>
            </a:ln>
          </c:spPr>
          <c:marker>
            <c:symbol val="none"/>
          </c:marker>
          <c:val>
            <c:numRef>
              <c:f>Grafik!$B$16:$K$16</c:f>
              <c:numCache>
                <c:formatCode>General</c:formatCode>
                <c:ptCount val="10"/>
                <c:pt idx="0">
                  <c:v>4900</c:v>
                </c:pt>
                <c:pt idx="1">
                  <c:v>9800</c:v>
                </c:pt>
                <c:pt idx="2">
                  <c:v>14700</c:v>
                </c:pt>
                <c:pt idx="3">
                  <c:v>19600</c:v>
                </c:pt>
                <c:pt idx="4">
                  <c:v>24500</c:v>
                </c:pt>
                <c:pt idx="5">
                  <c:v>29400</c:v>
                </c:pt>
                <c:pt idx="6">
                  <c:v>34300</c:v>
                </c:pt>
                <c:pt idx="7">
                  <c:v>39200</c:v>
                </c:pt>
                <c:pt idx="8">
                  <c:v>44100</c:v>
                </c:pt>
                <c:pt idx="9">
                  <c:v>49000</c:v>
                </c:pt>
              </c:numCache>
            </c:numRef>
          </c:val>
          <c:smooth val="0"/>
          <c:extLst>
            <c:ext xmlns:c16="http://schemas.microsoft.com/office/drawing/2014/chart" uri="{C3380CC4-5D6E-409C-BE32-E72D297353CC}">
              <c16:uniqueId val="{00000002-37D6-46E8-B14F-FDD0B2FBBDA8}"/>
            </c:ext>
          </c:extLst>
        </c:ser>
        <c:dLbls>
          <c:showLegendKey val="0"/>
          <c:showVal val="0"/>
          <c:showCatName val="0"/>
          <c:showSerName val="0"/>
          <c:showPercent val="0"/>
          <c:showBubbleSize val="0"/>
        </c:dLbls>
        <c:marker val="1"/>
        <c:smooth val="0"/>
        <c:axId val="369458560"/>
        <c:axId val="1"/>
      </c:lineChart>
      <c:catAx>
        <c:axId val="3694585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de-CH"/>
                  <a:t>Anzahl Betriebsstunden pro Jahr</a:t>
                </a:r>
              </a:p>
            </c:rich>
          </c:tx>
          <c:layout>
            <c:manualLayout>
              <c:xMode val="edge"/>
              <c:yMode val="edge"/>
              <c:x val="0.22044728434504793"/>
              <c:y val="0.8728335836633137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max val="55000"/>
          <c:min val="0"/>
        </c:scaling>
        <c:delete val="0"/>
        <c:axPos val="l"/>
        <c:majorGridlines>
          <c:spPr>
            <a:ln w="3175">
              <a:pattFill prst="pct50">
                <a:fgClr>
                  <a:srgbClr val="000000"/>
                </a:fgClr>
                <a:bgClr>
                  <a:srgbClr val="FFFFFF"/>
                </a:bgClr>
              </a:pattFill>
              <a:prstDash val="solid"/>
            </a:ln>
          </c:spPr>
        </c:majorGridlines>
        <c:title>
          <c:tx>
            <c:rich>
              <a:bodyPr/>
              <a:lstStyle/>
              <a:p>
                <a:pPr>
                  <a:defRPr sz="1200" b="1" i="0" u="none" strike="noStrike" baseline="0">
                    <a:solidFill>
                      <a:srgbClr val="000000"/>
                    </a:solidFill>
                    <a:latin typeface="Arial"/>
                    <a:ea typeface="Arial"/>
                    <a:cs typeface="Arial"/>
                  </a:defRPr>
                </a:pPr>
                <a:r>
                  <a:rPr lang="de-CH"/>
                  <a:t>Jahreskosten (Fr.)</a:t>
                </a:r>
              </a:p>
            </c:rich>
          </c:tx>
          <c:layout>
            <c:manualLayout>
              <c:xMode val="edge"/>
              <c:yMode val="edge"/>
              <c:x val="2.5559105431309903E-2"/>
              <c:y val="0.187861575106579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369458560"/>
        <c:crosses val="autoZero"/>
        <c:crossBetween val="midCat"/>
      </c:valAx>
      <c:spPr>
        <a:noFill/>
        <a:ln w="3175">
          <a:solidFill>
            <a:srgbClr val="000000"/>
          </a:solidFill>
          <a:prstDash val="solid"/>
        </a:ln>
      </c:spPr>
    </c:plotArea>
    <c:legend>
      <c:legendPos val="r"/>
      <c:layout>
        <c:manualLayout>
          <c:xMode val="edge"/>
          <c:yMode val="edge"/>
          <c:x val="0.73482428115015974"/>
          <c:y val="0.29190781788114634"/>
          <c:w val="0.2539936102236422"/>
          <c:h val="0.2109829623898169"/>
        </c:manualLayout>
      </c:layout>
      <c:overlay val="0"/>
      <c:spPr>
        <a:solidFill>
          <a:srgbClr val="FFFFFF"/>
        </a:solidFill>
        <a:ln w="3175">
          <a:solidFill>
            <a:srgbClr val="000000"/>
          </a:solidFill>
          <a:prstDash val="solid"/>
        </a:ln>
      </c:spPr>
      <c:txPr>
        <a:bodyPr/>
        <a:lstStyle/>
        <a:p>
          <a:pPr>
            <a:defRPr sz="655"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40314</xdr:colOff>
      <xdr:row>82</xdr:row>
      <xdr:rowOff>0</xdr:rowOff>
    </xdr:from>
    <xdr:to>
      <xdr:col>7</xdr:col>
      <xdr:colOff>0</xdr:colOff>
      <xdr:row>85</xdr:row>
      <xdr:rowOff>147499</xdr:rowOff>
    </xdr:to>
    <xdr:sp macro="" textlink="">
      <xdr:nvSpPr>
        <xdr:cNvPr id="23627" name="Textfeld 1">
          <a:extLst>
            <a:ext uri="{FF2B5EF4-FFF2-40B4-BE49-F238E27FC236}">
              <a16:creationId xmlns:a16="http://schemas.microsoft.com/office/drawing/2014/main" id="{00000000-0008-0000-0300-00004B5C0000}"/>
            </a:ext>
          </a:extLst>
        </xdr:cNvPr>
        <xdr:cNvSpPr txBox="1">
          <a:spLocks noChangeArrowheads="1"/>
        </xdr:cNvSpPr>
      </xdr:nvSpPr>
      <xdr:spPr bwMode="auto">
        <a:xfrm>
          <a:off x="203600" y="14328321"/>
          <a:ext cx="6055686" cy="637357"/>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1</xdr:col>
      <xdr:colOff>0</xdr:colOff>
      <xdr:row>141</xdr:row>
      <xdr:rowOff>102899</xdr:rowOff>
    </xdr:from>
    <xdr:to>
      <xdr:col>7</xdr:col>
      <xdr:colOff>0</xdr:colOff>
      <xdr:row>145</xdr:row>
      <xdr:rowOff>93374</xdr:rowOff>
    </xdr:to>
    <xdr:sp macro="" textlink="">
      <xdr:nvSpPr>
        <xdr:cNvPr id="23628" name="Textfeld 1">
          <a:extLst>
            <a:ext uri="{FF2B5EF4-FFF2-40B4-BE49-F238E27FC236}">
              <a16:creationId xmlns:a16="http://schemas.microsoft.com/office/drawing/2014/main" id="{00000000-0008-0000-0300-00004C5C0000}"/>
            </a:ext>
          </a:extLst>
        </xdr:cNvPr>
        <xdr:cNvSpPr txBox="1">
          <a:spLocks noChangeArrowheads="1"/>
        </xdr:cNvSpPr>
      </xdr:nvSpPr>
      <xdr:spPr bwMode="auto">
        <a:xfrm>
          <a:off x="162358" y="24112105"/>
          <a:ext cx="5963949"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1</xdr:col>
      <xdr:colOff>1</xdr:colOff>
      <xdr:row>201</xdr:row>
      <xdr:rowOff>95106</xdr:rowOff>
    </xdr:from>
    <xdr:to>
      <xdr:col>7</xdr:col>
      <xdr:colOff>1</xdr:colOff>
      <xdr:row>205</xdr:row>
      <xdr:rowOff>79320</xdr:rowOff>
    </xdr:to>
    <xdr:sp macro="" textlink="">
      <xdr:nvSpPr>
        <xdr:cNvPr id="23629" name="Textfeld 1">
          <a:extLst>
            <a:ext uri="{FF2B5EF4-FFF2-40B4-BE49-F238E27FC236}">
              <a16:creationId xmlns:a16="http://schemas.microsoft.com/office/drawing/2014/main" id="{00000000-0008-0000-0300-00004D5C0000}"/>
            </a:ext>
          </a:extLst>
        </xdr:cNvPr>
        <xdr:cNvSpPr txBox="1">
          <a:spLocks noChangeArrowheads="1"/>
        </xdr:cNvSpPr>
      </xdr:nvSpPr>
      <xdr:spPr bwMode="auto">
        <a:xfrm>
          <a:off x="162359" y="33728025"/>
          <a:ext cx="5963949"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7</xdr:col>
      <xdr:colOff>473076</xdr:colOff>
      <xdr:row>81</xdr:row>
      <xdr:rowOff>130174</xdr:rowOff>
    </xdr:from>
    <xdr:to>
      <xdr:col>14</xdr:col>
      <xdr:colOff>8211</xdr:colOff>
      <xdr:row>85</xdr:row>
      <xdr:rowOff>114528</xdr:rowOff>
    </xdr:to>
    <xdr:sp macro="" textlink="">
      <xdr:nvSpPr>
        <xdr:cNvPr id="23630" name="Textfeld 1">
          <a:extLst>
            <a:ext uri="{FF2B5EF4-FFF2-40B4-BE49-F238E27FC236}">
              <a16:creationId xmlns:a16="http://schemas.microsoft.com/office/drawing/2014/main" id="{00000000-0008-0000-0300-00004E5C0000}"/>
            </a:ext>
          </a:extLst>
        </xdr:cNvPr>
        <xdr:cNvSpPr txBox="1">
          <a:spLocks noChangeArrowheads="1"/>
        </xdr:cNvSpPr>
      </xdr:nvSpPr>
      <xdr:spPr bwMode="auto">
        <a:xfrm>
          <a:off x="6602558" y="14496616"/>
          <a:ext cx="5333567"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8</xdr:col>
      <xdr:colOff>0</xdr:colOff>
      <xdr:row>141</xdr:row>
      <xdr:rowOff>118052</xdr:rowOff>
    </xdr:from>
    <xdr:to>
      <xdr:col>14</xdr:col>
      <xdr:colOff>9541</xdr:colOff>
      <xdr:row>145</xdr:row>
      <xdr:rowOff>102266</xdr:rowOff>
    </xdr:to>
    <xdr:sp macro="" textlink="">
      <xdr:nvSpPr>
        <xdr:cNvPr id="23631" name="Textfeld 1">
          <a:extLst>
            <a:ext uri="{FF2B5EF4-FFF2-40B4-BE49-F238E27FC236}">
              <a16:creationId xmlns:a16="http://schemas.microsoft.com/office/drawing/2014/main" id="{00000000-0008-0000-0300-00004F5C0000}"/>
            </a:ext>
          </a:extLst>
        </xdr:cNvPr>
        <xdr:cNvSpPr txBox="1">
          <a:spLocks noChangeArrowheads="1"/>
        </xdr:cNvSpPr>
      </xdr:nvSpPr>
      <xdr:spPr bwMode="auto">
        <a:xfrm>
          <a:off x="6613381" y="24117733"/>
          <a:ext cx="5333567"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8</xdr:col>
      <xdr:colOff>0</xdr:colOff>
      <xdr:row>201</xdr:row>
      <xdr:rowOff>96404</xdr:rowOff>
    </xdr:from>
    <xdr:to>
      <xdr:col>14</xdr:col>
      <xdr:colOff>9541</xdr:colOff>
      <xdr:row>205</xdr:row>
      <xdr:rowOff>80618</xdr:rowOff>
    </xdr:to>
    <xdr:sp macro="" textlink="">
      <xdr:nvSpPr>
        <xdr:cNvPr id="23632" name="Textfeld 1">
          <a:extLst>
            <a:ext uri="{FF2B5EF4-FFF2-40B4-BE49-F238E27FC236}">
              <a16:creationId xmlns:a16="http://schemas.microsoft.com/office/drawing/2014/main" id="{00000000-0008-0000-0300-0000505C0000}"/>
            </a:ext>
          </a:extLst>
        </xdr:cNvPr>
        <xdr:cNvSpPr txBox="1">
          <a:spLocks noChangeArrowheads="1"/>
        </xdr:cNvSpPr>
      </xdr:nvSpPr>
      <xdr:spPr bwMode="auto">
        <a:xfrm>
          <a:off x="6613381" y="33729323"/>
          <a:ext cx="5333567" cy="630382"/>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1</xdr:col>
      <xdr:colOff>10391</xdr:colOff>
      <xdr:row>81</xdr:row>
      <xdr:rowOff>115599</xdr:rowOff>
    </xdr:from>
    <xdr:to>
      <xdr:col>6</xdr:col>
      <xdr:colOff>915699</xdr:colOff>
      <xdr:row>85</xdr:row>
      <xdr:rowOff>96549</xdr:rowOff>
    </xdr:to>
    <xdr:sp macro="" textlink="">
      <xdr:nvSpPr>
        <xdr:cNvPr id="3" name="Textfeld 1">
          <a:extLst>
            <a:ext uri="{FF2B5EF4-FFF2-40B4-BE49-F238E27FC236}">
              <a16:creationId xmlns:a16="http://schemas.microsoft.com/office/drawing/2014/main" id="{7ADC1751-32C5-493C-97BF-C39B48A4F81A}"/>
            </a:ext>
          </a:extLst>
        </xdr:cNvPr>
        <xdr:cNvSpPr txBox="1">
          <a:spLocks noChangeArrowheads="1"/>
        </xdr:cNvSpPr>
      </xdr:nvSpPr>
      <xdr:spPr bwMode="auto">
        <a:xfrm>
          <a:off x="172316" y="13822074"/>
          <a:ext cx="6010708" cy="628650"/>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1</xdr:col>
      <xdr:colOff>0</xdr:colOff>
      <xdr:row>141</xdr:row>
      <xdr:rowOff>115599</xdr:rowOff>
    </xdr:from>
    <xdr:to>
      <xdr:col>7</xdr:col>
      <xdr:colOff>0</xdr:colOff>
      <xdr:row>145</xdr:row>
      <xdr:rowOff>106100</xdr:rowOff>
    </xdr:to>
    <xdr:sp macro="" textlink="">
      <xdr:nvSpPr>
        <xdr:cNvPr id="4" name="Textfeld 1">
          <a:extLst>
            <a:ext uri="{FF2B5EF4-FFF2-40B4-BE49-F238E27FC236}">
              <a16:creationId xmlns:a16="http://schemas.microsoft.com/office/drawing/2014/main" id="{14982542-2DD0-4589-8413-8731BE7CC5EA}"/>
            </a:ext>
          </a:extLst>
        </xdr:cNvPr>
        <xdr:cNvSpPr txBox="1">
          <a:spLocks noChangeArrowheads="1"/>
        </xdr:cNvSpPr>
      </xdr:nvSpPr>
      <xdr:spPr bwMode="auto">
        <a:xfrm>
          <a:off x="161925" y="22956549"/>
          <a:ext cx="6038850" cy="638201"/>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1</xdr:col>
      <xdr:colOff>10824</xdr:colOff>
      <xdr:row>201</xdr:row>
      <xdr:rowOff>87457</xdr:rowOff>
    </xdr:from>
    <xdr:to>
      <xdr:col>7</xdr:col>
      <xdr:colOff>10824</xdr:colOff>
      <xdr:row>205</xdr:row>
      <xdr:rowOff>68407</xdr:rowOff>
    </xdr:to>
    <xdr:sp macro="" textlink="">
      <xdr:nvSpPr>
        <xdr:cNvPr id="5" name="Textfeld 1">
          <a:extLst>
            <a:ext uri="{FF2B5EF4-FFF2-40B4-BE49-F238E27FC236}">
              <a16:creationId xmlns:a16="http://schemas.microsoft.com/office/drawing/2014/main" id="{439D1F98-CCA4-445E-96F6-F501EE14D5C5}"/>
            </a:ext>
          </a:extLst>
        </xdr:cNvPr>
        <xdr:cNvSpPr txBox="1">
          <a:spLocks noChangeArrowheads="1"/>
        </xdr:cNvSpPr>
      </xdr:nvSpPr>
      <xdr:spPr bwMode="auto">
        <a:xfrm>
          <a:off x="172749" y="32062882"/>
          <a:ext cx="6038850" cy="628650"/>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8</xdr:col>
      <xdr:colOff>0</xdr:colOff>
      <xdr:row>81</xdr:row>
      <xdr:rowOff>122524</xdr:rowOff>
    </xdr:from>
    <xdr:to>
      <xdr:col>14</xdr:col>
      <xdr:colOff>19050</xdr:colOff>
      <xdr:row>85</xdr:row>
      <xdr:rowOff>103474</xdr:rowOff>
    </xdr:to>
    <xdr:sp macro="" textlink="">
      <xdr:nvSpPr>
        <xdr:cNvPr id="6" name="Textfeld 1">
          <a:extLst>
            <a:ext uri="{FF2B5EF4-FFF2-40B4-BE49-F238E27FC236}">
              <a16:creationId xmlns:a16="http://schemas.microsoft.com/office/drawing/2014/main" id="{2FCDA256-A1A2-43E0-8030-136292071E70}"/>
            </a:ext>
          </a:extLst>
        </xdr:cNvPr>
        <xdr:cNvSpPr txBox="1">
          <a:spLocks noChangeArrowheads="1"/>
        </xdr:cNvSpPr>
      </xdr:nvSpPr>
      <xdr:spPr bwMode="auto">
        <a:xfrm>
          <a:off x="6686550" y="13828999"/>
          <a:ext cx="5334000" cy="628650"/>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8</xdr:col>
      <xdr:colOff>0</xdr:colOff>
      <xdr:row>141</xdr:row>
      <xdr:rowOff>130752</xdr:rowOff>
    </xdr:from>
    <xdr:to>
      <xdr:col>14</xdr:col>
      <xdr:colOff>19050</xdr:colOff>
      <xdr:row>145</xdr:row>
      <xdr:rowOff>92600</xdr:rowOff>
    </xdr:to>
    <xdr:sp macro="" textlink="">
      <xdr:nvSpPr>
        <xdr:cNvPr id="7" name="Textfeld 1">
          <a:extLst>
            <a:ext uri="{FF2B5EF4-FFF2-40B4-BE49-F238E27FC236}">
              <a16:creationId xmlns:a16="http://schemas.microsoft.com/office/drawing/2014/main" id="{0FE28FE5-D7D2-4039-90D7-EE550FCF87A4}"/>
            </a:ext>
          </a:extLst>
        </xdr:cNvPr>
        <xdr:cNvSpPr txBox="1">
          <a:spLocks noChangeArrowheads="1"/>
        </xdr:cNvSpPr>
      </xdr:nvSpPr>
      <xdr:spPr bwMode="auto">
        <a:xfrm>
          <a:off x="6686550" y="22971702"/>
          <a:ext cx="5334000" cy="609548"/>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7</xdr:col>
      <xdr:colOff>465425</xdr:colOff>
      <xdr:row>201</xdr:row>
      <xdr:rowOff>109103</xdr:rowOff>
    </xdr:from>
    <xdr:to>
      <xdr:col>13</xdr:col>
      <xdr:colOff>755072</xdr:colOff>
      <xdr:row>205</xdr:row>
      <xdr:rowOff>71236</xdr:rowOff>
    </xdr:to>
    <xdr:sp macro="" textlink="">
      <xdr:nvSpPr>
        <xdr:cNvPr id="8" name="Textfeld 1">
          <a:extLst>
            <a:ext uri="{FF2B5EF4-FFF2-40B4-BE49-F238E27FC236}">
              <a16:creationId xmlns:a16="http://schemas.microsoft.com/office/drawing/2014/main" id="{A365F800-573F-4DB7-A026-25C0FB102D30}"/>
            </a:ext>
          </a:extLst>
        </xdr:cNvPr>
        <xdr:cNvSpPr txBox="1">
          <a:spLocks noChangeArrowheads="1"/>
        </xdr:cNvSpPr>
      </xdr:nvSpPr>
      <xdr:spPr bwMode="auto">
        <a:xfrm>
          <a:off x="6666200" y="32084528"/>
          <a:ext cx="5328372" cy="609833"/>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7</xdr:col>
      <xdr:colOff>476252</xdr:colOff>
      <xdr:row>15</xdr:row>
      <xdr:rowOff>101311</xdr:rowOff>
    </xdr:from>
    <xdr:to>
      <xdr:col>14</xdr:col>
      <xdr:colOff>8228</xdr:colOff>
      <xdr:row>19</xdr:row>
      <xdr:rowOff>82254</xdr:rowOff>
    </xdr:to>
    <xdr:sp macro="" textlink="">
      <xdr:nvSpPr>
        <xdr:cNvPr id="11" name="Textfeld 1">
          <a:extLst>
            <a:ext uri="{FF2B5EF4-FFF2-40B4-BE49-F238E27FC236}">
              <a16:creationId xmlns:a16="http://schemas.microsoft.com/office/drawing/2014/main" id="{61DE3A9C-A092-446C-A818-363EDA985BDB}"/>
            </a:ext>
          </a:extLst>
        </xdr:cNvPr>
        <xdr:cNvSpPr txBox="1">
          <a:spLocks noChangeArrowheads="1"/>
        </xdr:cNvSpPr>
      </xdr:nvSpPr>
      <xdr:spPr bwMode="auto">
        <a:xfrm>
          <a:off x="6703221" y="3268374"/>
          <a:ext cx="5627976" cy="635786"/>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Calibri"/>
            </a:rPr>
            <a:t>Remarques:  </a:t>
          </a:r>
          <a:endParaRPr lang="de-CH" sz="1100" b="0" i="0" u="none" strike="noStrike" baseline="0">
            <a:solidFill>
              <a:srgbClr val="000000"/>
            </a:solidFill>
            <a:latin typeface="Calibri"/>
          </a:endParaRPr>
        </a:p>
        <a:p>
          <a:pPr algn="l" rtl="0">
            <a:defRPr sz="1000"/>
          </a:pPr>
          <a:endParaRPr lang="de-CH" sz="1100" b="0" i="0" u="none" strike="noStrike" baseline="0">
            <a:solidFill>
              <a:srgbClr val="000000"/>
            </a:solidFill>
            <a:latin typeface="Calibri"/>
          </a:endParaRPr>
        </a:p>
      </xdr:txBody>
    </xdr:sp>
    <xdr:clientData/>
  </xdr:twoCellAnchor>
  <xdr:twoCellAnchor>
    <xdr:from>
      <xdr:col>1</xdr:col>
      <xdr:colOff>10391</xdr:colOff>
      <xdr:row>81</xdr:row>
      <xdr:rowOff>115599</xdr:rowOff>
    </xdr:from>
    <xdr:to>
      <xdr:col>6</xdr:col>
      <xdr:colOff>915699</xdr:colOff>
      <xdr:row>85</xdr:row>
      <xdr:rowOff>96549</xdr:rowOff>
    </xdr:to>
    <xdr:sp macro="" textlink="">
      <xdr:nvSpPr>
        <xdr:cNvPr id="12" name="Textfeld 1">
          <a:extLst>
            <a:ext uri="{FF2B5EF4-FFF2-40B4-BE49-F238E27FC236}">
              <a16:creationId xmlns:a16="http://schemas.microsoft.com/office/drawing/2014/main" id="{681FE62E-D870-43EE-A1D9-646A6C7850BF}"/>
            </a:ext>
          </a:extLst>
        </xdr:cNvPr>
        <xdr:cNvSpPr txBox="1">
          <a:spLocks noChangeArrowheads="1"/>
        </xdr:cNvSpPr>
      </xdr:nvSpPr>
      <xdr:spPr bwMode="auto">
        <a:xfrm>
          <a:off x="172316" y="13822074"/>
          <a:ext cx="6010708" cy="628650"/>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1</xdr:col>
      <xdr:colOff>0</xdr:colOff>
      <xdr:row>141</xdr:row>
      <xdr:rowOff>115599</xdr:rowOff>
    </xdr:from>
    <xdr:to>
      <xdr:col>7</xdr:col>
      <xdr:colOff>0</xdr:colOff>
      <xdr:row>145</xdr:row>
      <xdr:rowOff>106100</xdr:rowOff>
    </xdr:to>
    <xdr:sp macro="" textlink="">
      <xdr:nvSpPr>
        <xdr:cNvPr id="13" name="Textfeld 1">
          <a:extLst>
            <a:ext uri="{FF2B5EF4-FFF2-40B4-BE49-F238E27FC236}">
              <a16:creationId xmlns:a16="http://schemas.microsoft.com/office/drawing/2014/main" id="{CD10733D-03CB-468D-858D-66616AB04D27}"/>
            </a:ext>
          </a:extLst>
        </xdr:cNvPr>
        <xdr:cNvSpPr txBox="1">
          <a:spLocks noChangeArrowheads="1"/>
        </xdr:cNvSpPr>
      </xdr:nvSpPr>
      <xdr:spPr bwMode="auto">
        <a:xfrm>
          <a:off x="161925" y="22956549"/>
          <a:ext cx="6038850" cy="638201"/>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1</xdr:col>
      <xdr:colOff>10824</xdr:colOff>
      <xdr:row>201</xdr:row>
      <xdr:rowOff>87457</xdr:rowOff>
    </xdr:from>
    <xdr:to>
      <xdr:col>7</xdr:col>
      <xdr:colOff>10824</xdr:colOff>
      <xdr:row>205</xdr:row>
      <xdr:rowOff>68407</xdr:rowOff>
    </xdr:to>
    <xdr:sp macro="" textlink="">
      <xdr:nvSpPr>
        <xdr:cNvPr id="14" name="Textfeld 1">
          <a:extLst>
            <a:ext uri="{FF2B5EF4-FFF2-40B4-BE49-F238E27FC236}">
              <a16:creationId xmlns:a16="http://schemas.microsoft.com/office/drawing/2014/main" id="{2F7E2CD6-ABDE-4FE7-BC0D-838F6F1B2A44}"/>
            </a:ext>
          </a:extLst>
        </xdr:cNvPr>
        <xdr:cNvSpPr txBox="1">
          <a:spLocks noChangeArrowheads="1"/>
        </xdr:cNvSpPr>
      </xdr:nvSpPr>
      <xdr:spPr bwMode="auto">
        <a:xfrm>
          <a:off x="172749" y="32062882"/>
          <a:ext cx="6038850" cy="628650"/>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8</xdr:col>
      <xdr:colOff>0</xdr:colOff>
      <xdr:row>81</xdr:row>
      <xdr:rowOff>122524</xdr:rowOff>
    </xdr:from>
    <xdr:to>
      <xdr:col>14</xdr:col>
      <xdr:colOff>19050</xdr:colOff>
      <xdr:row>85</xdr:row>
      <xdr:rowOff>103474</xdr:rowOff>
    </xdr:to>
    <xdr:sp macro="" textlink="">
      <xdr:nvSpPr>
        <xdr:cNvPr id="15" name="Textfeld 1">
          <a:extLst>
            <a:ext uri="{FF2B5EF4-FFF2-40B4-BE49-F238E27FC236}">
              <a16:creationId xmlns:a16="http://schemas.microsoft.com/office/drawing/2014/main" id="{D4D70566-DCF5-4687-84BF-D364CD4F3C47}"/>
            </a:ext>
          </a:extLst>
        </xdr:cNvPr>
        <xdr:cNvSpPr txBox="1">
          <a:spLocks noChangeArrowheads="1"/>
        </xdr:cNvSpPr>
      </xdr:nvSpPr>
      <xdr:spPr bwMode="auto">
        <a:xfrm>
          <a:off x="6686550" y="13828999"/>
          <a:ext cx="5334000" cy="628650"/>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8</xdr:col>
      <xdr:colOff>0</xdr:colOff>
      <xdr:row>141</xdr:row>
      <xdr:rowOff>130752</xdr:rowOff>
    </xdr:from>
    <xdr:to>
      <xdr:col>14</xdr:col>
      <xdr:colOff>19050</xdr:colOff>
      <xdr:row>145</xdr:row>
      <xdr:rowOff>92600</xdr:rowOff>
    </xdr:to>
    <xdr:sp macro="" textlink="">
      <xdr:nvSpPr>
        <xdr:cNvPr id="16" name="Textfeld 1">
          <a:extLst>
            <a:ext uri="{FF2B5EF4-FFF2-40B4-BE49-F238E27FC236}">
              <a16:creationId xmlns:a16="http://schemas.microsoft.com/office/drawing/2014/main" id="{C4C51D27-E59F-44D4-8FEF-BFE59CE35110}"/>
            </a:ext>
          </a:extLst>
        </xdr:cNvPr>
        <xdr:cNvSpPr txBox="1">
          <a:spLocks noChangeArrowheads="1"/>
        </xdr:cNvSpPr>
      </xdr:nvSpPr>
      <xdr:spPr bwMode="auto">
        <a:xfrm>
          <a:off x="6686550" y="22971702"/>
          <a:ext cx="5334000" cy="609548"/>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7</xdr:col>
      <xdr:colOff>465425</xdr:colOff>
      <xdr:row>201</xdr:row>
      <xdr:rowOff>109103</xdr:rowOff>
    </xdr:from>
    <xdr:to>
      <xdr:col>13</xdr:col>
      <xdr:colOff>755072</xdr:colOff>
      <xdr:row>205</xdr:row>
      <xdr:rowOff>71236</xdr:rowOff>
    </xdr:to>
    <xdr:sp macro="" textlink="">
      <xdr:nvSpPr>
        <xdr:cNvPr id="17" name="Textfeld 1">
          <a:extLst>
            <a:ext uri="{FF2B5EF4-FFF2-40B4-BE49-F238E27FC236}">
              <a16:creationId xmlns:a16="http://schemas.microsoft.com/office/drawing/2014/main" id="{BAB729D6-4AA5-48CE-A4BE-34DFD306D4B0}"/>
            </a:ext>
          </a:extLst>
        </xdr:cNvPr>
        <xdr:cNvSpPr txBox="1">
          <a:spLocks noChangeArrowheads="1"/>
        </xdr:cNvSpPr>
      </xdr:nvSpPr>
      <xdr:spPr bwMode="auto">
        <a:xfrm>
          <a:off x="6666200" y="32084528"/>
          <a:ext cx="5328372" cy="609833"/>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rtl="0" fontAlgn="base"/>
          <a:r>
            <a:rPr lang="de-CH" sz="1100" b="1" i="0" baseline="0">
              <a:latin typeface="+mn-lt"/>
              <a:ea typeface="+mn-ea"/>
              <a:cs typeface="+mn-cs"/>
            </a:rPr>
            <a:t>Remarques:  </a:t>
          </a:r>
          <a:endParaRPr lang="de-CH" sz="1100" b="0" i="0" baseline="0">
            <a:latin typeface="+mn-lt"/>
            <a:ea typeface="+mn-ea"/>
            <a:cs typeface="+mn-cs"/>
          </a:endParaRPr>
        </a:p>
        <a:p>
          <a:pPr algn="l" rtl="0">
            <a:defRPr sz="1000"/>
          </a:pPr>
          <a:endParaRPr lang="de-CH" sz="1100" b="0" i="0" u="none" strike="noStrike" baseline="0">
            <a:solidFill>
              <a:srgbClr val="000000"/>
            </a:solidFill>
            <a:latin typeface="Calibri"/>
          </a:endParaRPr>
        </a:p>
      </xdr:txBody>
    </xdr:sp>
    <xdr:clientData/>
  </xdr:twoCellAnchor>
  <xdr:twoCellAnchor>
    <xdr:from>
      <xdr:col>0</xdr:col>
      <xdr:colOff>148286</xdr:colOff>
      <xdr:row>15</xdr:row>
      <xdr:rowOff>99579</xdr:rowOff>
    </xdr:from>
    <xdr:to>
      <xdr:col>6</xdr:col>
      <xdr:colOff>891661</xdr:colOff>
      <xdr:row>19</xdr:row>
      <xdr:rowOff>90054</xdr:rowOff>
    </xdr:to>
    <xdr:sp macro="" textlink="">
      <xdr:nvSpPr>
        <xdr:cNvPr id="18" name="Textfeld 1">
          <a:extLst>
            <a:ext uri="{FF2B5EF4-FFF2-40B4-BE49-F238E27FC236}">
              <a16:creationId xmlns:a16="http://schemas.microsoft.com/office/drawing/2014/main" id="{44EAD903-FD3E-4EAC-B8FE-B2DAB18E42E5}"/>
            </a:ext>
          </a:extLst>
        </xdr:cNvPr>
        <xdr:cNvSpPr txBox="1">
          <a:spLocks noChangeArrowheads="1"/>
        </xdr:cNvSpPr>
      </xdr:nvSpPr>
      <xdr:spPr bwMode="auto">
        <a:xfrm>
          <a:off x="148286" y="3266642"/>
          <a:ext cx="6041656" cy="645318"/>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Calibri"/>
            </a:rPr>
            <a:t>Remarques:   </a:t>
          </a:r>
          <a:endParaRPr lang="de-CH" sz="1100" b="0" i="0" u="none" strike="noStrike" baseline="0">
            <a:solidFill>
              <a:srgbClr val="000000"/>
            </a:solidFill>
            <a:latin typeface="Calibri"/>
          </a:endParaRPr>
        </a:p>
        <a:p>
          <a:pPr algn="l" rtl="0">
            <a:defRPr sz="1000"/>
          </a:pPr>
          <a:endParaRPr lang="de-CH" sz="1100" b="0" i="0" u="none" strike="noStrike" baseline="0">
            <a:solidFill>
              <a:srgbClr val="000000"/>
            </a:solidFill>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83</xdr:row>
      <xdr:rowOff>28575</xdr:rowOff>
    </xdr:from>
    <xdr:to>
      <xdr:col>6</xdr:col>
      <xdr:colOff>584271</xdr:colOff>
      <xdr:row>91</xdr:row>
      <xdr:rowOff>0</xdr:rowOff>
    </xdr:to>
    <xdr:sp macro="" textlink="">
      <xdr:nvSpPr>
        <xdr:cNvPr id="26625" name="Textfeld 1">
          <a:extLst>
            <a:ext uri="{FF2B5EF4-FFF2-40B4-BE49-F238E27FC236}">
              <a16:creationId xmlns:a16="http://schemas.microsoft.com/office/drawing/2014/main" id="{00000000-0008-0000-0400-000001680000}"/>
            </a:ext>
          </a:extLst>
        </xdr:cNvPr>
        <xdr:cNvSpPr txBox="1">
          <a:spLocks noChangeArrowheads="1"/>
        </xdr:cNvSpPr>
      </xdr:nvSpPr>
      <xdr:spPr bwMode="auto">
        <a:xfrm>
          <a:off x="0" y="17545050"/>
          <a:ext cx="5715000" cy="1438275"/>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DE" sz="1100" b="1" i="0" strike="noStrike">
              <a:solidFill>
                <a:srgbClr val="000000"/>
              </a:solidFill>
              <a:latin typeface="Calibri"/>
              <a:ea typeface="Calibri"/>
              <a:cs typeface="Calibri"/>
            </a:rPr>
            <a:t>Bemerkungen:  </a:t>
          </a:r>
          <a:endParaRPr lang="de-DE" sz="1100" b="0" i="0" strike="noStrike">
            <a:solidFill>
              <a:srgbClr val="000000"/>
            </a:solidFill>
            <a:latin typeface="Calibri"/>
            <a:ea typeface="Calibri"/>
            <a:cs typeface="Calibri"/>
          </a:endParaRPr>
        </a:p>
        <a:p>
          <a:pPr algn="l" rtl="0">
            <a:defRPr sz="1000"/>
          </a:pPr>
          <a:endParaRPr lang="de-DE" sz="1100" b="0" i="0" strike="noStrike">
            <a:solidFill>
              <a:srgbClr val="000000"/>
            </a:solidFill>
            <a:latin typeface="Calibri"/>
            <a:ea typeface="Calibri"/>
            <a:cs typeface="Calibri"/>
          </a:endParaRPr>
        </a:p>
      </xdr:txBody>
    </xdr:sp>
    <xdr:clientData/>
  </xdr:twoCellAnchor>
  <xdr:twoCellAnchor>
    <xdr:from>
      <xdr:col>0</xdr:col>
      <xdr:colOff>0</xdr:colOff>
      <xdr:row>83</xdr:row>
      <xdr:rowOff>28575</xdr:rowOff>
    </xdr:from>
    <xdr:to>
      <xdr:col>6</xdr:col>
      <xdr:colOff>619125</xdr:colOff>
      <xdr:row>91</xdr:row>
      <xdr:rowOff>0</xdr:rowOff>
    </xdr:to>
    <xdr:sp macro="" textlink="">
      <xdr:nvSpPr>
        <xdr:cNvPr id="2" name="Textfeld 1">
          <a:extLst>
            <a:ext uri="{FF2B5EF4-FFF2-40B4-BE49-F238E27FC236}">
              <a16:creationId xmlns:a16="http://schemas.microsoft.com/office/drawing/2014/main" id="{2FD8B1A9-9123-4A50-99C4-77704F9B6D08}"/>
            </a:ext>
          </a:extLst>
        </xdr:cNvPr>
        <xdr:cNvSpPr txBox="1">
          <a:spLocks noChangeArrowheads="1"/>
        </xdr:cNvSpPr>
      </xdr:nvSpPr>
      <xdr:spPr bwMode="auto">
        <a:xfrm>
          <a:off x="0" y="17545050"/>
          <a:ext cx="5715000" cy="1438275"/>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Calibri"/>
            </a:rPr>
            <a:t>Remarques:  </a:t>
          </a:r>
          <a:endParaRPr lang="de-CH" sz="1100" b="0" i="0" u="none" strike="noStrike" baseline="0">
            <a:solidFill>
              <a:srgbClr val="000000"/>
            </a:solidFill>
            <a:latin typeface="Calibri"/>
          </a:endParaRPr>
        </a:p>
        <a:p>
          <a:pPr algn="l" rtl="0">
            <a:defRPr sz="1000"/>
          </a:pPr>
          <a:endParaRPr lang="de-CH" sz="1100" b="0" i="0" u="none" strike="noStrike" baseline="0">
            <a:solidFill>
              <a:srgbClr val="000000"/>
            </a:solidFill>
            <a:latin typeface="Calibri"/>
          </a:endParaRPr>
        </a:p>
      </xdr:txBody>
    </xdr:sp>
    <xdr:clientData/>
  </xdr:twoCellAnchor>
  <xdr:twoCellAnchor>
    <xdr:from>
      <xdr:col>8</xdr:col>
      <xdr:colOff>0</xdr:colOff>
      <xdr:row>83</xdr:row>
      <xdr:rowOff>19050</xdr:rowOff>
    </xdr:from>
    <xdr:to>
      <xdr:col>15</xdr:col>
      <xdr:colOff>0</xdr:colOff>
      <xdr:row>90</xdr:row>
      <xdr:rowOff>152400</xdr:rowOff>
    </xdr:to>
    <xdr:sp macro="" textlink="">
      <xdr:nvSpPr>
        <xdr:cNvPr id="3" name="Textfeld 1">
          <a:extLst>
            <a:ext uri="{FF2B5EF4-FFF2-40B4-BE49-F238E27FC236}">
              <a16:creationId xmlns:a16="http://schemas.microsoft.com/office/drawing/2014/main" id="{F5ACF7D5-46C0-4055-8B50-045FEC18D9F1}"/>
            </a:ext>
          </a:extLst>
        </xdr:cNvPr>
        <xdr:cNvSpPr txBox="1">
          <a:spLocks noChangeArrowheads="1"/>
        </xdr:cNvSpPr>
      </xdr:nvSpPr>
      <xdr:spPr bwMode="auto">
        <a:xfrm>
          <a:off x="6143625" y="17535525"/>
          <a:ext cx="5743575" cy="1438275"/>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Calibri"/>
            </a:rPr>
            <a:t>Remarques: </a:t>
          </a:r>
          <a:endParaRPr lang="de-CH" sz="1100" b="0" i="0" u="none" strike="noStrike" baseline="0">
            <a:solidFill>
              <a:srgbClr val="000000"/>
            </a:solidFill>
            <a:latin typeface="Calibri"/>
          </a:endParaRPr>
        </a:p>
        <a:p>
          <a:pPr algn="l" rtl="0">
            <a:defRPr sz="1000"/>
          </a:pPr>
          <a:endParaRPr lang="de-CH" sz="1100" b="0" i="0" u="none" strike="noStrike" baseline="0">
            <a:solidFill>
              <a:srgbClr val="000000"/>
            </a:solidFill>
            <a:latin typeface="Calibri"/>
          </a:endParaRPr>
        </a:p>
      </xdr:txBody>
    </xdr:sp>
    <xdr:clientData/>
  </xdr:twoCellAnchor>
  <xdr:twoCellAnchor>
    <xdr:from>
      <xdr:col>0</xdr:col>
      <xdr:colOff>0</xdr:colOff>
      <xdr:row>83</xdr:row>
      <xdr:rowOff>28575</xdr:rowOff>
    </xdr:from>
    <xdr:to>
      <xdr:col>6</xdr:col>
      <xdr:colOff>619125</xdr:colOff>
      <xdr:row>91</xdr:row>
      <xdr:rowOff>0</xdr:rowOff>
    </xdr:to>
    <xdr:sp macro="" textlink="">
      <xdr:nvSpPr>
        <xdr:cNvPr id="4" name="Textfeld 1">
          <a:extLst>
            <a:ext uri="{FF2B5EF4-FFF2-40B4-BE49-F238E27FC236}">
              <a16:creationId xmlns:a16="http://schemas.microsoft.com/office/drawing/2014/main" id="{587C51E4-04F8-41A2-A232-2A0AAC1B9086}"/>
            </a:ext>
          </a:extLst>
        </xdr:cNvPr>
        <xdr:cNvSpPr txBox="1">
          <a:spLocks noChangeArrowheads="1"/>
        </xdr:cNvSpPr>
      </xdr:nvSpPr>
      <xdr:spPr bwMode="auto">
        <a:xfrm>
          <a:off x="0" y="17545050"/>
          <a:ext cx="5715000" cy="1438275"/>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Calibri"/>
            </a:rPr>
            <a:t>Remarques:  </a:t>
          </a:r>
          <a:endParaRPr lang="de-CH" sz="1100" b="0" i="0" u="none" strike="noStrike" baseline="0">
            <a:solidFill>
              <a:srgbClr val="000000"/>
            </a:solidFill>
            <a:latin typeface="Calibri"/>
          </a:endParaRPr>
        </a:p>
        <a:p>
          <a:pPr algn="l" rtl="0">
            <a:defRPr sz="1000"/>
          </a:pPr>
          <a:endParaRPr lang="de-CH" sz="1100" b="0" i="0" u="none" strike="noStrike" baseline="0">
            <a:solidFill>
              <a:srgbClr val="000000"/>
            </a:solidFill>
            <a:latin typeface="Calibri"/>
          </a:endParaRPr>
        </a:p>
      </xdr:txBody>
    </xdr:sp>
    <xdr:clientData/>
  </xdr:twoCellAnchor>
  <xdr:twoCellAnchor>
    <xdr:from>
      <xdr:col>8</xdr:col>
      <xdr:colOff>0</xdr:colOff>
      <xdr:row>83</xdr:row>
      <xdr:rowOff>19050</xdr:rowOff>
    </xdr:from>
    <xdr:to>
      <xdr:col>15</xdr:col>
      <xdr:colOff>0</xdr:colOff>
      <xdr:row>90</xdr:row>
      <xdr:rowOff>152400</xdr:rowOff>
    </xdr:to>
    <xdr:sp macro="" textlink="">
      <xdr:nvSpPr>
        <xdr:cNvPr id="5" name="Textfeld 1">
          <a:extLst>
            <a:ext uri="{FF2B5EF4-FFF2-40B4-BE49-F238E27FC236}">
              <a16:creationId xmlns:a16="http://schemas.microsoft.com/office/drawing/2014/main" id="{71326FD8-720E-4A22-82CF-B2ED69B2957B}"/>
            </a:ext>
          </a:extLst>
        </xdr:cNvPr>
        <xdr:cNvSpPr txBox="1">
          <a:spLocks noChangeArrowheads="1"/>
        </xdr:cNvSpPr>
      </xdr:nvSpPr>
      <xdr:spPr bwMode="auto">
        <a:xfrm>
          <a:off x="6143625" y="17535525"/>
          <a:ext cx="5743575" cy="1438275"/>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Calibri"/>
            </a:rPr>
            <a:t>Remarques: </a:t>
          </a:r>
          <a:endParaRPr lang="de-CH" sz="1100" b="0" i="0" u="none" strike="noStrike" baseline="0">
            <a:solidFill>
              <a:srgbClr val="000000"/>
            </a:solidFill>
            <a:latin typeface="Calibri"/>
          </a:endParaRPr>
        </a:p>
        <a:p>
          <a:pPr algn="l" rtl="0">
            <a:defRPr sz="1000"/>
          </a:pPr>
          <a:endParaRPr lang="de-CH" sz="1100" b="0" i="0" u="none" strike="noStrike" baseline="0">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806450</xdr:colOff>
      <xdr:row>49</xdr:row>
      <xdr:rowOff>38100</xdr:rowOff>
    </xdr:from>
    <xdr:ext cx="745332" cy="170560"/>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806450" y="8734425"/>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0</xdr:col>
      <xdr:colOff>806450</xdr:colOff>
      <xdr:row>52</xdr:row>
      <xdr:rowOff>60325</xdr:rowOff>
    </xdr:from>
    <xdr:ext cx="980139" cy="174496"/>
    <xdr:sp macro="" textlink="">
      <xdr:nvSpPr>
        <xdr:cNvPr id="4" name="Text Box 4">
          <a:extLst>
            <a:ext uri="{FF2B5EF4-FFF2-40B4-BE49-F238E27FC236}">
              <a16:creationId xmlns:a16="http://schemas.microsoft.com/office/drawing/2014/main" id="{00000000-0008-0000-0600-000004000000}"/>
            </a:ext>
          </a:extLst>
        </xdr:cNvPr>
        <xdr:cNvSpPr txBox="1">
          <a:spLocks noChangeArrowheads="1"/>
        </xdr:cNvSpPr>
      </xdr:nvSpPr>
      <xdr:spPr bwMode="auto">
        <a:xfrm>
          <a:off x="1349375" y="5689600"/>
          <a:ext cx="776055" cy="18368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oneCellAnchor>
    <xdr:from>
      <xdr:col>11</xdr:col>
      <xdr:colOff>476250</xdr:colOff>
      <xdr:row>51</xdr:row>
      <xdr:rowOff>82550</xdr:rowOff>
    </xdr:from>
    <xdr:ext cx="745332" cy="170560"/>
    <xdr:sp macro="" textlink="">
      <xdr:nvSpPr>
        <xdr:cNvPr id="6" name="Text Box 6">
          <a:extLst>
            <a:ext uri="{FF2B5EF4-FFF2-40B4-BE49-F238E27FC236}">
              <a16:creationId xmlns:a16="http://schemas.microsoft.com/office/drawing/2014/main" id="{00000000-0008-0000-0600-000006000000}"/>
            </a:ext>
          </a:extLst>
        </xdr:cNvPr>
        <xdr:cNvSpPr txBox="1">
          <a:spLocks noChangeArrowheads="1"/>
        </xdr:cNvSpPr>
      </xdr:nvSpPr>
      <xdr:spPr bwMode="auto">
        <a:xfrm>
          <a:off x="8601075" y="9102725"/>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11</xdr:col>
      <xdr:colOff>476250</xdr:colOff>
      <xdr:row>48</xdr:row>
      <xdr:rowOff>92075</xdr:rowOff>
    </xdr:from>
    <xdr:ext cx="987706" cy="170560"/>
    <xdr:sp macro="" textlink="">
      <xdr:nvSpPr>
        <xdr:cNvPr id="7" name="Text Box 7">
          <a:extLst>
            <a:ext uri="{FF2B5EF4-FFF2-40B4-BE49-F238E27FC236}">
              <a16:creationId xmlns:a16="http://schemas.microsoft.com/office/drawing/2014/main" id="{00000000-0008-0000-0600-000007000000}"/>
            </a:ext>
          </a:extLst>
        </xdr:cNvPr>
        <xdr:cNvSpPr txBox="1">
          <a:spLocks noChangeArrowheads="1"/>
        </xdr:cNvSpPr>
      </xdr:nvSpPr>
      <xdr:spPr bwMode="auto">
        <a:xfrm>
          <a:off x="8601075" y="8626475"/>
          <a:ext cx="9877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twoCellAnchor>
    <xdr:from>
      <xdr:col>1</xdr:col>
      <xdr:colOff>419100</xdr:colOff>
      <xdr:row>34</xdr:row>
      <xdr:rowOff>0</xdr:rowOff>
    </xdr:from>
    <xdr:to>
      <xdr:col>4</xdr:col>
      <xdr:colOff>390525</xdr:colOff>
      <xdr:row>34</xdr:row>
      <xdr:rowOff>0</xdr:rowOff>
    </xdr:to>
    <xdr:sp macro="" textlink="">
      <xdr:nvSpPr>
        <xdr:cNvPr id="1083327" name="Line 10">
          <a:extLst>
            <a:ext uri="{FF2B5EF4-FFF2-40B4-BE49-F238E27FC236}">
              <a16:creationId xmlns:a16="http://schemas.microsoft.com/office/drawing/2014/main" id="{00000000-0008-0000-0600-0000BF871000}"/>
            </a:ext>
          </a:extLst>
        </xdr:cNvPr>
        <xdr:cNvSpPr>
          <a:spLocks noChangeShapeType="1"/>
        </xdr:cNvSpPr>
      </xdr:nvSpPr>
      <xdr:spPr bwMode="auto">
        <a:xfrm>
          <a:off x="1228725" y="6267450"/>
          <a:ext cx="2486025"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34</xdr:row>
      <xdr:rowOff>9525</xdr:rowOff>
    </xdr:from>
    <xdr:to>
      <xdr:col>7</xdr:col>
      <xdr:colOff>38100</xdr:colOff>
      <xdr:row>34</xdr:row>
      <xdr:rowOff>9525</xdr:rowOff>
    </xdr:to>
    <xdr:sp macro="" textlink="">
      <xdr:nvSpPr>
        <xdr:cNvPr id="1083328" name="Line 11">
          <a:extLst>
            <a:ext uri="{FF2B5EF4-FFF2-40B4-BE49-F238E27FC236}">
              <a16:creationId xmlns:a16="http://schemas.microsoft.com/office/drawing/2014/main" id="{00000000-0008-0000-0600-0000C0871000}"/>
            </a:ext>
          </a:extLst>
        </xdr:cNvPr>
        <xdr:cNvSpPr>
          <a:spLocks noChangeShapeType="1"/>
        </xdr:cNvSpPr>
      </xdr:nvSpPr>
      <xdr:spPr bwMode="auto">
        <a:xfrm>
          <a:off x="3895725" y="6276975"/>
          <a:ext cx="1752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219075</xdr:colOff>
      <xdr:row>32</xdr:row>
      <xdr:rowOff>82550</xdr:rowOff>
    </xdr:from>
    <xdr:ext cx="823815" cy="170560"/>
    <xdr:sp macro="" textlink="">
      <xdr:nvSpPr>
        <xdr:cNvPr id="11" name="Text Box 12">
          <a:extLst>
            <a:ext uri="{FF2B5EF4-FFF2-40B4-BE49-F238E27FC236}">
              <a16:creationId xmlns:a16="http://schemas.microsoft.com/office/drawing/2014/main" id="{00000000-0008-0000-0600-00000B000000}"/>
            </a:ext>
          </a:extLst>
        </xdr:cNvPr>
        <xdr:cNvSpPr txBox="1">
          <a:spLocks noChangeArrowheads="1"/>
        </xdr:cNvSpPr>
      </xdr:nvSpPr>
      <xdr:spPr bwMode="auto">
        <a:xfrm>
          <a:off x="2019300" y="6026150"/>
          <a:ext cx="823815"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Miete oder LU</a:t>
          </a:r>
        </a:p>
      </xdr:txBody>
    </xdr:sp>
    <xdr:clientData/>
  </xdr:oneCellAnchor>
  <xdr:oneCellAnchor>
    <xdr:from>
      <xdr:col>5</xdr:col>
      <xdr:colOff>301625</xdr:colOff>
      <xdr:row>32</xdr:row>
      <xdr:rowOff>53975</xdr:rowOff>
    </xdr:from>
    <xdr:ext cx="1451166" cy="170560"/>
    <xdr:sp macro="" textlink="">
      <xdr:nvSpPr>
        <xdr:cNvPr id="12" name="Text Box 13">
          <a:extLst>
            <a:ext uri="{FF2B5EF4-FFF2-40B4-BE49-F238E27FC236}">
              <a16:creationId xmlns:a16="http://schemas.microsoft.com/office/drawing/2014/main" id="{00000000-0008-0000-0600-00000C000000}"/>
            </a:ext>
          </a:extLst>
        </xdr:cNvPr>
        <xdr:cNvSpPr txBox="1">
          <a:spLocks noChangeArrowheads="1"/>
        </xdr:cNvSpPr>
      </xdr:nvSpPr>
      <xdr:spPr bwMode="auto">
        <a:xfrm>
          <a:off x="4387850" y="5997575"/>
          <a:ext cx="145116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Kauf oder selber machen</a:t>
          </a:r>
        </a:p>
      </xdr:txBody>
    </xdr:sp>
    <xdr:clientData/>
  </xdr:oneCellAnchor>
  <xdr:oneCellAnchor>
    <xdr:from>
      <xdr:col>0</xdr:col>
      <xdr:colOff>806450</xdr:colOff>
      <xdr:row>49</xdr:row>
      <xdr:rowOff>38100</xdr:rowOff>
    </xdr:from>
    <xdr:ext cx="745332" cy="170560"/>
    <xdr:sp macro="" textlink="">
      <xdr:nvSpPr>
        <xdr:cNvPr id="5" name="Text Box 3">
          <a:extLst>
            <a:ext uri="{FF2B5EF4-FFF2-40B4-BE49-F238E27FC236}">
              <a16:creationId xmlns:a16="http://schemas.microsoft.com/office/drawing/2014/main" id="{96B5EB7A-CB36-43A6-9FF3-993B0DD63D85}"/>
            </a:ext>
          </a:extLst>
        </xdr:cNvPr>
        <xdr:cNvSpPr txBox="1">
          <a:spLocks noChangeArrowheads="1"/>
        </xdr:cNvSpPr>
      </xdr:nvSpPr>
      <xdr:spPr bwMode="auto">
        <a:xfrm>
          <a:off x="806450" y="8734425"/>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0</xdr:col>
      <xdr:colOff>806450</xdr:colOff>
      <xdr:row>52</xdr:row>
      <xdr:rowOff>60325</xdr:rowOff>
    </xdr:from>
    <xdr:ext cx="980139" cy="174496"/>
    <xdr:sp macro="" textlink="">
      <xdr:nvSpPr>
        <xdr:cNvPr id="8" name="Text Box 4">
          <a:extLst>
            <a:ext uri="{FF2B5EF4-FFF2-40B4-BE49-F238E27FC236}">
              <a16:creationId xmlns:a16="http://schemas.microsoft.com/office/drawing/2014/main" id="{84817595-E983-4200-957A-C6D33AC075A7}"/>
            </a:ext>
          </a:extLst>
        </xdr:cNvPr>
        <xdr:cNvSpPr txBox="1">
          <a:spLocks noChangeArrowheads="1"/>
        </xdr:cNvSpPr>
      </xdr:nvSpPr>
      <xdr:spPr bwMode="auto">
        <a:xfrm>
          <a:off x="806450" y="9242425"/>
          <a:ext cx="980139" cy="174496"/>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twoCellAnchor>
    <xdr:from>
      <xdr:col>1</xdr:col>
      <xdr:colOff>419100</xdr:colOff>
      <xdr:row>34</xdr:row>
      <xdr:rowOff>0</xdr:rowOff>
    </xdr:from>
    <xdr:to>
      <xdr:col>4</xdr:col>
      <xdr:colOff>390525</xdr:colOff>
      <xdr:row>34</xdr:row>
      <xdr:rowOff>0</xdr:rowOff>
    </xdr:to>
    <xdr:sp macro="" textlink="">
      <xdr:nvSpPr>
        <xdr:cNvPr id="9" name="Line 10">
          <a:extLst>
            <a:ext uri="{FF2B5EF4-FFF2-40B4-BE49-F238E27FC236}">
              <a16:creationId xmlns:a16="http://schemas.microsoft.com/office/drawing/2014/main" id="{1DD6CED5-FF87-456D-8248-1BEAC3F24313}"/>
            </a:ext>
          </a:extLst>
        </xdr:cNvPr>
        <xdr:cNvSpPr>
          <a:spLocks noChangeShapeType="1"/>
        </xdr:cNvSpPr>
      </xdr:nvSpPr>
      <xdr:spPr bwMode="auto">
        <a:xfrm>
          <a:off x="1609725" y="6267450"/>
          <a:ext cx="25336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34</xdr:row>
      <xdr:rowOff>9525</xdr:rowOff>
    </xdr:from>
    <xdr:to>
      <xdr:col>7</xdr:col>
      <xdr:colOff>38100</xdr:colOff>
      <xdr:row>34</xdr:row>
      <xdr:rowOff>9525</xdr:rowOff>
    </xdr:to>
    <xdr:sp macro="" textlink="">
      <xdr:nvSpPr>
        <xdr:cNvPr id="10" name="Line 11">
          <a:extLst>
            <a:ext uri="{FF2B5EF4-FFF2-40B4-BE49-F238E27FC236}">
              <a16:creationId xmlns:a16="http://schemas.microsoft.com/office/drawing/2014/main" id="{B536E140-C976-4250-837F-B4A9E8DFCA42}"/>
            </a:ext>
          </a:extLst>
        </xdr:cNvPr>
        <xdr:cNvSpPr>
          <a:spLocks noChangeShapeType="1"/>
        </xdr:cNvSpPr>
      </xdr:nvSpPr>
      <xdr:spPr bwMode="auto">
        <a:xfrm>
          <a:off x="4324350" y="6276975"/>
          <a:ext cx="1752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800100</xdr:colOff>
      <xdr:row>71</xdr:row>
      <xdr:rowOff>133350</xdr:rowOff>
    </xdr:from>
    <xdr:to>
      <xdr:col>8</xdr:col>
      <xdr:colOff>676275</xdr:colOff>
      <xdr:row>96</xdr:row>
      <xdr:rowOff>123825</xdr:rowOff>
    </xdr:to>
    <xdr:graphicFrame macro="">
      <xdr:nvGraphicFramePr>
        <xdr:cNvPr id="15" name="Chart 5">
          <a:extLst>
            <a:ext uri="{FF2B5EF4-FFF2-40B4-BE49-F238E27FC236}">
              <a16:creationId xmlns:a16="http://schemas.microsoft.com/office/drawing/2014/main" id="{7BC54D04-6813-47A3-889B-1E131D235A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1133475</xdr:colOff>
      <xdr:row>35</xdr:row>
      <xdr:rowOff>57150</xdr:rowOff>
    </xdr:from>
    <xdr:to>
      <xdr:col>9</xdr:col>
      <xdr:colOff>285750</xdr:colOff>
      <xdr:row>59</xdr:row>
      <xdr:rowOff>19050</xdr:rowOff>
    </xdr:to>
    <xdr:graphicFrame macro="">
      <xdr:nvGraphicFramePr>
        <xdr:cNvPr id="16" name="Chart 5">
          <a:extLst>
            <a:ext uri="{FF2B5EF4-FFF2-40B4-BE49-F238E27FC236}">
              <a16:creationId xmlns:a16="http://schemas.microsoft.com/office/drawing/2014/main" id="{9494F61C-C487-4F7D-ABB6-486B4E20A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806450</xdr:colOff>
      <xdr:row>49</xdr:row>
      <xdr:rowOff>38100</xdr:rowOff>
    </xdr:from>
    <xdr:ext cx="745332" cy="170560"/>
    <xdr:sp macro="" textlink="">
      <xdr:nvSpPr>
        <xdr:cNvPr id="17" name="Text Box 3">
          <a:extLst>
            <a:ext uri="{FF2B5EF4-FFF2-40B4-BE49-F238E27FC236}">
              <a16:creationId xmlns:a16="http://schemas.microsoft.com/office/drawing/2014/main" id="{23E22146-A78F-4C74-A17E-7101574B7D26}"/>
            </a:ext>
          </a:extLst>
        </xdr:cNvPr>
        <xdr:cNvSpPr txBox="1">
          <a:spLocks noChangeArrowheads="1"/>
        </xdr:cNvSpPr>
      </xdr:nvSpPr>
      <xdr:spPr bwMode="auto">
        <a:xfrm>
          <a:off x="806450" y="8734425"/>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0</xdr:col>
      <xdr:colOff>806450</xdr:colOff>
      <xdr:row>52</xdr:row>
      <xdr:rowOff>60325</xdr:rowOff>
    </xdr:from>
    <xdr:ext cx="980139" cy="174496"/>
    <xdr:sp macro="" textlink="">
      <xdr:nvSpPr>
        <xdr:cNvPr id="18" name="Text Box 4">
          <a:extLst>
            <a:ext uri="{FF2B5EF4-FFF2-40B4-BE49-F238E27FC236}">
              <a16:creationId xmlns:a16="http://schemas.microsoft.com/office/drawing/2014/main" id="{503A500A-AA46-4035-B9C2-EEDFB9DE76A8}"/>
            </a:ext>
          </a:extLst>
        </xdr:cNvPr>
        <xdr:cNvSpPr txBox="1">
          <a:spLocks noChangeArrowheads="1"/>
        </xdr:cNvSpPr>
      </xdr:nvSpPr>
      <xdr:spPr bwMode="auto">
        <a:xfrm>
          <a:off x="806450" y="9242425"/>
          <a:ext cx="980139" cy="174496"/>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oneCellAnchor>
    <xdr:from>
      <xdr:col>11</xdr:col>
      <xdr:colOff>476250</xdr:colOff>
      <xdr:row>51</xdr:row>
      <xdr:rowOff>82550</xdr:rowOff>
    </xdr:from>
    <xdr:ext cx="745332" cy="170560"/>
    <xdr:sp macro="" textlink="">
      <xdr:nvSpPr>
        <xdr:cNvPr id="19" name="Text Box 6">
          <a:extLst>
            <a:ext uri="{FF2B5EF4-FFF2-40B4-BE49-F238E27FC236}">
              <a16:creationId xmlns:a16="http://schemas.microsoft.com/office/drawing/2014/main" id="{27E0E2BA-DB30-4A69-A21D-E9A787E4A212}"/>
            </a:ext>
          </a:extLst>
        </xdr:cNvPr>
        <xdr:cNvSpPr txBox="1">
          <a:spLocks noChangeArrowheads="1"/>
        </xdr:cNvSpPr>
      </xdr:nvSpPr>
      <xdr:spPr bwMode="auto">
        <a:xfrm>
          <a:off x="9563100" y="9102725"/>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11</xdr:col>
      <xdr:colOff>476250</xdr:colOff>
      <xdr:row>48</xdr:row>
      <xdr:rowOff>92075</xdr:rowOff>
    </xdr:from>
    <xdr:ext cx="987706" cy="170560"/>
    <xdr:sp macro="" textlink="">
      <xdr:nvSpPr>
        <xdr:cNvPr id="20" name="Text Box 7">
          <a:extLst>
            <a:ext uri="{FF2B5EF4-FFF2-40B4-BE49-F238E27FC236}">
              <a16:creationId xmlns:a16="http://schemas.microsoft.com/office/drawing/2014/main" id="{249F3197-586D-4910-9DE5-CF2297A02EC7}"/>
            </a:ext>
          </a:extLst>
        </xdr:cNvPr>
        <xdr:cNvSpPr txBox="1">
          <a:spLocks noChangeArrowheads="1"/>
        </xdr:cNvSpPr>
      </xdr:nvSpPr>
      <xdr:spPr bwMode="auto">
        <a:xfrm>
          <a:off x="9563100" y="8626475"/>
          <a:ext cx="9877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twoCellAnchor>
    <xdr:from>
      <xdr:col>1</xdr:col>
      <xdr:colOff>419100</xdr:colOff>
      <xdr:row>34</xdr:row>
      <xdr:rowOff>0</xdr:rowOff>
    </xdr:from>
    <xdr:to>
      <xdr:col>4</xdr:col>
      <xdr:colOff>390525</xdr:colOff>
      <xdr:row>34</xdr:row>
      <xdr:rowOff>0</xdr:rowOff>
    </xdr:to>
    <xdr:sp macro="" textlink="">
      <xdr:nvSpPr>
        <xdr:cNvPr id="21" name="Line 10">
          <a:extLst>
            <a:ext uri="{FF2B5EF4-FFF2-40B4-BE49-F238E27FC236}">
              <a16:creationId xmlns:a16="http://schemas.microsoft.com/office/drawing/2014/main" id="{0C559C10-DE4D-4AF2-9B10-C9FE5972FFC4}"/>
            </a:ext>
          </a:extLst>
        </xdr:cNvPr>
        <xdr:cNvSpPr>
          <a:spLocks noChangeShapeType="1"/>
        </xdr:cNvSpPr>
      </xdr:nvSpPr>
      <xdr:spPr bwMode="auto">
        <a:xfrm>
          <a:off x="1609725" y="6267450"/>
          <a:ext cx="25336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4</xdr:col>
      <xdr:colOff>571500</xdr:colOff>
      <xdr:row>34</xdr:row>
      <xdr:rowOff>9525</xdr:rowOff>
    </xdr:from>
    <xdr:to>
      <xdr:col>7</xdr:col>
      <xdr:colOff>38100</xdr:colOff>
      <xdr:row>34</xdr:row>
      <xdr:rowOff>9525</xdr:rowOff>
    </xdr:to>
    <xdr:sp macro="" textlink="">
      <xdr:nvSpPr>
        <xdr:cNvPr id="22" name="Line 11">
          <a:extLst>
            <a:ext uri="{FF2B5EF4-FFF2-40B4-BE49-F238E27FC236}">
              <a16:creationId xmlns:a16="http://schemas.microsoft.com/office/drawing/2014/main" id="{29CDC5B7-BDC3-4A71-B503-63FD86AB6015}"/>
            </a:ext>
          </a:extLst>
        </xdr:cNvPr>
        <xdr:cNvSpPr>
          <a:spLocks noChangeShapeType="1"/>
        </xdr:cNvSpPr>
      </xdr:nvSpPr>
      <xdr:spPr bwMode="auto">
        <a:xfrm>
          <a:off x="4324350" y="6276975"/>
          <a:ext cx="1752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xdr:col>
      <xdr:colOff>504825</xdr:colOff>
      <xdr:row>34</xdr:row>
      <xdr:rowOff>9525</xdr:rowOff>
    </xdr:from>
    <xdr:ext cx="2078389" cy="170560"/>
    <xdr:sp macro="" textlink="">
      <xdr:nvSpPr>
        <xdr:cNvPr id="23" name="Text Box 12">
          <a:extLst>
            <a:ext uri="{FF2B5EF4-FFF2-40B4-BE49-F238E27FC236}">
              <a16:creationId xmlns:a16="http://schemas.microsoft.com/office/drawing/2014/main" id="{FE4F22B3-3286-41AF-BB60-77672C3B964D}"/>
            </a:ext>
          </a:extLst>
        </xdr:cNvPr>
        <xdr:cNvSpPr txBox="1">
          <a:spLocks noChangeArrowheads="1"/>
        </xdr:cNvSpPr>
      </xdr:nvSpPr>
      <xdr:spPr bwMode="auto">
        <a:xfrm>
          <a:off x="1695450" y="6276975"/>
          <a:ext cx="2078389"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location oder entreprise de trav. agr.</a:t>
          </a:r>
        </a:p>
      </xdr:txBody>
    </xdr:sp>
    <xdr:clientData/>
  </xdr:oneCellAnchor>
  <xdr:oneCellAnchor>
    <xdr:from>
      <xdr:col>4</xdr:col>
      <xdr:colOff>606425</xdr:colOff>
      <xdr:row>34</xdr:row>
      <xdr:rowOff>28575</xdr:rowOff>
    </xdr:from>
    <xdr:ext cx="1650580" cy="170560"/>
    <xdr:sp macro="" textlink="">
      <xdr:nvSpPr>
        <xdr:cNvPr id="24" name="Text Box 13">
          <a:extLst>
            <a:ext uri="{FF2B5EF4-FFF2-40B4-BE49-F238E27FC236}">
              <a16:creationId xmlns:a16="http://schemas.microsoft.com/office/drawing/2014/main" id="{260214B1-40B3-4CF7-809F-93D59A119ACB}"/>
            </a:ext>
          </a:extLst>
        </xdr:cNvPr>
        <xdr:cNvSpPr txBox="1">
          <a:spLocks noChangeArrowheads="1"/>
        </xdr:cNvSpPr>
      </xdr:nvSpPr>
      <xdr:spPr bwMode="auto">
        <a:xfrm>
          <a:off x="4359275" y="6296025"/>
          <a:ext cx="165058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Achat ou exécuter soi-même</a:t>
          </a:r>
        </a:p>
      </xdr:txBody>
    </xdr:sp>
    <xdr:clientData/>
  </xdr:oneCellAnchor>
  <xdr:twoCellAnchor>
    <xdr:from>
      <xdr:col>0</xdr:col>
      <xdr:colOff>800100</xdr:colOff>
      <xdr:row>71</xdr:row>
      <xdr:rowOff>133350</xdr:rowOff>
    </xdr:from>
    <xdr:to>
      <xdr:col>8</xdr:col>
      <xdr:colOff>676275</xdr:colOff>
      <xdr:row>96</xdr:row>
      <xdr:rowOff>123825</xdr:rowOff>
    </xdr:to>
    <xdr:graphicFrame macro="">
      <xdr:nvGraphicFramePr>
        <xdr:cNvPr id="25" name="Chart 5">
          <a:extLst>
            <a:ext uri="{FF2B5EF4-FFF2-40B4-BE49-F238E27FC236}">
              <a16:creationId xmlns:a16="http://schemas.microsoft.com/office/drawing/2014/main" id="{60E086EA-B469-45B8-BCF2-6FA17DBBF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21</xdr:row>
      <xdr:rowOff>0</xdr:rowOff>
    </xdr:from>
    <xdr:to>
      <xdr:col>7</xdr:col>
      <xdr:colOff>342900</xdr:colOff>
      <xdr:row>41</xdr:row>
      <xdr:rowOff>57150</xdr:rowOff>
    </xdr:to>
    <xdr:graphicFrame macro="">
      <xdr:nvGraphicFramePr>
        <xdr:cNvPr id="1188621" name="Chart 2">
          <a:extLst>
            <a:ext uri="{FF2B5EF4-FFF2-40B4-BE49-F238E27FC236}">
              <a16:creationId xmlns:a16="http://schemas.microsoft.com/office/drawing/2014/main" id="{00000000-0008-0000-0800-00000D23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301625</xdr:colOff>
      <xdr:row>31</xdr:row>
      <xdr:rowOff>120650</xdr:rowOff>
    </xdr:from>
    <xdr:ext cx="745332" cy="170560"/>
    <xdr:sp macro="" textlink="">
      <xdr:nvSpPr>
        <xdr:cNvPr id="9219" name="Text Box 3">
          <a:extLst>
            <a:ext uri="{FF2B5EF4-FFF2-40B4-BE49-F238E27FC236}">
              <a16:creationId xmlns:a16="http://schemas.microsoft.com/office/drawing/2014/main" id="{00000000-0008-0000-0800-000003240000}"/>
            </a:ext>
          </a:extLst>
        </xdr:cNvPr>
        <xdr:cNvSpPr txBox="1">
          <a:spLocks noChangeArrowheads="1"/>
        </xdr:cNvSpPr>
      </xdr:nvSpPr>
      <xdr:spPr bwMode="auto">
        <a:xfrm>
          <a:off x="1530350" y="5140325"/>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1</xdr:col>
      <xdr:colOff>279400</xdr:colOff>
      <xdr:row>33</xdr:row>
      <xdr:rowOff>152400</xdr:rowOff>
    </xdr:from>
    <xdr:ext cx="987706" cy="170560"/>
    <xdr:sp macro="" textlink="">
      <xdr:nvSpPr>
        <xdr:cNvPr id="9220" name="Text Box 4">
          <a:extLst>
            <a:ext uri="{FF2B5EF4-FFF2-40B4-BE49-F238E27FC236}">
              <a16:creationId xmlns:a16="http://schemas.microsoft.com/office/drawing/2014/main" id="{00000000-0008-0000-0800-000004240000}"/>
            </a:ext>
          </a:extLst>
        </xdr:cNvPr>
        <xdr:cNvSpPr txBox="1">
          <a:spLocks noChangeArrowheads="1"/>
        </xdr:cNvSpPr>
      </xdr:nvSpPr>
      <xdr:spPr bwMode="auto">
        <a:xfrm>
          <a:off x="1508125" y="5495925"/>
          <a:ext cx="9877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twoCellAnchor>
    <xdr:from>
      <xdr:col>7</xdr:col>
      <xdr:colOff>600075</xdr:colOff>
      <xdr:row>21</xdr:row>
      <xdr:rowOff>9525</xdr:rowOff>
    </xdr:from>
    <xdr:to>
      <xdr:col>15</xdr:col>
      <xdr:colOff>466725</xdr:colOff>
      <xdr:row>41</xdr:row>
      <xdr:rowOff>66675</xdr:rowOff>
    </xdr:to>
    <xdr:graphicFrame macro="">
      <xdr:nvGraphicFramePr>
        <xdr:cNvPr id="1188624" name="Chart 5">
          <a:extLst>
            <a:ext uri="{FF2B5EF4-FFF2-40B4-BE49-F238E27FC236}">
              <a16:creationId xmlns:a16="http://schemas.microsoft.com/office/drawing/2014/main" id="{00000000-0008-0000-0800-00001023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10</xdr:col>
      <xdr:colOff>612775</xdr:colOff>
      <xdr:row>33</xdr:row>
      <xdr:rowOff>104775</xdr:rowOff>
    </xdr:from>
    <xdr:ext cx="745332" cy="170560"/>
    <xdr:sp macro="" textlink="">
      <xdr:nvSpPr>
        <xdr:cNvPr id="9222" name="Text Box 6">
          <a:extLst>
            <a:ext uri="{FF2B5EF4-FFF2-40B4-BE49-F238E27FC236}">
              <a16:creationId xmlns:a16="http://schemas.microsoft.com/office/drawing/2014/main" id="{00000000-0008-0000-0800-000006240000}"/>
            </a:ext>
          </a:extLst>
        </xdr:cNvPr>
        <xdr:cNvSpPr txBox="1">
          <a:spLocks noChangeArrowheads="1"/>
        </xdr:cNvSpPr>
      </xdr:nvSpPr>
      <xdr:spPr bwMode="auto">
        <a:xfrm>
          <a:off x="8699500" y="5448300"/>
          <a:ext cx="745332"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Fixe Kosten</a:t>
          </a:r>
        </a:p>
      </xdr:txBody>
    </xdr:sp>
    <xdr:clientData/>
  </xdr:oneCellAnchor>
  <xdr:oneCellAnchor>
    <xdr:from>
      <xdr:col>10</xdr:col>
      <xdr:colOff>612775</xdr:colOff>
      <xdr:row>31</xdr:row>
      <xdr:rowOff>9525</xdr:rowOff>
    </xdr:from>
    <xdr:ext cx="987706" cy="170560"/>
    <xdr:sp macro="" textlink="">
      <xdr:nvSpPr>
        <xdr:cNvPr id="9223" name="Text Box 7">
          <a:extLst>
            <a:ext uri="{FF2B5EF4-FFF2-40B4-BE49-F238E27FC236}">
              <a16:creationId xmlns:a16="http://schemas.microsoft.com/office/drawing/2014/main" id="{00000000-0008-0000-0800-000007240000}"/>
            </a:ext>
          </a:extLst>
        </xdr:cNvPr>
        <xdr:cNvSpPr txBox="1">
          <a:spLocks noChangeArrowheads="1"/>
        </xdr:cNvSpPr>
      </xdr:nvSpPr>
      <xdr:spPr bwMode="auto">
        <a:xfrm>
          <a:off x="8699500" y="5029200"/>
          <a:ext cx="987706"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1" i="0" u="none" strike="noStrike" baseline="0">
              <a:solidFill>
                <a:srgbClr val="FFFFFF"/>
              </a:solidFill>
              <a:latin typeface="Arial"/>
              <a:cs typeface="Arial"/>
            </a:rPr>
            <a:t>Variable Kosten</a:t>
          </a:r>
        </a:p>
      </xdr:txBody>
    </xdr:sp>
    <xdr:clientData/>
  </xdr:oneCellAnchor>
  <xdr:twoCellAnchor>
    <xdr:from>
      <xdr:col>10</xdr:col>
      <xdr:colOff>457200</xdr:colOff>
      <xdr:row>22</xdr:row>
      <xdr:rowOff>123825</xdr:rowOff>
    </xdr:from>
    <xdr:to>
      <xdr:col>10</xdr:col>
      <xdr:colOff>457200</xdr:colOff>
      <xdr:row>35</xdr:row>
      <xdr:rowOff>85725</xdr:rowOff>
    </xdr:to>
    <xdr:sp macro="" textlink="">
      <xdr:nvSpPr>
        <xdr:cNvPr id="1188627" name="Line 9">
          <a:extLst>
            <a:ext uri="{FF2B5EF4-FFF2-40B4-BE49-F238E27FC236}">
              <a16:creationId xmlns:a16="http://schemas.microsoft.com/office/drawing/2014/main" id="{00000000-0008-0000-0800-000013231200}"/>
            </a:ext>
          </a:extLst>
        </xdr:cNvPr>
        <xdr:cNvSpPr>
          <a:spLocks noChangeShapeType="1"/>
        </xdr:cNvSpPr>
      </xdr:nvSpPr>
      <xdr:spPr bwMode="auto">
        <a:xfrm>
          <a:off x="8543925" y="3686175"/>
          <a:ext cx="0" cy="20669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xdr:col>
      <xdr:colOff>85725</xdr:colOff>
      <xdr:row>26</xdr:row>
      <xdr:rowOff>28575</xdr:rowOff>
    </xdr:from>
    <xdr:to>
      <xdr:col>10</xdr:col>
      <xdr:colOff>457200</xdr:colOff>
      <xdr:row>26</xdr:row>
      <xdr:rowOff>28575</xdr:rowOff>
    </xdr:to>
    <xdr:sp macro="" textlink="">
      <xdr:nvSpPr>
        <xdr:cNvPr id="1188628" name="Line 10">
          <a:extLst>
            <a:ext uri="{FF2B5EF4-FFF2-40B4-BE49-F238E27FC236}">
              <a16:creationId xmlns:a16="http://schemas.microsoft.com/office/drawing/2014/main" id="{00000000-0008-0000-0800-000014231200}"/>
            </a:ext>
          </a:extLst>
        </xdr:cNvPr>
        <xdr:cNvSpPr>
          <a:spLocks noChangeShapeType="1"/>
        </xdr:cNvSpPr>
      </xdr:nvSpPr>
      <xdr:spPr bwMode="auto">
        <a:xfrm>
          <a:off x="7410450" y="4238625"/>
          <a:ext cx="113347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466725</xdr:colOff>
      <xdr:row>26</xdr:row>
      <xdr:rowOff>28575</xdr:rowOff>
    </xdr:from>
    <xdr:to>
      <xdr:col>13</xdr:col>
      <xdr:colOff>95250</xdr:colOff>
      <xdr:row>26</xdr:row>
      <xdr:rowOff>28575</xdr:rowOff>
    </xdr:to>
    <xdr:sp macro="" textlink="">
      <xdr:nvSpPr>
        <xdr:cNvPr id="1188629" name="Line 11">
          <a:extLst>
            <a:ext uri="{FF2B5EF4-FFF2-40B4-BE49-F238E27FC236}">
              <a16:creationId xmlns:a16="http://schemas.microsoft.com/office/drawing/2014/main" id="{00000000-0008-0000-0800-000015231200}"/>
            </a:ext>
          </a:extLst>
        </xdr:cNvPr>
        <xdr:cNvSpPr>
          <a:spLocks noChangeShapeType="1"/>
        </xdr:cNvSpPr>
      </xdr:nvSpPr>
      <xdr:spPr bwMode="auto">
        <a:xfrm>
          <a:off x="8553450" y="4238625"/>
          <a:ext cx="19145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9</xdr:col>
      <xdr:colOff>358775</xdr:colOff>
      <xdr:row>25</xdr:row>
      <xdr:rowOff>9525</xdr:rowOff>
    </xdr:from>
    <xdr:ext cx="574388" cy="170560"/>
    <xdr:sp macro="" textlink="">
      <xdr:nvSpPr>
        <xdr:cNvPr id="9228" name="Text Box 12">
          <a:extLst>
            <a:ext uri="{FF2B5EF4-FFF2-40B4-BE49-F238E27FC236}">
              <a16:creationId xmlns:a16="http://schemas.microsoft.com/office/drawing/2014/main" id="{00000000-0008-0000-0800-00000C240000}"/>
            </a:ext>
          </a:extLst>
        </xdr:cNvPr>
        <xdr:cNvSpPr txBox="1">
          <a:spLocks noChangeArrowheads="1"/>
        </xdr:cNvSpPr>
      </xdr:nvSpPr>
      <xdr:spPr bwMode="auto">
        <a:xfrm>
          <a:off x="7683500" y="4057650"/>
          <a:ext cx="57438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einmieten</a:t>
          </a:r>
        </a:p>
      </xdr:txBody>
    </xdr:sp>
    <xdr:clientData/>
  </xdr:oneCellAnchor>
  <xdr:oneCellAnchor>
    <xdr:from>
      <xdr:col>11</xdr:col>
      <xdr:colOff>438150</xdr:colOff>
      <xdr:row>25</xdr:row>
      <xdr:rowOff>0</xdr:rowOff>
    </xdr:from>
    <xdr:ext cx="403444" cy="170560"/>
    <xdr:sp macro="" textlink="">
      <xdr:nvSpPr>
        <xdr:cNvPr id="9229" name="Text Box 13">
          <a:extLst>
            <a:ext uri="{FF2B5EF4-FFF2-40B4-BE49-F238E27FC236}">
              <a16:creationId xmlns:a16="http://schemas.microsoft.com/office/drawing/2014/main" id="{00000000-0008-0000-0800-00000D240000}"/>
            </a:ext>
          </a:extLst>
        </xdr:cNvPr>
        <xdr:cNvSpPr txBox="1">
          <a:spLocks noChangeArrowheads="1"/>
        </xdr:cNvSpPr>
      </xdr:nvSpPr>
      <xdr:spPr bwMode="auto">
        <a:xfrm>
          <a:off x="9286875" y="4048125"/>
          <a:ext cx="403444"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kaufen</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13421</xdr:colOff>
      <xdr:row>15</xdr:row>
      <xdr:rowOff>79663</xdr:rowOff>
    </xdr:from>
    <xdr:to>
      <xdr:col>6</xdr:col>
      <xdr:colOff>1943100</xdr:colOff>
      <xdr:row>19</xdr:row>
      <xdr:rowOff>70138</xdr:rowOff>
    </xdr:to>
    <xdr:sp macro="" textlink="">
      <xdr:nvSpPr>
        <xdr:cNvPr id="3" name="Textfeld 2">
          <a:extLst>
            <a:ext uri="{FF2B5EF4-FFF2-40B4-BE49-F238E27FC236}">
              <a16:creationId xmlns:a16="http://schemas.microsoft.com/office/drawing/2014/main" id="{17A8F1EC-95DB-4699-BED8-7FA08F062AAA}"/>
            </a:ext>
          </a:extLst>
        </xdr:cNvPr>
        <xdr:cNvSpPr txBox="1">
          <a:spLocks noChangeArrowheads="1"/>
        </xdr:cNvSpPr>
      </xdr:nvSpPr>
      <xdr:spPr bwMode="auto">
        <a:xfrm>
          <a:off x="222971" y="3184813"/>
          <a:ext cx="7301779" cy="638175"/>
        </a:xfrm>
        <a:prstGeom prst="rect">
          <a:avLst/>
        </a:prstGeom>
        <a:solidFill>
          <a:srgbClr val="CCFFCC"/>
        </a:solidFill>
        <a:ln w="9525">
          <a:solidFill>
            <a:srgbClr val="BCBCBC"/>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Calibri"/>
            </a:rPr>
            <a:t>Remarques:  </a:t>
          </a:r>
          <a:endParaRPr lang="de-CH" sz="1100" b="0" i="0" u="none" strike="noStrike" baseline="0">
            <a:solidFill>
              <a:srgbClr val="000000"/>
            </a:solidFill>
            <a:latin typeface="Calibri"/>
          </a:endParaRPr>
        </a:p>
        <a:p>
          <a:pPr algn="l" rtl="0">
            <a:defRPr sz="1000"/>
          </a:pPr>
          <a:endParaRPr lang="de-CH" sz="1100" b="0" i="0" u="none" strike="noStrike" baseline="0">
            <a:solidFill>
              <a:srgbClr val="000000"/>
            </a:solidFill>
            <a:latin typeface="Calibr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S/2/5/2/3/2400/Kostenkatalog%202023/Output_2023/KoKa_23_d_f.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slw-s-pr.wbf.admin.ch\OSLW-PR$\OS\2\5\2\3\2400\Kostenkatalog%202025\Tractoscope_25\TractoScope25_f_neu.xlsx" TargetMode="External"/><Relationship Id="rId1" Type="http://schemas.openxmlformats.org/officeDocument/2006/relationships/externalLinkPath" Target="TractoScope25_f_ne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ahmen"/>
      <sheetName val="Preise_allg"/>
      <sheetName val="Preisinput"/>
      <sheetName val="calc"/>
      <sheetName val="Rohdaten_Print_d"/>
      <sheetName val="Rohdaten_Print_f"/>
      <sheetName val="Auszug_Rohdaten"/>
      <sheetName val="Tabellen_1_2_6_9_10"/>
      <sheetName val="Tabelle_7d"/>
      <sheetName val="Tabelle_7f"/>
      <sheetName val="Tabellen_8_11"/>
      <sheetName val="Grafik"/>
      <sheetName val="Maschinenstruktur"/>
      <sheetName val="Reparaturen"/>
      <sheetName val="Rep_Traktoren"/>
      <sheetName val="Diverses"/>
      <sheetName val="MaschinenFrz"/>
      <sheetName val="wirz_def"/>
    </sheetNames>
    <sheetDataSet>
      <sheetData sheetId="0"/>
      <sheetData sheetId="1">
        <row r="312">
          <cell r="F312">
            <v>1.4999999999999999E-2</v>
          </cell>
        </row>
        <row r="322">
          <cell r="F322">
            <v>926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ypothèses"/>
      <sheetName val="lire"/>
      <sheetName val="Spez"/>
      <sheetName val="Calcul des machines"/>
      <sheetName val="résumé"/>
      <sheetName val="Maschinenliste"/>
      <sheetName val="Preise_allg"/>
      <sheetName val="Grafik"/>
      <sheetName val="Acheter ou louer"/>
      <sheetName val="TracSharing"/>
      <sheetName val="Remarques"/>
      <sheetName val="Calc_valeur_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3">
          <cell r="C23">
            <v>1000</v>
          </cell>
          <cell r="D23">
            <v>2000</v>
          </cell>
          <cell r="E23">
            <v>3000</v>
          </cell>
          <cell r="F23">
            <v>4000</v>
          </cell>
          <cell r="G23">
            <v>5000</v>
          </cell>
          <cell r="H23">
            <v>6000</v>
          </cell>
          <cell r="I23">
            <v>7000</v>
          </cell>
        </row>
        <row r="24">
          <cell r="B24" t="str">
            <v xml:space="preserve">Coûts fixes </v>
          </cell>
          <cell r="C24">
            <v>15245.4</v>
          </cell>
          <cell r="D24">
            <v>15245.4</v>
          </cell>
          <cell r="E24">
            <v>15245.4</v>
          </cell>
          <cell r="F24">
            <v>15245.4</v>
          </cell>
          <cell r="G24">
            <v>15245.4</v>
          </cell>
          <cell r="H24">
            <v>15245.4</v>
          </cell>
          <cell r="I24">
            <v>15245.4</v>
          </cell>
        </row>
        <row r="25">
          <cell r="B25" t="str">
            <v xml:space="preserve">Coûts variables </v>
          </cell>
          <cell r="C25">
            <v>2173.8729034512885</v>
          </cell>
          <cell r="D25">
            <v>4347.745806902577</v>
          </cell>
          <cell r="E25">
            <v>6521.6187103538659</v>
          </cell>
          <cell r="F25">
            <v>8695.491613805154</v>
          </cell>
          <cell r="G25">
            <v>10869.364517256443</v>
          </cell>
          <cell r="H25">
            <v>13043.237420707732</v>
          </cell>
          <cell r="I25">
            <v>15217.110324159021</v>
          </cell>
        </row>
        <row r="26">
          <cell r="B26" t="str">
            <v>Tarif externe /an</v>
          </cell>
          <cell r="C26">
            <v>6000</v>
          </cell>
          <cell r="D26">
            <v>12000</v>
          </cell>
          <cell r="E26">
            <v>18000</v>
          </cell>
          <cell r="F26">
            <v>24000</v>
          </cell>
          <cell r="G26">
            <v>30000</v>
          </cell>
          <cell r="H26">
            <v>36000</v>
          </cell>
          <cell r="I26">
            <v>42000</v>
          </cell>
        </row>
        <row r="65">
          <cell r="B65" t="str">
            <v>Coûts fixes/UT</v>
          </cell>
          <cell r="C65">
            <v>15.2454</v>
          </cell>
          <cell r="D65">
            <v>7.6227</v>
          </cell>
          <cell r="E65">
            <v>5.0818000000000003</v>
          </cell>
          <cell r="F65">
            <v>3.81135</v>
          </cell>
          <cell r="G65">
            <v>3.04908</v>
          </cell>
          <cell r="H65">
            <v>2.5409000000000002</v>
          </cell>
          <cell r="I65">
            <v>2.1779142857142855</v>
          </cell>
        </row>
        <row r="66">
          <cell r="B66" t="str">
            <v>Coûts variables/UT</v>
          </cell>
          <cell r="C66">
            <v>2.1738729034512887</v>
          </cell>
          <cell r="D66">
            <v>2.1738729034512887</v>
          </cell>
          <cell r="E66">
            <v>2.1738729034512887</v>
          </cell>
          <cell r="F66">
            <v>2.1738729034512887</v>
          </cell>
          <cell r="G66">
            <v>2.1738729034512887</v>
          </cell>
          <cell r="H66">
            <v>2.1738729034512887</v>
          </cell>
          <cell r="I66">
            <v>2.1738729034512887</v>
          </cell>
        </row>
        <row r="67">
          <cell r="B67" t="str">
            <v>Tarif externe (Fr./UT)</v>
          </cell>
          <cell r="C67">
            <v>6</v>
          </cell>
          <cell r="D67">
            <v>6</v>
          </cell>
          <cell r="E67">
            <v>6</v>
          </cell>
          <cell r="F67">
            <v>6</v>
          </cell>
          <cell r="G67">
            <v>6</v>
          </cell>
          <cell r="H67">
            <v>6</v>
          </cell>
          <cell r="I67">
            <v>6</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ataloguedescouts.ch/" TargetMode="External"/><Relationship Id="rId1" Type="http://schemas.openxmlformats.org/officeDocument/2006/relationships/hyperlink" Target="mailto:Christian.Gazzarin@agroscope.admin.ch"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F183"/>
  <sheetViews>
    <sheetView workbookViewId="0">
      <selection activeCell="D14" sqref="D14"/>
    </sheetView>
  </sheetViews>
  <sheetFormatPr baseColWidth="10" defaultRowHeight="12.75"/>
  <cols>
    <col min="1" max="1" width="22.7109375" customWidth="1"/>
    <col min="2" max="2" width="13.42578125" customWidth="1"/>
    <col min="4" max="4" width="67.85546875" customWidth="1"/>
    <col min="5" max="5" width="6.42578125" hidden="1" customWidth="1"/>
    <col min="6" max="6" width="3.42578125" hidden="1" customWidth="1"/>
    <col min="7" max="7" width="11.42578125" customWidth="1"/>
    <col min="8" max="8" width="6" customWidth="1"/>
    <col min="9" max="9" width="3.7109375" customWidth="1"/>
    <col min="10" max="10" width="5.85546875" customWidth="1"/>
    <col min="11" max="11" width="3" customWidth="1"/>
    <col min="12" max="12" width="7.42578125" customWidth="1"/>
    <col min="13" max="13" width="3.42578125" customWidth="1"/>
    <col min="15" max="15" width="2.85546875" customWidth="1"/>
    <col min="17" max="17" width="8.42578125" customWidth="1"/>
  </cols>
  <sheetData>
    <row r="1" spans="1:6" ht="20.25">
      <c r="A1" s="4" t="s">
        <v>443</v>
      </c>
    </row>
    <row r="3" spans="1:6">
      <c r="A3" s="179" t="s">
        <v>444</v>
      </c>
      <c r="B3" s="179" t="s">
        <v>445</v>
      </c>
      <c r="C3" s="179"/>
      <c r="D3" s="179"/>
    </row>
    <row r="4" spans="1:6">
      <c r="A4" s="179"/>
      <c r="B4" s="179" t="s">
        <v>446</v>
      </c>
      <c r="C4" s="179"/>
      <c r="D4" s="179"/>
    </row>
    <row r="5" spans="1:6">
      <c r="A5" s="179"/>
      <c r="B5" s="179" t="s">
        <v>447</v>
      </c>
      <c r="C5" s="179"/>
      <c r="D5" s="179"/>
    </row>
    <row r="6" spans="1:6">
      <c r="A6" s="179"/>
      <c r="B6" s="179" t="s">
        <v>448</v>
      </c>
      <c r="C6" s="179"/>
      <c r="D6" s="179"/>
    </row>
    <row r="7" spans="1:6">
      <c r="A7" s="179"/>
      <c r="B7" s="179"/>
      <c r="C7" s="179"/>
      <c r="D7" s="179"/>
    </row>
    <row r="8" spans="1:6">
      <c r="A8" s="179"/>
      <c r="B8" s="179"/>
      <c r="C8" s="179"/>
      <c r="D8" s="179"/>
    </row>
    <row r="9" spans="1:6">
      <c r="A9" s="179"/>
      <c r="B9" s="179"/>
      <c r="C9" s="179"/>
      <c r="D9" s="179"/>
    </row>
    <row r="11" spans="1:6" ht="15.75">
      <c r="A11" s="3" t="s">
        <v>449</v>
      </c>
      <c r="E11" s="605" t="s">
        <v>435</v>
      </c>
      <c r="F11" s="606">
        <f>SUM(F12:F72)</f>
        <v>0</v>
      </c>
    </row>
    <row r="12" spans="1:6">
      <c r="E12" t="s">
        <v>194</v>
      </c>
    </row>
    <row r="13" spans="1:6">
      <c r="A13" t="s">
        <v>450</v>
      </c>
      <c r="B13" t="s">
        <v>382</v>
      </c>
      <c r="C13" s="823">
        <v>1.5</v>
      </c>
      <c r="E13" s="823">
        <v>1.5</v>
      </c>
      <c r="F13">
        <f>IF(E13-C13=0,0,1)</f>
        <v>0</v>
      </c>
    </row>
    <row r="14" spans="1:6">
      <c r="A14" t="s">
        <v>451</v>
      </c>
      <c r="B14" t="s">
        <v>155</v>
      </c>
      <c r="C14" s="824">
        <v>32</v>
      </c>
      <c r="E14" s="824">
        <v>32</v>
      </c>
      <c r="F14">
        <f>IF(E14-C14=0,0,1)</f>
        <v>0</v>
      </c>
    </row>
    <row r="16" spans="1:6" ht="15.75">
      <c r="A16" s="3" t="s">
        <v>452</v>
      </c>
    </row>
    <row r="17" spans="1:6">
      <c r="A17" s="2" t="s">
        <v>202</v>
      </c>
      <c r="B17" t="s">
        <v>160</v>
      </c>
      <c r="C17" s="538">
        <v>15</v>
      </c>
      <c r="E17" s="538">
        <v>15</v>
      </c>
      <c r="F17">
        <f>IF(E17-C17=0,0,1)</f>
        <v>0</v>
      </c>
    </row>
    <row r="18" spans="1:6">
      <c r="A18" s="2" t="s">
        <v>203</v>
      </c>
      <c r="B18" t="s">
        <v>160</v>
      </c>
      <c r="C18" s="538">
        <v>7</v>
      </c>
      <c r="E18" s="538">
        <v>7</v>
      </c>
      <c r="F18">
        <f>IF(E18-C18=0,0,1)</f>
        <v>0</v>
      </c>
    </row>
    <row r="21" spans="1:6" ht="15.75">
      <c r="A21" s="3" t="s">
        <v>453</v>
      </c>
    </row>
    <row r="22" spans="1:6">
      <c r="A22" t="s">
        <v>454</v>
      </c>
      <c r="B22" t="s">
        <v>156</v>
      </c>
      <c r="C22" s="475">
        <v>1.83</v>
      </c>
      <c r="E22" s="475">
        <v>1.83</v>
      </c>
    </row>
    <row r="23" spans="1:6">
      <c r="A23" t="s">
        <v>455</v>
      </c>
      <c r="B23" t="s">
        <v>156</v>
      </c>
      <c r="C23" s="475">
        <v>1.75</v>
      </c>
      <c r="E23" s="475">
        <v>1.75</v>
      </c>
    </row>
    <row r="24" spans="1:6">
      <c r="A24" t="s">
        <v>456</v>
      </c>
      <c r="B24" t="s">
        <v>156</v>
      </c>
      <c r="C24" s="476">
        <v>4.831666666666667</v>
      </c>
      <c r="E24" s="476">
        <v>4.831666666666667</v>
      </c>
      <c r="F24">
        <f t="shared" ref="F24:F36" si="0">IF(E24-C24=0,0,1)</f>
        <v>0</v>
      </c>
    </row>
    <row r="25" spans="1:6">
      <c r="A25" t="s">
        <v>457</v>
      </c>
      <c r="B25" t="s">
        <v>458</v>
      </c>
      <c r="C25" s="477">
        <v>3.0000000000000001E-3</v>
      </c>
      <c r="E25" s="477">
        <v>3.0000000000000001E-3</v>
      </c>
      <c r="F25">
        <f t="shared" si="0"/>
        <v>0</v>
      </c>
    </row>
    <row r="26" spans="1:6">
      <c r="A26" t="s">
        <v>459</v>
      </c>
      <c r="B26" t="s">
        <v>458</v>
      </c>
      <c r="C26" s="477">
        <v>5.0000000000000001E-3</v>
      </c>
      <c r="E26" s="477">
        <v>5.0000000000000001E-3</v>
      </c>
      <c r="F26">
        <f t="shared" si="0"/>
        <v>0</v>
      </c>
    </row>
    <row r="27" spans="1:6">
      <c r="A27" t="s">
        <v>460</v>
      </c>
      <c r="B27" t="s">
        <v>436</v>
      </c>
      <c r="C27" s="611">
        <v>7.0000000000000007E-2</v>
      </c>
      <c r="E27" s="611">
        <v>7.0000000000000007E-2</v>
      </c>
    </row>
    <row r="28" spans="1:6">
      <c r="A28" t="s">
        <v>461</v>
      </c>
      <c r="B28" t="s">
        <v>155</v>
      </c>
      <c r="C28" s="477">
        <v>7</v>
      </c>
      <c r="E28" s="477">
        <v>7</v>
      </c>
      <c r="F28">
        <f t="shared" si="0"/>
        <v>0</v>
      </c>
    </row>
    <row r="29" spans="1:6">
      <c r="A29" t="s">
        <v>462</v>
      </c>
      <c r="B29" t="s">
        <v>156</v>
      </c>
      <c r="C29" s="477">
        <v>0</v>
      </c>
      <c r="E29" s="477">
        <v>0</v>
      </c>
      <c r="F29">
        <f t="shared" si="0"/>
        <v>0</v>
      </c>
    </row>
    <row r="30" spans="1:6">
      <c r="A30" t="s">
        <v>463</v>
      </c>
      <c r="B30" t="s">
        <v>464</v>
      </c>
      <c r="C30" s="477">
        <v>4.0000000000000001E-3</v>
      </c>
      <c r="E30" s="477">
        <v>4.0000000000000001E-3</v>
      </c>
      <c r="F30">
        <f t="shared" si="0"/>
        <v>0</v>
      </c>
    </row>
    <row r="31" spans="1:6">
      <c r="A31" t="s">
        <v>465</v>
      </c>
      <c r="B31">
        <v>1141</v>
      </c>
      <c r="C31" s="475">
        <v>1.7941333333333334</v>
      </c>
      <c r="D31" t="s">
        <v>155</v>
      </c>
      <c r="E31" s="475">
        <v>1.7941333333333334</v>
      </c>
      <c r="F31">
        <f t="shared" si="0"/>
        <v>0</v>
      </c>
    </row>
    <row r="32" spans="1:6">
      <c r="A32" t="s">
        <v>466</v>
      </c>
      <c r="B32">
        <v>1142</v>
      </c>
      <c r="C32" s="475">
        <v>3.0276000000000001</v>
      </c>
      <c r="D32" t="s">
        <v>155</v>
      </c>
      <c r="E32" s="475">
        <v>3.0276000000000001</v>
      </c>
      <c r="F32">
        <f t="shared" si="0"/>
        <v>0</v>
      </c>
    </row>
    <row r="33" spans="1:6">
      <c r="A33" t="s">
        <v>467</v>
      </c>
      <c r="B33">
        <v>1143</v>
      </c>
      <c r="C33" s="475">
        <v>3.5322</v>
      </c>
      <c r="D33" t="s">
        <v>155</v>
      </c>
      <c r="E33" s="475">
        <v>3.5322</v>
      </c>
      <c r="F33">
        <f t="shared" si="0"/>
        <v>0</v>
      </c>
    </row>
    <row r="34" spans="1:6">
      <c r="A34" t="s">
        <v>468</v>
      </c>
      <c r="B34" t="s">
        <v>200</v>
      </c>
      <c r="C34" s="478">
        <v>468.8095238095238</v>
      </c>
      <c r="E34" s="478">
        <v>468.8095238095238</v>
      </c>
      <c r="F34">
        <f t="shared" si="0"/>
        <v>0</v>
      </c>
    </row>
    <row r="35" spans="1:6">
      <c r="A35" t="s">
        <v>10</v>
      </c>
      <c r="B35">
        <v>1144</v>
      </c>
      <c r="C35" s="475">
        <v>3.0276000000000001</v>
      </c>
      <c r="D35" t="s">
        <v>155</v>
      </c>
      <c r="E35" s="475">
        <v>3.0276000000000001</v>
      </c>
      <c r="F35">
        <f t="shared" si="0"/>
        <v>0</v>
      </c>
    </row>
    <row r="36" spans="1:6">
      <c r="A36" t="s">
        <v>433</v>
      </c>
      <c r="B36" t="s">
        <v>434</v>
      </c>
      <c r="C36" s="475">
        <v>0.28999999999999998</v>
      </c>
      <c r="E36" s="475">
        <v>0.28999999999999998</v>
      </c>
      <c r="F36">
        <f t="shared" si="0"/>
        <v>0</v>
      </c>
    </row>
    <row r="37" spans="1:6">
      <c r="A37" t="s">
        <v>437</v>
      </c>
      <c r="B37" t="s">
        <v>156</v>
      </c>
      <c r="C37" s="475">
        <v>1.1130733944954128</v>
      </c>
      <c r="E37" s="475">
        <v>1.1130733944954128</v>
      </c>
    </row>
    <row r="38" spans="1:6" ht="15.75">
      <c r="A38" s="3" t="s">
        <v>469</v>
      </c>
    </row>
    <row r="40" spans="1:6">
      <c r="A40" t="s">
        <v>470</v>
      </c>
      <c r="B40" t="s">
        <v>382</v>
      </c>
      <c r="C40" s="479">
        <v>2E-3</v>
      </c>
      <c r="E40" s="479">
        <v>2E-3</v>
      </c>
      <c r="F40">
        <f t="shared" ref="F40:F50" si="1">IF(E40-C40=0,0,1)</f>
        <v>0</v>
      </c>
    </row>
    <row r="41" spans="1:6">
      <c r="A41" t="s">
        <v>471</v>
      </c>
      <c r="B41" t="s">
        <v>157</v>
      </c>
      <c r="C41" s="480">
        <v>450</v>
      </c>
      <c r="D41" s="537"/>
      <c r="E41" s="480">
        <v>450</v>
      </c>
      <c r="F41">
        <f t="shared" si="1"/>
        <v>0</v>
      </c>
    </row>
    <row r="42" spans="1:6">
      <c r="A42" t="s">
        <v>472</v>
      </c>
      <c r="B42" t="s">
        <v>157</v>
      </c>
      <c r="C42" s="480">
        <v>420</v>
      </c>
      <c r="D42" s="537"/>
      <c r="E42" s="480">
        <v>420</v>
      </c>
      <c r="F42">
        <f t="shared" si="1"/>
        <v>0</v>
      </c>
    </row>
    <row r="43" spans="1:6">
      <c r="A43" t="s">
        <v>473</v>
      </c>
      <c r="B43" t="s">
        <v>157</v>
      </c>
      <c r="C43" s="480">
        <v>220</v>
      </c>
      <c r="E43" s="480">
        <v>220</v>
      </c>
      <c r="F43">
        <f t="shared" si="1"/>
        <v>0</v>
      </c>
    </row>
    <row r="44" spans="1:6">
      <c r="A44" t="s">
        <v>474</v>
      </c>
      <c r="B44" t="s">
        <v>157</v>
      </c>
      <c r="C44" s="480">
        <v>460</v>
      </c>
      <c r="E44" s="480">
        <v>460</v>
      </c>
      <c r="F44">
        <f t="shared" si="1"/>
        <v>0</v>
      </c>
    </row>
    <row r="45" spans="1:6">
      <c r="A45" t="s">
        <v>475</v>
      </c>
      <c r="B45" t="s">
        <v>157</v>
      </c>
      <c r="C45" s="480">
        <v>1260</v>
      </c>
      <c r="D45" s="537"/>
      <c r="E45" s="480">
        <v>1260</v>
      </c>
      <c r="F45">
        <f t="shared" si="1"/>
        <v>0</v>
      </c>
    </row>
    <row r="46" spans="1:6">
      <c r="A46" t="s">
        <v>476</v>
      </c>
      <c r="B46" t="s">
        <v>157</v>
      </c>
      <c r="C46" s="480">
        <v>60</v>
      </c>
      <c r="E46" s="480">
        <v>60</v>
      </c>
      <c r="F46">
        <f t="shared" si="1"/>
        <v>0</v>
      </c>
    </row>
    <row r="47" spans="1:6">
      <c r="A47" t="s">
        <v>477</v>
      </c>
      <c r="B47" t="s">
        <v>157</v>
      </c>
      <c r="C47" s="480">
        <v>360</v>
      </c>
      <c r="E47" s="480">
        <v>360</v>
      </c>
      <c r="F47">
        <f t="shared" si="1"/>
        <v>0</v>
      </c>
    </row>
    <row r="48" spans="1:6">
      <c r="A48" t="s">
        <v>478</v>
      </c>
      <c r="B48" t="s">
        <v>157</v>
      </c>
      <c r="C48" s="480">
        <v>0</v>
      </c>
      <c r="E48" s="480">
        <v>0</v>
      </c>
      <c r="F48">
        <f t="shared" si="1"/>
        <v>0</v>
      </c>
    </row>
    <row r="49" spans="1:6">
      <c r="A49" t="s">
        <v>479</v>
      </c>
      <c r="B49" t="s">
        <v>157</v>
      </c>
      <c r="C49" s="480">
        <v>180</v>
      </c>
      <c r="E49" s="480">
        <v>180</v>
      </c>
      <c r="F49">
        <f t="shared" si="1"/>
        <v>0</v>
      </c>
    </row>
    <row r="50" spans="1:6">
      <c r="A50" t="s">
        <v>480</v>
      </c>
      <c r="B50" t="s">
        <v>157</v>
      </c>
      <c r="C50" s="480">
        <v>560</v>
      </c>
      <c r="E50" s="480">
        <v>560</v>
      </c>
      <c r="F50">
        <f t="shared" si="1"/>
        <v>0</v>
      </c>
    </row>
    <row r="51" spans="1:6">
      <c r="C51" s="480">
        <v>856</v>
      </c>
      <c r="E51" s="480">
        <v>856</v>
      </c>
    </row>
    <row r="53" spans="1:6" ht="15.75">
      <c r="A53" s="3" t="s">
        <v>481</v>
      </c>
    </row>
    <row r="55" spans="1:6">
      <c r="A55" s="108" t="s">
        <v>482</v>
      </c>
      <c r="B55" t="s">
        <v>159</v>
      </c>
      <c r="C55" s="475">
        <v>6.0817142857142854E-2</v>
      </c>
      <c r="E55" s="475">
        <v>6.0817142857142854E-2</v>
      </c>
      <c r="F55">
        <f t="shared" ref="F55:F72" si="2">IF(E55-C55=0,0,1)</f>
        <v>0</v>
      </c>
    </row>
    <row r="56" spans="1:6">
      <c r="A56" s="1" t="s">
        <v>483</v>
      </c>
      <c r="B56" t="s">
        <v>159</v>
      </c>
      <c r="C56" s="481">
        <v>4.4400000000000002E-2</v>
      </c>
      <c r="E56" s="481">
        <v>4.4400000000000002E-2</v>
      </c>
      <c r="F56">
        <f t="shared" si="2"/>
        <v>0</v>
      </c>
    </row>
    <row r="57" spans="1:6">
      <c r="A57" s="108" t="s">
        <v>484</v>
      </c>
      <c r="B57" t="s">
        <v>159</v>
      </c>
      <c r="C57" s="481">
        <v>0.25653333333333334</v>
      </c>
      <c r="E57" s="481">
        <v>0.25653333333333334</v>
      </c>
      <c r="F57">
        <f t="shared" si="2"/>
        <v>0</v>
      </c>
    </row>
    <row r="58" spans="1:6">
      <c r="A58" s="108" t="s">
        <v>485</v>
      </c>
      <c r="B58" t="s">
        <v>159</v>
      </c>
      <c r="C58" s="475">
        <v>0.54276923076923067</v>
      </c>
      <c r="E58" s="475">
        <v>0.54276923076923067</v>
      </c>
      <c r="F58">
        <f t="shared" si="2"/>
        <v>0</v>
      </c>
    </row>
    <row r="59" spans="1:6">
      <c r="A59" s="108" t="s">
        <v>486</v>
      </c>
      <c r="B59" t="s">
        <v>159</v>
      </c>
      <c r="C59" s="475">
        <v>0.8593846153846153</v>
      </c>
      <c r="E59" s="475">
        <v>0.8593846153846153</v>
      </c>
      <c r="F59">
        <f t="shared" si="2"/>
        <v>0</v>
      </c>
    </row>
    <row r="60" spans="1:6">
      <c r="A60" s="108" t="s">
        <v>487</v>
      </c>
      <c r="B60" t="s">
        <v>159</v>
      </c>
      <c r="C60" s="475">
        <v>4.4400000000000002E-2</v>
      </c>
      <c r="E60" s="475">
        <v>4.4400000000000002E-2</v>
      </c>
      <c r="F60">
        <f t="shared" si="2"/>
        <v>0</v>
      </c>
    </row>
    <row r="61" spans="1:6">
      <c r="A61" s="102" t="s">
        <v>488</v>
      </c>
      <c r="B61" t="s">
        <v>159</v>
      </c>
      <c r="C61" s="475">
        <v>0.66477510678571428</v>
      </c>
      <c r="E61" s="475">
        <v>0.66477510678571428</v>
      </c>
      <c r="F61">
        <f t="shared" si="2"/>
        <v>0</v>
      </c>
    </row>
    <row r="62" spans="1:6">
      <c r="A62" s="102" t="s">
        <v>489</v>
      </c>
      <c r="B62" t="s">
        <v>159</v>
      </c>
      <c r="C62" s="475">
        <v>0.85765798846153829</v>
      </c>
      <c r="E62" s="475">
        <v>0.85765798846153829</v>
      </c>
      <c r="F62">
        <f t="shared" si="2"/>
        <v>0</v>
      </c>
    </row>
    <row r="63" spans="1:6">
      <c r="A63" s="102" t="s">
        <v>490</v>
      </c>
      <c r="B63" t="s">
        <v>159</v>
      </c>
      <c r="C63" s="475">
        <v>5.043333333333333</v>
      </c>
      <c r="E63" s="475">
        <v>5.043333333333333</v>
      </c>
      <c r="F63">
        <f t="shared" si="2"/>
        <v>0</v>
      </c>
    </row>
    <row r="64" spans="1:6">
      <c r="A64" s="102" t="s">
        <v>491</v>
      </c>
      <c r="B64" t="s">
        <v>159</v>
      </c>
      <c r="C64" s="475">
        <v>4.5333333333333332</v>
      </c>
      <c r="E64" s="475">
        <v>4.5333333333333332</v>
      </c>
      <c r="F64">
        <f t="shared" si="2"/>
        <v>0</v>
      </c>
    </row>
    <row r="65" spans="1:6">
      <c r="A65" s="102" t="s">
        <v>492</v>
      </c>
      <c r="B65" t="s">
        <v>159</v>
      </c>
      <c r="C65" s="475">
        <v>5.0999999999999996</v>
      </c>
      <c r="E65" s="475">
        <v>5.0999999999999996</v>
      </c>
      <c r="F65">
        <f t="shared" si="2"/>
        <v>0</v>
      </c>
    </row>
    <row r="66" spans="1:6">
      <c r="A66" s="102" t="s">
        <v>493</v>
      </c>
      <c r="B66" t="s">
        <v>159</v>
      </c>
      <c r="C66" s="475">
        <v>1.3963166666666664</v>
      </c>
      <c r="E66" s="475">
        <v>1.3963166666666664</v>
      </c>
      <c r="F66">
        <f t="shared" si="2"/>
        <v>0</v>
      </c>
    </row>
    <row r="67" spans="1:6">
      <c r="A67" s="102" t="s">
        <v>494</v>
      </c>
      <c r="B67" t="s">
        <v>159</v>
      </c>
      <c r="C67" s="482">
        <v>5.1981084401190474</v>
      </c>
      <c r="E67" s="482">
        <v>5.1981084401190474</v>
      </c>
      <c r="F67">
        <f t="shared" si="2"/>
        <v>0</v>
      </c>
    </row>
    <row r="68" spans="1:6">
      <c r="A68" s="2" t="s">
        <v>495</v>
      </c>
      <c r="B68" t="s">
        <v>160</v>
      </c>
      <c r="C68" s="475">
        <v>3.8050986666666664</v>
      </c>
      <c r="E68" s="475">
        <v>3.8050986666666664</v>
      </c>
      <c r="F68">
        <f t="shared" si="2"/>
        <v>0</v>
      </c>
    </row>
    <row r="69" spans="1:6">
      <c r="A69" s="2" t="s">
        <v>496</v>
      </c>
      <c r="B69" t="s">
        <v>155</v>
      </c>
      <c r="C69" s="483">
        <v>7.46</v>
      </c>
      <c r="E69" s="483">
        <v>7.46</v>
      </c>
      <c r="F69">
        <f t="shared" si="2"/>
        <v>0</v>
      </c>
    </row>
    <row r="70" spans="1:6">
      <c r="A70" s="2" t="s">
        <v>497</v>
      </c>
      <c r="B70" t="s">
        <v>200</v>
      </c>
      <c r="C70" s="478">
        <v>71.476799999999997</v>
      </c>
      <c r="E70" s="478">
        <v>71.476799999999997</v>
      </c>
      <c r="F70">
        <f t="shared" si="2"/>
        <v>0</v>
      </c>
    </row>
    <row r="71" spans="1:6">
      <c r="A71" s="2" t="s">
        <v>498</v>
      </c>
      <c r="B71" t="s">
        <v>160</v>
      </c>
      <c r="C71" s="475">
        <v>1.9104477611940298</v>
      </c>
      <c r="E71" s="475">
        <v>1.9104477611940298</v>
      </c>
      <c r="F71">
        <f t="shared" si="2"/>
        <v>0</v>
      </c>
    </row>
    <row r="72" spans="1:6">
      <c r="A72" s="2" t="s">
        <v>499</v>
      </c>
      <c r="B72" t="s">
        <v>424</v>
      </c>
      <c r="C72" s="825">
        <v>4.2619047619047619</v>
      </c>
      <c r="E72" s="825">
        <v>4.2619047619047619</v>
      </c>
      <c r="F72">
        <f t="shared" si="2"/>
        <v>0</v>
      </c>
    </row>
    <row r="75" spans="1:6" ht="15.75">
      <c r="A75" s="3" t="s">
        <v>500</v>
      </c>
    </row>
    <row r="77" spans="1:6">
      <c r="B77" t="s">
        <v>501</v>
      </c>
      <c r="C77" s="8" t="s">
        <v>502</v>
      </c>
    </row>
    <row r="78" spans="1:6" ht="14.25">
      <c r="B78" s="177">
        <v>0</v>
      </c>
      <c r="C78" s="178">
        <v>0.9</v>
      </c>
    </row>
    <row r="79" spans="1:6" ht="14.25">
      <c r="B79" s="177">
        <v>0.1</v>
      </c>
      <c r="C79" s="178">
        <v>0.85</v>
      </c>
    </row>
    <row r="80" spans="1:6" ht="14.25">
      <c r="B80" s="177">
        <v>0.1</v>
      </c>
      <c r="C80" s="178">
        <v>0.75</v>
      </c>
    </row>
    <row r="81" spans="1:4" ht="14.25">
      <c r="B81" s="177">
        <v>0.25</v>
      </c>
      <c r="C81" s="178">
        <v>0.6</v>
      </c>
    </row>
    <row r="82" spans="1:4" ht="14.25">
      <c r="B82" s="177">
        <v>0.25</v>
      </c>
      <c r="C82" s="178">
        <v>0.4</v>
      </c>
    </row>
    <row r="88" spans="1:4">
      <c r="A88" s="7" t="s">
        <v>503</v>
      </c>
    </row>
    <row r="89" spans="1:4">
      <c r="A89" s="537" t="s">
        <v>504</v>
      </c>
    </row>
    <row r="95" spans="1:4">
      <c r="C95" s="826" t="s">
        <v>505</v>
      </c>
      <c r="D95" s="826"/>
    </row>
    <row r="96" spans="1:4">
      <c r="C96" s="826"/>
      <c r="D96" s="826"/>
    </row>
    <row r="97" spans="3:4">
      <c r="C97" s="9"/>
      <c r="D97" s="9"/>
    </row>
    <row r="98" spans="3:4">
      <c r="C98" s="111"/>
      <c r="D98" s="112"/>
    </row>
    <row r="99" spans="3:4">
      <c r="C99" s="113"/>
      <c r="D99" s="114"/>
    </row>
    <row r="100" spans="3:4">
      <c r="C100" s="113"/>
      <c r="D100" s="115"/>
    </row>
    <row r="101" spans="3:4">
      <c r="C101" s="113"/>
      <c r="D101" s="115"/>
    </row>
    <row r="102" spans="3:4">
      <c r="C102" s="113"/>
      <c r="D102" s="116"/>
    </row>
    <row r="103" spans="3:4">
      <c r="C103" s="113"/>
      <c r="D103" s="115"/>
    </row>
    <row r="104" spans="3:4">
      <c r="C104" s="113"/>
      <c r="D104" s="115"/>
    </row>
    <row r="105" spans="3:4">
      <c r="C105" s="113"/>
      <c r="D105" s="115"/>
    </row>
    <row r="106" spans="3:4">
      <c r="C106" s="113"/>
      <c r="D106" s="115"/>
    </row>
    <row r="107" spans="3:4">
      <c r="C107" s="113"/>
      <c r="D107" s="115"/>
    </row>
    <row r="108" spans="3:4">
      <c r="C108" s="117"/>
      <c r="D108" s="118"/>
    </row>
    <row r="109" spans="3:4">
      <c r="C109" s="111"/>
      <c r="D109" s="112"/>
    </row>
    <row r="110" spans="3:4">
      <c r="C110" s="117"/>
      <c r="D110" s="119"/>
    </row>
    <row r="111" spans="3:4">
      <c r="C111" s="111"/>
      <c r="D111" s="112"/>
    </row>
    <row r="112" spans="3:4">
      <c r="C112" s="117"/>
      <c r="D112" s="118"/>
    </row>
    <row r="113" spans="3:4">
      <c r="C113" s="111"/>
      <c r="D113" s="112"/>
    </row>
    <row r="114" spans="3:4">
      <c r="C114" s="117"/>
      <c r="D114" s="118"/>
    </row>
    <row r="115" spans="3:4">
      <c r="C115" s="111"/>
      <c r="D115" s="112"/>
    </row>
    <row r="116" spans="3:4">
      <c r="C116" s="117"/>
      <c r="D116" s="120"/>
    </row>
    <row r="117" spans="3:4">
      <c r="C117" s="111"/>
      <c r="D117" s="112"/>
    </row>
    <row r="118" spans="3:4">
      <c r="C118" s="117"/>
      <c r="D118" s="120"/>
    </row>
    <row r="119" spans="3:4">
      <c r="C119" s="111"/>
      <c r="D119" s="112"/>
    </row>
    <row r="120" spans="3:4">
      <c r="C120" s="117"/>
      <c r="D120" s="120"/>
    </row>
    <row r="121" spans="3:4">
      <c r="C121" s="111"/>
      <c r="D121" s="112"/>
    </row>
    <row r="122" spans="3:4">
      <c r="C122" s="117"/>
      <c r="D122" s="120"/>
    </row>
    <row r="123" spans="3:4">
      <c r="C123" s="111"/>
      <c r="D123" s="112"/>
    </row>
    <row r="124" spans="3:4">
      <c r="C124" s="117"/>
      <c r="D124" s="120"/>
    </row>
    <row r="125" spans="3:4">
      <c r="C125" s="111"/>
      <c r="D125" s="112"/>
    </row>
    <row r="126" spans="3:4">
      <c r="C126" s="117"/>
      <c r="D126" s="118"/>
    </row>
    <row r="127" spans="3:4">
      <c r="C127" s="111"/>
      <c r="D127" s="112"/>
    </row>
    <row r="128" spans="3:4">
      <c r="C128" s="113"/>
      <c r="D128" s="121"/>
    </row>
    <row r="129" spans="3:4">
      <c r="C129" s="117"/>
      <c r="D129" s="120"/>
    </row>
    <row r="130" spans="3:4">
      <c r="C130" s="111"/>
      <c r="D130" s="112"/>
    </row>
    <row r="131" spans="3:4">
      <c r="C131" s="117"/>
      <c r="D131" s="118"/>
    </row>
    <row r="132" spans="3:4">
      <c r="C132" s="111"/>
      <c r="D132" s="112"/>
    </row>
    <row r="133" spans="3:4">
      <c r="C133" s="113"/>
      <c r="D133" s="115"/>
    </row>
    <row r="134" spans="3:4">
      <c r="C134" s="117"/>
      <c r="D134" s="118"/>
    </row>
    <row r="135" spans="3:4">
      <c r="C135" s="111"/>
      <c r="D135" s="112"/>
    </row>
    <row r="136" spans="3:4">
      <c r="C136" s="117"/>
      <c r="D136" s="118"/>
    </row>
    <row r="137" spans="3:4">
      <c r="C137" s="111"/>
      <c r="D137" s="112"/>
    </row>
    <row r="138" spans="3:4">
      <c r="C138" s="117"/>
      <c r="D138" s="118"/>
    </row>
    <row r="139" spans="3:4">
      <c r="C139" s="111"/>
      <c r="D139" s="112"/>
    </row>
    <row r="140" spans="3:4">
      <c r="C140" s="113"/>
      <c r="D140" s="115"/>
    </row>
    <row r="141" spans="3:4">
      <c r="C141" s="113"/>
      <c r="D141" s="115"/>
    </row>
    <row r="142" spans="3:4">
      <c r="C142" s="117"/>
      <c r="D142" s="118"/>
    </row>
    <row r="143" spans="3:4">
      <c r="C143" s="111"/>
      <c r="D143" s="112"/>
    </row>
    <row r="144" spans="3:4">
      <c r="C144" s="113"/>
      <c r="D144" s="114"/>
    </row>
    <row r="145" spans="3:4">
      <c r="C145" s="117"/>
      <c r="D145" s="118"/>
    </row>
    <row r="146" spans="3:4">
      <c r="C146" s="113"/>
      <c r="D146" s="114"/>
    </row>
    <row r="147" spans="3:4">
      <c r="C147" s="113"/>
      <c r="D147" s="115"/>
    </row>
    <row r="148" spans="3:4">
      <c r="C148" s="111"/>
      <c r="D148" s="112"/>
    </row>
    <row r="149" spans="3:4">
      <c r="C149" s="117"/>
      <c r="D149" s="123"/>
    </row>
    <row r="150" spans="3:4">
      <c r="C150" s="111"/>
      <c r="D150" s="112"/>
    </row>
    <row r="151" spans="3:4">
      <c r="C151" s="117"/>
      <c r="D151" s="123"/>
    </row>
    <row r="152" spans="3:4">
      <c r="C152" s="111"/>
      <c r="D152" s="112"/>
    </row>
    <row r="153" spans="3:4">
      <c r="C153" s="117"/>
      <c r="D153" s="123"/>
    </row>
    <row r="154" spans="3:4">
      <c r="C154" s="6"/>
      <c r="D154" s="10"/>
    </row>
    <row r="155" spans="3:4">
      <c r="C155" s="6"/>
      <c r="D155" s="11"/>
    </row>
    <row r="156" spans="3:4">
      <c r="C156" s="111"/>
      <c r="D156" s="112"/>
    </row>
    <row r="157" spans="3:4">
      <c r="C157" s="113"/>
      <c r="D157" s="115"/>
    </row>
    <row r="158" spans="3:4">
      <c r="C158" s="117"/>
      <c r="D158" s="118"/>
    </row>
    <row r="159" spans="3:4">
      <c r="C159" s="111"/>
      <c r="D159" s="112"/>
    </row>
    <row r="160" spans="3:4">
      <c r="C160" s="113"/>
      <c r="D160" s="121"/>
    </row>
    <row r="161" spans="1:4">
      <c r="C161" s="117"/>
      <c r="D161" s="120"/>
    </row>
    <row r="162" spans="1:4">
      <c r="C162" s="111"/>
      <c r="D162" s="112"/>
    </row>
    <row r="163" spans="1:4">
      <c r="C163" s="113"/>
      <c r="D163" s="115"/>
    </row>
    <row r="164" spans="1:4">
      <c r="C164" s="117"/>
      <c r="D164" s="118"/>
    </row>
    <row r="165" spans="1:4">
      <c r="C165" s="111"/>
      <c r="D165" s="112"/>
    </row>
    <row r="166" spans="1:4">
      <c r="C166" s="117"/>
      <c r="D166" s="118"/>
    </row>
    <row r="167" spans="1:4">
      <c r="C167" s="113"/>
      <c r="D167" s="114"/>
    </row>
    <row r="168" spans="1:4">
      <c r="C168" s="113"/>
      <c r="D168" s="115"/>
    </row>
    <row r="169" spans="1:4">
      <c r="C169" s="111"/>
      <c r="D169" s="112"/>
    </row>
    <row r="170" spans="1:4">
      <c r="C170" s="113"/>
      <c r="D170" s="121"/>
    </row>
    <row r="171" spans="1:4">
      <c r="C171" s="117"/>
      <c r="D171" s="122"/>
    </row>
    <row r="172" spans="1:4">
      <c r="C172" s="6"/>
      <c r="D172" s="10"/>
    </row>
    <row r="173" spans="1:4">
      <c r="C173" s="6"/>
      <c r="D173" s="10"/>
    </row>
    <row r="174" spans="1:4" hidden="1">
      <c r="A174" t="s">
        <v>4</v>
      </c>
      <c r="C174" s="6"/>
      <c r="D174" s="10"/>
    </row>
    <row r="175" spans="1:4" hidden="1">
      <c r="A175">
        <v>1</v>
      </c>
      <c r="B175" t="s">
        <v>6</v>
      </c>
    </row>
    <row r="176" spans="1:4" hidden="1">
      <c r="A176">
        <v>2</v>
      </c>
      <c r="B176" t="s">
        <v>7</v>
      </c>
    </row>
    <row r="177" spans="1:2" hidden="1">
      <c r="A177">
        <v>3</v>
      </c>
      <c r="B177" t="s">
        <v>8</v>
      </c>
    </row>
    <row r="178" spans="1:2" hidden="1">
      <c r="A178">
        <v>4</v>
      </c>
      <c r="B178" t="s">
        <v>5</v>
      </c>
    </row>
    <row r="179" spans="1:2" hidden="1">
      <c r="A179">
        <v>5</v>
      </c>
      <c r="B179" t="s">
        <v>1</v>
      </c>
    </row>
    <row r="180" spans="1:2" hidden="1">
      <c r="A180">
        <v>6</v>
      </c>
      <c r="B180" t="s">
        <v>3</v>
      </c>
    </row>
    <row r="181" spans="1:2" hidden="1"/>
    <row r="182" spans="1:2" hidden="1"/>
    <row r="183" spans="1:2" hidden="1">
      <c r="A183" t="s">
        <v>0</v>
      </c>
      <c r="B183" t="s">
        <v>2</v>
      </c>
    </row>
  </sheetData>
  <sheetProtection algorithmName="SHA-512" hashValue="S1qetzKOfhR3sjwJ3Tqas/dJ1x0qUQq/bqlktPE4QHhgH3KORh2dTOviB2PGsazBBCliOaWudWdUqTvuxo1irg==" saltValue="J7UnU2YI2X9hi5vTdDwCEQ==" spinCount="100000" sheet="1" objects="1" scenarios="1"/>
  <customSheetViews>
    <customSheetView guid="{72D97B72-4F31-4935-B383-181115A2573C}" hiddenColumns="1">
      <selection activeCell="C46" sqref="C46"/>
      <pageMargins left="0.78740157499999996" right="0.78740157499999996" top="0.984251969" bottom="0.984251969" header="0.4921259845" footer="0.4921259845"/>
      <pageSetup paperSize="9" orientation="portrait"/>
      <headerFooter alignWithMargins="0"/>
    </customSheetView>
    <customSheetView guid="{27A951D1-C3FC-484C-B83E-FA121C9E6D3A}" hiddenColumns="1">
      <selection activeCell="C46" sqref="C46"/>
      <pageMargins left="0.78740157499999996" right="0.78740157499999996" top="0.984251969" bottom="0.984251969" header="0.4921259845" footer="0.4921259845"/>
      <pageSetup paperSize="9" orientation="portrait"/>
      <headerFooter alignWithMargins="0"/>
    </customSheetView>
  </customSheetView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B2:I35"/>
  <sheetViews>
    <sheetView workbookViewId="0">
      <selection activeCell="C5" sqref="C5"/>
    </sheetView>
  </sheetViews>
  <sheetFormatPr baseColWidth="10" defaultRowHeight="12.75"/>
  <cols>
    <col min="1" max="1" width="13" customWidth="1"/>
    <col min="2" max="2" width="28.7109375" customWidth="1"/>
  </cols>
  <sheetData>
    <row r="2" spans="2:7" ht="15.75">
      <c r="B2" s="3" t="s">
        <v>1492</v>
      </c>
    </row>
    <row r="4" spans="2:7">
      <c r="B4" s="508"/>
      <c r="C4" s="509"/>
      <c r="D4" s="509"/>
      <c r="E4" s="509"/>
      <c r="F4" s="509"/>
      <c r="G4" s="509"/>
    </row>
    <row r="5" spans="2:7">
      <c r="B5" s="518" t="s">
        <v>1493</v>
      </c>
      <c r="C5" s="531">
        <v>105000</v>
      </c>
      <c r="D5" s="985" t="s">
        <v>421</v>
      </c>
      <c r="E5" s="985"/>
      <c r="F5" s="509"/>
      <c r="G5" s="509"/>
    </row>
    <row r="6" spans="2:7">
      <c r="B6" s="986"/>
      <c r="C6" s="517"/>
      <c r="D6" s="985"/>
      <c r="E6" s="985"/>
      <c r="F6" s="509"/>
      <c r="G6" s="509"/>
    </row>
    <row r="7" spans="2:7">
      <c r="B7" s="509"/>
      <c r="G7" s="509"/>
    </row>
    <row r="8" spans="2:7">
      <c r="B8" s="518" t="s">
        <v>1494</v>
      </c>
      <c r="C8" s="985" t="s">
        <v>1495</v>
      </c>
      <c r="D8" s="509"/>
      <c r="E8" s="985" t="s">
        <v>1496</v>
      </c>
      <c r="F8" s="509"/>
      <c r="G8" s="509"/>
    </row>
    <row r="9" spans="2:7">
      <c r="B9" s="986" t="s">
        <v>1497</v>
      </c>
      <c r="C9" s="532">
        <v>3</v>
      </c>
      <c r="D9" s="985" t="s">
        <v>1498</v>
      </c>
      <c r="E9" s="531">
        <v>15</v>
      </c>
      <c r="F9" s="985" t="s">
        <v>1498</v>
      </c>
      <c r="G9" s="509"/>
    </row>
    <row r="10" spans="2:7">
      <c r="D10" s="985"/>
      <c r="E10" s="509"/>
      <c r="F10" s="509"/>
      <c r="G10" s="509"/>
    </row>
    <row r="11" spans="2:7">
      <c r="B11" s="985"/>
      <c r="C11" s="509"/>
      <c r="D11" s="509"/>
      <c r="E11" s="509"/>
      <c r="F11" s="509"/>
      <c r="G11" s="509"/>
    </row>
    <row r="12" spans="2:7">
      <c r="B12" s="986" t="s">
        <v>501</v>
      </c>
      <c r="C12" s="513">
        <f>(50/POWER(10,LOG10(E9)*C9/(E9-1))+50*(E9-C9)/E9)/100*100</f>
        <v>67.986619858419886</v>
      </c>
      <c r="D12" s="985" t="s">
        <v>382</v>
      </c>
      <c r="E12" s="514"/>
      <c r="F12" s="514"/>
      <c r="G12" s="514"/>
    </row>
    <row r="13" spans="2:7" ht="13.5" thickBot="1">
      <c r="B13" s="509"/>
      <c r="C13" s="987">
        <f>C12*C5/100</f>
        <v>71385.95085134088</v>
      </c>
      <c r="D13" s="509"/>
      <c r="E13" s="509"/>
      <c r="F13" s="509"/>
      <c r="G13" s="509"/>
    </row>
    <row r="14" spans="2:7" ht="13.5" thickTop="1">
      <c r="B14" s="509"/>
      <c r="C14" s="509"/>
      <c r="D14" s="509"/>
      <c r="E14" s="509"/>
      <c r="F14" s="509"/>
      <c r="G14" s="509"/>
    </row>
    <row r="15" spans="2:7">
      <c r="B15" s="509"/>
      <c r="C15" s="509"/>
      <c r="D15" s="509"/>
      <c r="E15" s="509"/>
      <c r="F15" s="509"/>
      <c r="G15" s="509"/>
    </row>
    <row r="16" spans="2:7">
      <c r="B16" s="509"/>
    </row>
    <row r="17" spans="2:9">
      <c r="B17" s="509"/>
    </row>
    <row r="18" spans="2:9">
      <c r="B18" s="509"/>
    </row>
    <row r="19" spans="2:9">
      <c r="B19" s="509"/>
      <c r="I19" s="401"/>
    </row>
    <row r="20" spans="2:9">
      <c r="B20" s="509"/>
    </row>
    <row r="21" spans="2:9">
      <c r="B21" s="509"/>
    </row>
    <row r="22" spans="2:9" ht="15.75">
      <c r="B22" s="524" t="s">
        <v>1575</v>
      </c>
      <c r="C22" s="509"/>
      <c r="D22" s="509"/>
      <c r="E22" s="509"/>
      <c r="F22" s="509"/>
    </row>
    <row r="23" spans="2:9">
      <c r="C23" s="509"/>
      <c r="D23" s="509"/>
      <c r="E23" s="509"/>
      <c r="F23" s="509"/>
    </row>
    <row r="24" spans="2:9">
      <c r="B24" s="509"/>
      <c r="C24" s="988" t="s">
        <v>422</v>
      </c>
      <c r="D24" s="519"/>
      <c r="E24" s="519"/>
      <c r="F24" s="519"/>
      <c r="G24" s="520"/>
    </row>
    <row r="25" spans="2:9">
      <c r="B25" s="986" t="s">
        <v>423</v>
      </c>
      <c r="C25" s="521">
        <v>10</v>
      </c>
      <c r="D25" s="522">
        <v>15</v>
      </c>
      <c r="E25" s="522">
        <v>20</v>
      </c>
      <c r="F25" s="522">
        <v>25</v>
      </c>
      <c r="G25" s="523">
        <v>30</v>
      </c>
    </row>
    <row r="26" spans="2:9">
      <c r="B26" s="989">
        <v>0.02</v>
      </c>
      <c r="C26" s="509">
        <f t="shared" ref="C26:G35" si="0">(-PMT($B26,C$25,1)*C$25-1)/C$25</f>
        <v>1.132652786531645E-2</v>
      </c>
      <c r="D26" s="509">
        <f t="shared" si="0"/>
        <v>1.1158805583577461E-2</v>
      </c>
      <c r="E26" s="509">
        <f t="shared" si="0"/>
        <v>1.1156718125290399E-2</v>
      </c>
      <c r="F26" s="509">
        <f t="shared" si="0"/>
        <v>1.1220438417394715E-2</v>
      </c>
      <c r="G26" s="509">
        <f t="shared" si="0"/>
        <v>1.1316588960069625E-2</v>
      </c>
    </row>
    <row r="27" spans="2:9">
      <c r="B27" s="516">
        <v>2.5000000000000001E-2</v>
      </c>
      <c r="C27" s="509">
        <f t="shared" si="0"/>
        <v>1.425876317714032E-2</v>
      </c>
      <c r="D27" s="509">
        <f t="shared" si="0"/>
        <v>1.4099789384866874E-2</v>
      </c>
      <c r="E27" s="509">
        <f t="shared" si="0"/>
        <v>1.4147128734474467E-2</v>
      </c>
      <c r="F27" s="509">
        <f t="shared" si="0"/>
        <v>1.4275921045792615E-2</v>
      </c>
      <c r="G27" s="509">
        <f t="shared" si="0"/>
        <v>1.4444307402843127E-2</v>
      </c>
    </row>
    <row r="28" spans="2:9">
      <c r="B28" s="516">
        <v>0.03</v>
      </c>
      <c r="C28" s="509">
        <f t="shared" si="0"/>
        <v>1.7230506605159589E-2</v>
      </c>
      <c r="D28" s="509">
        <f t="shared" si="0"/>
        <v>1.7099913795621355E-2</v>
      </c>
      <c r="E28" s="509">
        <f t="shared" si="0"/>
        <v>1.7215707596859132E-2</v>
      </c>
      <c r="F28" s="509">
        <f t="shared" si="0"/>
        <v>1.7427871039127796E-2</v>
      </c>
      <c r="G28" s="509">
        <f t="shared" si="0"/>
        <v>1.7685925986919235E-2</v>
      </c>
    </row>
    <row r="29" spans="2:9">
      <c r="B29" s="516">
        <v>3.5000000000000003E-2</v>
      </c>
      <c r="C29" s="509">
        <f t="shared" si="0"/>
        <v>2.024136786739128E-2</v>
      </c>
      <c r="D29" s="509">
        <f t="shared" si="0"/>
        <v>2.0158402699366286E-2</v>
      </c>
      <c r="E29" s="509">
        <f t="shared" si="0"/>
        <v>2.0361076783026188E-2</v>
      </c>
      <c r="F29" s="509">
        <f t="shared" si="0"/>
        <v>2.0674035411043842E-2</v>
      </c>
      <c r="G29" s="509">
        <f t="shared" si="0"/>
        <v>2.1037998274090215E-2</v>
      </c>
    </row>
    <row r="30" spans="2:9">
      <c r="B30" s="516">
        <v>3.7499999999999999E-2</v>
      </c>
      <c r="C30" s="509">
        <f t="shared" si="0"/>
        <v>2.176134232570881E-2</v>
      </c>
      <c r="D30" s="509">
        <f t="shared" si="0"/>
        <v>2.1709278556262198E-2</v>
      </c>
      <c r="E30" s="509">
        <f t="shared" si="0"/>
        <v>2.1962097329442966E-2</v>
      </c>
      <c r="F30" s="509">
        <f t="shared" si="0"/>
        <v>2.2331689013681145E-2</v>
      </c>
      <c r="G30" s="509">
        <f t="shared" si="0"/>
        <v>2.2754290820558035E-2</v>
      </c>
    </row>
    <row r="31" spans="2:9">
      <c r="B31" s="516">
        <v>0.04</v>
      </c>
      <c r="C31" s="509">
        <f t="shared" si="0"/>
        <v>2.329094433013652E-2</v>
      </c>
      <c r="D31" s="509">
        <f t="shared" si="0"/>
        <v>2.3274433704306544E-2</v>
      </c>
      <c r="E31" s="509">
        <f t="shared" si="0"/>
        <v>2.3581750328628893E-2</v>
      </c>
      <c r="F31" s="509">
        <f t="shared" si="0"/>
        <v>2.4011962786454601E-2</v>
      </c>
      <c r="G31" s="509">
        <f t="shared" si="0"/>
        <v>2.4496765800328002E-2</v>
      </c>
    </row>
    <row r="32" spans="2:9">
      <c r="B32" s="516">
        <v>4.2500000000000003E-2</v>
      </c>
      <c r="C32" s="509">
        <f t="shared" si="0"/>
        <v>2.4830121741943146E-2</v>
      </c>
      <c r="D32" s="509">
        <f t="shared" si="0"/>
        <v>2.4853758656256601E-2</v>
      </c>
      <c r="E32" s="509">
        <f t="shared" si="0"/>
        <v>2.5219834810246401E-2</v>
      </c>
      <c r="F32" s="509">
        <f t="shared" si="0"/>
        <v>2.5714523352476197E-2</v>
      </c>
      <c r="G32" s="509">
        <f t="shared" si="0"/>
        <v>2.6264913103894377E-2</v>
      </c>
    </row>
    <row r="33" spans="2:7">
      <c r="B33" s="516">
        <v>4.4999999999999998E-2</v>
      </c>
      <c r="C33" s="509">
        <f t="shared" si="0"/>
        <v>2.6378821742039316E-2</v>
      </c>
      <c r="D33" s="509">
        <f t="shared" si="0"/>
        <v>2.6447141448102139E-2</v>
      </c>
      <c r="E33" s="509">
        <f t="shared" si="0"/>
        <v>2.6876144324048036E-2</v>
      </c>
      <c r="F33" s="509">
        <f t="shared" si="0"/>
        <v>2.7439028038694486E-2</v>
      </c>
      <c r="G33" s="509">
        <f t="shared" si="0"/>
        <v>2.8058209575259809E-2</v>
      </c>
    </row>
    <row r="34" spans="2:7">
      <c r="B34" s="516">
        <v>4.7500000000000001E-2</v>
      </c>
      <c r="C34" s="509">
        <f t="shared" si="0"/>
        <v>2.7936990853742037E-2</v>
      </c>
      <c r="D34" s="509">
        <f t="shared" si="0"/>
        <v>2.8054467744202758E-2</v>
      </c>
      <c r="E34" s="509">
        <f t="shared" si="0"/>
        <v>2.8550467263651659E-2</v>
      </c>
      <c r="F34" s="509">
        <f t="shared" si="0"/>
        <v>2.9185125659870456E-2</v>
      </c>
      <c r="G34" s="509">
        <f t="shared" si="0"/>
        <v>2.9876120612691605E-2</v>
      </c>
    </row>
    <row r="35" spans="2:7">
      <c r="B35" s="516">
        <v>0.05</v>
      </c>
      <c r="C35" s="509">
        <f t="shared" si="0"/>
        <v>2.9504574965456665E-2</v>
      </c>
      <c r="D35" s="509">
        <f t="shared" si="0"/>
        <v>2.967562094257771E-2</v>
      </c>
      <c r="E35" s="509">
        <f t="shared" si="0"/>
        <v>3.0242587190691329E-2</v>
      </c>
      <c r="F35" s="509">
        <f t="shared" si="0"/>
        <v>3.0952457299229623E-2</v>
      </c>
      <c r="G35" s="509">
        <f t="shared" si="0"/>
        <v>3.1718101746943249E-2</v>
      </c>
    </row>
  </sheetData>
  <sheetProtection algorithmName="SHA-512" hashValue="ULlYxLl047KVnB7cIRTW1pxEvCDtOAz3DfmM2icLCIRTjRZBOeNrWGGocm4CeKlpM8k8z7a7u9/zXWHNeiXDWQ==" saltValue="QZe1Q9wbRt/iGUCNObqpTg==" spinCount="100000" sheet="1" objects="1" scenarios="1"/>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W125"/>
  <sheetViews>
    <sheetView workbookViewId="0">
      <selection activeCell="F5" sqref="F5"/>
    </sheetView>
  </sheetViews>
  <sheetFormatPr baseColWidth="10" defaultRowHeight="12.75"/>
  <cols>
    <col min="4" max="4" width="33" bestFit="1" customWidth="1"/>
  </cols>
  <sheetData>
    <row r="1" spans="1:23" ht="23.25">
      <c r="A1" s="244" t="s">
        <v>227</v>
      </c>
    </row>
    <row r="3" spans="1:23">
      <c r="A3" t="s">
        <v>190</v>
      </c>
      <c r="B3" t="s">
        <v>440</v>
      </c>
      <c r="D3" t="s">
        <v>98</v>
      </c>
      <c r="E3" t="s">
        <v>439</v>
      </c>
      <c r="F3" t="s">
        <v>153</v>
      </c>
      <c r="G3" t="s">
        <v>189</v>
      </c>
      <c r="H3" t="s">
        <v>226</v>
      </c>
      <c r="I3" t="s">
        <v>11</v>
      </c>
      <c r="K3" t="s">
        <v>225</v>
      </c>
      <c r="M3" t="s">
        <v>9</v>
      </c>
      <c r="N3" t="s">
        <v>332</v>
      </c>
      <c r="O3" t="s">
        <v>137</v>
      </c>
      <c r="P3" t="s">
        <v>138</v>
      </c>
      <c r="S3" s="401" t="s">
        <v>25</v>
      </c>
      <c r="T3" s="401"/>
      <c r="U3" s="401"/>
      <c r="W3" s="401" t="s">
        <v>14</v>
      </c>
    </row>
    <row r="4" spans="1:23">
      <c r="A4">
        <v>7041</v>
      </c>
      <c r="B4">
        <v>1021</v>
      </c>
      <c r="D4">
        <v>1121</v>
      </c>
      <c r="E4">
        <v>1006</v>
      </c>
      <c r="F4">
        <v>7066</v>
      </c>
      <c r="G4">
        <v>1121</v>
      </c>
      <c r="H4">
        <v>10042</v>
      </c>
      <c r="K4">
        <v>7001</v>
      </c>
      <c r="M4">
        <v>1141</v>
      </c>
      <c r="N4">
        <v>3001</v>
      </c>
      <c r="O4">
        <v>3001</v>
      </c>
      <c r="P4">
        <v>3001</v>
      </c>
      <c r="S4">
        <v>1001</v>
      </c>
      <c r="W4">
        <v>1141</v>
      </c>
    </row>
    <row r="5" spans="1:23">
      <c r="A5">
        <v>7042</v>
      </c>
      <c r="B5">
        <v>1022</v>
      </c>
      <c r="D5">
        <v>1122</v>
      </c>
      <c r="E5">
        <v>1010</v>
      </c>
      <c r="F5">
        <v>8011</v>
      </c>
      <c r="G5">
        <v>1122</v>
      </c>
      <c r="K5">
        <v>7002</v>
      </c>
      <c r="M5">
        <v>1142</v>
      </c>
      <c r="N5">
        <v>3002</v>
      </c>
      <c r="O5">
        <v>3002</v>
      </c>
      <c r="P5">
        <v>3002</v>
      </c>
      <c r="S5">
        <v>1002</v>
      </c>
      <c r="W5">
        <v>1142</v>
      </c>
    </row>
    <row r="6" spans="1:23">
      <c r="A6">
        <v>7043</v>
      </c>
      <c r="B6">
        <v>1023</v>
      </c>
      <c r="D6">
        <v>1123</v>
      </c>
      <c r="E6">
        <v>1011</v>
      </c>
      <c r="F6">
        <v>8012</v>
      </c>
      <c r="G6">
        <v>1123</v>
      </c>
      <c r="K6">
        <v>7003</v>
      </c>
      <c r="M6">
        <v>1143</v>
      </c>
      <c r="N6">
        <v>3003</v>
      </c>
      <c r="O6">
        <v>3003</v>
      </c>
      <c r="P6">
        <v>3003</v>
      </c>
      <c r="S6">
        <v>1003</v>
      </c>
      <c r="W6">
        <v>1143</v>
      </c>
    </row>
    <row r="7" spans="1:23">
      <c r="A7">
        <v>1163</v>
      </c>
      <c r="B7">
        <v>1024</v>
      </c>
      <c r="D7">
        <v>1130</v>
      </c>
      <c r="E7">
        <v>1012</v>
      </c>
      <c r="F7">
        <v>8013</v>
      </c>
      <c r="G7">
        <v>8051</v>
      </c>
      <c r="K7">
        <v>7004</v>
      </c>
      <c r="M7">
        <v>1144</v>
      </c>
      <c r="N7">
        <v>3004</v>
      </c>
      <c r="O7">
        <v>3004</v>
      </c>
      <c r="P7">
        <v>3004</v>
      </c>
      <c r="S7">
        <v>1004</v>
      </c>
      <c r="W7">
        <v>1144</v>
      </c>
    </row>
    <row r="8" spans="1:23">
      <c r="A8">
        <v>1164</v>
      </c>
      <c r="B8">
        <v>1090</v>
      </c>
      <c r="D8">
        <v>1131</v>
      </c>
      <c r="E8">
        <v>1013</v>
      </c>
      <c r="F8">
        <v>8014</v>
      </c>
      <c r="G8">
        <v>8052</v>
      </c>
      <c r="K8">
        <v>7005</v>
      </c>
      <c r="N8">
        <v>3005</v>
      </c>
      <c r="O8">
        <v>3005</v>
      </c>
      <c r="P8">
        <v>3005</v>
      </c>
      <c r="S8">
        <v>1005</v>
      </c>
      <c r="W8">
        <v>5134</v>
      </c>
    </row>
    <row r="9" spans="1:23">
      <c r="A9">
        <v>1165</v>
      </c>
      <c r="B9">
        <v>1141</v>
      </c>
      <c r="D9">
        <v>1144</v>
      </c>
      <c r="E9">
        <v>1014</v>
      </c>
      <c r="F9">
        <v>8015</v>
      </c>
      <c r="G9">
        <v>8067</v>
      </c>
      <c r="K9">
        <v>7006</v>
      </c>
      <c r="N9">
        <v>3007</v>
      </c>
      <c r="O9">
        <v>3006</v>
      </c>
      <c r="P9">
        <v>3006</v>
      </c>
      <c r="S9">
        <v>1006</v>
      </c>
      <c r="W9">
        <v>8003</v>
      </c>
    </row>
    <row r="10" spans="1:23">
      <c r="A10">
        <v>5138</v>
      </c>
      <c r="B10">
        <v>1142</v>
      </c>
      <c r="D10">
        <v>1161</v>
      </c>
      <c r="F10">
        <v>1130</v>
      </c>
      <c r="G10">
        <v>10042</v>
      </c>
      <c r="K10">
        <v>1105</v>
      </c>
      <c r="N10">
        <v>3006</v>
      </c>
      <c r="O10">
        <v>3007</v>
      </c>
      <c r="P10">
        <v>3007</v>
      </c>
      <c r="S10">
        <v>1010</v>
      </c>
      <c r="W10">
        <v>9121</v>
      </c>
    </row>
    <row r="11" spans="1:23">
      <c r="A11">
        <v>8051</v>
      </c>
      <c r="B11">
        <v>1143</v>
      </c>
      <c r="D11">
        <v>1162</v>
      </c>
      <c r="F11">
        <v>4094</v>
      </c>
      <c r="G11">
        <v>1130</v>
      </c>
      <c r="K11">
        <v>1141</v>
      </c>
      <c r="N11">
        <v>3008</v>
      </c>
      <c r="O11">
        <v>3008</v>
      </c>
      <c r="P11">
        <v>3008</v>
      </c>
      <c r="S11">
        <v>1011</v>
      </c>
      <c r="W11">
        <v>9122</v>
      </c>
    </row>
    <row r="12" spans="1:23">
      <c r="A12">
        <v>8052</v>
      </c>
      <c r="B12">
        <v>1144</v>
      </c>
      <c r="D12">
        <v>1163</v>
      </c>
      <c r="F12">
        <v>4095</v>
      </c>
      <c r="G12">
        <v>1131</v>
      </c>
      <c r="K12">
        <v>1142</v>
      </c>
      <c r="N12">
        <v>3009</v>
      </c>
      <c r="O12">
        <v>3009</v>
      </c>
      <c r="P12">
        <v>3009</v>
      </c>
      <c r="S12">
        <v>1012</v>
      </c>
      <c r="W12">
        <v>9123</v>
      </c>
    </row>
    <row r="13" spans="1:23">
      <c r="A13">
        <v>14082</v>
      </c>
      <c r="B13">
        <v>1145</v>
      </c>
      <c r="D13">
        <v>1164</v>
      </c>
      <c r="F13">
        <v>8051</v>
      </c>
      <c r="G13">
        <v>15017</v>
      </c>
      <c r="K13">
        <v>1143</v>
      </c>
      <c r="N13">
        <v>3010</v>
      </c>
      <c r="O13">
        <v>3010</v>
      </c>
      <c r="P13">
        <v>3010</v>
      </c>
      <c r="S13">
        <v>1013</v>
      </c>
      <c r="W13">
        <v>9124</v>
      </c>
    </row>
    <row r="14" spans="1:23">
      <c r="A14">
        <v>3044</v>
      </c>
      <c r="B14">
        <v>1146</v>
      </c>
      <c r="D14">
        <v>1165</v>
      </c>
      <c r="F14">
        <v>8041</v>
      </c>
      <c r="G14">
        <v>15033</v>
      </c>
      <c r="K14">
        <v>1144</v>
      </c>
      <c r="N14">
        <v>3011</v>
      </c>
      <c r="O14">
        <v>3011</v>
      </c>
      <c r="P14">
        <v>3011</v>
      </c>
      <c r="S14">
        <v>1014</v>
      </c>
      <c r="W14">
        <v>9125</v>
      </c>
    </row>
    <row r="15" spans="1:23">
      <c r="A15">
        <v>3045</v>
      </c>
      <c r="B15">
        <v>1147</v>
      </c>
      <c r="D15">
        <v>5159</v>
      </c>
      <c r="F15">
        <v>8062</v>
      </c>
      <c r="G15">
        <v>5159</v>
      </c>
      <c r="K15">
        <v>1146</v>
      </c>
      <c r="N15">
        <v>3012</v>
      </c>
      <c r="O15">
        <v>3012</v>
      </c>
      <c r="P15">
        <v>3012</v>
      </c>
      <c r="W15">
        <v>9126</v>
      </c>
    </row>
    <row r="16" spans="1:23">
      <c r="A16">
        <v>3046</v>
      </c>
      <c r="B16">
        <v>1148</v>
      </c>
      <c r="D16">
        <v>7001</v>
      </c>
      <c r="F16">
        <v>5064</v>
      </c>
      <c r="G16">
        <v>14067</v>
      </c>
      <c r="K16">
        <v>1147</v>
      </c>
      <c r="S16">
        <v>1071</v>
      </c>
      <c r="W16">
        <v>9127</v>
      </c>
    </row>
    <row r="17" spans="1:23" ht="15">
      <c r="A17" s="137">
        <v>13070</v>
      </c>
      <c r="B17">
        <v>1149</v>
      </c>
      <c r="D17">
        <v>7002</v>
      </c>
      <c r="G17">
        <v>14063</v>
      </c>
      <c r="K17">
        <v>1148</v>
      </c>
      <c r="P17">
        <v>3025</v>
      </c>
      <c r="S17">
        <v>1072</v>
      </c>
      <c r="W17">
        <v>9128</v>
      </c>
    </row>
    <row r="18" spans="1:23" ht="15">
      <c r="A18" s="495">
        <v>13071</v>
      </c>
      <c r="B18">
        <v>2078</v>
      </c>
      <c r="D18">
        <v>7003</v>
      </c>
      <c r="F18">
        <v>8063</v>
      </c>
      <c r="G18">
        <v>1062</v>
      </c>
      <c r="K18">
        <v>1149</v>
      </c>
      <c r="P18">
        <v>3026</v>
      </c>
      <c r="S18">
        <v>1073</v>
      </c>
      <c r="W18">
        <v>9129</v>
      </c>
    </row>
    <row r="19" spans="1:23" ht="15">
      <c r="A19" s="137">
        <v>13072</v>
      </c>
      <c r="B19">
        <v>2079</v>
      </c>
      <c r="D19">
        <v>7004</v>
      </c>
      <c r="F19">
        <v>8064</v>
      </c>
      <c r="K19">
        <v>12073</v>
      </c>
      <c r="N19">
        <v>3021</v>
      </c>
      <c r="O19">
        <v>3021</v>
      </c>
      <c r="P19">
        <v>3021</v>
      </c>
      <c r="S19">
        <v>1074</v>
      </c>
      <c r="W19">
        <v>9130</v>
      </c>
    </row>
    <row r="20" spans="1:23">
      <c r="A20">
        <v>14068</v>
      </c>
      <c r="B20">
        <v>6103</v>
      </c>
      <c r="D20">
        <v>7005</v>
      </c>
      <c r="F20">
        <v>8065</v>
      </c>
      <c r="K20">
        <v>12074</v>
      </c>
      <c r="N20">
        <v>3022</v>
      </c>
      <c r="O20">
        <v>3022</v>
      </c>
      <c r="P20">
        <v>3022</v>
      </c>
      <c r="S20">
        <v>1075</v>
      </c>
      <c r="W20">
        <v>9131</v>
      </c>
    </row>
    <row r="21" spans="1:23">
      <c r="B21">
        <v>6105</v>
      </c>
      <c r="D21">
        <v>7006</v>
      </c>
      <c r="F21">
        <v>8066</v>
      </c>
      <c r="K21">
        <v>8003</v>
      </c>
      <c r="N21">
        <v>3023</v>
      </c>
      <c r="O21">
        <v>3023</v>
      </c>
      <c r="P21">
        <v>3023</v>
      </c>
      <c r="W21">
        <v>9132</v>
      </c>
    </row>
    <row r="22" spans="1:23">
      <c r="B22">
        <v>6107</v>
      </c>
      <c r="D22">
        <v>8051</v>
      </c>
      <c r="F22">
        <v>8067</v>
      </c>
      <c r="K22">
        <v>12008</v>
      </c>
      <c r="N22">
        <v>3024</v>
      </c>
      <c r="O22">
        <v>3024</v>
      </c>
      <c r="P22">
        <v>3024</v>
      </c>
      <c r="S22">
        <v>1081</v>
      </c>
      <c r="W22">
        <v>9133</v>
      </c>
    </row>
    <row r="23" spans="1:23">
      <c r="B23">
        <v>6109</v>
      </c>
      <c r="D23">
        <v>8052</v>
      </c>
      <c r="F23">
        <v>8068</v>
      </c>
      <c r="K23">
        <v>12071</v>
      </c>
      <c r="N23">
        <v>3025</v>
      </c>
      <c r="O23">
        <v>3025</v>
      </c>
      <c r="S23">
        <v>1082</v>
      </c>
      <c r="W23">
        <v>9134</v>
      </c>
    </row>
    <row r="24" spans="1:23">
      <c r="B24">
        <v>6117</v>
      </c>
      <c r="D24">
        <v>8067</v>
      </c>
      <c r="F24">
        <v>8069</v>
      </c>
      <c r="K24">
        <v>14045</v>
      </c>
      <c r="N24">
        <v>3026</v>
      </c>
      <c r="O24">
        <v>3026</v>
      </c>
      <c r="P24">
        <v>3041</v>
      </c>
      <c r="S24">
        <v>1083</v>
      </c>
      <c r="W24">
        <v>9135</v>
      </c>
    </row>
    <row r="25" spans="1:23">
      <c r="B25">
        <v>6110</v>
      </c>
      <c r="D25">
        <v>8082</v>
      </c>
      <c r="F25">
        <v>8082</v>
      </c>
      <c r="K25">
        <v>14082</v>
      </c>
      <c r="P25">
        <v>3042</v>
      </c>
      <c r="S25">
        <v>1084</v>
      </c>
      <c r="W25">
        <v>12009</v>
      </c>
    </row>
    <row r="26" spans="1:23">
      <c r="B26">
        <v>6111</v>
      </c>
      <c r="D26">
        <v>9201</v>
      </c>
      <c r="F26" s="473">
        <v>14081</v>
      </c>
      <c r="K26">
        <v>13033</v>
      </c>
      <c r="P26">
        <v>3043</v>
      </c>
      <c r="S26">
        <v>1085</v>
      </c>
      <c r="W26">
        <v>14053</v>
      </c>
    </row>
    <row r="27" spans="1:23">
      <c r="B27">
        <v>6113</v>
      </c>
      <c r="D27">
        <v>9202</v>
      </c>
      <c r="F27" s="473">
        <v>14082</v>
      </c>
      <c r="K27">
        <v>13041</v>
      </c>
      <c r="S27">
        <v>1086</v>
      </c>
    </row>
    <row r="28" spans="1:23">
      <c r="B28">
        <v>6114</v>
      </c>
      <c r="D28">
        <v>10042</v>
      </c>
      <c r="F28">
        <v>14053</v>
      </c>
      <c r="K28">
        <v>13042</v>
      </c>
      <c r="S28">
        <v>1087</v>
      </c>
    </row>
    <row r="29" spans="1:23">
      <c r="B29">
        <v>6115</v>
      </c>
      <c r="D29">
        <v>12008</v>
      </c>
      <c r="F29">
        <v>7001</v>
      </c>
      <c r="K29">
        <v>15017</v>
      </c>
      <c r="S29">
        <v>1088</v>
      </c>
    </row>
    <row r="30" spans="1:23">
      <c r="B30">
        <v>6116</v>
      </c>
      <c r="D30">
        <v>13033</v>
      </c>
      <c r="F30">
        <v>7002</v>
      </c>
      <c r="K30">
        <v>15033</v>
      </c>
      <c r="S30">
        <v>1089</v>
      </c>
    </row>
    <row r="31" spans="1:23">
      <c r="B31">
        <v>6151</v>
      </c>
      <c r="D31">
        <v>13034</v>
      </c>
      <c r="F31">
        <v>7003</v>
      </c>
      <c r="K31">
        <v>8067</v>
      </c>
      <c r="S31">
        <v>1090</v>
      </c>
    </row>
    <row r="32" spans="1:23">
      <c r="B32">
        <v>6152</v>
      </c>
      <c r="D32">
        <v>14082</v>
      </c>
      <c r="F32">
        <v>7004</v>
      </c>
      <c r="K32">
        <v>8082</v>
      </c>
    </row>
    <row r="33" spans="2:15">
      <c r="B33">
        <v>6153</v>
      </c>
      <c r="D33">
        <v>15017</v>
      </c>
      <c r="F33">
        <v>7005</v>
      </c>
      <c r="K33">
        <v>9201</v>
      </c>
    </row>
    <row r="34" spans="2:15">
      <c r="B34">
        <v>6154</v>
      </c>
      <c r="D34">
        <v>15033</v>
      </c>
      <c r="F34">
        <v>7006</v>
      </c>
      <c r="K34">
        <v>9202</v>
      </c>
    </row>
    <row r="35" spans="2:15">
      <c r="B35">
        <v>6155</v>
      </c>
      <c r="D35">
        <v>7007</v>
      </c>
      <c r="F35">
        <v>9201</v>
      </c>
      <c r="K35">
        <v>10042</v>
      </c>
    </row>
    <row r="36" spans="2:15">
      <c r="B36">
        <v>6156</v>
      </c>
      <c r="D36" s="473">
        <v>14063</v>
      </c>
      <c r="F36">
        <v>9202</v>
      </c>
      <c r="K36">
        <v>1062</v>
      </c>
    </row>
    <row r="37" spans="2:15">
      <c r="B37">
        <v>6159</v>
      </c>
      <c r="D37">
        <v>14067</v>
      </c>
      <c r="F37">
        <v>8003</v>
      </c>
      <c r="K37">
        <v>11023</v>
      </c>
      <c r="O37">
        <v>3041</v>
      </c>
    </row>
    <row r="38" spans="2:15">
      <c r="D38">
        <v>1062</v>
      </c>
      <c r="F38">
        <v>7046</v>
      </c>
      <c r="K38">
        <v>11024</v>
      </c>
      <c r="O38">
        <v>3042</v>
      </c>
    </row>
    <row r="39" spans="2:15">
      <c r="D39">
        <v>5160</v>
      </c>
      <c r="F39">
        <v>7047</v>
      </c>
      <c r="K39">
        <v>7007</v>
      </c>
      <c r="O39">
        <v>3043</v>
      </c>
    </row>
    <row r="40" spans="2:15">
      <c r="D40">
        <v>7007</v>
      </c>
      <c r="F40">
        <v>9221</v>
      </c>
      <c r="K40">
        <v>7008</v>
      </c>
    </row>
    <row r="41" spans="2:15">
      <c r="D41">
        <v>7008</v>
      </c>
      <c r="F41">
        <v>9222</v>
      </c>
      <c r="K41">
        <v>7009</v>
      </c>
    </row>
    <row r="42" spans="2:15">
      <c r="D42">
        <v>7009</v>
      </c>
      <c r="F42">
        <v>9223</v>
      </c>
      <c r="K42">
        <v>9203</v>
      </c>
    </row>
    <row r="43" spans="2:15">
      <c r="D43">
        <v>9203</v>
      </c>
      <c r="F43">
        <v>9224</v>
      </c>
      <c r="K43">
        <v>9204</v>
      </c>
    </row>
    <row r="44" spans="2:15">
      <c r="D44">
        <v>9204</v>
      </c>
      <c r="F44">
        <v>9225</v>
      </c>
      <c r="K44">
        <v>1119</v>
      </c>
    </row>
    <row r="45" spans="2:15">
      <c r="F45">
        <v>15011</v>
      </c>
    </row>
    <row r="46" spans="2:15">
      <c r="F46">
        <v>15012</v>
      </c>
    </row>
    <row r="47" spans="2:15">
      <c r="D47" t="s">
        <v>368</v>
      </c>
      <c r="F47">
        <v>15013</v>
      </c>
    </row>
    <row r="48" spans="2:15">
      <c r="D48">
        <v>3041</v>
      </c>
      <c r="F48">
        <v>15014</v>
      </c>
    </row>
    <row r="49" spans="1:6">
      <c r="D49">
        <v>3042</v>
      </c>
      <c r="F49">
        <v>15015</v>
      </c>
    </row>
    <row r="50" spans="1:6">
      <c r="D50">
        <v>3043</v>
      </c>
      <c r="F50">
        <v>15016</v>
      </c>
    </row>
    <row r="51" spans="1:6">
      <c r="F51">
        <v>15017</v>
      </c>
    </row>
    <row r="52" spans="1:6">
      <c r="F52">
        <v>15041</v>
      </c>
    </row>
    <row r="53" spans="1:6">
      <c r="F53">
        <v>15042</v>
      </c>
    </row>
    <row r="54" spans="1:6">
      <c r="F54">
        <v>15043</v>
      </c>
    </row>
    <row r="55" spans="1:6">
      <c r="F55">
        <v>15044</v>
      </c>
    </row>
    <row r="56" spans="1:6">
      <c r="F56">
        <v>15045</v>
      </c>
    </row>
    <row r="57" spans="1:6">
      <c r="F57">
        <v>15046</v>
      </c>
    </row>
    <row r="58" spans="1:6">
      <c r="A58" s="6"/>
      <c r="F58">
        <v>15047</v>
      </c>
    </row>
    <row r="59" spans="1:6">
      <c r="A59" s="6"/>
      <c r="F59">
        <v>15033</v>
      </c>
    </row>
    <row r="60" spans="1:6">
      <c r="F60">
        <v>15048</v>
      </c>
    </row>
    <row r="61" spans="1:6">
      <c r="F61">
        <v>4006</v>
      </c>
    </row>
    <row r="62" spans="1:6">
      <c r="F62">
        <v>4007</v>
      </c>
    </row>
    <row r="63" spans="1:6">
      <c r="F63">
        <v>14041</v>
      </c>
    </row>
    <row r="64" spans="1:6">
      <c r="F64">
        <v>7051</v>
      </c>
    </row>
    <row r="65" spans="6:6">
      <c r="F65">
        <v>7050</v>
      </c>
    </row>
    <row r="66" spans="6:6">
      <c r="F66">
        <v>1121</v>
      </c>
    </row>
    <row r="67" spans="6:6">
      <c r="F67">
        <v>15004</v>
      </c>
    </row>
    <row r="68" spans="6:6">
      <c r="F68">
        <v>15018</v>
      </c>
    </row>
    <row r="69" spans="6:6">
      <c r="F69">
        <v>15007</v>
      </c>
    </row>
    <row r="70" spans="6:6">
      <c r="F70">
        <v>15006</v>
      </c>
    </row>
    <row r="71" spans="6:6">
      <c r="F71">
        <v>15020</v>
      </c>
    </row>
    <row r="72" spans="6:6">
      <c r="F72">
        <v>15022</v>
      </c>
    </row>
    <row r="73" spans="6:6">
      <c r="F73">
        <v>15037</v>
      </c>
    </row>
    <row r="74" spans="6:6">
      <c r="F74">
        <v>15049</v>
      </c>
    </row>
    <row r="75" spans="6:6">
      <c r="F75">
        <v>15050</v>
      </c>
    </row>
    <row r="76" spans="6:6">
      <c r="F76">
        <v>15052</v>
      </c>
    </row>
    <row r="77" spans="6:6">
      <c r="F77">
        <v>15053</v>
      </c>
    </row>
    <row r="78" spans="6:6">
      <c r="F78">
        <v>15054</v>
      </c>
    </row>
    <row r="79" spans="6:6">
      <c r="F79">
        <v>15056</v>
      </c>
    </row>
    <row r="80" spans="6:6">
      <c r="F80">
        <v>15036</v>
      </c>
    </row>
    <row r="81" spans="3:15">
      <c r="F81">
        <v>4023</v>
      </c>
    </row>
    <row r="82" spans="3:15">
      <c r="F82">
        <v>4102</v>
      </c>
    </row>
    <row r="83" spans="3:15">
      <c r="F83">
        <v>4058</v>
      </c>
    </row>
    <row r="84" spans="3:15">
      <c r="F84">
        <v>5043</v>
      </c>
    </row>
    <row r="85" spans="3:15">
      <c r="F85">
        <v>5044</v>
      </c>
    </row>
    <row r="86" spans="3:15">
      <c r="F86">
        <v>5045</v>
      </c>
    </row>
    <row r="87" spans="3:15">
      <c r="F87">
        <v>5046</v>
      </c>
    </row>
    <row r="88" spans="3:15">
      <c r="F88">
        <v>5067</v>
      </c>
    </row>
    <row r="89" spans="3:15">
      <c r="F89">
        <v>5063</v>
      </c>
    </row>
    <row r="90" spans="3:15">
      <c r="F90">
        <v>5104</v>
      </c>
    </row>
    <row r="91" spans="3:15">
      <c r="F91">
        <v>5107</v>
      </c>
    </row>
    <row r="92" spans="3:15">
      <c r="F92">
        <v>5123</v>
      </c>
    </row>
    <row r="93" spans="3:15">
      <c r="F93">
        <v>8001</v>
      </c>
    </row>
    <row r="94" spans="3:15">
      <c r="F94">
        <v>8002</v>
      </c>
    </row>
    <row r="95" spans="3:15">
      <c r="F95">
        <v>8003</v>
      </c>
    </row>
    <row r="96" spans="3:15">
      <c r="C96" s="6"/>
      <c r="E96" s="6"/>
      <c r="F96" s="6">
        <v>8052</v>
      </c>
      <c r="G96" s="6"/>
      <c r="H96" s="6"/>
      <c r="I96" s="6"/>
      <c r="J96" s="6"/>
      <c r="K96" s="6"/>
      <c r="L96" s="6"/>
      <c r="M96" s="6"/>
      <c r="N96" s="6"/>
      <c r="O96" s="6"/>
    </row>
    <row r="97" spans="4:6">
      <c r="F97">
        <v>9181</v>
      </c>
    </row>
    <row r="98" spans="4:6">
      <c r="D98" s="6"/>
      <c r="F98">
        <v>9182</v>
      </c>
    </row>
    <row r="99" spans="4:6">
      <c r="D99" s="6"/>
      <c r="F99">
        <v>9184</v>
      </c>
    </row>
    <row r="100" spans="4:6">
      <c r="F100">
        <v>9185</v>
      </c>
    </row>
    <row r="101" spans="4:6">
      <c r="F101">
        <v>13007</v>
      </c>
    </row>
    <row r="102" spans="4:6">
      <c r="F102">
        <v>13008</v>
      </c>
    </row>
    <row r="103" spans="4:6">
      <c r="F103">
        <v>13055</v>
      </c>
    </row>
    <row r="104" spans="4:6">
      <c r="F104">
        <v>13056</v>
      </c>
    </row>
    <row r="105" spans="4:6">
      <c r="F105">
        <v>13075</v>
      </c>
    </row>
    <row r="106" spans="4:6">
      <c r="F106">
        <v>14001</v>
      </c>
    </row>
    <row r="107" spans="4:6">
      <c r="F107">
        <v>14002</v>
      </c>
    </row>
    <row r="108" spans="4:6">
      <c r="F108">
        <v>14003</v>
      </c>
    </row>
    <row r="109" spans="4:6">
      <c r="F109">
        <v>14004</v>
      </c>
    </row>
    <row r="110" spans="4:6">
      <c r="F110">
        <v>14032</v>
      </c>
    </row>
    <row r="111" spans="4:6">
      <c r="F111">
        <v>14071</v>
      </c>
    </row>
    <row r="112" spans="4:6">
      <c r="F112">
        <v>14042</v>
      </c>
    </row>
    <row r="113" spans="6:6">
      <c r="F113">
        <v>14048</v>
      </c>
    </row>
    <row r="114" spans="6:6">
      <c r="F114">
        <v>14053</v>
      </c>
    </row>
    <row r="115" spans="6:6">
      <c r="F115">
        <v>4022</v>
      </c>
    </row>
    <row r="116" spans="6:6">
      <c r="F116">
        <v>5047</v>
      </c>
    </row>
    <row r="117" spans="6:6">
      <c r="F117">
        <v>4024</v>
      </c>
    </row>
    <row r="118" spans="6:6">
      <c r="F118">
        <v>4025</v>
      </c>
    </row>
    <row r="119" spans="6:6">
      <c r="F119">
        <v>7007</v>
      </c>
    </row>
    <row r="120" spans="6:6">
      <c r="F120">
        <v>7008</v>
      </c>
    </row>
    <row r="121" spans="6:6">
      <c r="F121">
        <v>7009</v>
      </c>
    </row>
    <row r="122" spans="6:6">
      <c r="F122">
        <v>9203</v>
      </c>
    </row>
    <row r="123" spans="6:6">
      <c r="F123">
        <v>9204</v>
      </c>
    </row>
    <row r="124" spans="6:6">
      <c r="F124">
        <v>1013</v>
      </c>
    </row>
    <row r="125" spans="6:6">
      <c r="F125">
        <v>1014</v>
      </c>
    </row>
  </sheetData>
  <sheetProtection algorithmName="SHA-512" hashValue="Ca8TPpgfWkgkxPaqfo0Y8U8f5ZDtH5Ko5Grg7eQOR+Joyxj2wUKQiWpxc4r7S08myaoI8gImp7U/06n8gRR7iA==" saltValue="bRl7y+ZF4ldEjkjzT9dFUA==" spinCount="100000" sheet="1" objects="1" scenarios="1"/>
  <customSheetViews>
    <customSheetView guid="{72D97B72-4F31-4935-B383-181115A2573C}" state="hidden">
      <selection activeCell="F40" sqref="F40:F44"/>
      <pageMargins left="0.78740157499999996" right="0.78740157499999996" top="0.984251969" bottom="0.984251969" header="0.4921259845" footer="0.4921259845"/>
      <headerFooter alignWithMargins="0"/>
    </customSheetView>
    <customSheetView guid="{27A951D1-C3FC-484C-B83E-FA121C9E6D3A}" state="hidden">
      <selection activeCell="F40" sqref="F40:F44"/>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J90"/>
  <sheetViews>
    <sheetView workbookViewId="0">
      <selection activeCell="E34" sqref="E34"/>
    </sheetView>
  </sheetViews>
  <sheetFormatPr baseColWidth="10" defaultRowHeight="12.75"/>
  <cols>
    <col min="2" max="2" width="72.140625" customWidth="1"/>
    <col min="4" max="4" width="24.85546875" customWidth="1"/>
    <col min="5" max="5" width="21.42578125" customWidth="1"/>
  </cols>
  <sheetData>
    <row r="1" spans="1:10">
      <c r="A1" t="s">
        <v>60</v>
      </c>
    </row>
    <row r="3" spans="1:10">
      <c r="A3" s="526" t="s">
        <v>402</v>
      </c>
      <c r="B3" s="527" t="s">
        <v>170</v>
      </c>
      <c r="D3" t="s">
        <v>26</v>
      </c>
      <c r="J3" s="179"/>
    </row>
    <row r="4" spans="1:10">
      <c r="A4" s="111">
        <v>1000</v>
      </c>
      <c r="B4" s="112" t="s">
        <v>79</v>
      </c>
      <c r="J4" s="179"/>
    </row>
    <row r="5" spans="1:10" ht="14.25">
      <c r="A5" s="113"/>
      <c r="B5" s="115" t="s">
        <v>216</v>
      </c>
      <c r="D5" s="406" t="s">
        <v>27</v>
      </c>
      <c r="E5" s="407" t="s">
        <v>28</v>
      </c>
    </row>
    <row r="6" spans="1:10" ht="14.25">
      <c r="A6" s="113"/>
      <c r="B6" s="121" t="s">
        <v>61</v>
      </c>
      <c r="D6" s="408" t="s">
        <v>333</v>
      </c>
      <c r="E6" s="409" t="s">
        <v>29</v>
      </c>
    </row>
    <row r="7" spans="1:10" ht="14.25">
      <c r="A7" s="113"/>
      <c r="B7" s="116" t="s">
        <v>152</v>
      </c>
      <c r="D7" s="408" t="s">
        <v>30</v>
      </c>
      <c r="E7" s="409" t="s">
        <v>31</v>
      </c>
    </row>
    <row r="8" spans="1:10" ht="14.25">
      <c r="A8" s="113"/>
      <c r="B8" s="121" t="s">
        <v>62</v>
      </c>
      <c r="D8" s="408" t="s">
        <v>224</v>
      </c>
      <c r="E8" s="409" t="s">
        <v>32</v>
      </c>
    </row>
    <row r="9" spans="1:10" ht="14.25">
      <c r="A9" s="113"/>
      <c r="B9" s="121" t="s">
        <v>63</v>
      </c>
      <c r="D9" s="408" t="s">
        <v>33</v>
      </c>
      <c r="E9" s="409" t="s">
        <v>119</v>
      </c>
    </row>
    <row r="10" spans="1:10" ht="14.25">
      <c r="A10" s="113"/>
      <c r="B10" s="121" t="s">
        <v>64</v>
      </c>
      <c r="D10" s="408" t="s">
        <v>90</v>
      </c>
      <c r="E10" s="409" t="s">
        <v>34</v>
      </c>
    </row>
    <row r="11" spans="1:10" ht="16.5">
      <c r="A11" s="113"/>
      <c r="B11" s="121" t="s">
        <v>65</v>
      </c>
      <c r="D11" s="408" t="s">
        <v>35</v>
      </c>
      <c r="E11" s="409" t="s">
        <v>36</v>
      </c>
    </row>
    <row r="12" spans="1:10" ht="14.25">
      <c r="A12" s="113"/>
      <c r="B12" s="115" t="s">
        <v>150</v>
      </c>
      <c r="D12" s="408" t="s">
        <v>397</v>
      </c>
      <c r="E12" s="409" t="s">
        <v>37</v>
      </c>
    </row>
    <row r="13" spans="1:10" ht="14.25">
      <c r="A13" s="117"/>
      <c r="B13" s="118"/>
      <c r="D13" s="408" t="s">
        <v>38</v>
      </c>
      <c r="E13" s="409" t="s">
        <v>39</v>
      </c>
    </row>
    <row r="14" spans="1:10" ht="14.25">
      <c r="A14" s="111">
        <v>1030</v>
      </c>
      <c r="B14" s="112" t="s">
        <v>199</v>
      </c>
      <c r="D14" s="408" t="s">
        <v>40</v>
      </c>
      <c r="E14" s="409" t="s">
        <v>117</v>
      </c>
    </row>
    <row r="15" spans="1:10" ht="14.25">
      <c r="A15" s="117"/>
      <c r="B15" s="119" t="s">
        <v>370</v>
      </c>
      <c r="D15" s="408" t="s">
        <v>41</v>
      </c>
      <c r="E15" s="409" t="s">
        <v>118</v>
      </c>
    </row>
    <row r="16" spans="1:10" ht="14.25">
      <c r="A16" s="111">
        <v>1080</v>
      </c>
      <c r="B16" s="112" t="s">
        <v>128</v>
      </c>
      <c r="D16" s="408" t="s">
        <v>42</v>
      </c>
      <c r="E16" s="409" t="s">
        <v>43</v>
      </c>
    </row>
    <row r="17" spans="1:7" ht="14.25">
      <c r="A17" s="117"/>
      <c r="B17" s="118" t="s">
        <v>66</v>
      </c>
      <c r="D17" s="408" t="s">
        <v>44</v>
      </c>
      <c r="E17" s="409" t="s">
        <v>45</v>
      </c>
    </row>
    <row r="18" spans="1:7" ht="14.25">
      <c r="A18" s="111">
        <v>1123</v>
      </c>
      <c r="B18" s="112" t="s">
        <v>425</v>
      </c>
      <c r="D18" s="408" t="s">
        <v>46</v>
      </c>
      <c r="E18" s="409" t="s">
        <v>47</v>
      </c>
    </row>
    <row r="19" spans="1:7" ht="14.25">
      <c r="A19" s="113"/>
      <c r="B19" s="121" t="s">
        <v>67</v>
      </c>
      <c r="D19" s="408" t="s">
        <v>48</v>
      </c>
      <c r="E19" s="409" t="s">
        <v>49</v>
      </c>
    </row>
    <row r="20" spans="1:7" ht="14.25">
      <c r="A20" s="117"/>
      <c r="B20" s="120" t="s">
        <v>68</v>
      </c>
      <c r="D20" s="410" t="s">
        <v>27</v>
      </c>
      <c r="E20" s="411" t="s">
        <v>381</v>
      </c>
    </row>
    <row r="21" spans="1:7">
      <c r="A21" s="111">
        <v>1130</v>
      </c>
      <c r="B21" s="112" t="s">
        <v>426</v>
      </c>
      <c r="D21" s="179" t="s">
        <v>390</v>
      </c>
    </row>
    <row r="22" spans="1:7">
      <c r="A22" s="113"/>
      <c r="B22" s="121" t="s">
        <v>67</v>
      </c>
    </row>
    <row r="23" spans="1:7">
      <c r="A23" s="113"/>
      <c r="B23" s="121" t="s">
        <v>68</v>
      </c>
    </row>
    <row r="24" spans="1:7">
      <c r="A24" s="113"/>
      <c r="B24" s="121" t="s">
        <v>413</v>
      </c>
    </row>
    <row r="25" spans="1:7">
      <c r="A25" s="111">
        <v>1131</v>
      </c>
      <c r="B25" s="112" t="s">
        <v>427</v>
      </c>
    </row>
    <row r="26" spans="1:7">
      <c r="A26" s="113"/>
      <c r="B26" s="121" t="s">
        <v>67</v>
      </c>
    </row>
    <row r="27" spans="1:7">
      <c r="A27" s="113"/>
      <c r="B27" s="121" t="s">
        <v>69</v>
      </c>
    </row>
    <row r="28" spans="1:7">
      <c r="A28" s="117"/>
      <c r="B28" s="120" t="s">
        <v>413</v>
      </c>
      <c r="D28" s="508" t="s">
        <v>415</v>
      </c>
      <c r="E28" s="509"/>
      <c r="F28" s="509"/>
      <c r="G28" s="509"/>
    </row>
    <row r="29" spans="1:7">
      <c r="A29" s="111">
        <v>1140</v>
      </c>
      <c r="B29" s="112" t="s">
        <v>141</v>
      </c>
      <c r="D29" s="509"/>
      <c r="E29" s="510" t="s">
        <v>162</v>
      </c>
      <c r="F29" s="509"/>
      <c r="G29" s="510" t="s">
        <v>416</v>
      </c>
    </row>
    <row r="30" spans="1:7">
      <c r="A30" s="117"/>
      <c r="B30" s="118" t="s">
        <v>215</v>
      </c>
      <c r="D30" s="509"/>
      <c r="E30" s="510" t="s">
        <v>417</v>
      </c>
      <c r="F30" s="509"/>
      <c r="G30" s="510" t="s">
        <v>418</v>
      </c>
    </row>
    <row r="31" spans="1:7">
      <c r="A31" s="111">
        <v>1141</v>
      </c>
      <c r="B31" s="112" t="s">
        <v>92</v>
      </c>
      <c r="D31" s="511" t="s">
        <v>419</v>
      </c>
      <c r="E31" s="512">
        <v>10</v>
      </c>
      <c r="F31" s="509"/>
      <c r="G31" s="512">
        <v>15</v>
      </c>
    </row>
    <row r="32" spans="1:7">
      <c r="A32" s="117"/>
      <c r="B32" s="120" t="s">
        <v>70</v>
      </c>
      <c r="D32" s="511" t="s">
        <v>420</v>
      </c>
      <c r="E32" s="512">
        <v>90000</v>
      </c>
      <c r="F32" s="509"/>
      <c r="G32" s="509"/>
    </row>
    <row r="33" spans="1:7">
      <c r="A33" s="111">
        <v>1142</v>
      </c>
      <c r="B33" s="112" t="s">
        <v>93</v>
      </c>
      <c r="D33" s="510"/>
      <c r="E33" s="509"/>
      <c r="F33" s="509"/>
      <c r="G33" s="509"/>
    </row>
    <row r="34" spans="1:7">
      <c r="A34" s="117"/>
      <c r="B34" s="120" t="s">
        <v>71</v>
      </c>
      <c r="D34" s="511" t="s">
        <v>388</v>
      </c>
      <c r="E34" s="513">
        <f>(50/POWER(10,LOG10(G31)*E31/(G31-1))+50*(G31-E31)/G31)/100*100</f>
        <v>23.892780841886534</v>
      </c>
      <c r="F34" s="510" t="s">
        <v>382</v>
      </c>
      <c r="G34" s="514"/>
    </row>
    <row r="35" spans="1:7" ht="13.5" thickBot="1">
      <c r="A35" s="111">
        <v>1143</v>
      </c>
      <c r="B35" s="112" t="s">
        <v>94</v>
      </c>
      <c r="D35" s="509"/>
      <c r="E35" s="515">
        <f>E34*E32/100</f>
        <v>21503.502757697879</v>
      </c>
      <c r="F35" s="509"/>
      <c r="G35" s="509"/>
    </row>
    <row r="36" spans="1:7" ht="13.5" thickTop="1">
      <c r="A36" s="117"/>
      <c r="B36" s="120" t="s">
        <v>17</v>
      </c>
    </row>
    <row r="37" spans="1:7">
      <c r="A37" s="111">
        <v>3000</v>
      </c>
      <c r="B37" s="112" t="s">
        <v>91</v>
      </c>
    </row>
    <row r="38" spans="1:7">
      <c r="A38" s="6">
        <v>-3012</v>
      </c>
      <c r="B38" s="121" t="s">
        <v>18</v>
      </c>
    </row>
    <row r="39" spans="1:7">
      <c r="A39" s="117"/>
      <c r="B39" s="120" t="s">
        <v>219</v>
      </c>
    </row>
    <row r="40" spans="1:7">
      <c r="A40" s="111">
        <v>3020</v>
      </c>
      <c r="B40" s="112" t="s">
        <v>77</v>
      </c>
    </row>
    <row r="41" spans="1:7">
      <c r="A41" s="113">
        <v>-3024</v>
      </c>
      <c r="B41" s="121" t="s">
        <v>18</v>
      </c>
    </row>
    <row r="42" spans="1:7">
      <c r="A42" s="117"/>
      <c r="B42" s="120" t="s">
        <v>369</v>
      </c>
    </row>
    <row r="43" spans="1:7">
      <c r="A43" s="111">
        <v>5138</v>
      </c>
      <c r="B43" s="112" t="s">
        <v>335</v>
      </c>
    </row>
    <row r="44" spans="1:7">
      <c r="A44" s="117"/>
      <c r="B44" s="120" t="s">
        <v>12</v>
      </c>
    </row>
    <row r="45" spans="1:7">
      <c r="A45" s="113">
        <v>5142</v>
      </c>
      <c r="B45" s="112" t="s">
        <v>95</v>
      </c>
    </row>
    <row r="46" spans="1:7">
      <c r="A46" s="113">
        <v>-5144</v>
      </c>
      <c r="B46" s="472" t="s">
        <v>19</v>
      </c>
    </row>
    <row r="47" spans="1:7">
      <c r="A47" s="111">
        <v>5150</v>
      </c>
      <c r="B47" s="112" t="s">
        <v>96</v>
      </c>
    </row>
    <row r="48" spans="1:7">
      <c r="A48" s="113">
        <v>-5159</v>
      </c>
      <c r="B48" s="121" t="s">
        <v>217</v>
      </c>
    </row>
    <row r="49" spans="1:2">
      <c r="A49" s="117"/>
      <c r="B49" s="120" t="s">
        <v>187</v>
      </c>
    </row>
    <row r="50" spans="1:2">
      <c r="A50" s="111">
        <v>6020</v>
      </c>
      <c r="B50" s="112" t="s">
        <v>115</v>
      </c>
    </row>
    <row r="51" spans="1:2">
      <c r="A51" s="117"/>
      <c r="B51" s="120" t="s">
        <v>428</v>
      </c>
    </row>
    <row r="52" spans="1:2">
      <c r="A52" s="111">
        <v>7000</v>
      </c>
      <c r="B52" s="112" t="s">
        <v>100</v>
      </c>
    </row>
    <row r="53" spans="1:2">
      <c r="A53" s="113">
        <v>-7007</v>
      </c>
      <c r="B53" s="115" t="s">
        <v>148</v>
      </c>
    </row>
    <row r="54" spans="1:2">
      <c r="A54" s="117"/>
      <c r="B54" s="118" t="s">
        <v>149</v>
      </c>
    </row>
    <row r="55" spans="1:2">
      <c r="A55" s="111">
        <v>7061</v>
      </c>
      <c r="B55" s="112" t="s">
        <v>400</v>
      </c>
    </row>
    <row r="56" spans="1:2">
      <c r="A56" s="117"/>
      <c r="B56" s="118" t="s">
        <v>151</v>
      </c>
    </row>
    <row r="57" spans="1:2">
      <c r="A57" s="111">
        <v>8003</v>
      </c>
      <c r="B57" s="112" t="s">
        <v>101</v>
      </c>
    </row>
    <row r="58" spans="1:2">
      <c r="A58" s="117"/>
      <c r="B58" s="118" t="s">
        <v>188</v>
      </c>
    </row>
    <row r="59" spans="1:2">
      <c r="A59" s="111">
        <v>8013</v>
      </c>
      <c r="B59" s="112" t="s">
        <v>404</v>
      </c>
    </row>
    <row r="60" spans="1:2">
      <c r="A60" s="113"/>
      <c r="B60" s="115" t="s">
        <v>166</v>
      </c>
    </row>
    <row r="61" spans="1:2">
      <c r="A61" s="113"/>
      <c r="B61" s="115" t="s">
        <v>167</v>
      </c>
    </row>
    <row r="62" spans="1:2">
      <c r="A62" s="117"/>
      <c r="B62" s="118" t="s">
        <v>168</v>
      </c>
    </row>
    <row r="63" spans="1:2">
      <c r="A63" s="113">
        <v>8052</v>
      </c>
      <c r="B63" s="114" t="s">
        <v>412</v>
      </c>
    </row>
    <row r="64" spans="1:2">
      <c r="A64" s="117"/>
      <c r="B64" s="118" t="s">
        <v>169</v>
      </c>
    </row>
    <row r="65" spans="1:2">
      <c r="A65" s="113">
        <v>9040</v>
      </c>
      <c r="B65" s="114" t="s">
        <v>99</v>
      </c>
    </row>
    <row r="66" spans="1:2">
      <c r="A66" s="113">
        <v>-9046</v>
      </c>
      <c r="B66" s="115" t="s">
        <v>169</v>
      </c>
    </row>
    <row r="67" spans="1:2">
      <c r="A67" s="111">
        <v>9080</v>
      </c>
      <c r="B67" s="112" t="s">
        <v>230</v>
      </c>
    </row>
    <row r="68" spans="1:2">
      <c r="A68" s="117">
        <v>-9088</v>
      </c>
      <c r="B68" s="120" t="s">
        <v>20</v>
      </c>
    </row>
    <row r="69" spans="1:2">
      <c r="A69" s="111">
        <v>9100</v>
      </c>
      <c r="B69" s="112" t="s">
        <v>229</v>
      </c>
    </row>
    <row r="70" spans="1:2">
      <c r="A70" s="117">
        <v>-9107</v>
      </c>
      <c r="B70" s="120" t="s">
        <v>20</v>
      </c>
    </row>
    <row r="71" spans="1:2">
      <c r="A71" s="111">
        <v>9120</v>
      </c>
      <c r="B71" s="112" t="s">
        <v>220</v>
      </c>
    </row>
    <row r="72" spans="1:2">
      <c r="A72" s="117">
        <v>-9135</v>
      </c>
      <c r="B72" s="120" t="s">
        <v>21</v>
      </c>
    </row>
    <row r="73" spans="1:2">
      <c r="A73" s="113">
        <v>9121</v>
      </c>
      <c r="B73" s="114" t="s">
        <v>114</v>
      </c>
    </row>
    <row r="74" spans="1:2">
      <c r="A74" s="113"/>
      <c r="B74" s="121" t="s">
        <v>429</v>
      </c>
    </row>
    <row r="75" spans="1:2">
      <c r="A75" s="111">
        <v>9200</v>
      </c>
      <c r="B75" s="112" t="s">
        <v>403</v>
      </c>
    </row>
    <row r="76" spans="1:2">
      <c r="A76" s="113"/>
      <c r="B76" s="115" t="s">
        <v>148</v>
      </c>
    </row>
    <row r="77" spans="1:2">
      <c r="A77" s="117"/>
      <c r="B77" s="118" t="s">
        <v>149</v>
      </c>
    </row>
    <row r="78" spans="1:2">
      <c r="A78" s="528">
        <v>12000</v>
      </c>
      <c r="B78" s="529" t="s">
        <v>401</v>
      </c>
    </row>
    <row r="79" spans="1:2">
      <c r="A79" s="528"/>
      <c r="B79" s="530" t="s">
        <v>430</v>
      </c>
    </row>
    <row r="80" spans="1:2">
      <c r="A80" s="111">
        <v>12009</v>
      </c>
      <c r="B80" s="112" t="s">
        <v>207</v>
      </c>
    </row>
    <row r="81" spans="1:2">
      <c r="A81" s="113"/>
      <c r="B81" s="115" t="s">
        <v>431</v>
      </c>
    </row>
    <row r="82" spans="1:2">
      <c r="A82" s="117"/>
      <c r="B82" s="118" t="s">
        <v>13</v>
      </c>
    </row>
    <row r="83" spans="1:2">
      <c r="A83" s="111">
        <v>13020</v>
      </c>
      <c r="B83" s="112" t="s">
        <v>171</v>
      </c>
    </row>
    <row r="84" spans="1:2">
      <c r="A84" s="113"/>
      <c r="B84" s="115" t="s">
        <v>217</v>
      </c>
    </row>
    <row r="85" spans="1:2">
      <c r="A85" s="117"/>
      <c r="B85" s="118" t="s">
        <v>218</v>
      </c>
    </row>
    <row r="86" spans="1:2">
      <c r="A86" s="111">
        <v>14048</v>
      </c>
      <c r="B86" s="112" t="s">
        <v>405</v>
      </c>
    </row>
    <row r="87" spans="1:2">
      <c r="A87" s="117"/>
      <c r="B87" s="118" t="s">
        <v>223</v>
      </c>
    </row>
    <row r="88" spans="1:2">
      <c r="A88" s="111">
        <v>14053</v>
      </c>
      <c r="B88" s="112" t="s">
        <v>399</v>
      </c>
    </row>
    <row r="89" spans="1:2">
      <c r="A89" s="113"/>
      <c r="B89" s="121" t="s">
        <v>407</v>
      </c>
    </row>
    <row r="90" spans="1:2">
      <c r="A90" s="117"/>
      <c r="B90" s="122" t="s">
        <v>408</v>
      </c>
    </row>
  </sheetData>
  <sheetProtection password="CAF9" sheet="1"/>
  <phoneticPr fontId="67"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B1:C33"/>
  <sheetViews>
    <sheetView workbookViewId="0">
      <selection activeCell="G33" sqref="G33"/>
    </sheetView>
  </sheetViews>
  <sheetFormatPr baseColWidth="10" defaultRowHeight="12.75"/>
  <cols>
    <col min="2" max="2" width="12" customWidth="1"/>
    <col min="3" max="3" width="35.85546875" customWidth="1"/>
  </cols>
  <sheetData>
    <row r="1" spans="2:3">
      <c r="B1" s="401" t="s">
        <v>72</v>
      </c>
    </row>
    <row r="3" spans="2:3">
      <c r="B3" t="s">
        <v>80</v>
      </c>
    </row>
    <row r="4" spans="2:3">
      <c r="B4" t="s">
        <v>86</v>
      </c>
      <c r="C4" t="s">
        <v>87</v>
      </c>
    </row>
    <row r="6" spans="2:3">
      <c r="B6" s="402" t="s">
        <v>74</v>
      </c>
    </row>
    <row r="7" spans="2:3">
      <c r="B7" t="s">
        <v>83</v>
      </c>
      <c r="C7" t="s">
        <v>81</v>
      </c>
    </row>
    <row r="8" spans="2:3">
      <c r="B8" t="s">
        <v>82</v>
      </c>
      <c r="C8" t="s">
        <v>81</v>
      </c>
    </row>
    <row r="9" spans="2:3">
      <c r="B9" t="s">
        <v>84</v>
      </c>
      <c r="C9" t="s">
        <v>85</v>
      </c>
    </row>
    <row r="10" spans="2:3">
      <c r="B10" t="s">
        <v>88</v>
      </c>
      <c r="C10" t="s">
        <v>85</v>
      </c>
    </row>
    <row r="11" spans="2:3">
      <c r="B11" t="s">
        <v>89</v>
      </c>
      <c r="C11" t="s">
        <v>85</v>
      </c>
    </row>
    <row r="12" spans="2:3">
      <c r="B12" s="401" t="s">
        <v>73</v>
      </c>
    </row>
    <row r="14" spans="2:3">
      <c r="B14" s="401" t="s">
        <v>53</v>
      </c>
    </row>
    <row r="16" spans="2:3">
      <c r="B16" s="402" t="s">
        <v>54</v>
      </c>
    </row>
    <row r="27" spans="2:2">
      <c r="B27" s="401" t="s">
        <v>75</v>
      </c>
    </row>
    <row r="28" spans="2:2">
      <c r="B28" s="401" t="s">
        <v>76</v>
      </c>
    </row>
    <row r="29" spans="2:2">
      <c r="B29" s="401" t="s">
        <v>52</v>
      </c>
    </row>
    <row r="32" spans="2:2">
      <c r="B32" s="401" t="s">
        <v>56</v>
      </c>
    </row>
    <row r="33" spans="2:2">
      <c r="B33" s="403" t="s">
        <v>55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FFFF00"/>
  </sheetPr>
  <dimension ref="A1:AY99"/>
  <sheetViews>
    <sheetView showGridLines="0" workbookViewId="0">
      <selection activeCell="K20" sqref="K20"/>
    </sheetView>
  </sheetViews>
  <sheetFormatPr baseColWidth="10" defaultRowHeight="12.75"/>
  <cols>
    <col min="1" max="1" width="5.7109375" customWidth="1"/>
    <col min="2" max="2" width="6.28515625" customWidth="1"/>
    <col min="8" max="8" width="41.7109375" customWidth="1"/>
    <col min="9" max="9" width="16.28515625" customWidth="1"/>
    <col min="10" max="10" width="54.28515625" customWidth="1"/>
    <col min="11" max="12" width="11.42578125" customWidth="1"/>
    <col min="14" max="14" width="0" hidden="1" customWidth="1"/>
  </cols>
  <sheetData>
    <row r="1" spans="1:11" ht="31.5">
      <c r="A1" s="990" t="s">
        <v>1499</v>
      </c>
      <c r="B1" s="6"/>
      <c r="C1" s="6"/>
      <c r="D1" s="6"/>
      <c r="E1" s="6"/>
      <c r="F1" s="6"/>
      <c r="G1" s="6"/>
      <c r="H1" s="6"/>
      <c r="I1" s="6"/>
      <c r="J1" s="193"/>
      <c r="K1" s="6"/>
    </row>
    <row r="2" spans="1:11" ht="18">
      <c r="A2" s="192" t="s">
        <v>441</v>
      </c>
      <c r="B2" s="6"/>
      <c r="C2" s="6"/>
      <c r="D2" s="6"/>
      <c r="E2" s="6"/>
      <c r="F2" s="6"/>
      <c r="G2" s="6"/>
      <c r="H2" s="6"/>
      <c r="I2" s="6"/>
      <c r="J2" s="193"/>
      <c r="K2" s="6"/>
    </row>
    <row r="3" spans="1:11" ht="18">
      <c r="A3" s="192"/>
      <c r="B3" s="6"/>
      <c r="C3" s="6"/>
      <c r="D3" s="6"/>
      <c r="E3" s="6"/>
      <c r="F3" s="6"/>
      <c r="G3" s="6"/>
      <c r="H3" s="6"/>
      <c r="I3" s="6"/>
      <c r="J3" s="193"/>
      <c r="K3" s="6"/>
    </row>
    <row r="4" spans="1:11" ht="20.25">
      <c r="A4" s="192"/>
      <c r="B4" s="197" t="s">
        <v>1500</v>
      </c>
      <c r="C4" s="6"/>
      <c r="D4" s="6"/>
      <c r="E4" s="6"/>
      <c r="F4" s="196"/>
      <c r="G4" s="6"/>
      <c r="H4" s="6"/>
      <c r="I4" s="6"/>
      <c r="J4" s="193"/>
      <c r="K4" s="6"/>
    </row>
    <row r="5" spans="1:11" ht="18">
      <c r="A5" s="192"/>
      <c r="B5" s="192"/>
      <c r="C5" s="6"/>
      <c r="D5" s="6"/>
      <c r="E5" s="6"/>
      <c r="F5" s="6"/>
      <c r="G5" s="6"/>
      <c r="H5" s="6"/>
      <c r="I5" s="6"/>
      <c r="J5" s="193"/>
      <c r="K5" s="6"/>
    </row>
    <row r="6" spans="1:11">
      <c r="A6" s="6"/>
      <c r="B6" s="6" t="s">
        <v>1501</v>
      </c>
      <c r="C6" s="6"/>
      <c r="D6" s="6"/>
      <c r="E6" s="6"/>
      <c r="F6" s="6"/>
      <c r="G6" s="6"/>
      <c r="H6" s="6"/>
      <c r="I6" s="6"/>
      <c r="J6" s="193"/>
      <c r="K6" s="6"/>
    </row>
    <row r="7" spans="1:11">
      <c r="A7" s="6"/>
      <c r="B7" s="991" t="s">
        <v>1502</v>
      </c>
      <c r="C7" s="6"/>
      <c r="D7" s="6"/>
      <c r="E7" s="6"/>
      <c r="F7" s="6"/>
      <c r="G7" s="6"/>
      <c r="H7" s="6"/>
      <c r="I7" s="6"/>
      <c r="J7" s="193"/>
      <c r="K7" s="6"/>
    </row>
    <row r="8" spans="1:11">
      <c r="A8" s="6"/>
      <c r="B8" s="991" t="s">
        <v>1570</v>
      </c>
      <c r="C8" s="6"/>
      <c r="D8" s="6"/>
      <c r="E8" s="6"/>
      <c r="F8" s="6"/>
      <c r="G8" s="6"/>
      <c r="H8" s="6"/>
      <c r="I8" s="6"/>
      <c r="J8" s="193"/>
      <c r="K8" s="6"/>
    </row>
    <row r="9" spans="1:11">
      <c r="A9" s="6"/>
      <c r="B9" s="462" t="s">
        <v>1503</v>
      </c>
      <c r="C9" s="6"/>
      <c r="D9" s="6"/>
      <c r="E9" s="6"/>
      <c r="F9" s="6"/>
      <c r="G9" s="6"/>
      <c r="H9" s="6"/>
      <c r="I9" s="6"/>
      <c r="J9" s="193"/>
      <c r="K9" s="6"/>
    </row>
    <row r="10" spans="1:11">
      <c r="A10" s="6"/>
      <c r="B10" s="992" t="s">
        <v>1504</v>
      </c>
      <c r="C10" s="6"/>
      <c r="D10" s="6"/>
      <c r="E10" s="6"/>
      <c r="F10" s="6"/>
      <c r="G10" s="6"/>
      <c r="H10" s="6"/>
      <c r="I10" s="467"/>
      <c r="J10" s="193"/>
      <c r="K10" s="6"/>
    </row>
    <row r="11" spans="1:11">
      <c r="A11" s="6"/>
      <c r="B11" s="462" t="s">
        <v>1571</v>
      </c>
      <c r="C11" s="6"/>
      <c r="D11" s="6"/>
      <c r="E11" s="6"/>
      <c r="F11" s="6"/>
      <c r="G11" s="6"/>
      <c r="H11" s="6"/>
      <c r="I11" s="471" t="s">
        <v>1505</v>
      </c>
      <c r="J11" s="193"/>
      <c r="K11" s="6"/>
    </row>
    <row r="12" spans="1:11">
      <c r="A12" s="6"/>
      <c r="B12" s="195"/>
      <c r="C12" s="6"/>
      <c r="D12" s="6"/>
      <c r="E12" s="6"/>
      <c r="F12" s="6"/>
      <c r="G12" s="6"/>
      <c r="H12" s="6"/>
      <c r="I12" s="6"/>
      <c r="J12" s="193"/>
      <c r="K12" s="6"/>
    </row>
    <row r="13" spans="1:11">
      <c r="A13" s="6"/>
      <c r="B13" t="s">
        <v>1506</v>
      </c>
      <c r="C13" s="6"/>
      <c r="D13" s="6"/>
      <c r="E13" s="6"/>
      <c r="F13" s="6"/>
      <c r="G13" s="6"/>
      <c r="H13" s="6"/>
      <c r="I13" s="6"/>
      <c r="J13" s="193"/>
      <c r="K13" s="6"/>
    </row>
    <row r="14" spans="1:11">
      <c r="A14" s="6"/>
      <c r="B14" s="6" t="s">
        <v>1507</v>
      </c>
      <c r="C14" s="6"/>
      <c r="D14" s="6"/>
      <c r="E14" s="6"/>
      <c r="F14" s="6"/>
      <c r="G14" s="6"/>
      <c r="H14" s="6"/>
      <c r="I14" s="6"/>
      <c r="J14" s="193"/>
      <c r="K14" s="6"/>
    </row>
    <row r="15" spans="1:11">
      <c r="A15" s="6"/>
      <c r="B15" s="195" t="s">
        <v>409</v>
      </c>
      <c r="C15" s="6"/>
      <c r="D15" s="6"/>
      <c r="E15" s="6"/>
      <c r="F15" s="6"/>
      <c r="G15" s="6"/>
      <c r="H15" s="6"/>
      <c r="I15" s="6"/>
      <c r="J15" s="193"/>
      <c r="K15" s="6"/>
    </row>
    <row r="16" spans="1:11" ht="18">
      <c r="A16" s="6"/>
      <c r="B16" s="992" t="s">
        <v>1572</v>
      </c>
      <c r="C16" s="6"/>
      <c r="D16" s="6"/>
      <c r="E16" s="6"/>
      <c r="F16" s="6"/>
      <c r="G16" s="6"/>
      <c r="H16" s="6"/>
      <c r="I16" s="6"/>
      <c r="J16" s="193"/>
      <c r="K16" s="6"/>
    </row>
    <row r="17" spans="1:11">
      <c r="A17" s="6"/>
      <c r="B17" s="6"/>
      <c r="C17" s="6"/>
      <c r="D17" s="6"/>
      <c r="E17" s="6"/>
      <c r="F17" s="6"/>
      <c r="G17" s="6"/>
      <c r="H17" s="6"/>
      <c r="I17" s="6"/>
      <c r="J17" s="193"/>
      <c r="K17" s="6"/>
    </row>
    <row r="18" spans="1:11" ht="18">
      <c r="A18" s="179"/>
      <c r="B18" s="198" t="s">
        <v>1508</v>
      </c>
      <c r="C18" s="179"/>
      <c r="D18" s="179"/>
      <c r="E18" s="179"/>
      <c r="F18" s="179"/>
      <c r="G18" s="179"/>
      <c r="H18" s="179"/>
      <c r="I18" s="179"/>
      <c r="J18" s="194"/>
      <c r="K18" s="6"/>
    </row>
    <row r="19" spans="1:11">
      <c r="A19" s="179"/>
      <c r="B19" s="295" t="s">
        <v>1509</v>
      </c>
      <c r="C19" s="179"/>
      <c r="D19" s="179"/>
      <c r="E19" s="179"/>
      <c r="F19" s="5"/>
      <c r="G19" s="179"/>
      <c r="H19" s="179"/>
      <c r="I19" s="179"/>
      <c r="J19" s="194"/>
      <c r="K19" s="6"/>
    </row>
    <row r="20" spans="1:11">
      <c r="A20" s="179"/>
      <c r="B20" s="993" t="s">
        <v>1510</v>
      </c>
      <c r="C20" s="179"/>
      <c r="D20" s="179"/>
      <c r="E20" s="179"/>
      <c r="F20" s="179"/>
      <c r="G20" s="179"/>
      <c r="H20" s="179"/>
      <c r="I20" s="179"/>
      <c r="J20" s="194"/>
      <c r="K20" s="6"/>
    </row>
    <row r="21" spans="1:11">
      <c r="A21" s="179"/>
      <c r="B21" s="297" t="s">
        <v>1511</v>
      </c>
      <c r="C21" s="179"/>
      <c r="D21" s="179"/>
      <c r="E21" s="179"/>
      <c r="F21" s="179"/>
      <c r="G21" s="179"/>
      <c r="H21" s="179"/>
      <c r="I21" s="179"/>
      <c r="J21" s="194"/>
      <c r="K21" s="6"/>
    </row>
    <row r="22" spans="1:11">
      <c r="A22" s="179"/>
      <c r="B22" s="297" t="s">
        <v>1512</v>
      </c>
      <c r="C22" s="179"/>
      <c r="D22" s="179"/>
      <c r="E22" s="179"/>
      <c r="F22" s="179"/>
      <c r="G22" s="179"/>
      <c r="H22" s="179"/>
      <c r="I22" s="179"/>
      <c r="J22" s="194"/>
      <c r="K22" s="6"/>
    </row>
    <row r="23" spans="1:11">
      <c r="A23" s="179"/>
      <c r="B23" s="295" t="s">
        <v>1513</v>
      </c>
      <c r="C23" s="179"/>
      <c r="D23" s="179"/>
      <c r="E23" s="179"/>
      <c r="F23" s="179"/>
      <c r="G23" s="179"/>
      <c r="H23" s="179"/>
      <c r="I23" s="179"/>
      <c r="J23" s="194"/>
      <c r="K23" s="6"/>
    </row>
    <row r="24" spans="1:11">
      <c r="A24" s="179"/>
      <c r="B24" s="295" t="s">
        <v>1514</v>
      </c>
      <c r="C24" s="179"/>
      <c r="D24" s="179"/>
      <c r="E24" s="179"/>
      <c r="F24" s="179"/>
      <c r="G24" s="179"/>
      <c r="H24" s="179"/>
      <c r="I24" s="179"/>
      <c r="J24" s="194"/>
      <c r="K24" s="6"/>
    </row>
    <row r="25" spans="1:11">
      <c r="A25" s="179"/>
      <c r="B25" s="295" t="s">
        <v>1515</v>
      </c>
      <c r="C25" s="179"/>
      <c r="D25" s="179"/>
      <c r="E25" s="179"/>
      <c r="F25" s="179"/>
      <c r="G25" s="179"/>
      <c r="H25" s="179"/>
      <c r="I25" s="179"/>
      <c r="J25" s="194"/>
      <c r="K25" s="6"/>
    </row>
    <row r="26" spans="1:11">
      <c r="A26" s="179"/>
      <c r="B26" s="296" t="s">
        <v>1516</v>
      </c>
      <c r="C26" s="179"/>
      <c r="D26" s="179"/>
      <c r="E26" s="179"/>
      <c r="F26" s="179"/>
      <c r="G26" s="179"/>
      <c r="H26" s="179"/>
      <c r="I26" s="179"/>
      <c r="J26" s="194"/>
      <c r="K26" s="6"/>
    </row>
    <row r="27" spans="1:11">
      <c r="A27" s="179"/>
      <c r="B27" s="296" t="s">
        <v>1517</v>
      </c>
      <c r="C27" s="179"/>
      <c r="D27" s="179"/>
      <c r="E27" s="179"/>
      <c r="F27" s="179"/>
      <c r="G27" s="179"/>
      <c r="H27" s="179"/>
      <c r="I27" s="179"/>
      <c r="J27" s="194"/>
      <c r="K27" s="6"/>
    </row>
    <row r="28" spans="1:11" ht="14.25">
      <c r="A28" s="179"/>
      <c r="B28" s="296" t="s">
        <v>334</v>
      </c>
      <c r="C28" s="296" t="s">
        <v>1573</v>
      </c>
      <c r="D28" s="179"/>
      <c r="E28" s="179"/>
      <c r="F28" s="179"/>
      <c r="G28" s="179"/>
      <c r="H28" s="179"/>
      <c r="I28" s="179"/>
      <c r="J28" s="194"/>
      <c r="K28" s="6"/>
    </row>
    <row r="29" spans="1:11">
      <c r="A29" s="179"/>
      <c r="B29" s="179"/>
      <c r="C29" s="179"/>
      <c r="D29" s="185" t="s">
        <v>1574</v>
      </c>
      <c r="E29" s="179"/>
      <c r="F29" s="179"/>
      <c r="G29" s="179"/>
      <c r="H29" s="179"/>
      <c r="I29" s="179"/>
      <c r="J29" s="194"/>
      <c r="K29" s="6"/>
    </row>
    <row r="30" spans="1:11">
      <c r="A30" s="179"/>
      <c r="B30" s="179"/>
      <c r="C30" s="179"/>
      <c r="D30" s="179" t="s">
        <v>1518</v>
      </c>
      <c r="E30" s="179"/>
      <c r="F30" s="179"/>
      <c r="G30" s="179"/>
      <c r="H30" s="179"/>
      <c r="I30" s="179"/>
      <c r="J30" s="194"/>
      <c r="K30" s="6"/>
    </row>
    <row r="31" spans="1:11">
      <c r="A31" s="179"/>
      <c r="B31" s="179"/>
      <c r="C31" s="179"/>
      <c r="D31" s="179" t="s">
        <v>1519</v>
      </c>
      <c r="E31" s="179"/>
      <c r="F31" s="179"/>
      <c r="G31" s="179"/>
      <c r="H31" s="179"/>
      <c r="I31" s="179"/>
      <c r="J31" s="194"/>
      <c r="K31" s="6"/>
    </row>
    <row r="32" spans="1:11">
      <c r="A32" s="179"/>
      <c r="B32" s="179"/>
      <c r="C32" s="179"/>
      <c r="D32" s="179" t="s">
        <v>1520</v>
      </c>
      <c r="E32" s="179"/>
      <c r="F32" s="179"/>
      <c r="G32" s="179"/>
      <c r="H32" s="179"/>
      <c r="I32" s="179"/>
      <c r="J32" s="194"/>
      <c r="K32" s="6"/>
    </row>
    <row r="33" spans="1:14">
      <c r="A33" s="179"/>
      <c r="B33" s="295" t="s">
        <v>1521</v>
      </c>
      <c r="C33" s="179"/>
      <c r="D33" s="179"/>
      <c r="E33" s="179"/>
      <c r="F33" s="179"/>
      <c r="G33" s="179"/>
      <c r="H33" s="179"/>
      <c r="I33" s="179"/>
      <c r="J33" s="194"/>
      <c r="K33" s="6"/>
    </row>
    <row r="34" spans="1:14">
      <c r="A34" s="179"/>
      <c r="B34" s="295" t="s">
        <v>1522</v>
      </c>
      <c r="C34" s="179"/>
      <c r="D34" s="179"/>
      <c r="E34" s="179"/>
      <c r="F34" s="179"/>
      <c r="G34" s="179"/>
      <c r="H34" s="179"/>
      <c r="I34" s="179"/>
      <c r="J34" s="194"/>
      <c r="K34" s="6"/>
    </row>
    <row r="35" spans="1:14">
      <c r="A35" s="179"/>
      <c r="B35" s="179" t="s">
        <v>1523</v>
      </c>
      <c r="C35" s="179"/>
      <c r="D35" s="179"/>
      <c r="E35" s="179"/>
      <c r="F35" s="179"/>
      <c r="G35" s="179"/>
      <c r="H35" s="179"/>
      <c r="I35" s="179"/>
      <c r="J35" s="194"/>
      <c r="K35" s="6"/>
    </row>
    <row r="36" spans="1:14">
      <c r="A36" s="179"/>
      <c r="B36" s="179"/>
      <c r="C36" s="179" t="s">
        <v>1524</v>
      </c>
      <c r="D36" s="179"/>
      <c r="E36" s="179"/>
      <c r="F36" s="179"/>
      <c r="G36" s="179"/>
      <c r="H36" s="179"/>
      <c r="I36" s="179"/>
      <c r="J36" s="179"/>
      <c r="K36" s="300"/>
      <c r="N36">
        <v>1161</v>
      </c>
    </row>
    <row r="37" spans="1:14">
      <c r="A37" s="179"/>
      <c r="B37" s="179"/>
      <c r="C37" s="179"/>
      <c r="D37" s="179"/>
      <c r="E37" s="179"/>
      <c r="F37" s="179"/>
      <c r="G37" s="179"/>
      <c r="H37" s="179"/>
      <c r="I37" s="179"/>
      <c r="J37" s="179"/>
      <c r="K37" s="300"/>
    </row>
    <row r="38" spans="1:14">
      <c r="A38" s="179"/>
      <c r="B38" s="295" t="s">
        <v>1525</v>
      </c>
      <c r="C38" s="179"/>
      <c r="D38" s="179"/>
      <c r="E38" s="179"/>
      <c r="F38" s="179"/>
      <c r="G38" s="179"/>
      <c r="H38" s="179"/>
      <c r="I38" s="179"/>
      <c r="J38" s="179"/>
      <c r="K38" s="300"/>
    </row>
    <row r="39" spans="1:14">
      <c r="A39" s="179"/>
      <c r="B39" s="295" t="s">
        <v>1526</v>
      </c>
      <c r="C39" s="179"/>
      <c r="D39" s="179"/>
      <c r="E39" s="179"/>
      <c r="F39" s="179"/>
      <c r="G39" s="179"/>
      <c r="H39" s="179"/>
      <c r="I39" s="179"/>
      <c r="J39" s="179"/>
      <c r="K39" s="300"/>
      <c r="N39">
        <v>1162</v>
      </c>
    </row>
    <row r="40" spans="1:14">
      <c r="A40" s="179"/>
      <c r="B40" s="295" t="s">
        <v>1527</v>
      </c>
      <c r="C40" s="179"/>
      <c r="D40" s="179"/>
      <c r="E40" s="179"/>
      <c r="F40" s="179"/>
      <c r="G40" s="179"/>
      <c r="H40" s="179"/>
      <c r="I40" s="179"/>
      <c r="J40" s="179"/>
      <c r="K40" s="300"/>
    </row>
    <row r="41" spans="1:14">
      <c r="A41" s="179"/>
      <c r="B41" s="295" t="s">
        <v>1528</v>
      </c>
      <c r="C41" s="179"/>
      <c r="D41" s="179"/>
      <c r="E41" s="179"/>
      <c r="F41" s="179"/>
      <c r="G41" s="179"/>
      <c r="H41" s="179"/>
      <c r="I41" s="179"/>
      <c r="J41" s="179"/>
      <c r="K41" s="300"/>
    </row>
    <row r="42" spans="1:14">
      <c r="A42" s="179"/>
      <c r="B42" s="295" t="s">
        <v>1529</v>
      </c>
      <c r="C42" s="179"/>
      <c r="D42" s="179"/>
      <c r="E42" s="179"/>
      <c r="F42" s="179"/>
      <c r="G42" s="179"/>
      <c r="H42" s="179"/>
      <c r="I42" s="179"/>
      <c r="J42" s="179"/>
      <c r="K42" s="300"/>
    </row>
    <row r="43" spans="1:14">
      <c r="A43" s="179"/>
      <c r="B43" s="295"/>
      <c r="C43" s="179"/>
      <c r="D43" s="179"/>
      <c r="E43" s="179"/>
      <c r="F43" s="179"/>
      <c r="G43" s="179"/>
      <c r="H43" s="179"/>
      <c r="I43" s="179"/>
      <c r="J43" s="179"/>
      <c r="K43" s="300"/>
    </row>
    <row r="44" spans="1:14">
      <c r="A44" s="179"/>
      <c r="B44" s="295" t="s">
        <v>1530</v>
      </c>
      <c r="C44" s="179"/>
      <c r="D44" s="179"/>
      <c r="E44" s="179"/>
      <c r="F44" s="179"/>
      <c r="G44" s="179"/>
      <c r="H44" s="179"/>
      <c r="I44" s="179"/>
      <c r="J44" s="179"/>
      <c r="K44" s="300"/>
    </row>
    <row r="45" spans="1:14">
      <c r="A45" s="179"/>
      <c r="B45" s="296" t="s">
        <v>1531</v>
      </c>
      <c r="C45" s="536"/>
      <c r="D45" s="536"/>
      <c r="E45" s="536"/>
      <c r="F45" s="179"/>
      <c r="G45" s="179"/>
      <c r="H45" s="179"/>
      <c r="I45" s="179"/>
      <c r="J45" s="179"/>
      <c r="K45" s="300"/>
    </row>
    <row r="46" spans="1:14">
      <c r="A46" s="179"/>
      <c r="B46" s="296" t="s">
        <v>1532</v>
      </c>
      <c r="C46" s="536"/>
      <c r="D46" s="536"/>
      <c r="E46" s="536"/>
      <c r="F46" s="179"/>
      <c r="G46" s="179"/>
      <c r="H46" s="179"/>
      <c r="I46" s="179"/>
      <c r="J46" s="179"/>
      <c r="K46" s="300"/>
    </row>
    <row r="47" spans="1:14">
      <c r="A47" s="179"/>
      <c r="B47" s="994" t="s">
        <v>1533</v>
      </c>
      <c r="C47" s="536"/>
      <c r="D47" s="536"/>
      <c r="E47" s="536"/>
      <c r="F47" s="179"/>
      <c r="G47" s="179"/>
      <c r="H47" s="179"/>
      <c r="I47" s="179"/>
      <c r="J47" s="179"/>
      <c r="K47" s="300"/>
    </row>
    <row r="48" spans="1:14">
      <c r="A48" s="179"/>
      <c r="B48" s="995" t="s">
        <v>1534</v>
      </c>
      <c r="C48" s="536"/>
      <c r="D48" s="536"/>
      <c r="E48" s="536"/>
      <c r="F48" s="179"/>
      <c r="G48" s="179"/>
      <c r="H48" s="179"/>
      <c r="I48" s="179"/>
      <c r="J48" s="179"/>
      <c r="K48" s="300"/>
    </row>
    <row r="49" spans="1:51" s="179" customFormat="1">
      <c r="J49" s="194"/>
      <c r="K49" s="6"/>
      <c r="L49" s="6"/>
      <c r="M49"/>
      <c r="N49">
        <v>1164</v>
      </c>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row>
    <row r="50" spans="1:51" s="179" customFormat="1">
      <c r="B50" s="996" t="s">
        <v>1535</v>
      </c>
      <c r="C50" s="997"/>
      <c r="D50" s="997"/>
      <c r="E50" s="997"/>
      <c r="F50" s="997"/>
      <c r="G50" s="998" t="s">
        <v>1536</v>
      </c>
      <c r="H50" s="997"/>
      <c r="I50" s="999"/>
      <c r="J50" s="1000"/>
      <c r="K50" s="6"/>
      <c r="L50" s="6"/>
      <c r="M50"/>
      <c r="N50">
        <v>1165</v>
      </c>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row>
    <row r="51" spans="1:51" s="179" customFormat="1">
      <c r="J51" s="194"/>
      <c r="K51" s="6"/>
      <c r="L51" s="6"/>
      <c r="M51"/>
      <c r="N51">
        <v>2101</v>
      </c>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row>
    <row r="52" spans="1:51">
      <c r="A52" s="467"/>
      <c r="B52" s="467"/>
      <c r="C52" s="467"/>
      <c r="D52" s="467"/>
      <c r="E52" s="467"/>
      <c r="F52" s="467"/>
      <c r="G52" s="467"/>
      <c r="H52" s="467"/>
      <c r="I52" s="467"/>
      <c r="J52" s="467"/>
      <c r="K52" s="467"/>
    </row>
    <row r="53" spans="1:51" ht="18">
      <c r="A53" s="467"/>
      <c r="B53" s="1001" t="s">
        <v>1537</v>
      </c>
      <c r="C53" s="467"/>
      <c r="D53" s="467"/>
      <c r="E53" s="467"/>
      <c r="F53" s="467"/>
      <c r="G53" s="467"/>
      <c r="H53" s="467"/>
      <c r="I53" s="467"/>
      <c r="J53" s="467"/>
      <c r="K53" s="467"/>
    </row>
    <row r="54" spans="1:51">
      <c r="A54" s="467"/>
      <c r="B54" s="467"/>
      <c r="C54" s="467"/>
      <c r="D54" s="467"/>
      <c r="E54" s="467"/>
      <c r="F54" s="467"/>
      <c r="G54" s="467"/>
      <c r="H54" s="467"/>
      <c r="I54" s="467"/>
      <c r="J54" s="467"/>
      <c r="K54" s="6"/>
      <c r="N54">
        <v>2102</v>
      </c>
    </row>
    <row r="55" spans="1:51" ht="15">
      <c r="A55" s="467"/>
      <c r="B55" s="1002" t="s">
        <v>1538</v>
      </c>
      <c r="C55" s="465"/>
      <c r="D55" s="465"/>
      <c r="E55" s="465"/>
      <c r="F55" s="465"/>
      <c r="G55" s="465"/>
      <c r="H55" s="465"/>
      <c r="I55" s="465"/>
      <c r="J55" s="465"/>
      <c r="K55" s="6"/>
      <c r="N55">
        <v>2103</v>
      </c>
    </row>
    <row r="56" spans="1:51">
      <c r="A56" s="467"/>
      <c r="B56" s="465"/>
      <c r="C56" s="1003" t="s">
        <v>1539</v>
      </c>
      <c r="D56" s="465"/>
      <c r="E56" s="465"/>
      <c r="F56" s="465"/>
      <c r="G56" s="465"/>
      <c r="H56" s="465"/>
      <c r="I56" s="465"/>
      <c r="J56" s="465"/>
      <c r="K56" s="6"/>
      <c r="N56">
        <v>2104</v>
      </c>
    </row>
    <row r="57" spans="1:51">
      <c r="A57" s="467"/>
      <c r="B57" s="465"/>
      <c r="C57" s="465"/>
      <c r="D57" s="465"/>
      <c r="E57" s="465"/>
      <c r="F57" s="465"/>
      <c r="G57" s="465"/>
      <c r="H57" s="465"/>
      <c r="I57" s="465"/>
      <c r="J57" s="465"/>
      <c r="K57" s="6"/>
      <c r="N57">
        <v>2105</v>
      </c>
    </row>
    <row r="58" spans="1:51" ht="20.25">
      <c r="A58" s="467"/>
      <c r="B58" s="464" t="s">
        <v>406</v>
      </c>
      <c r="C58" s="465"/>
      <c r="D58" s="465"/>
      <c r="E58" s="465"/>
      <c r="F58" s="465"/>
      <c r="G58" s="465"/>
      <c r="H58" s="465"/>
      <c r="I58" s="465"/>
      <c r="J58" s="465"/>
      <c r="K58" s="6"/>
      <c r="N58">
        <v>2106</v>
      </c>
    </row>
    <row r="59" spans="1:51">
      <c r="A59" s="467"/>
      <c r="B59" s="465"/>
      <c r="C59" s="465"/>
      <c r="D59" s="465"/>
      <c r="E59" s="465"/>
      <c r="F59" s="465"/>
      <c r="G59" s="465"/>
      <c r="H59" s="465"/>
      <c r="I59" s="465"/>
      <c r="J59" s="465"/>
      <c r="K59" s="6"/>
      <c r="N59">
        <v>2107</v>
      </c>
    </row>
    <row r="60" spans="1:51">
      <c r="A60" s="467"/>
      <c r="B60" s="1003" t="s">
        <v>1540</v>
      </c>
      <c r="C60" s="465"/>
      <c r="D60" s="465"/>
      <c r="E60" s="465"/>
      <c r="F60" s="465"/>
      <c r="G60" s="465"/>
      <c r="H60" s="465"/>
      <c r="I60" s="465"/>
      <c r="J60" s="465"/>
      <c r="K60" s="6"/>
      <c r="N60">
        <v>2108</v>
      </c>
    </row>
    <row r="61" spans="1:51">
      <c r="A61" s="467"/>
      <c r="B61" s="1003" t="s">
        <v>1541</v>
      </c>
      <c r="C61" s="465"/>
      <c r="D61" s="465"/>
      <c r="E61" s="465"/>
      <c r="F61" s="465"/>
      <c r="G61" s="465"/>
      <c r="H61" s="465"/>
      <c r="I61" s="465"/>
      <c r="J61" s="465"/>
      <c r="K61" s="6"/>
      <c r="N61">
        <v>2109</v>
      </c>
    </row>
    <row r="62" spans="1:51">
      <c r="A62" s="467"/>
      <c r="B62" s="1003" t="s">
        <v>1542</v>
      </c>
      <c r="C62" s="465"/>
      <c r="D62" s="465"/>
      <c r="E62" s="465"/>
      <c r="F62" s="465"/>
      <c r="G62" s="465"/>
      <c r="H62" s="465"/>
      <c r="I62" s="465"/>
      <c r="J62" s="465"/>
      <c r="K62" s="6"/>
      <c r="N62">
        <v>2110</v>
      </c>
    </row>
    <row r="63" spans="1:51">
      <c r="A63" s="467"/>
      <c r="B63" s="465"/>
      <c r="C63" s="465"/>
      <c r="D63" s="465"/>
      <c r="E63" s="465"/>
      <c r="F63" s="465"/>
      <c r="G63" s="465"/>
      <c r="H63" s="465"/>
      <c r="I63" s="465"/>
      <c r="J63" s="465"/>
      <c r="K63" s="6"/>
      <c r="N63">
        <v>3044</v>
      </c>
    </row>
    <row r="64" spans="1:51">
      <c r="A64" s="467"/>
      <c r="B64" s="465"/>
      <c r="C64" s="465"/>
      <c r="D64" s="465"/>
      <c r="E64" s="465"/>
      <c r="F64" s="465"/>
      <c r="G64" s="465"/>
      <c r="H64" s="465"/>
      <c r="I64" s="465"/>
      <c r="J64" s="465"/>
      <c r="K64" s="6"/>
      <c r="N64">
        <v>3045</v>
      </c>
    </row>
    <row r="65" spans="1:14">
      <c r="A65" s="467"/>
      <c r="B65" s="465"/>
      <c r="C65" s="465"/>
      <c r="D65" s="465"/>
      <c r="E65" s="465"/>
      <c r="F65" s="465"/>
      <c r="G65" s="465"/>
      <c r="H65" s="465"/>
      <c r="I65" s="465"/>
      <c r="J65" s="465"/>
      <c r="K65" s="6"/>
      <c r="N65">
        <v>3046</v>
      </c>
    </row>
    <row r="66" spans="1:14">
      <c r="A66" s="467"/>
      <c r="B66" s="465"/>
      <c r="C66" s="465"/>
      <c r="D66" s="465"/>
      <c r="E66" s="465"/>
      <c r="F66" s="465"/>
      <c r="G66" s="465"/>
      <c r="H66" s="465"/>
      <c r="I66" s="465"/>
      <c r="J66" s="465"/>
      <c r="K66" s="6"/>
      <c r="N66">
        <v>5134</v>
      </c>
    </row>
    <row r="67" spans="1:14" s="6" customFormat="1" ht="14.25">
      <c r="A67" s="467"/>
      <c r="B67" s="1004" t="s">
        <v>1543</v>
      </c>
      <c r="C67" s="467"/>
      <c r="D67" s="467"/>
      <c r="E67" s="1005"/>
      <c r="F67" s="1006"/>
      <c r="G67" s="467"/>
      <c r="H67" s="467"/>
      <c r="I67" s="467"/>
      <c r="J67" s="467"/>
      <c r="N67" s="6">
        <v>8031</v>
      </c>
    </row>
    <row r="68" spans="1:14" s="6" customFormat="1" ht="14.25">
      <c r="A68" s="467"/>
      <c r="B68" s="930" t="s">
        <v>1544</v>
      </c>
      <c r="C68" s="467"/>
      <c r="D68" s="467"/>
      <c r="E68" s="1005"/>
      <c r="F68" s="1006"/>
      <c r="G68" s="467"/>
      <c r="H68" s="467"/>
      <c r="I68" s="467"/>
      <c r="J68" s="467"/>
      <c r="N68" s="6">
        <v>11001</v>
      </c>
    </row>
    <row r="69" spans="1:14" s="6" customFormat="1" ht="14.25">
      <c r="A69" s="467"/>
      <c r="B69" s="930" t="s">
        <v>1545</v>
      </c>
      <c r="C69" s="467"/>
      <c r="D69" s="467"/>
      <c r="E69" s="1005"/>
      <c r="F69" s="1006"/>
      <c r="G69" s="467"/>
      <c r="H69" s="467"/>
      <c r="I69" s="467"/>
      <c r="J69" s="467"/>
      <c r="N69" s="6">
        <v>11002</v>
      </c>
    </row>
    <row r="70" spans="1:14" s="6" customFormat="1" ht="14.25">
      <c r="A70" s="467"/>
      <c r="B70" s="930" t="s">
        <v>1546</v>
      </c>
      <c r="C70" s="467"/>
      <c r="D70" s="467"/>
      <c r="E70" s="1005"/>
      <c r="F70" s="1006"/>
      <c r="G70" s="467"/>
      <c r="H70" s="467"/>
      <c r="I70" s="467"/>
      <c r="J70" s="467"/>
      <c r="N70" s="6">
        <v>11003</v>
      </c>
    </row>
    <row r="71" spans="1:14" s="6" customFormat="1">
      <c r="A71" s="467"/>
      <c r="B71" s="353" t="s">
        <v>1547</v>
      </c>
      <c r="N71" s="6">
        <v>11004</v>
      </c>
    </row>
    <row r="72" spans="1:14" s="6" customFormat="1" ht="20.25">
      <c r="A72" s="467"/>
      <c r="B72" s="464" t="s">
        <v>1548</v>
      </c>
      <c r="C72" s="465"/>
      <c r="D72" s="465"/>
      <c r="E72" s="465"/>
      <c r="F72" s="465"/>
      <c r="G72" s="465"/>
      <c r="H72" s="465"/>
      <c r="I72" s="465"/>
      <c r="J72" s="465"/>
      <c r="N72" s="6">
        <v>11011</v>
      </c>
    </row>
    <row r="73" spans="1:14" s="6" customFormat="1">
      <c r="A73" s="467"/>
      <c r="B73" s="465" t="s">
        <v>1549</v>
      </c>
      <c r="C73" s="465"/>
      <c r="D73" s="465"/>
      <c r="E73" s="465"/>
      <c r="F73" s="465"/>
      <c r="G73" s="465"/>
      <c r="H73" s="465"/>
      <c r="I73" s="465"/>
      <c r="J73" s="465"/>
      <c r="N73" s="6">
        <v>11013</v>
      </c>
    </row>
    <row r="74" spans="1:14" s="6" customFormat="1">
      <c r="A74" s="467"/>
      <c r="B74" s="465" t="s">
        <v>1550</v>
      </c>
      <c r="C74" s="465"/>
      <c r="D74" s="465"/>
      <c r="E74" s="465"/>
      <c r="F74" s="465"/>
      <c r="G74" s="465"/>
      <c r="H74" s="465"/>
      <c r="I74" s="465"/>
      <c r="J74" s="465"/>
      <c r="N74" s="6">
        <v>11021</v>
      </c>
    </row>
    <row r="75" spans="1:14" s="6" customFormat="1">
      <c r="A75" s="467"/>
      <c r="B75" s="468" t="s">
        <v>1551</v>
      </c>
      <c r="C75" s="468"/>
      <c r="D75" s="468"/>
      <c r="E75" s="468"/>
      <c r="F75" s="465"/>
      <c r="G75" s="465"/>
      <c r="H75" s="465"/>
      <c r="I75" s="465"/>
      <c r="J75" s="465"/>
      <c r="N75" s="6">
        <v>11022</v>
      </c>
    </row>
    <row r="76" spans="1:14" s="6" customFormat="1">
      <c r="A76" s="467"/>
      <c r="B76" s="1004" t="s">
        <v>1552</v>
      </c>
      <c r="C76" s="467"/>
      <c r="D76" s="467"/>
      <c r="E76" s="467"/>
      <c r="F76" s="467"/>
      <c r="G76" s="467"/>
      <c r="H76" s="467"/>
      <c r="I76" s="467"/>
      <c r="J76" s="467"/>
      <c r="N76" s="6">
        <v>11023</v>
      </c>
    </row>
    <row r="77" spans="1:14">
      <c r="A77" s="467"/>
      <c r="B77" s="467" t="s">
        <v>1553</v>
      </c>
      <c r="C77" s="467"/>
      <c r="D77" s="467"/>
      <c r="E77" s="467"/>
      <c r="F77" s="467"/>
      <c r="G77" s="467"/>
      <c r="H77" s="467"/>
      <c r="I77" s="467"/>
      <c r="J77" s="467"/>
      <c r="K77" s="6"/>
      <c r="N77">
        <v>11024</v>
      </c>
    </row>
    <row r="78" spans="1:14">
      <c r="A78" s="467"/>
      <c r="B78" s="467" t="s">
        <v>1554</v>
      </c>
      <c r="C78" s="467"/>
      <c r="D78" s="467"/>
      <c r="E78" s="467"/>
      <c r="F78" s="467"/>
      <c r="G78" s="467"/>
      <c r="H78" s="467"/>
      <c r="I78" s="467"/>
      <c r="J78" s="467"/>
      <c r="K78" s="6"/>
      <c r="N78">
        <v>11025</v>
      </c>
    </row>
    <row r="79" spans="1:14">
      <c r="B79" s="1004" t="s">
        <v>1555</v>
      </c>
      <c r="K79" s="6"/>
      <c r="N79">
        <v>11026</v>
      </c>
    </row>
    <row r="80" spans="1:14">
      <c r="A80" s="467"/>
      <c r="B80" s="467" t="s">
        <v>1556</v>
      </c>
      <c r="C80" s="467"/>
      <c r="D80" s="467"/>
      <c r="E80" s="467"/>
      <c r="F80" s="467"/>
      <c r="G80" s="467"/>
      <c r="H80" s="467"/>
      <c r="I80" s="467"/>
      <c r="J80" s="467"/>
      <c r="K80" s="6"/>
      <c r="N80">
        <v>11027</v>
      </c>
    </row>
    <row r="81" spans="1:14">
      <c r="A81" s="467"/>
      <c r="B81" s="467" t="s">
        <v>1557</v>
      </c>
      <c r="C81" s="467"/>
      <c r="D81" s="467"/>
      <c r="E81" s="467"/>
      <c r="F81" s="467"/>
      <c r="G81" s="467"/>
      <c r="H81" s="467"/>
      <c r="I81" s="467"/>
      <c r="J81" s="467"/>
      <c r="K81" s="6"/>
      <c r="N81">
        <v>11028</v>
      </c>
    </row>
    <row r="82" spans="1:14">
      <c r="A82" s="467"/>
      <c r="B82" s="1004" t="s">
        <v>1558</v>
      </c>
      <c r="C82" s="467"/>
      <c r="D82" s="467"/>
      <c r="E82" s="467"/>
      <c r="F82" s="467"/>
      <c r="G82" s="467"/>
      <c r="H82" s="467"/>
      <c r="I82" s="467"/>
      <c r="J82" s="467"/>
      <c r="K82" s="6"/>
      <c r="N82">
        <v>11029</v>
      </c>
    </row>
    <row r="83" spans="1:14">
      <c r="A83" s="467"/>
      <c r="B83" s="467" t="s">
        <v>1556</v>
      </c>
      <c r="C83" s="467"/>
      <c r="D83" s="467"/>
      <c r="E83" s="467"/>
      <c r="F83" s="467"/>
      <c r="G83" s="467"/>
      <c r="H83" s="467"/>
      <c r="I83" s="467"/>
      <c r="J83" s="467"/>
      <c r="K83" s="6"/>
      <c r="N83">
        <v>11030</v>
      </c>
    </row>
    <row r="84" spans="1:14">
      <c r="B84" t="s">
        <v>1559</v>
      </c>
      <c r="K84" s="6"/>
      <c r="N84">
        <v>11031</v>
      </c>
    </row>
    <row r="85" spans="1:14">
      <c r="A85" s="467"/>
      <c r="B85" s="1004" t="s">
        <v>1560</v>
      </c>
      <c r="C85" s="467"/>
      <c r="D85" s="467"/>
      <c r="E85" s="467"/>
      <c r="F85" s="467"/>
      <c r="G85" s="467"/>
      <c r="H85" s="467"/>
      <c r="I85" s="467"/>
      <c r="J85" s="467"/>
      <c r="K85" s="6"/>
      <c r="N85">
        <v>11032</v>
      </c>
    </row>
    <row r="86" spans="1:14">
      <c r="A86" s="467"/>
      <c r="B86" t="s">
        <v>1561</v>
      </c>
      <c r="C86" s="467"/>
      <c r="D86" s="467"/>
      <c r="E86" s="467"/>
      <c r="F86" s="467"/>
      <c r="G86" s="467"/>
      <c r="H86" s="467"/>
      <c r="I86" s="467"/>
      <c r="J86" s="467"/>
      <c r="K86" s="6"/>
      <c r="N86">
        <v>13031</v>
      </c>
    </row>
    <row r="87" spans="1:14">
      <c r="A87" s="467"/>
      <c r="B87" s="1004" t="s">
        <v>1562</v>
      </c>
      <c r="C87" s="467"/>
      <c r="D87" s="467"/>
      <c r="E87" s="467"/>
      <c r="F87" s="467"/>
      <c r="G87" s="467"/>
      <c r="H87" s="467"/>
      <c r="I87" s="467"/>
      <c r="J87" s="467"/>
      <c r="K87" s="6"/>
      <c r="N87">
        <v>13033</v>
      </c>
    </row>
    <row r="88" spans="1:14">
      <c r="A88" s="467"/>
      <c r="B88" s="537" t="s">
        <v>1563</v>
      </c>
      <c r="C88" s="467"/>
      <c r="D88" s="467"/>
      <c r="E88" s="467"/>
      <c r="F88" s="467"/>
      <c r="G88" s="467"/>
      <c r="H88" s="467"/>
      <c r="I88" s="467"/>
      <c r="J88" s="467"/>
      <c r="K88" s="6"/>
      <c r="N88">
        <v>13034</v>
      </c>
    </row>
    <row r="89" spans="1:14">
      <c r="A89" s="467"/>
      <c r="B89" s="1004" t="s">
        <v>1564</v>
      </c>
      <c r="C89" s="467"/>
      <c r="D89" s="467"/>
      <c r="E89" s="467"/>
      <c r="F89" s="467"/>
      <c r="G89" s="467"/>
      <c r="H89" s="467"/>
      <c r="I89" s="467"/>
      <c r="J89" s="467"/>
      <c r="K89" s="6"/>
      <c r="N89">
        <v>14120</v>
      </c>
    </row>
    <row r="90" spans="1:14">
      <c r="A90" s="467"/>
      <c r="B90" s="537" t="s">
        <v>1565</v>
      </c>
      <c r="C90" s="467"/>
      <c r="D90" s="467"/>
      <c r="E90" s="467"/>
      <c r="F90" s="467"/>
      <c r="G90" s="467"/>
      <c r="H90" s="467"/>
      <c r="I90" s="467"/>
      <c r="J90" s="467"/>
      <c r="K90" s="6"/>
      <c r="N90">
        <v>14121</v>
      </c>
    </row>
    <row r="91" spans="1:14">
      <c r="A91" s="467"/>
      <c r="B91" s="1004" t="s">
        <v>1566</v>
      </c>
      <c r="C91" s="467"/>
      <c r="D91" s="467"/>
      <c r="E91" s="467"/>
      <c r="F91" s="467"/>
      <c r="G91" s="467"/>
      <c r="H91" s="467"/>
      <c r="I91" s="467"/>
      <c r="J91" s="467"/>
      <c r="K91" s="6"/>
      <c r="N91">
        <v>14122</v>
      </c>
    </row>
    <row r="92" spans="1:14">
      <c r="A92" s="467"/>
      <c r="B92" s="537" t="s">
        <v>1567</v>
      </c>
      <c r="C92" s="467"/>
      <c r="D92" s="467"/>
      <c r="E92" s="467"/>
      <c r="F92" s="467"/>
      <c r="G92" s="467"/>
      <c r="H92" s="467"/>
      <c r="I92" s="467"/>
      <c r="J92" s="467"/>
      <c r="K92" s="6"/>
    </row>
    <row r="93" spans="1:14">
      <c r="A93" s="467"/>
      <c r="B93" s="1004" t="s">
        <v>1568</v>
      </c>
      <c r="C93" s="467"/>
      <c r="D93" s="467"/>
      <c r="E93" s="467"/>
      <c r="F93" s="467"/>
      <c r="G93" s="467"/>
      <c r="H93" s="467"/>
      <c r="I93" s="467"/>
      <c r="J93" s="467"/>
      <c r="K93" s="6"/>
    </row>
    <row r="94" spans="1:14">
      <c r="A94" s="467"/>
      <c r="B94" s="930" t="s">
        <v>1569</v>
      </c>
      <c r="C94" s="467"/>
      <c r="D94" s="467"/>
      <c r="E94" s="467"/>
      <c r="F94" s="467"/>
      <c r="G94" s="467"/>
      <c r="H94" s="467"/>
      <c r="I94" s="467"/>
      <c r="J94" s="467"/>
      <c r="K94" s="6"/>
    </row>
    <row r="95" spans="1:14">
      <c r="K95" s="6"/>
    </row>
    <row r="96" spans="1:14">
      <c r="K96" s="6"/>
    </row>
    <row r="97" spans="11:11">
      <c r="K97" s="6"/>
    </row>
    <row r="98" spans="11:11">
      <c r="K98" s="6"/>
    </row>
    <row r="99" spans="11:11">
      <c r="K99" s="6"/>
    </row>
  </sheetData>
  <sheetProtection algorithmName="SHA-512" hashValue="eDomq0OtKwA7hOmV8HaFGDdPxFmdVmy+Y0udpzIAhQgZt+eFlV12GiVu1jf/8brUN/srONFGMPJWabRvolwpjA==" saltValue="ipl/F6vmYHZHK7AQDI6SXA==" spinCount="100000" sheet="1" objects="1" scenarios="1"/>
  <customSheetViews>
    <customSheetView guid="{72D97B72-4F31-4935-B383-181115A2573C}" hiddenColumns="1" topLeftCell="A22">
      <selection activeCell="H30" sqref="H30"/>
      <pageMargins left="0.78740157499999996" right="0.78740157499999996" top="0.44" bottom="0.37" header="0.28000000000000003" footer="0.17"/>
      <pageSetup paperSize="9" scale="75" orientation="landscape"/>
      <headerFooter alignWithMargins="0"/>
    </customSheetView>
    <customSheetView guid="{27A951D1-C3FC-484C-B83E-FA121C9E6D3A}" hiddenColumns="1" topLeftCell="A22">
      <selection activeCell="H30" sqref="H30"/>
      <pageMargins left="0.78740157499999996" right="0.78740157499999996" top="0.44" bottom="0.37" header="0.28000000000000003" footer="0.17"/>
      <pageSetup paperSize="9" scale="75" orientation="landscape"/>
      <headerFooter alignWithMargins="0"/>
    </customSheetView>
  </customSheetViews>
  <phoneticPr fontId="0" type="noConversion"/>
  <hyperlinks>
    <hyperlink ref="B15" r:id="rId1" xr:uid="{B9C97250-2CF1-468A-9CDC-02A4C36C4208}"/>
    <hyperlink ref="B75:D75" location="Kaufschwellenrechner!A1" display="zum Kaufschwellenrechner" xr:uid="{01105D40-8B58-4E6D-9808-4409260811C3}"/>
    <hyperlink ref="B75:E75" location="'Acheter ou louer'!A1" display="Accès au calculateur de seuil d'achat" xr:uid="{0C4F38B0-F2F0-4501-A362-D6A95497554B}"/>
    <hyperlink ref="I11" r:id="rId2" xr:uid="{C811183A-78F8-417F-9311-4003497BAB6E}"/>
    <hyperlink ref="G50" location="'Calcul des machines'!A1" display="Calcul des machines" xr:uid="{09D1D697-E351-4977-BFDE-174B2BC7FDFD}"/>
  </hyperlinks>
  <pageMargins left="0.78740157480314965" right="0.78740157480314965" top="0.43307086614173229" bottom="0.35433070866141736" header="0.27559055118110237" footer="0.15748031496062992"/>
  <pageSetup paperSize="9" scale="70" orientation="landscape"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92D050"/>
  </sheetPr>
  <dimension ref="A1:U564"/>
  <sheetViews>
    <sheetView showGridLines="0" tabSelected="1" zoomScale="80" zoomScaleNormal="80" zoomScaleSheetLayoutView="75" workbookViewId="0">
      <selection activeCell="E20" sqref="E20"/>
    </sheetView>
  </sheetViews>
  <sheetFormatPr baseColWidth="10" defaultColWidth="11.42578125" defaultRowHeight="12.75"/>
  <cols>
    <col min="1" max="1" width="2.42578125" customWidth="1"/>
    <col min="2" max="2" width="30.140625" customWidth="1"/>
    <col min="3" max="3" width="11.85546875" customWidth="1"/>
    <col min="4" max="5" width="12" customWidth="1"/>
    <col min="6" max="6" width="11.140625" customWidth="1"/>
    <col min="7" max="7" width="14" customWidth="1"/>
    <col min="8" max="8" width="7.28515625" customWidth="1"/>
    <col min="9" max="9" width="28.28515625" customWidth="1"/>
    <col min="10" max="10" width="11.85546875" customWidth="1"/>
    <col min="12" max="12" width="10.140625" customWidth="1"/>
    <col min="13" max="13" width="10" customWidth="1"/>
    <col min="14" max="14" width="12.42578125" customWidth="1"/>
    <col min="15" max="15" width="10.42578125" customWidth="1"/>
    <col min="18" max="21" width="0" hidden="1" customWidth="1"/>
  </cols>
  <sheetData>
    <row r="1" spans="1:21" ht="27">
      <c r="A1" s="301" t="str">
        <f>lire!A1</f>
        <v>TractoScope - Programme de calcul Coûts-machines</v>
      </c>
      <c r="B1" s="6"/>
      <c r="C1" s="6"/>
      <c r="D1" s="6"/>
      <c r="E1" s="6"/>
      <c r="F1" s="6"/>
      <c r="G1" s="6"/>
      <c r="H1" s="246"/>
      <c r="I1" s="6"/>
      <c r="J1" s="6"/>
      <c r="K1" s="6"/>
      <c r="L1" s="6"/>
      <c r="M1" s="6"/>
      <c r="N1" s="6"/>
      <c r="O1" s="6"/>
    </row>
    <row r="2" spans="1:21" ht="18">
      <c r="A2" s="192" t="str">
        <f>lire!A2</f>
        <v xml:space="preserve"> (Agroscope, Tänikon - V. 5.8/2025)</v>
      </c>
      <c r="B2" s="6"/>
      <c r="C2" s="6"/>
      <c r="D2" s="6"/>
      <c r="E2" s="6"/>
      <c r="F2" s="6"/>
      <c r="G2" s="6"/>
      <c r="H2" s="246"/>
      <c r="I2" s="6"/>
      <c r="J2" s="6"/>
      <c r="K2" s="6"/>
      <c r="L2" s="6"/>
      <c r="M2" s="6"/>
      <c r="N2" s="6"/>
      <c r="O2" s="6"/>
    </row>
    <row r="3" spans="1:21" ht="18">
      <c r="A3" s="192"/>
      <c r="B3" s="6"/>
      <c r="C3" s="6"/>
      <c r="D3" s="6"/>
      <c r="E3" s="6"/>
      <c r="F3" s="6"/>
      <c r="G3" s="6"/>
      <c r="H3" s="246"/>
      <c r="I3" s="6"/>
      <c r="J3" s="6"/>
      <c r="K3" s="6"/>
      <c r="L3" s="6"/>
      <c r="M3" s="6"/>
      <c r="N3" s="6"/>
      <c r="O3" s="6"/>
    </row>
    <row r="4" spans="1:21" ht="18">
      <c r="A4" s="192"/>
      <c r="B4" s="270" t="s">
        <v>506</v>
      </c>
      <c r="C4" s="385">
        <v>2</v>
      </c>
      <c r="D4" s="6" t="s">
        <v>507</v>
      </c>
      <c r="E4" s="6"/>
      <c r="F4" s="6"/>
      <c r="G4" s="6"/>
      <c r="H4" s="246"/>
      <c r="I4" s="6"/>
      <c r="J4" s="6"/>
      <c r="K4" s="6"/>
      <c r="L4" s="6"/>
      <c r="M4" s="6"/>
      <c r="N4" s="6"/>
      <c r="O4" s="6"/>
    </row>
    <row r="5" spans="1:21" ht="18">
      <c r="A5" s="192"/>
      <c r="B5" s="6"/>
      <c r="C5" s="6"/>
      <c r="D5" s="6"/>
      <c r="E5" s="6"/>
      <c r="F5" s="6"/>
      <c r="G5" s="6"/>
      <c r="H5" s="246"/>
      <c r="I5" s="6"/>
      <c r="J5" s="6"/>
      <c r="K5" s="6"/>
      <c r="L5" s="6"/>
      <c r="M5" s="6"/>
      <c r="N5" s="6"/>
      <c r="O5" s="6"/>
      <c r="R5">
        <v>0</v>
      </c>
      <c r="S5" t="s">
        <v>1576</v>
      </c>
      <c r="U5" t="s">
        <v>520</v>
      </c>
    </row>
    <row r="6" spans="1:21" ht="18">
      <c r="A6" s="6"/>
      <c r="B6" s="250" t="str">
        <f>IF($C$4=1,"Calcul machine A",IF($C$4=2,"Calcul véhicule à moteur A","?"))</f>
        <v>Calcul véhicule à moteur A</v>
      </c>
      <c r="C6" s="6"/>
      <c r="D6" s="187" t="s">
        <v>508</v>
      </c>
      <c r="E6" s="206">
        <f ca="1">NOW()</f>
        <v>45911.373451157408</v>
      </c>
      <c r="F6" s="6"/>
      <c r="G6" s="6"/>
      <c r="H6" s="246"/>
      <c r="I6" s="250" t="str">
        <f>IF($C$4=1,"Calcul machine B",IF($C$4=2,"Calcul véhicule à moteur B","?"))</f>
        <v>Calcul véhicule à moteur B</v>
      </c>
      <c r="J6" s="6"/>
      <c r="K6" s="6"/>
      <c r="L6" s="6"/>
      <c r="M6" s="6"/>
      <c r="N6" s="6"/>
      <c r="O6" s="6"/>
      <c r="R6">
        <v>1</v>
      </c>
      <c r="S6" t="s">
        <v>1577</v>
      </c>
      <c r="U6" t="s">
        <v>123</v>
      </c>
    </row>
    <row r="7" spans="1:21" ht="18">
      <c r="A7" s="192"/>
      <c r="B7" s="10"/>
      <c r="C7" s="6"/>
      <c r="D7" s="6"/>
      <c r="E7" s="6"/>
      <c r="F7" s="6"/>
      <c r="G7" s="6"/>
      <c r="H7" s="246"/>
      <c r="I7" s="6"/>
      <c r="J7" s="6"/>
      <c r="K7" s="6"/>
      <c r="L7" s="6"/>
      <c r="M7" s="6"/>
      <c r="N7" s="6"/>
      <c r="O7" s="6"/>
      <c r="R7">
        <v>2</v>
      </c>
      <c r="S7" t="s">
        <v>1578</v>
      </c>
    </row>
    <row r="8" spans="1:21" ht="16.5" thickBot="1">
      <c r="A8" s="208"/>
      <c r="B8" s="827" t="s">
        <v>509</v>
      </c>
      <c r="C8" s="302"/>
      <c r="D8" s="303" t="s">
        <v>510</v>
      </c>
      <c r="E8" s="302"/>
      <c r="F8" s="302"/>
      <c r="G8" s="302"/>
      <c r="H8" s="246"/>
      <c r="I8" s="827" t="s">
        <v>509</v>
      </c>
      <c r="J8" s="302"/>
      <c r="K8" s="303" t="s">
        <v>510</v>
      </c>
      <c r="L8" s="302"/>
      <c r="M8" s="302"/>
      <c r="N8" s="302"/>
      <c r="O8" s="6"/>
      <c r="R8">
        <v>3</v>
      </c>
      <c r="S8" s="537" t="s">
        <v>1579</v>
      </c>
      <c r="T8" s="305">
        <f>Hypothèses!C24</f>
        <v>4.831666666666667</v>
      </c>
    </row>
    <row r="9" spans="1:21" ht="15.75">
      <c r="A9" s="6"/>
      <c r="B9" s="386"/>
      <c r="C9" s="306"/>
      <c r="D9" s="383">
        <v>1011</v>
      </c>
      <c r="E9" s="827" t="s">
        <v>278</v>
      </c>
      <c r="F9" s="828" t="str">
        <f>IF(ISERROR(VLOOKUP(D9,Spez!S$4:S$50,1,0)),"","Roues jumelées (1=oui; 0=non)")</f>
        <v>Roues jumelées (1=oui; 0=non)</v>
      </c>
      <c r="G9" s="302"/>
      <c r="H9" s="246"/>
      <c r="I9" s="384"/>
      <c r="J9" s="307"/>
      <c r="K9" s="307"/>
      <c r="L9" s="383">
        <v>6092</v>
      </c>
      <c r="M9" s="304" t="s">
        <v>214</v>
      </c>
      <c r="N9" s="304"/>
      <c r="O9" s="6"/>
    </row>
    <row r="10" spans="1:21" ht="16.5" thickBot="1">
      <c r="A10" s="467"/>
      <c r="B10" s="308" t="str">
        <f>VLOOKUP(D9,Maschinenliste!$A$17:$AE$959,3,0)</f>
        <v>Tracteur 105–124 kW (143–169 ch)</v>
      </c>
      <c r="C10" s="309"/>
      <c r="D10" s="310"/>
      <c r="E10" s="311"/>
      <c r="F10" s="829" t="str">
        <f>IF(ISERROR(VLOOKUP(D9,Spez!S$4:S$50,1,0)),"","avant")</f>
        <v>avant</v>
      </c>
      <c r="G10" s="830">
        <v>0</v>
      </c>
      <c r="H10" s="831" t="str">
        <f>IF(ISERROR(VLOOKUP(D9,Spez!S$4:S$50,1,0)),"",IF(G10=1,VLOOKUP(D9,Maschinenliste!A$17:AH$105,33,0),""))</f>
        <v/>
      </c>
      <c r="I10" s="313" t="str">
        <f>VLOOKUP(L9,Maschinenliste!$A$17:$AE$959,3,0)</f>
        <v>Citerne 6000 l, avec rampe d'épandage à tuyaux souples, 12 m</v>
      </c>
      <c r="J10" s="238"/>
      <c r="K10" s="238"/>
      <c r="L10" s="310"/>
      <c r="M10" s="304"/>
      <c r="N10" s="304"/>
      <c r="O10" s="6"/>
    </row>
    <row r="11" spans="1:21">
      <c r="A11" s="467"/>
      <c r="B11" s="314" t="str">
        <f>IF(ISERROR(VLOOKUP($D9,Spez!$A$4:$A$30,1,0)),"","Stop: la machine sélectionnée ne peut pas être calculée avec ce programme!")</f>
        <v/>
      </c>
      <c r="C11" s="302"/>
      <c r="D11" s="302"/>
      <c r="E11" s="302"/>
      <c r="F11" s="829" t="str">
        <f>IF(ISERROR(VLOOKUP(D9,Spez!S$4:S$50,1,0)),"","arrière")</f>
        <v>arrière</v>
      </c>
      <c r="G11" s="830">
        <v>0</v>
      </c>
      <c r="H11" s="831" t="str">
        <f>IF(ISERROR(VLOOKUP(D9,Spez!S$4:S$50,1,0)),"",IF(G11=1,VLOOKUP(D9,Maschinenliste!A$17:AH$105,34,0),""))</f>
        <v/>
      </c>
      <c r="I11" s="314" t="str">
        <f>IF(ISERROR(VLOOKUP($L9,Spez!$A$4:$A$30,1,0)),"","Stop: la machine sélectionnée ne peut pas être calculée avec ce programme!")</f>
        <v/>
      </c>
      <c r="J11" s="304"/>
      <c r="K11" s="304"/>
      <c r="L11" s="304"/>
      <c r="M11" s="304"/>
      <c r="N11" s="304"/>
      <c r="O11" s="6"/>
    </row>
    <row r="12" spans="1:21">
      <c r="A12" s="467"/>
      <c r="B12" s="832" t="s">
        <v>511</v>
      </c>
      <c r="C12" s="315" t="str">
        <f>VLOOKUP($D9,Maschinenliste!$A$17:$AE$959,30,0)</f>
        <v>heures (h)</v>
      </c>
      <c r="D12" s="832" t="str">
        <f>VLOOKUP(E19,$R$5:$S$8,2,0)</f>
        <v>diesel</v>
      </c>
      <c r="E12" s="316" t="str">
        <f>IF(E19=3,$T$8,"")</f>
        <v/>
      </c>
      <c r="F12" s="302"/>
      <c r="G12" s="833">
        <f>IF(LEN(H10)&gt;0,VLOOKUP(H10,Maschinenliste!A$31:G$100,6,0),0)+IF(LEN(H11)&gt;0,VLOOKUP(H11,Maschinenliste!A$31:G$100,6,0),0)</f>
        <v>0</v>
      </c>
      <c r="H12" s="246"/>
      <c r="I12" s="304"/>
      <c r="J12" s="832" t="s">
        <v>511</v>
      </c>
      <c r="K12" s="317" t="str">
        <f>VLOOKUP($L9,Maschinenliste!$A$17:$AE$959,30,0)</f>
        <v>m3</v>
      </c>
      <c r="L12" s="834" t="str">
        <f>VLOOKUP(M19,$R$5:$S$8,2,0)</f>
        <v xml:space="preserve">   sans carburant</v>
      </c>
      <c r="M12" s="318" t="str">
        <f>IF(M19=3,$T$8,"")</f>
        <v/>
      </c>
      <c r="N12" s="304"/>
      <c r="O12" s="6"/>
    </row>
    <row r="13" spans="1:21">
      <c r="A13" s="467"/>
      <c r="B13" s="302"/>
      <c r="C13" s="319" t="str">
        <f>IF(ISERROR(VLOOKUP($D9,Spez!$D$4:$D$46,1,0)),"aucune saisie nécessaire","Veuillez insérer la puissance en kW")</f>
        <v>aucune saisie nécessaire</v>
      </c>
      <c r="D13" s="835"/>
      <c r="E13" s="836" t="str">
        <f>IF(ISERROR(VLOOKUP($D9,Spez!$D$4:$D$45,1,0)),"","voir désignation de la machine")</f>
        <v/>
      </c>
      <c r="F13" s="302"/>
      <c r="G13" s="302"/>
      <c r="H13" s="246"/>
      <c r="I13" s="304"/>
      <c r="J13" s="304"/>
      <c r="K13" s="319" t="str">
        <f>IF(ISERROR(VLOOKUP($L9,Spez!$D$4:$D$46,1,0)),"aucune saisie nécessaire","Veuillez insérer la puissance en kW")</f>
        <v>aucune saisie nécessaire</v>
      </c>
      <c r="L13" s="837"/>
      <c r="M13" s="836" t="str">
        <f>IF(ISERROR(VLOOKUP($L9,Spez!$D$4:$D$45,1,0)),"","voir désignation de la machine")</f>
        <v/>
      </c>
      <c r="N13" s="304"/>
      <c r="O13" s="6"/>
    </row>
    <row r="14" spans="1:21">
      <c r="A14" s="467"/>
      <c r="B14" s="321"/>
      <c r="C14" s="302"/>
      <c r="D14" s="302"/>
      <c r="E14" s="827"/>
      <c r="F14" s="302"/>
      <c r="G14" s="302"/>
      <c r="H14" s="246"/>
      <c r="I14" s="304"/>
      <c r="J14" s="322"/>
      <c r="K14" s="304"/>
      <c r="L14" s="304"/>
      <c r="M14" s="838"/>
      <c r="N14" s="304"/>
      <c r="O14" s="6"/>
    </row>
    <row r="15" spans="1:21">
      <c r="A15" s="467"/>
      <c r="B15" s="302"/>
      <c r="C15" s="832" t="s">
        <v>512</v>
      </c>
      <c r="D15" s="323" t="str">
        <f>IF(ISERROR(VLOOKUP($D9,Spez!$D$48:$D$54,1,0)),IF(C12="heures (h)","",IF(ISERROR(VLOOKUP($D9,Spez!$N$4:$N$27,1,0)),VLOOKUP($D9,Maschinenliste!$A$17:$Y$944,4,0)/E21,VLOOKUP($D9,Maschinenliste!$A$17:$Y$944,4,0))),VLOOKUP($D9,Maschinenliste!$A$17:$Y$944,4,0))</f>
        <v/>
      </c>
      <c r="E15" s="324" t="str">
        <f>IF(ISERROR(VLOOKUP($D9,Spez!$O$4:$O$56,1,0)),IF(C12="hectares","ares",IF(C12="heures (h)","",C12)),"charretées")</f>
        <v/>
      </c>
      <c r="F15" s="325" t="str">
        <f>IF(D19=0,"par heure","")</f>
        <v/>
      </c>
      <c r="G15" s="302"/>
      <c r="H15" s="246"/>
      <c r="I15" s="304"/>
      <c r="J15" s="838"/>
      <c r="K15" s="832" t="s">
        <v>512</v>
      </c>
      <c r="L15" s="323">
        <f>IF(ISERROR(VLOOKUP($L9,Spez!$D$48:$D$54,1,0)),IF(K12="heures (h)","",IF(ISERROR(VLOOKUP($L9,Spez!$N$4:$N$27,1,0)),VLOOKUP($L9,Maschinenliste!$A$17:$Y$944,4,0)/L21,VLOOKUP($L9,Maschinenliste!$A$17:$Y$944,4,0))),VLOOKUP($L9,Maschinenliste!$A$17:$Y$944,4,0))</f>
        <v>22.2</v>
      </c>
      <c r="M15" s="324" t="str">
        <f>IF(ISERROR(VLOOKUP($L9,Spez!$O$4:$O$56,1,0)),IF(K12="hectares","ares",IF(K12="heures (h)","",K12)),"charretées")</f>
        <v>m3</v>
      </c>
      <c r="N15" s="325" t="str">
        <f>IF(L19=0,"par heure","")</f>
        <v>par heure</v>
      </c>
      <c r="O15" s="6"/>
    </row>
    <row r="16" spans="1:21" s="6" customFormat="1">
      <c r="A16" s="467"/>
      <c r="C16" s="187"/>
      <c r="D16" s="326"/>
      <c r="E16" s="327"/>
      <c r="F16" s="294"/>
      <c r="H16" s="246"/>
      <c r="K16" s="187"/>
      <c r="L16" s="326"/>
      <c r="M16" s="327"/>
      <c r="N16" s="294"/>
    </row>
    <row r="17" spans="1:15" ht="12" customHeight="1">
      <c r="A17" s="467"/>
      <c r="B17" s="6"/>
      <c r="C17" s="328" t="s">
        <v>279</v>
      </c>
      <c r="D17" s="329">
        <f>VLOOKUP($D9,Maschinenliste!$A$17:$AE$959,4,0)</f>
        <v>115</v>
      </c>
      <c r="E17" s="330" t="e">
        <f>IF(VLOOKUP($D9,Spez!$G$4:$G$15,1,0),"Umrechnung",0)</f>
        <v>#N/A</v>
      </c>
      <c r="F17" s="6"/>
      <c r="G17" s="6"/>
      <c r="H17" s="246"/>
      <c r="I17" s="6"/>
      <c r="J17" s="6"/>
      <c r="K17" s="328" t="s">
        <v>279</v>
      </c>
      <c r="L17" s="329">
        <f>VLOOKUP($L9,Maschinenliste!$A$17:$AE$959,4,0)</f>
        <v>22.2</v>
      </c>
      <c r="M17" s="330" t="e">
        <f>IF(VLOOKUP($L9,Spez!$G$4:$G$15,1,0),"Umrechnung",0)</f>
        <v>#N/A</v>
      </c>
      <c r="N17" s="6"/>
      <c r="O17" s="6"/>
    </row>
    <row r="18" spans="1:15">
      <c r="A18" s="467"/>
      <c r="B18" s="6"/>
      <c r="C18" s="328" t="s">
        <v>132</v>
      </c>
      <c r="D18" s="839">
        <f>IF(ISERROR(VLOOKUP($D9,Spez!$D$4:$D$46,1,0)),D17*E21,D13)</f>
        <v>115</v>
      </c>
      <c r="E18" s="331" t="s">
        <v>147</v>
      </c>
      <c r="F18" s="6"/>
      <c r="G18" s="6"/>
      <c r="H18" s="246"/>
      <c r="I18" s="6"/>
      <c r="J18" s="6"/>
      <c r="K18" s="328" t="s">
        <v>132</v>
      </c>
      <c r="L18" s="839">
        <f>IF(ISERROR(VLOOKUP($L9,Spez!$D$4:$D$46,1,0)),L17*L21,L13)</f>
        <v>22.2</v>
      </c>
      <c r="M18" s="331" t="s">
        <v>147</v>
      </c>
      <c r="N18" s="6"/>
      <c r="O18" s="6"/>
    </row>
    <row r="19" spans="1:15">
      <c r="A19" s="467"/>
      <c r="B19" s="6"/>
      <c r="C19" s="187"/>
      <c r="D19" s="332">
        <f>IF(ISERROR(VLOOKUP($D9,Spez!$D$48:$D$60,1,0)),IF(C12="heures (h)",1,0),0)</f>
        <v>1</v>
      </c>
      <c r="E19" s="332">
        <f>VLOOKUP(D9,Maschinenliste!$A$17:$AE$959,31,0)</f>
        <v>1</v>
      </c>
      <c r="G19" s="6"/>
      <c r="H19" s="246"/>
      <c r="I19" s="6"/>
      <c r="J19" s="6"/>
      <c r="K19" s="187"/>
      <c r="L19" s="332">
        <f>IF(ISERROR(VLOOKUP($L9,Spez!$D$48:$D$60,1,0)),IF(K12="heures (h)",1,0),0)</f>
        <v>0</v>
      </c>
      <c r="M19" s="840">
        <f>VLOOKUP(L9,Maschinenliste!$A$17:$AG$944,31,0)</f>
        <v>0</v>
      </c>
      <c r="N19" s="6"/>
      <c r="O19" s="6"/>
    </row>
    <row r="20" spans="1:15" ht="13.5" thickBot="1">
      <c r="A20" s="467"/>
      <c r="B20" s="6"/>
      <c r="C20" s="6"/>
      <c r="D20" s="10"/>
      <c r="E20" s="6"/>
      <c r="F20" s="6"/>
      <c r="G20" s="6"/>
      <c r="H20" s="246"/>
      <c r="I20" s="6"/>
      <c r="J20" s="6"/>
      <c r="K20" s="6"/>
      <c r="L20" s="6"/>
      <c r="M20" s="6"/>
      <c r="N20" s="6"/>
      <c r="O20" s="6"/>
    </row>
    <row r="21" spans="1:15" ht="16.5" thickBot="1">
      <c r="A21" s="467"/>
      <c r="B21" s="6"/>
      <c r="C21" s="6"/>
      <c r="D21" s="6"/>
      <c r="E21" s="333">
        <f>IF(ISERROR(VLOOKUP($D9,Spez!$O$4:$O$45,1,0)),1,VLOOKUP($D9,Maschinenliste!$A$17:$AE$959,28,0))</f>
        <v>1</v>
      </c>
      <c r="F21" s="334" t="s">
        <v>513</v>
      </c>
      <c r="G21" s="335"/>
      <c r="H21" s="246"/>
      <c r="I21" s="6"/>
      <c r="J21" s="6"/>
      <c r="K21" s="6"/>
      <c r="L21" s="333">
        <f>IF(ISERROR(VLOOKUP($L9,Spez!$O$4:$O$45,1,0)),1,VLOOKUP($L9,Maschinenliste!$A$17:$AE$959,28,0))</f>
        <v>1</v>
      </c>
      <c r="M21" s="334" t="s">
        <v>513</v>
      </c>
      <c r="N21" s="336"/>
      <c r="O21" s="6"/>
    </row>
    <row r="22" spans="1:15" ht="13.5" thickBot="1">
      <c r="A22" s="467"/>
      <c r="B22" s="6"/>
      <c r="C22" s="6"/>
      <c r="D22" s="6"/>
      <c r="E22" s="6"/>
      <c r="F22" s="841" t="str">
        <f>IF(G61=0,"","données ont été modifiées")</f>
        <v/>
      </c>
      <c r="G22" s="6"/>
      <c r="H22" s="246"/>
      <c r="I22" s="6"/>
      <c r="J22" s="6"/>
      <c r="K22" s="6"/>
      <c r="L22" s="6"/>
      <c r="M22" s="841" t="str">
        <f>IF(N61=0,"","données ont été modifiées")</f>
        <v/>
      </c>
      <c r="N22" s="6"/>
      <c r="O22" s="6"/>
    </row>
    <row r="23" spans="1:15">
      <c r="A23" s="467"/>
      <c r="B23" s="6"/>
      <c r="C23" s="6"/>
      <c r="D23" s="187" t="s">
        <v>514</v>
      </c>
      <c r="E23" s="337" t="str">
        <f>IF(E19=1,"Saisie","")</f>
        <v>Saisie</v>
      </c>
      <c r="F23" s="842">
        <f>Hypothèses!C22</f>
        <v>1.83</v>
      </c>
      <c r="G23" s="191" t="s">
        <v>156</v>
      </c>
      <c r="H23" s="246"/>
      <c r="I23" s="6"/>
      <c r="J23" s="6"/>
      <c r="K23" s="6"/>
      <c r="L23" s="187" t="s">
        <v>514</v>
      </c>
      <c r="M23" s="843">
        <f>F23</f>
        <v>1.83</v>
      </c>
      <c r="N23" s="191" t="s">
        <v>156</v>
      </c>
      <c r="O23" s="6"/>
    </row>
    <row r="24" spans="1:15" ht="13.5" thickBot="1">
      <c r="A24" s="467"/>
      <c r="B24" s="6"/>
      <c r="C24" s="6"/>
      <c r="D24" s="187" t="s">
        <v>455</v>
      </c>
      <c r="E24" s="337" t="str">
        <f>IF(E19=2,"Saisie","")</f>
        <v/>
      </c>
      <c r="F24" s="842">
        <f>Hypothèses!C23</f>
        <v>1.75</v>
      </c>
      <c r="G24" s="189" t="s">
        <v>156</v>
      </c>
      <c r="H24" s="246"/>
      <c r="I24" s="6"/>
      <c r="J24" s="6"/>
      <c r="K24" s="6"/>
      <c r="L24" s="187" t="s">
        <v>455</v>
      </c>
      <c r="M24" s="844">
        <f>F24</f>
        <v>1.75</v>
      </c>
      <c r="N24" s="189" t="s">
        <v>156</v>
      </c>
      <c r="O24" s="6"/>
    </row>
    <row r="25" spans="1:15">
      <c r="A25" s="467"/>
      <c r="B25" s="181" t="s">
        <v>515</v>
      </c>
      <c r="C25" s="188" t="s">
        <v>516</v>
      </c>
      <c r="D25" s="338" t="s">
        <v>517</v>
      </c>
      <c r="E25" s="339"/>
      <c r="F25" s="190"/>
      <c r="G25" s="189"/>
      <c r="H25" s="246"/>
      <c r="I25" s="181" t="s">
        <v>515</v>
      </c>
      <c r="J25" s="188" t="s">
        <v>516</v>
      </c>
      <c r="K25" s="338" t="s">
        <v>517</v>
      </c>
      <c r="L25" s="339"/>
      <c r="M25" s="190"/>
      <c r="N25" s="189"/>
      <c r="O25" s="6"/>
    </row>
    <row r="26" spans="1:15">
      <c r="A26" s="467"/>
      <c r="B26" s="6" t="s">
        <v>518</v>
      </c>
      <c r="C26" s="6" t="s">
        <v>380</v>
      </c>
      <c r="D26" s="340">
        <f>VLOOKUP($D9,Maschinenliste!$A$17:$AE$959,5,0)</f>
        <v>191000</v>
      </c>
      <c r="E26" s="6"/>
      <c r="F26" s="845">
        <f>D26</f>
        <v>191000</v>
      </c>
      <c r="G26" s="189"/>
      <c r="H26" s="246"/>
      <c r="I26" s="6" t="s">
        <v>518</v>
      </c>
      <c r="J26" s="6" t="s">
        <v>380</v>
      </c>
      <c r="K26" s="340">
        <f>VLOOKUP($L9,Maschinenliste!$A$17:$AE$959,5,0)</f>
        <v>69000</v>
      </c>
      <c r="L26" s="6"/>
      <c r="M26" s="233">
        <f>K26</f>
        <v>69000</v>
      </c>
      <c r="N26" s="189"/>
      <c r="O26" s="6"/>
    </row>
    <row r="27" spans="1:15">
      <c r="A27" s="467"/>
      <c r="B27" s="6" t="s">
        <v>519</v>
      </c>
      <c r="C27" s="6"/>
      <c r="D27" s="340"/>
      <c r="E27" s="6"/>
      <c r="F27" s="240" t="s">
        <v>520</v>
      </c>
      <c r="G27" s="189"/>
      <c r="H27" s="246"/>
      <c r="I27" s="6" t="s">
        <v>519</v>
      </c>
      <c r="J27" s="6"/>
      <c r="K27" s="340"/>
      <c r="L27" s="6"/>
      <c r="M27" s="240" t="s">
        <v>520</v>
      </c>
      <c r="N27" s="189"/>
      <c r="O27" s="6"/>
    </row>
    <row r="28" spans="1:15">
      <c r="A28" s="467"/>
      <c r="B28" s="6" t="s">
        <v>521</v>
      </c>
      <c r="C28" s="6" t="s">
        <v>522</v>
      </c>
      <c r="D28" s="340">
        <f>VLOOKUP($D9,Maschinenliste!$A$17:$AE$959,10,0)</f>
        <v>550</v>
      </c>
      <c r="E28" s="294" t="str">
        <f>$C12</f>
        <v>heures (h)</v>
      </c>
      <c r="F28" s="234">
        <f>D28</f>
        <v>550</v>
      </c>
      <c r="G28" s="189" t="str">
        <f>E28</f>
        <v>heures (h)</v>
      </c>
      <c r="H28" s="246"/>
      <c r="I28" s="6" t="s">
        <v>521</v>
      </c>
      <c r="J28" s="6" t="s">
        <v>522</v>
      </c>
      <c r="K28" s="340">
        <f>VLOOKUP($L9,Maschinenliste!$A$17:$AE$959,10,0)</f>
        <v>3850</v>
      </c>
      <c r="L28" s="294" t="str">
        <f>$K12</f>
        <v>m3</v>
      </c>
      <c r="M28" s="234">
        <f>K28</f>
        <v>3850</v>
      </c>
      <c r="N28" s="189" t="str">
        <f>L28</f>
        <v>m3</v>
      </c>
      <c r="O28" s="6"/>
    </row>
    <row r="29" spans="1:15">
      <c r="A29" s="467"/>
      <c r="B29" s="6" t="s">
        <v>523</v>
      </c>
      <c r="C29" s="6" t="s">
        <v>524</v>
      </c>
      <c r="D29" s="340">
        <f>VLOOKUP($D9,Maschinenliste!$A$17:$AE$959,12,0)</f>
        <v>15</v>
      </c>
      <c r="E29" s="6"/>
      <c r="F29" s="234">
        <f>D29</f>
        <v>15</v>
      </c>
      <c r="G29" s="189"/>
      <c r="H29" s="246"/>
      <c r="I29" s="6" t="s">
        <v>523</v>
      </c>
      <c r="J29" s="6" t="s">
        <v>524</v>
      </c>
      <c r="K29" s="340">
        <f>VLOOKUP($L9,Maschinenliste!$A$17:$AE$959,12,0)</f>
        <v>12</v>
      </c>
      <c r="L29" s="6"/>
      <c r="M29" s="234">
        <f>K29</f>
        <v>12</v>
      </c>
      <c r="N29" s="189"/>
      <c r="O29" s="6"/>
    </row>
    <row r="30" spans="1:15">
      <c r="A30" s="467"/>
      <c r="B30" s="6" t="s">
        <v>525</v>
      </c>
      <c r="C30" s="6" t="s">
        <v>522</v>
      </c>
      <c r="D30" s="340">
        <f>VLOOKUP($D9,Maschinenliste!$A$17:$AE$959,13,0)</f>
        <v>10000</v>
      </c>
      <c r="E30" s="294" t="str">
        <f>C12</f>
        <v>heures (h)</v>
      </c>
      <c r="F30" s="234">
        <f>D30</f>
        <v>10000</v>
      </c>
      <c r="G30" s="189" t="str">
        <f>E30</f>
        <v>heures (h)</v>
      </c>
      <c r="H30" s="246"/>
      <c r="I30" s="6" t="s">
        <v>525</v>
      </c>
      <c r="J30" s="6" t="s">
        <v>522</v>
      </c>
      <c r="K30" s="340">
        <f>VLOOKUP($L9,Maschinenliste!$A$17:$AE$959,13,0)</f>
        <v>60000</v>
      </c>
      <c r="L30" s="294" t="str">
        <f>K12</f>
        <v>m3</v>
      </c>
      <c r="M30" s="234">
        <f>K30</f>
        <v>60000</v>
      </c>
      <c r="N30" s="189" t="str">
        <f>L30</f>
        <v>m3</v>
      </c>
      <c r="O30" s="6"/>
    </row>
    <row r="31" spans="1:15">
      <c r="A31" s="467"/>
      <c r="B31" s="6" t="s">
        <v>526</v>
      </c>
      <c r="C31" s="6" t="s">
        <v>382</v>
      </c>
      <c r="D31" s="341">
        <f>D28*D29/D30</f>
        <v>0.82499999999999996</v>
      </c>
      <c r="E31" s="342"/>
      <c r="F31" s="343">
        <f>IF(LEN(F33)&gt;0,"",F28*F29/F30)</f>
        <v>0.82499999999999996</v>
      </c>
      <c r="G31" s="189"/>
      <c r="H31" s="246"/>
      <c r="I31" s="6" t="s">
        <v>526</v>
      </c>
      <c r="J31" s="6" t="s">
        <v>382</v>
      </c>
      <c r="K31" s="341">
        <f>K28*K29/K30</f>
        <v>0.77</v>
      </c>
      <c r="L31" s="342"/>
      <c r="M31" s="343">
        <f>IF(LEN(M33)&gt;0,"",M28*M29/M30)</f>
        <v>0.77</v>
      </c>
      <c r="N31" s="189"/>
      <c r="O31" s="6"/>
    </row>
    <row r="32" spans="1:15">
      <c r="A32" s="467"/>
      <c r="B32" s="6" t="s">
        <v>501</v>
      </c>
      <c r="C32" s="6" t="s">
        <v>527</v>
      </c>
      <c r="D32" s="340">
        <f>VLOOKUP($D9,Maschinenliste!$A$17:$AE$959,14,0)</f>
        <v>0.1</v>
      </c>
      <c r="E32" s="342"/>
      <c r="F32" s="344">
        <f>IF(LEN(F33)&gt;0,
"",
IF(ISERROR(VLOOKUP($D9,Spez!$B$4:$B$200,1,0)),IF(F31&gt;0,IF(F31&lt;Hypothèses!$C$82,Hypothèses!$B$82,IF(AND(F31&gt;=Hypothèses!$C$82,F31&lt;Hypothèses!$C$81),Hypothèses!$B$81,IF(AND(F31&gt;=Hypothèses!$C$81,F31&lt;Hypothèses!$C$80),Hypothèses!$B$80,IF(AND(F31&gt;=Hypothèses!$C$80,F31&lt;Hypothèses!$C$79),Hypothèses!$B$79,IF(AND(F31&gt;=Hypothèses!$C$79,F31&lt;Hypothèses!$C$78),Hypothèses!$B$78,0))))),""),0))</f>
        <v>0.1</v>
      </c>
      <c r="G32" s="189"/>
      <c r="H32" s="246"/>
      <c r="I32" s="6" t="s">
        <v>501</v>
      </c>
      <c r="J32" s="6" t="s">
        <v>527</v>
      </c>
      <c r="K32" s="340">
        <f>VLOOKUP($L9,Maschinenliste!$A$17:$AE$959,14,0)</f>
        <v>0.1</v>
      </c>
      <c r="L32" s="342"/>
      <c r="M32" s="344">
        <f>IF(LEN(M33)&gt;0,
"",
IF(ISERROR(VLOOKUP($L9,Spez!$B$4:$B$200,1,0)),IF(M31&gt;0,IF(M31&lt;Hypothèses!$C$82,Hypothèses!$B$82,IF(AND(M31&gt;=Hypothèses!$C$82,M31&lt;Hypothèses!$C$81),Hypothèses!$B$81,IF(AND(M31&gt;=Hypothèses!$C$81,M31&lt;Hypothèses!$C$80),Hypothèses!$B$80,IF(AND(M31&gt;=Hypothèses!$C$80,M31&lt;Hypothèses!$C$79),Hypothèses!$B$79,IF(AND(M31&gt;=Hypothèses!$C$79,M31&lt;Hypothèses!$C$78),Hypothèses!$B$78,0))))),""),0))</f>
        <v>0.1</v>
      </c>
      <c r="N32" s="189"/>
      <c r="O32" s="6"/>
    </row>
    <row r="33" spans="1:15" ht="15">
      <c r="A33" s="467"/>
      <c r="B33" s="6" t="s">
        <v>528</v>
      </c>
      <c r="C33" s="6" t="s">
        <v>380</v>
      </c>
      <c r="D33" s="200"/>
      <c r="E33" s="345"/>
      <c r="F33" s="234"/>
      <c r="G33" s="189"/>
      <c r="H33" s="246"/>
      <c r="I33" s="6" t="s">
        <v>528</v>
      </c>
      <c r="J33" s="6" t="s">
        <v>380</v>
      </c>
      <c r="K33" s="200"/>
      <c r="L33" s="345"/>
      <c r="M33" s="234"/>
      <c r="N33" s="189"/>
      <c r="O33" s="6"/>
    </row>
    <row r="34" spans="1:15">
      <c r="A34" s="467"/>
      <c r="B34" s="6" t="s">
        <v>529</v>
      </c>
      <c r="C34" s="6" t="s">
        <v>382</v>
      </c>
      <c r="D34" s="340">
        <f>VLOOKUP($D9,Maschinenliste!$A$17:$AE$959,11,0)</f>
        <v>40</v>
      </c>
      <c r="E34" s="6"/>
      <c r="F34" s="234">
        <f>D34</f>
        <v>40</v>
      </c>
      <c r="G34" s="346">
        <f>IF(E19=0,"",IF(E19=1,$D18*F34*Hypothèses!$C$25,IF(OR(E19=2,E19=3),$D18*F34*Hypothèses!$C$26,"")))</f>
        <v>13.8</v>
      </c>
      <c r="H34" s="347"/>
      <c r="I34" s="6" t="s">
        <v>529</v>
      </c>
      <c r="J34" s="6" t="s">
        <v>382</v>
      </c>
      <c r="K34" s="340" t="str">
        <f>VLOOKUP($L9,Maschinenliste!$A$17:$AE$959,11,0)</f>
        <v xml:space="preserve"> </v>
      </c>
      <c r="L34" s="6"/>
      <c r="M34" s="234" t="str">
        <f>K34</f>
        <v xml:space="preserve"> </v>
      </c>
      <c r="N34" s="346" t="str">
        <f>IF(M19=0,"",IF(M19=1,$L18*M34*Hypothèses!$C$25,IF(OR(M19=2,M19=3),$L18*M34*Hypothèses!$C$26,"")))</f>
        <v/>
      </c>
      <c r="O34" s="6"/>
    </row>
    <row r="35" spans="1:15">
      <c r="A35" s="467"/>
      <c r="B35" s="6" t="s">
        <v>530</v>
      </c>
      <c r="C35" s="6" t="s">
        <v>527</v>
      </c>
      <c r="D35" s="340">
        <f>VLOOKUP($D9,Maschinenliste!$A$17:$AE$959,15,0)</f>
        <v>0.45</v>
      </c>
      <c r="E35" s="6"/>
      <c r="F35" s="234">
        <f>D35</f>
        <v>0.45</v>
      </c>
      <c r="G35" s="846">
        <f>(F28*G47)</f>
        <v>4727.25</v>
      </c>
      <c r="H35" s="246"/>
      <c r="I35" s="6" t="s">
        <v>530</v>
      </c>
      <c r="J35" s="6" t="s">
        <v>527</v>
      </c>
      <c r="K35" s="340">
        <f>VLOOKUP($L9,Maschinenliste!$A$17:$AE$959,15,0)</f>
        <v>0.55000000000000004</v>
      </c>
      <c r="L35" s="6"/>
      <c r="M35" s="234">
        <f>K35</f>
        <v>0.55000000000000004</v>
      </c>
      <c r="N35" s="846">
        <f>(M28*N47)</f>
        <v>2435.125</v>
      </c>
      <c r="O35" s="6"/>
    </row>
    <row r="36" spans="1:15">
      <c r="A36" s="467"/>
      <c r="B36" s="6" t="s">
        <v>531</v>
      </c>
      <c r="C36" s="6" t="s">
        <v>383</v>
      </c>
      <c r="D36" s="340">
        <f>VLOOKUP($D9,Maschinenliste!$A$17:$AE$959,16,0)</f>
        <v>87</v>
      </c>
      <c r="E36" s="6"/>
      <c r="F36" s="234">
        <f>D36</f>
        <v>87</v>
      </c>
      <c r="G36" s="189"/>
      <c r="H36" s="246"/>
      <c r="I36" s="6" t="s">
        <v>531</v>
      </c>
      <c r="J36" s="6" t="s">
        <v>383</v>
      </c>
      <c r="K36" s="340">
        <f>VLOOKUP($L9,Maschinenliste!$A$17:$AE$959,16,0)</f>
        <v>80</v>
      </c>
      <c r="L36" s="6"/>
      <c r="M36" s="234">
        <f>K36</f>
        <v>80</v>
      </c>
      <c r="N36" s="189"/>
      <c r="O36" s="6"/>
    </row>
    <row r="37" spans="1:15">
      <c r="A37" s="467"/>
      <c r="B37" s="6" t="s">
        <v>532</v>
      </c>
      <c r="C37" s="6" t="s">
        <v>382</v>
      </c>
      <c r="D37" s="341">
        <v>0.1</v>
      </c>
      <c r="E37" s="6"/>
      <c r="F37" s="235">
        <f>D37</f>
        <v>0.1</v>
      </c>
      <c r="G37" s="189"/>
      <c r="H37" s="246"/>
      <c r="I37" s="6" t="s">
        <v>532</v>
      </c>
      <c r="J37" s="6" t="s">
        <v>382</v>
      </c>
      <c r="K37" s="341">
        <v>0.1</v>
      </c>
      <c r="L37" s="6"/>
      <c r="M37" s="235">
        <f>K37</f>
        <v>0.1</v>
      </c>
      <c r="N37" s="189"/>
      <c r="O37" s="6"/>
    </row>
    <row r="38" spans="1:15">
      <c r="A38" s="467"/>
      <c r="B38" s="6" t="s">
        <v>533</v>
      </c>
      <c r="C38" s="6"/>
      <c r="D38" s="341">
        <v>0</v>
      </c>
      <c r="E38" s="6"/>
      <c r="F38" s="235">
        <f>D38</f>
        <v>0</v>
      </c>
      <c r="G38" s="189"/>
      <c r="H38" s="246"/>
      <c r="I38" s="6" t="s">
        <v>533</v>
      </c>
      <c r="J38" s="6"/>
      <c r="K38" s="341">
        <v>0</v>
      </c>
      <c r="L38" s="6"/>
      <c r="M38" s="235">
        <f>K38</f>
        <v>0</v>
      </c>
      <c r="N38" s="189"/>
      <c r="O38" s="6"/>
    </row>
    <row r="39" spans="1:15">
      <c r="A39" s="467"/>
      <c r="B39" s="6"/>
      <c r="C39" s="6"/>
      <c r="D39" s="190"/>
      <c r="E39" s="6"/>
      <c r="F39" s="190"/>
      <c r="G39" s="348"/>
      <c r="H39" s="246"/>
      <c r="I39" s="6"/>
      <c r="J39" s="6"/>
      <c r="K39" s="190"/>
      <c r="L39" s="6"/>
      <c r="M39" s="190"/>
      <c r="N39" s="348"/>
      <c r="O39" s="6"/>
    </row>
    <row r="40" spans="1:15">
      <c r="A40" s="467"/>
      <c r="B40" s="188" t="s">
        <v>534</v>
      </c>
      <c r="C40" s="349"/>
      <c r="D40" s="622" t="s">
        <v>535</v>
      </c>
      <c r="E40" s="623"/>
      <c r="F40" s="622" t="s">
        <v>535</v>
      </c>
      <c r="G40" s="621" t="s">
        <v>536</v>
      </c>
      <c r="H40" s="246"/>
      <c r="I40" s="188" t="s">
        <v>534</v>
      </c>
      <c r="J40" s="349"/>
      <c r="K40" s="622" t="s">
        <v>535</v>
      </c>
      <c r="L40" s="623"/>
      <c r="M40" s="622" t="s">
        <v>535</v>
      </c>
      <c r="N40" s="621" t="s">
        <v>536</v>
      </c>
      <c r="O40" s="6"/>
    </row>
    <row r="41" spans="1:15">
      <c r="A41" s="467"/>
      <c r="B41" s="6" t="s">
        <v>537</v>
      </c>
      <c r="C41" s="6"/>
      <c r="D41" s="847">
        <f>(D26-(D26*D32))/D29</f>
        <v>11460</v>
      </c>
      <c r="E41" s="6"/>
      <c r="F41" s="847">
        <f>IF(LEN(F33)&gt;0,(F26-F33)/F29,(F26-(F26*F32))/F29)</f>
        <v>11460</v>
      </c>
      <c r="G41" s="189"/>
      <c r="H41" s="246"/>
      <c r="I41" s="6" t="s">
        <v>537</v>
      </c>
      <c r="J41" s="6"/>
      <c r="K41" s="847">
        <f>(K26-(K26*K32))/K29</f>
        <v>5175</v>
      </c>
      <c r="L41" s="6"/>
      <c r="M41" s="847">
        <f>IF(LEN(M33)&gt;0,(M26-M33)/M29,(M26-(M26*M32))/M29)</f>
        <v>5175</v>
      </c>
      <c r="N41" s="189"/>
      <c r="O41" s="6"/>
    </row>
    <row r="42" spans="1:15">
      <c r="A42" s="467"/>
      <c r="B42" s="6" t="s">
        <v>538</v>
      </c>
      <c r="C42" s="6"/>
      <c r="D42" s="847">
        <f>(D26-(D32*D26))*Hypothèses!$C$13/100*0.6+(D32*D26*Hypothèses!$C$13/100)</f>
        <v>1833.6</v>
      </c>
      <c r="E42" s="6"/>
      <c r="F42" s="847">
        <f>IF(LEN(F33)&gt;0,(F26-F33)*Hypothèses!$C$13/100*0.6+(F33*Hypothèses!$C$13/100),(F26-(F32*F26))*Hypothèses!$C$13/100*0.6+(F32*F26*Hypothèses!$C$13/100))</f>
        <v>1833.6</v>
      </c>
      <c r="G42" s="189"/>
      <c r="H42" s="246"/>
      <c r="I42" s="6" t="s">
        <v>538</v>
      </c>
      <c r="J42" s="6"/>
      <c r="K42" s="847">
        <f>(K26-(K32*K26))*Hypothèses!$C$13/100*0.6+(K32*K26*Hypothèses!$C$13/100)</f>
        <v>662.4</v>
      </c>
      <c r="L42" s="6"/>
      <c r="M42" s="847">
        <f>IF(LEN(M33)&gt;0,(M26-M33)*Hypothèses!$C$13/100*0.6+(M33*Hypothèses!$C$13/100),(M26-(M32*M26))*Hypothèses!$C$13/100*0.6+(M32*M26*Hypothèses!$C$13/100))</f>
        <v>662.4</v>
      </c>
      <c r="N42" s="189"/>
      <c r="O42" s="6"/>
    </row>
    <row r="43" spans="1:15">
      <c r="A43" s="467"/>
      <c r="B43" s="6" t="s">
        <v>539</v>
      </c>
      <c r="C43" s="6"/>
      <c r="D43" s="847">
        <f>IF(ISERROR(VLOOKUP($D9,Spez!$K$4:$K$200,1,0)),IF((VLOOKUP($D9,Maschinenliste!$A$17:$AE$959,31,0)&gt;0),D36*Hypothèses!$C$17,D36*Hypothèses!$C$18),D36*Hypothèses!$C$18)</f>
        <v>1305</v>
      </c>
      <c r="E43" s="6"/>
      <c r="F43" s="847">
        <f>IF(ISERROR(VLOOKUP($D9,Spez!$K$4:$K$200,1,0)),IF((VLOOKUP($D9,Maschinenliste!$A$17:$AE$959,31,0)&gt;0),F36*Hypothèses!$C$17,F36*Hypothèses!$C$18),F36*Hypothèses!$C$18)</f>
        <v>1305</v>
      </c>
      <c r="G43" s="189"/>
      <c r="H43" s="246"/>
      <c r="I43" s="6" t="s">
        <v>539</v>
      </c>
      <c r="J43" s="6"/>
      <c r="K43" s="847">
        <f>IF(ISERROR(VLOOKUP($L9,Spez!$K$4:$K$200,1,0)),IF((VLOOKUP($L9,Maschinenliste!$A$17:$AE$959,31,0)&gt;0),K36*Hypothèses!$C$17,K36*Hypothèses!$C$18),K36*Hypothèses!$C$18)</f>
        <v>560</v>
      </c>
      <c r="L43" s="6"/>
      <c r="M43" s="847">
        <f>IF(ISERROR(VLOOKUP($L9,Spez!$K$4:$K$200,1,0)),IF((VLOOKUP($L9,Maschinenliste!$A$17:$AE$959,31,0)&gt;0),M36*Hypothèses!$C$17,M36*Hypothèses!$C$18),M36*Hypothèses!$C$18)</f>
        <v>560</v>
      </c>
      <c r="N43" s="189"/>
      <c r="O43" s="6"/>
    </row>
    <row r="44" spans="1:15">
      <c r="A44" s="467"/>
      <c r="B44" s="186" t="s">
        <v>540</v>
      </c>
      <c r="C44" s="186"/>
      <c r="D44" s="847">
        <f>VLOOKUP($D9,Maschinenliste!$A$17:$AE$959,29,0)</f>
        <v>832</v>
      </c>
      <c r="E44" s="6"/>
      <c r="F44" s="848">
        <f>D44</f>
        <v>832</v>
      </c>
      <c r="G44" s="189"/>
      <c r="H44" s="246"/>
      <c r="I44" s="186" t="s">
        <v>540</v>
      </c>
      <c r="J44" s="186"/>
      <c r="K44" s="847">
        <f>VLOOKUP($L9,Maschinenliste!$A$17:$AE$959,29,0)</f>
        <v>138</v>
      </c>
      <c r="L44" s="6"/>
      <c r="M44" s="848">
        <f>K44</f>
        <v>138</v>
      </c>
      <c r="N44" s="189"/>
      <c r="O44" s="6"/>
    </row>
    <row r="45" spans="1:15" ht="13.5" thickBot="1">
      <c r="A45" s="467"/>
      <c r="B45" s="353" t="s">
        <v>541</v>
      </c>
      <c r="C45" s="6"/>
      <c r="D45" s="354">
        <f>SUM(D41:D44)</f>
        <v>15430.6</v>
      </c>
      <c r="E45" s="355">
        <f>D45/D28</f>
        <v>28.055636363636363</v>
      </c>
      <c r="F45" s="354">
        <f>SUM(F41:F44)</f>
        <v>15430.6</v>
      </c>
      <c r="G45" s="356">
        <f>F45/F28</f>
        <v>28.055636363636363</v>
      </c>
      <c r="H45" s="247"/>
      <c r="I45" s="353" t="s">
        <v>541</v>
      </c>
      <c r="J45" s="6"/>
      <c r="K45" s="354">
        <f>SUM(K41:K44)</f>
        <v>6535.4</v>
      </c>
      <c r="L45" s="355">
        <f>K45/K28</f>
        <v>1.6975064935064934</v>
      </c>
      <c r="M45" s="354">
        <f>SUM(M41:M44)</f>
        <v>6535.4</v>
      </c>
      <c r="N45" s="356">
        <f>M45/M28</f>
        <v>1.6975064935064934</v>
      </c>
      <c r="O45" s="6"/>
    </row>
    <row r="46" spans="1:15" ht="13.5" thickTop="1">
      <c r="A46" s="467"/>
      <c r="B46" s="6"/>
      <c r="C46" s="6"/>
      <c r="D46" s="357"/>
      <c r="E46" s="358"/>
      <c r="F46" s="357"/>
      <c r="G46" s="359"/>
      <c r="H46" s="247"/>
      <c r="I46" s="6"/>
      <c r="J46" s="6"/>
      <c r="K46" s="357"/>
      <c r="L46" s="358"/>
      <c r="M46" s="357"/>
      <c r="N46" s="359"/>
      <c r="O46" s="6"/>
    </row>
    <row r="47" spans="1:15" ht="12.75" customHeight="1">
      <c r="A47" s="467"/>
      <c r="B47" s="849" t="s">
        <v>542</v>
      </c>
      <c r="C47" s="6"/>
      <c r="D47" s="190"/>
      <c r="E47" s="358">
        <f>$D26/$D30*D35</f>
        <v>8.5950000000000006</v>
      </c>
      <c r="F47" s="190"/>
      <c r="G47" s="359">
        <f>IF(F27="Occasion",$D26/$D30*F35,F26/F30*F35)</f>
        <v>8.5950000000000006</v>
      </c>
      <c r="H47" s="247"/>
      <c r="I47" s="849" t="s">
        <v>542</v>
      </c>
      <c r="J47" s="6"/>
      <c r="K47" s="190"/>
      <c r="L47" s="358">
        <f>$K26/$K30*K35</f>
        <v>0.63249999999999995</v>
      </c>
      <c r="M47" s="190"/>
      <c r="N47" s="359">
        <f>IF(M27="Occasion",$K26/$K30*M35,M26/M30*M35)</f>
        <v>0.63249999999999995</v>
      </c>
      <c r="O47" s="6"/>
    </row>
    <row r="48" spans="1:15">
      <c r="A48" s="467"/>
      <c r="B48" s="849" t="s">
        <v>543</v>
      </c>
      <c r="C48" s="6"/>
      <c r="D48" s="190"/>
      <c r="E48" s="358">
        <f>IF(ISERROR(VLOOKUP($D9,Spez!$E$4:$E$36,1,0)),
IF(ISERROR(VLOOKUP($D9,Spez!$H$4:$H$36,1,0)),
IF(ISERROR(VLOOKUP($D9,Spez!$G$4:$G$36,1,0)),
IF($E19=0,0,
IF($E19=1,$D18*Hypothèses!$C$25*D34*Hypothèses!$C$22,
IF($E19=2,$D18*Hypothèses!$C$26*D34*Hypothèses!$C$23,
IF($E19=3,$D18*Hypothèses!$C$26*D34*Hypothèses!$C$24,
IF($E19=4,Hypothèses!$C$34,
IF($E19=5,$D18*D34/100*Hypothèses!C36,"?")))))),
IF($E19=1,$D18*Hypothèses!$C$25*D34*Hypothèses!$C$22/$D17*100,
IF($E19=2,$D18*Hypothèses!$C$26*D34*Hypothèses!$C$23/$D17*100))),
$D18*Hypothèses!$C$25*D34*Hypothèses!$C$22/$D17),IF($E19=1,($D18*Hypothèses!$C$25*D34*Hypothèses!$C$22)+($D18*Hypothèses!$C$25*D34*Hypothèses!$C$27*Hypothèses!$C$37)))</f>
        <v>26.329228899082569</v>
      </c>
      <c r="F48" s="190"/>
      <c r="G48" s="850">
        <f>IF(ISERROR(VLOOKUP($D9,Spez!$E$4:$E$36,1,0)),
IF(ISERROR(VLOOKUP($D9,Spez!$H$4:$H$36,1,0)),
IF(ISERROR(VLOOKUP($D9,Spez!$G$4:$G$36,1,0)),
IF($E19=0,0,IF($E19=1,$D18*Hypothèses!$C$25*F34*$F$23,
IF($E19=2,$D18*Hypothèses!$C$26*F34*$F$24,
IF($E19=3,$D18*Hypothèses!$C$26*F34*Hypothèses!$C$24,
IF($E19=4,Hypothèses!$C$34,
IF($E19=5,$D18*F34/100*Hypothèses!C36,"?")))))),
IF($E19=1,$D18*Hypothèses!$C$25*F34*$F$23/$D17*100,
IF($E19=2,$D18*Hypothèses!$C$26*F34*$F$24/$D17*100))),$D18*Hypothèses!$C$25*F34*$F$23/$D17),IF($E19=1,($D18*Hypothèses!$C$25*F34*$F$23)+($D18*Hypothèses!$C$25*F34*Hypothèses!$C$27*Hypothèses!$C$37)))</f>
        <v>26.329228899082569</v>
      </c>
      <c r="H48" s="247"/>
      <c r="I48" s="849" t="s">
        <v>543</v>
      </c>
      <c r="J48" s="6"/>
      <c r="K48" s="190"/>
      <c r="L48" s="358">
        <f>IF(ISERROR(VLOOKUP($L9,Spez!$E$4:$E$36,1,0)),
IF(ISERROR(VLOOKUP($L9,Spez!$H$4:$H$36,1,0)),
IF(ISERROR(VLOOKUP($L9,Spez!$G$4:$G$36,1,0)),
IF($M19=0,0,
IF($M19=1,$L18*Hypothèses!$C$25*K34*Hypothèses!$C$22,
IF($M19=2,$L18*Hypothèses!$C$26*K34*Hypothèses!$C$23,
IF($M19=3,$L18*Hypothèses!$C$26*K34*Hypothèses!$C$24,
IF($M19=4,Hypothèses!$C$34,
IF($M19=5,$L18*K34/100*Hypothèses!C36,"?")))))),
IF($M19=1,$L18*Hypothèses!$C$25*K34*Hypothèses!$C$22/$L17*100,
IF($M19=2,$L18*Hypothèses!$C$26*K34*Hypothèses!$C$23/$L17*100))),$L18*Hypothèses!$C$25*K34*Hypothèses!$C$22/$L17),
IF($M19=1,($L18*Hypothèses!$C$25*K34*Hypothèses!$C$22)+($L18*Hypothèses!$C$25*K34*Hypothèses!$C$27*Hypothèses!$C$37)))</f>
        <v>0</v>
      </c>
      <c r="M48" s="190"/>
      <c r="N48" s="850">
        <f>IF(ISERROR(VLOOKUP($L9,Spez!$E$4:$E$36,1,0)),
IF(ISERROR(VLOOKUP($L9,Spez!$H$4:$H$36,1,0)),
IF(ISERROR(VLOOKUP($L9,Spez!$G$4:$G$36,1,0)),
IF($M19=0,0,
IF($M19=1,$L18*Hypothèses!$C$25*M34*$F$23,
IF($M19=2,$L18*Hypothèses!$C$26*M34*$F$24,
IF($M19=3,$L18*Hypothèses!$C$26*M34*Hypothèses!$C$24,
IF($M19=4,Hypothèses!$C$34,
IF($M19=5,$L18*M34/100*Hypothèses!C36,"?")))))),
IF($M19=1,$L18*Hypothèses!$C$25*M34*$F$23/$L17*100,
IF($M19=2,$L18*Hypothèses!$C$26*M34*$F$24/$L17*100))),$L18*Hypothèses!$C$25*M34*$F$23/$L17),
IF($M19=1,($L18*Hypothèses!$C$25*M34*$F$23)+($L18*Hypothèses!$C$25*M34*Hypothèses!$C$27*Hypothèses!$C$37)))</f>
        <v>0</v>
      </c>
      <c r="O48" s="6"/>
    </row>
    <row r="49" spans="1:15">
      <c r="A49" s="467"/>
      <c r="B49" s="849" t="s">
        <v>544</v>
      </c>
      <c r="C49" s="6"/>
      <c r="D49" s="190"/>
      <c r="E49" s="358">
        <f>IF(ISERROR(VLOOKUP($D9,Spez!$M$4:$M$19,1,0)),IF(VLOOKUP($D9,Maschinenliste!$A$17:$AE$959,31,0)=0,VLOOKUP($D9,Maschinenliste!$A$17:$AE$959,23,0),0),VLOOKUP($D9,Hypothèses!$B$31:$C$35,2,0))</f>
        <v>0</v>
      </c>
      <c r="F49" s="190"/>
      <c r="G49" s="851">
        <f>E49</f>
        <v>0</v>
      </c>
      <c r="H49" s="247"/>
      <c r="I49" s="849" t="s">
        <v>544</v>
      </c>
      <c r="J49" s="6"/>
      <c r="K49" s="190"/>
      <c r="L49" s="358">
        <f>IF(ISERROR(VLOOKUP($L9,Spez!$M$4:$M$19,1,0)),IF(VLOOKUP($L9,Maschinenliste!$A$17:$AE$959,31,0)=0,VLOOKUP($L9,Maschinenliste!$A$17:$AE$959,23,0),0),VLOOKUP($D9,Hypothèses!$B$31:$C$35,2,0))</f>
        <v>0</v>
      </c>
      <c r="M49" s="190"/>
      <c r="N49" s="851">
        <f>L49</f>
        <v>0</v>
      </c>
      <c r="O49" s="6"/>
    </row>
    <row r="50" spans="1:15" ht="13.5" thickBot="1">
      <c r="A50" s="467"/>
      <c r="B50" s="360" t="s">
        <v>545</v>
      </c>
      <c r="C50" s="6"/>
      <c r="D50" s="190"/>
      <c r="E50" s="355">
        <f>SUM(E47:E49)</f>
        <v>34.924228899082571</v>
      </c>
      <c r="F50" s="190"/>
      <c r="G50" s="356">
        <f>SUM(G47:G49)</f>
        <v>34.924228899082571</v>
      </c>
      <c r="H50" s="247"/>
      <c r="I50" s="360" t="s">
        <v>545</v>
      </c>
      <c r="J50" s="6"/>
      <c r="K50" s="190"/>
      <c r="L50" s="355">
        <f>SUM(L47:L49)</f>
        <v>0.63249999999999995</v>
      </c>
      <c r="M50" s="190"/>
      <c r="N50" s="356">
        <f>SUM(N47:N49)</f>
        <v>0.63249999999999995</v>
      </c>
      <c r="O50" s="6"/>
    </row>
    <row r="51" spans="1:15" ht="13.5" thickTop="1">
      <c r="A51" s="467"/>
      <c r="B51" s="6"/>
      <c r="C51" s="6"/>
      <c r="D51" s="190"/>
      <c r="E51" s="6"/>
      <c r="F51" s="190"/>
      <c r="G51" s="189"/>
      <c r="H51" s="246"/>
      <c r="I51" s="6"/>
      <c r="J51" s="6"/>
      <c r="K51" s="190"/>
      <c r="L51" s="6"/>
      <c r="M51" s="190"/>
      <c r="N51" s="189"/>
      <c r="O51" s="6"/>
    </row>
    <row r="52" spans="1:15">
      <c r="A52" s="467"/>
      <c r="B52" s="6" t="s">
        <v>546</v>
      </c>
      <c r="C52" s="6"/>
      <c r="D52" s="852" t="str">
        <f>IF(ISERROR(VLOOKUP($D9,Spez!$I$4:$I$14,1,0)),"","par charretée")</f>
        <v/>
      </c>
      <c r="E52" s="362">
        <f>IF(ISERROR(VLOOKUP($D9,Spez!$I$4:$I$14,1,0)),E45+E50,(E45+E50)*VLOOKUP($D9,Maschinenliste!$A$17:$AE$959,28,0))</f>
        <v>62.979865262718931</v>
      </c>
      <c r="F52" s="852" t="str">
        <f>IF(ISERROR(VLOOKUP($D9,Spez!$I$4:$I$14,1,0)),"","par charretée")</f>
        <v/>
      </c>
      <c r="G52" s="363">
        <f>IF(ISERROR(VLOOKUP($D9,Spez!$I$4:$I$14,1,0)),G45+G50,(G45+G50)*VLOOKUP($D9,Maschinenliste!$A$17:$AE$959,28,0))+G12</f>
        <v>62.979865262718931</v>
      </c>
      <c r="H52" s="247"/>
      <c r="I52" s="6" t="s">
        <v>546</v>
      </c>
      <c r="J52" s="6"/>
      <c r="K52" s="852" t="str">
        <f>IF(ISERROR(VLOOKUP($L9,Spez!$I$4:$I$14,1,0)),"","par charretée")</f>
        <v/>
      </c>
      <c r="L52" s="362">
        <f>IF(ISERROR(VLOOKUP($L9,Spez!$I$4:$I$14,1,0)),L45+L50,(L45+L50)*VLOOKUP($L9,Maschinenliste!$A$17:$AE$959,28,0))</f>
        <v>2.3300064935064935</v>
      </c>
      <c r="M52" s="852" t="str">
        <f>IF(ISERROR(VLOOKUP($L9,Spez!$I$4:$I$14,1,0)),"","par charretée")</f>
        <v/>
      </c>
      <c r="N52" s="363">
        <f>IF(ISERROR(VLOOKUP($L9,Spez!$I$4:$I$14,1,0)),N45+N50,(N45+N50)*VLOOKUP($L9,Maschinenliste!$A$17:$AE$959,28,0))</f>
        <v>2.3300064935064935</v>
      </c>
      <c r="O52" s="6"/>
    </row>
    <row r="53" spans="1:15" ht="13.5" thickBot="1">
      <c r="A53" s="467"/>
      <c r="B53" s="6" t="s">
        <v>547</v>
      </c>
      <c r="C53" s="6"/>
      <c r="D53" s="853" t="str">
        <f>IF(ISERROR(VLOOKUP($D9,Spez!$I$4:$I$14,1,0)),"","par charretée")</f>
        <v/>
      </c>
      <c r="E53" s="364">
        <f>E52*(1+D37+D38)</f>
        <v>69.27785178899083</v>
      </c>
      <c r="F53" s="853" t="str">
        <f>IF(ISERROR(VLOOKUP($D9,Spez!$I$4:$I$14,1,0)),"","par charretée")</f>
        <v/>
      </c>
      <c r="G53" s="365">
        <f>G52*(1+F37+F38)</f>
        <v>69.27785178899083</v>
      </c>
      <c r="H53" s="248"/>
      <c r="I53" s="6" t="s">
        <v>547</v>
      </c>
      <c r="J53" s="6"/>
      <c r="K53" s="853" t="str">
        <f>IF(ISERROR(VLOOKUP($L9,Spez!$I$4:$I$14,1,0)),"","par charretée")</f>
        <v/>
      </c>
      <c r="L53" s="364">
        <f>L52*(1+K37+K38)</f>
        <v>2.5630071428571428</v>
      </c>
      <c r="M53" s="853" t="str">
        <f>IF(ISERROR(VLOOKUP($L9,Spez!$I$4:$I$14,1,0)),"","par charretée")</f>
        <v/>
      </c>
      <c r="N53" s="365">
        <f>N52*(1+M37+M38)</f>
        <v>2.5630071428571428</v>
      </c>
      <c r="O53" s="6"/>
    </row>
    <row r="54" spans="1:15">
      <c r="A54" s="467"/>
      <c r="B54" s="6"/>
      <c r="C54" s="6"/>
      <c r="D54" s="327" t="str">
        <f>IF(ISERROR(VLOOKUP($D9,Spez!$P$4:$P$30,1,0)),"","Fr. par charretée")</f>
        <v/>
      </c>
      <c r="E54" s="366" t="str">
        <f>IF(ISERROR(VLOOKUP($D9,Spez!$P$4:$P$30,1,0)),"",E53*VLOOKUP($D9,Maschinenliste!$A$17:$AE$959,28,0))</f>
        <v/>
      </c>
      <c r="F54" s="367" t="str">
        <f>IF(ISERROR(VLOOKUP($D9,Spez!$P$4:$P$30,1,0)),"","Fr. par charretée")</f>
        <v/>
      </c>
      <c r="G54" s="366" t="str">
        <f>IF(ISERROR(VLOOKUP($D9,Spez!$P$4:$P$30,1,0)),"",G53*VLOOKUP($D9,Maschinenliste!$A$17:$AE$959,28,0))</f>
        <v/>
      </c>
      <c r="H54" s="248"/>
      <c r="I54" s="6"/>
      <c r="J54" s="6"/>
      <c r="K54" s="327" t="str">
        <f>IF(ISERROR(VLOOKUP($L9,Spez!$P$4:$P$30,1,0)),"","Fr. par charretée")</f>
        <v/>
      </c>
      <c r="L54" s="366" t="str">
        <f>IF(ISERROR(VLOOKUP($L9,Spez!$P$4:$P$30,1,0)),"",L53*VLOOKUP($L9,Maschinenliste!$A$17:$AE$959,28,0))</f>
        <v/>
      </c>
      <c r="M54" s="367" t="str">
        <f>IF(ISERROR(VLOOKUP($L9,Spez!$P$4:$P$30,1,0)),"","Fr. par charretée")</f>
        <v/>
      </c>
      <c r="N54" s="366" t="str">
        <f>IF(ISERROR(VLOOKUP($L9,Spez!$P$4:$P$30,1,0)),"",N53*VLOOKUP($L9,Maschinenliste!$A$17:$AE$959,28,0))</f>
        <v/>
      </c>
      <c r="O54" s="6"/>
    </row>
    <row r="55" spans="1:15" ht="13.5" thickBot="1">
      <c r="A55" s="467"/>
      <c r="B55" s="6" t="str">
        <f>IF(C12="heures (h)","","Tarif d'indemnisation (supp. compris) par heure")</f>
        <v/>
      </c>
      <c r="C55" s="6"/>
      <c r="D55" s="327" t="str">
        <f>IF(E28="heures (h)","","Fr. par heure")</f>
        <v/>
      </c>
      <c r="E55" s="368" t="str">
        <f>IF(E28="heures (h)","",IF(ISERROR(VLOOKUP($D9,Spez!$P$4:$P$44,1,0)),IF($C12="heures (h)","",IF($C12="hectares",E53*$D15/100,E53*$D15)),E53*VLOOKUP($D9,Maschinenliste!$A$17:$AE$959,28,0)*$D15))</f>
        <v/>
      </c>
      <c r="F55" s="361" t="str">
        <f>IF(G28="heures (h)","","Fr. je heure")</f>
        <v/>
      </c>
      <c r="G55" s="368" t="str">
        <f>IF(G28="heures (h)","",IF(ISERROR(VLOOKUP($D9,Spez!$P$4:$P$44,1,0)),IF($C12="heures (h)","",IF($C12="hectares",G53*$D15/100,G53*$D15)),G53*VLOOKUP($D9,Maschinenliste!$A$17:$AE$959,28,0)*$D15))</f>
        <v/>
      </c>
      <c r="H55" s="248"/>
      <c r="I55" s="6" t="str">
        <f>IF(K12="heures (h)","","Tarif d'indemnisation (supp. compris) par heure")</f>
        <v>Tarif d'indemnisation (supp. compris) par heure</v>
      </c>
      <c r="J55" s="6"/>
      <c r="K55" s="327" t="str">
        <f>IF(L28="heures (h)","","Fr. par heure")</f>
        <v>Fr. par heure</v>
      </c>
      <c r="L55" s="368">
        <f>IF(L28="heures (h)","",IF(ISERROR(VLOOKUP($L9,Spez!$P$4:$P$44,1,0)),IF($K12="heures (h)","",IF($K12="hectares",L53*$L15/100,L53*$L15)),L53*VLOOKUP($L9,Maschinenliste!$A$17:$AE$959,28,0)*$L15))</f>
        <v>56.898758571428566</v>
      </c>
      <c r="M55" s="361" t="str">
        <f>IF(N28="heures (h)","","Fr. je heure")</f>
        <v>Fr. je heure</v>
      </c>
      <c r="N55" s="368">
        <f>IF(N28="heures (h)","",IF(ISERROR(VLOOKUP($L9,Spez!$P$4:$P$44,1,0)),IF($K12="heures (h)","",IF($K12="hectares",N53*$L15/100,N53*$L15)),N53*VLOOKUP($L9,Maschinenliste!$A$17:$AE$959,28,0)*$L15))</f>
        <v>56.898758571428566</v>
      </c>
      <c r="O55" s="6"/>
    </row>
    <row r="56" spans="1:15" ht="13.5" hidden="1" thickTop="1">
      <c r="A56" s="467"/>
      <c r="B56" s="187" t="s">
        <v>139</v>
      </c>
      <c r="C56" s="6"/>
      <c r="D56" s="6"/>
      <c r="E56" s="369">
        <f>IF(ISERROR(VLOOKUP($D9,Spez!$F$4:$F$200,1,0)),VLOOKUP($D9,Maschinenliste!$A$17:$AE$959,6,0)-E53,VLOOKUP($D9,Maschinenliste!$A$17:$AE$959,26,0)-E53)</f>
        <v>-0.27785178899083007</v>
      </c>
      <c r="F56" s="854"/>
      <c r="G56" s="370">
        <f>IF(ISERROR(VLOOKUP($D9,Spez!$F$5:$F$200,1,0)),VLOOKUP($D9,Maschinenliste!$A$17:$AE$959,6,0)-G53,VLOOKUP($D9,Maschinenliste!$A$17:$AE$959,28,0)-G53)</f>
        <v>-0.27785178899083007</v>
      </c>
      <c r="H56" s="371"/>
      <c r="I56" s="187" t="s">
        <v>139</v>
      </c>
      <c r="J56" s="6"/>
      <c r="K56" s="6"/>
      <c r="L56" s="369">
        <f>IF(ISERROR(VLOOKUP($L9,Spez!$F$4:$F$200,1,0)),VLOOKUP($L9,Maschinenliste!$A$17:$AE$959,6,0)-L53,VLOOKUP($L9,Maschinenliste!$A$17:$AE$959,26,0)-L53)</f>
        <v>54.436992857142855</v>
      </c>
      <c r="M56" s="854"/>
      <c r="N56" s="370">
        <f>IF(ISERROR(VLOOKUP($L9,Spez!$F$5:$F$87,1,0)),VLOOKUP($L9,Maschinenliste!$A$17:$AE$959,6,0)-N53,VLOOKUP($L9,Maschinenliste!$A$17:$AE$959,28,0)-N53)</f>
        <v>54.436992857142855</v>
      </c>
      <c r="O56" s="6"/>
    </row>
    <row r="57" spans="1:15" ht="13.5" hidden="1" thickTop="1">
      <c r="A57" s="467"/>
      <c r="B57" s="187" t="s">
        <v>140</v>
      </c>
      <c r="C57" s="6"/>
      <c r="D57" s="6"/>
      <c r="E57" s="372">
        <f>IF(ISERROR(VLOOKUP($D9,Spez!$F$4:$F$200,1,0)),VLOOKUP($D9,Maschinenliste!$A$17:$AE$959,27,0)-E53,VLOOKUP($D9,Maschinenliste!$A$17:$AE$959,27,0)-E53)</f>
        <v>-69.27785178899083</v>
      </c>
      <c r="F57" s="854"/>
      <c r="G57" s="370" t="e">
        <f>IF(ISERROR(VLOOKUP($D9,Spez!$F$5:$F$200,1,0)),VLOOKUP($D9,Maschinenliste!$A$17:$AE$959,7,0)-G53,VLOOKUP($D9,Maschinenliste!$A$17:$AE$959,29,0)-G53)</f>
        <v>#VALUE!</v>
      </c>
      <c r="H57" s="371"/>
      <c r="I57" s="187" t="s">
        <v>140</v>
      </c>
      <c r="J57" s="6"/>
      <c r="K57" s="6"/>
      <c r="L57" s="372">
        <f>IF(ISERROR(VLOOKUP($L9,Spez!$F$4:$F$200,1,0)),VLOOKUP($L9,Maschinenliste!$A$17:$AE$959,7,0)-L53,VLOOKUP($L9,Maschinenliste!$A$17:$AE$959,27,0)-L53)</f>
        <v>3.6992857142857272E-2</v>
      </c>
      <c r="M57" s="854"/>
      <c r="N57" s="370">
        <f>IF(ISERROR(VLOOKUP($L9,Spez!$F$5:$F$87,1,0)),VLOOKUP($L9,Maschinenliste!$A$17:$AE$959,7,0)-N53,VLOOKUP($L9,Maschinenliste!$A$17:$AE$959,29,0)-N53)</f>
        <v>3.6992857142857272E-2</v>
      </c>
      <c r="O57" s="6"/>
    </row>
    <row r="58" spans="1:15" ht="15.75" thickTop="1">
      <c r="A58" s="467"/>
      <c r="B58" s="187"/>
      <c r="C58" s="6"/>
      <c r="D58" s="6"/>
      <c r="E58" s="373"/>
      <c r="F58" s="374" t="str">
        <f>IF(F29*F28&gt;F30,"le degré d'utilisation dépasse 100% - veuillez corriger l'utilisation annuelle ou durée d'amortissement!","")</f>
        <v/>
      </c>
      <c r="H58" s="246"/>
      <c r="I58" s="187"/>
      <c r="J58" s="6"/>
      <c r="K58" s="6"/>
      <c r="L58" s="373"/>
      <c r="M58" s="374" t="str">
        <f>IF(M29*M28&gt;M30,"le degré d'utilisation dépasse 100% - veuillez corriger l'utilisation annuelle ou durée d'amortissement!","")</f>
        <v/>
      </c>
      <c r="O58" s="6"/>
    </row>
    <row r="59" spans="1:15" ht="15.75">
      <c r="A59" s="467"/>
      <c r="B59" s="375" t="str">
        <f>IF(Hypothèses!$F$11&gt;0,"Les hypothèses générales ont été modifiées - le résultat (valeur par défaut) ne correspond pas à la valeur indicative officielle d’Agroscope.",IF(AND((OR(E56&gt;1,E56&lt;-1)),(OR(E57&gt;1,E57&lt;-1))),"ATTENTION - Vos données ne sont pas correctes","ok"))</f>
        <v>ok</v>
      </c>
      <c r="C59" s="6"/>
      <c r="D59" s="6"/>
      <c r="E59" s="462"/>
      <c r="F59" s="462"/>
      <c r="H59" s="246"/>
      <c r="I59" s="375" t="str">
        <f>IF(Hypothèses!$F$11&gt;0,"Les hypothèses générales ont été modifiées - le résultat (valeur par défaut) ne correspond pas à la valeur indicative officielle d’Agroscope.",IF(AND((OR(L56&gt;1,L56&lt;-1)),(OR(L57&gt;1,L57&lt;-1))),"ATTENTION - Vos données ne sont pas correctes","ok"))</f>
        <v>ok</v>
      </c>
      <c r="J59" s="6"/>
      <c r="K59" s="6"/>
      <c r="L59" s="462"/>
      <c r="M59" s="462"/>
      <c r="O59" s="6"/>
    </row>
    <row r="60" spans="1:15">
      <c r="A60" s="467"/>
      <c r="B60" s="376" t="str">
        <f>IF(Hypothèses!$F$11&gt;0,"",IF(B59="ok","",IF(OR(E56&gt;1,E56&lt;-1),"Veuillez vérifier la puissance en kW ou la valeur résiduelle","ok")))</f>
        <v/>
      </c>
      <c r="C60" s="377"/>
      <c r="D60" s="6"/>
      <c r="E60" s="462"/>
      <c r="F60" s="462"/>
      <c r="G60" s="6"/>
      <c r="H60" s="246"/>
      <c r="I60" s="376" t="str">
        <f>IF(Hypothèses!$F$11&gt;0,"",IF(I59="ok","",IF(OR(L56&gt;1,L56&lt;-1),"Veuillez vérifier la puissance en kW  ou la valeur résiduelle","ok")))</f>
        <v/>
      </c>
      <c r="J60" s="377"/>
      <c r="K60" s="6"/>
      <c r="L60" s="462"/>
      <c r="M60" s="462"/>
      <c r="N60" s="6"/>
      <c r="O60" s="6"/>
    </row>
    <row r="61" spans="1:15">
      <c r="A61" s="467"/>
      <c r="B61" s="6" t="s">
        <v>548</v>
      </c>
      <c r="C61" s="6"/>
      <c r="D61" s="6"/>
      <c r="E61" s="6"/>
      <c r="F61" s="6"/>
      <c r="G61" s="378">
        <f>(G53/E53)-1</f>
        <v>0</v>
      </c>
      <c r="H61" s="379"/>
      <c r="I61" s="6" t="s">
        <v>548</v>
      </c>
      <c r="J61" s="6"/>
      <c r="K61" s="6"/>
      <c r="L61" s="6"/>
      <c r="M61" s="6"/>
      <c r="N61" s="378">
        <f>(N53/L53)-1</f>
        <v>0</v>
      </c>
      <c r="O61" s="6"/>
    </row>
    <row r="62" spans="1:15">
      <c r="A62" s="467"/>
      <c r="B62" s="6"/>
      <c r="C62" s="6"/>
      <c r="D62" s="6"/>
      <c r="E62" s="6"/>
      <c r="F62" s="6"/>
      <c r="G62" s="6"/>
      <c r="H62" s="246"/>
      <c r="I62" s="6"/>
      <c r="J62" s="6"/>
      <c r="K62" s="6"/>
      <c r="L62" s="6"/>
      <c r="M62" s="6"/>
      <c r="N62" s="6"/>
      <c r="O62" s="6"/>
    </row>
    <row r="63" spans="1:15">
      <c r="A63" s="467"/>
      <c r="B63" s="6"/>
      <c r="C63" s="6"/>
      <c r="D63" s="6"/>
      <c r="E63" s="6"/>
      <c r="F63" s="6"/>
      <c r="G63" s="6"/>
      <c r="H63" s="246"/>
      <c r="I63" s="6"/>
      <c r="J63" s="6"/>
      <c r="K63" s="6"/>
      <c r="L63" s="6"/>
      <c r="M63" s="6"/>
      <c r="N63" s="6"/>
      <c r="O63" s="6"/>
    </row>
    <row r="64" spans="1:15" ht="18">
      <c r="A64" s="467"/>
      <c r="B64" s="192" t="str">
        <f>IF($C$4=1,"Fin",IF($C$4=2,"Calcul combinaison de machines avec opérateur","?"))</f>
        <v>Calcul combinaison de machines avec opérateur</v>
      </c>
      <c r="C64" s="6"/>
      <c r="D64" s="6"/>
      <c r="E64" s="6"/>
      <c r="F64" s="6"/>
      <c r="G64" s="6"/>
      <c r="H64" s="246"/>
      <c r="I64" s="192" t="str">
        <f>IF($C$4=1,"Fin",IF($C$4=2,"Calcul combinaison de machines avec opérateur","?"))</f>
        <v>Calcul combinaison de machines avec opérateur</v>
      </c>
      <c r="J64" s="6"/>
      <c r="K64" s="6"/>
      <c r="L64" s="6"/>
      <c r="M64" s="6"/>
      <c r="N64" s="6"/>
      <c r="O64" s="6"/>
    </row>
    <row r="65" spans="1:15" ht="18">
      <c r="A65" s="467"/>
      <c r="B65" s="192"/>
      <c r="C65" s="6"/>
      <c r="D65" s="6"/>
      <c r="E65" s="6"/>
      <c r="F65" s="6"/>
      <c r="G65" s="6"/>
      <c r="H65" s="246"/>
      <c r="I65" s="192"/>
      <c r="J65" s="6"/>
      <c r="K65" s="6"/>
      <c r="L65" s="6"/>
      <c r="M65" s="6"/>
      <c r="N65" s="6"/>
      <c r="O65" s="6"/>
    </row>
    <row r="66" spans="1:15">
      <c r="A66" s="467"/>
      <c r="B66" s="380" t="str">
        <f>IF(C$4=2,"Machines sélectionnées (portées ou traînées):","")</f>
        <v>Machines sélectionnées (portées ou traînées):</v>
      </c>
      <c r="C66" s="6"/>
      <c r="D66" s="6"/>
      <c r="E66" s="6"/>
      <c r="F66" s="6"/>
      <c r="G66" s="6"/>
      <c r="H66" s="246"/>
      <c r="I66" s="380" t="str">
        <f>IF(C$4=2,"Machines sélectionnées (portées ou traînées):","")</f>
        <v>Machines sélectionnées (portées ou traînées):</v>
      </c>
      <c r="J66" s="6"/>
      <c r="K66" s="6"/>
      <c r="L66" s="6"/>
      <c r="M66" s="6"/>
      <c r="N66" s="6"/>
      <c r="O66" s="6"/>
    </row>
    <row r="67" spans="1:15">
      <c r="A67" s="467"/>
      <c r="C67" s="195" t="str">
        <f>IF(C$4=2,"Machine A1","")</f>
        <v>Machine A1</v>
      </c>
      <c r="D67" s="6" t="str">
        <f>B76</f>
        <v>Citerne 15 000 l, avec rampe d'épandage à patins, 15 m</v>
      </c>
      <c r="E67" s="6"/>
      <c r="F67" s="6"/>
      <c r="G67" s="6"/>
      <c r="H67" s="246"/>
      <c r="J67" s="195" t="str">
        <f>IF(C$4=2,"Machine B1","")</f>
        <v>Machine B1</v>
      </c>
      <c r="K67" s="6" t="str">
        <f>I76</f>
        <v>Citerne 12 000 l, avec rampe d'épandage à tuyaux souples, 12 m</v>
      </c>
      <c r="L67" s="6"/>
      <c r="M67" s="6"/>
      <c r="N67" s="6"/>
      <c r="O67" s="6"/>
    </row>
    <row r="68" spans="1:15">
      <c r="A68" s="467"/>
      <c r="B68" s="6"/>
      <c r="C68" s="195" t="str">
        <f>IF(C$4=2,"Machine A2","")</f>
        <v>Machine A2</v>
      </c>
      <c r="D68" s="6" t="e">
        <f>B136</f>
        <v>#N/A</v>
      </c>
      <c r="E68" s="6"/>
      <c r="F68" s="6"/>
      <c r="G68" s="6"/>
      <c r="H68" s="246"/>
      <c r="I68" s="6"/>
      <c r="J68" s="195" t="str">
        <f>IF(C$4=2,"Machine B2","")</f>
        <v>Machine B2</v>
      </c>
      <c r="K68" s="6" t="e">
        <f>I136</f>
        <v>#N/A</v>
      </c>
      <c r="L68" s="6"/>
      <c r="M68" s="6"/>
      <c r="N68" s="6"/>
      <c r="O68" s="6"/>
    </row>
    <row r="69" spans="1:15">
      <c r="A69" s="467"/>
      <c r="B69" s="6"/>
      <c r="C69" s="195" t="str">
        <f>IF(C$4=2,"Machine A3","")</f>
        <v>Machine A3</v>
      </c>
      <c r="D69" s="6" t="e">
        <f>B196</f>
        <v>#N/A</v>
      </c>
      <c r="E69" s="6"/>
      <c r="F69" s="6"/>
      <c r="G69" s="6"/>
      <c r="H69" s="246"/>
      <c r="I69" s="6"/>
      <c r="J69" s="195" t="str">
        <f>IF(C$4=2,"Machine B3","")</f>
        <v>Machine B3</v>
      </c>
      <c r="K69" s="6" t="e">
        <f>I196</f>
        <v>#N/A</v>
      </c>
      <c r="L69" s="6"/>
      <c r="M69" s="6"/>
      <c r="N69" s="6"/>
      <c r="O69" s="6"/>
    </row>
    <row r="70" spans="1:15">
      <c r="A70" s="467"/>
      <c r="B70" s="6"/>
      <c r="C70" s="6"/>
      <c r="D70" s="6"/>
      <c r="E70" s="6"/>
      <c r="F70" s="6"/>
      <c r="G70" s="6"/>
      <c r="H70" s="246"/>
      <c r="I70" s="6"/>
      <c r="J70" s="6"/>
      <c r="K70" s="6"/>
      <c r="L70" s="6"/>
      <c r="M70" s="6"/>
      <c r="N70" s="6"/>
      <c r="O70" s="6"/>
    </row>
    <row r="71" spans="1:15">
      <c r="A71" s="467"/>
      <c r="B71" s="6"/>
      <c r="C71" s="6"/>
      <c r="D71" s="6"/>
      <c r="E71" s="6"/>
      <c r="F71" s="6"/>
      <c r="G71" s="6"/>
      <c r="H71" s="246"/>
      <c r="I71" s="6"/>
      <c r="J71" s="6"/>
      <c r="K71" s="6"/>
      <c r="L71" s="6"/>
      <c r="M71" s="6"/>
      <c r="N71" s="6"/>
      <c r="O71" s="6"/>
    </row>
    <row r="72" spans="1:15" ht="18">
      <c r="A72" s="467"/>
      <c r="B72" s="250" t="str">
        <f>IF($C$4=1,"",IF($C$4=2,"Calcul machine A1","?"))</f>
        <v>Calcul machine A1</v>
      </c>
      <c r="C72" s="6"/>
      <c r="D72" s="381" t="str">
        <f>IF(B64="Fin","","(machines traînées ou portées)")</f>
        <v>(machines traînées ou portées)</v>
      </c>
      <c r="E72" s="6"/>
      <c r="F72" s="6"/>
      <c r="G72" s="6"/>
      <c r="H72" s="246"/>
      <c r="I72" s="250" t="str">
        <f>IF($C$4=1,"",IF($C$4=2,"Calcul machine B1","?"))</f>
        <v>Calcul machine B1</v>
      </c>
      <c r="J72" s="6"/>
      <c r="K72" s="381" t="str">
        <f>IF(I64="Fin","","(machines traînées ou portées)")</f>
        <v>(machines traînées ou portées)</v>
      </c>
      <c r="L72" s="6"/>
      <c r="M72" s="6"/>
      <c r="N72" s="6"/>
      <c r="O72" s="6"/>
    </row>
    <row r="73" spans="1:15">
      <c r="A73" s="467"/>
      <c r="B73" s="6"/>
      <c r="C73" s="6"/>
      <c r="D73" s="6"/>
      <c r="E73" s="6"/>
      <c r="F73" s="6"/>
      <c r="G73" s="6"/>
      <c r="H73" s="246"/>
      <c r="I73" s="6"/>
      <c r="J73" s="6"/>
      <c r="K73" s="6"/>
      <c r="L73" s="6"/>
      <c r="M73" s="6"/>
      <c r="N73" s="6"/>
      <c r="O73" s="6"/>
    </row>
    <row r="74" spans="1:15" ht="13.5" thickBot="1">
      <c r="A74" s="467"/>
      <c r="B74" s="827" t="s">
        <v>509</v>
      </c>
      <c r="C74" s="302"/>
      <c r="D74" s="303" t="s">
        <v>510</v>
      </c>
      <c r="E74" s="302"/>
      <c r="F74" s="302"/>
      <c r="G74" s="302"/>
      <c r="H74" s="246"/>
      <c r="I74" s="827" t="s">
        <v>509</v>
      </c>
      <c r="J74" s="302"/>
      <c r="K74" s="303" t="s">
        <v>510</v>
      </c>
      <c r="L74" s="302"/>
      <c r="M74" s="302"/>
      <c r="N74" s="302"/>
      <c r="O74" s="6"/>
    </row>
    <row r="75" spans="1:15" ht="15.75">
      <c r="A75" s="467"/>
      <c r="B75" s="386"/>
      <c r="C75" s="306"/>
      <c r="D75" s="383">
        <v>6086</v>
      </c>
      <c r="E75" s="827" t="s">
        <v>278</v>
      </c>
      <c r="F75" s="302"/>
      <c r="G75" s="302"/>
      <c r="H75" s="246"/>
      <c r="I75" s="384"/>
      <c r="J75" s="307"/>
      <c r="K75" s="307"/>
      <c r="L75" s="383">
        <v>6095</v>
      </c>
      <c r="M75" s="304" t="s">
        <v>214</v>
      </c>
      <c r="N75" s="304"/>
      <c r="O75" s="6"/>
    </row>
    <row r="76" spans="1:15" ht="16.5" thickBot="1">
      <c r="A76" s="467"/>
      <c r="B76" s="308" t="str">
        <f>VLOOKUP(D75,Maschinenliste!$A$17:$AE$959,3,0)</f>
        <v>Citerne 15 000 l, avec rampe d'épandage à patins, 15 m</v>
      </c>
      <c r="C76" s="309"/>
      <c r="D76" s="310"/>
      <c r="E76" s="311"/>
      <c r="F76" s="312"/>
      <c r="G76" s="312"/>
      <c r="H76" s="246"/>
      <c r="I76" s="313" t="str">
        <f>VLOOKUP(L75,Maschinenliste!$A$17:$AE$959,3,0)</f>
        <v>Citerne 12 000 l, avec rampe d'épandage à tuyaux souples, 12 m</v>
      </c>
      <c r="J76" s="238"/>
      <c r="K76" s="238"/>
      <c r="L76" s="245"/>
      <c r="M76" s="304"/>
      <c r="N76" s="304"/>
      <c r="O76" s="6"/>
    </row>
    <row r="77" spans="1:15">
      <c r="A77" s="467"/>
      <c r="B77" s="314" t="str">
        <f>IF(ISERROR(VLOOKUP($D75,Spez!$A$4:$A$30,1,0)),"","Stop: la machine sélectionnée ne peut pas être calculée avec ce programme!")</f>
        <v/>
      </c>
      <c r="C77" s="302"/>
      <c r="D77" s="302"/>
      <c r="E77" s="302"/>
      <c r="F77" s="302"/>
      <c r="G77" s="302"/>
      <c r="H77" s="246"/>
      <c r="I77" s="314" t="str">
        <f>IF(ISERROR(VLOOKUP($L75,Spez!$A$4:$A$30,1,0)),"","Stop: la machine sélectionnée ne peut pas être calculée avec ce programme!")</f>
        <v/>
      </c>
      <c r="J77" s="304"/>
      <c r="K77" s="304"/>
      <c r="L77" s="304"/>
      <c r="M77" s="304"/>
      <c r="N77" s="304"/>
      <c r="O77" s="6"/>
    </row>
    <row r="78" spans="1:15">
      <c r="A78" s="467"/>
      <c r="B78" s="832" t="s">
        <v>511</v>
      </c>
      <c r="C78" s="315" t="str">
        <f>VLOOKUP($D75,Maschinenliste!$A$17:$AE$959,30,0)</f>
        <v>m3</v>
      </c>
      <c r="D78" s="832" t="str">
        <f>VLOOKUP(E85,$R$5:$S$8,2,0)</f>
        <v xml:space="preserve">   sans carburant</v>
      </c>
      <c r="E78" s="316" t="str">
        <f>IF(E85=3,$T$8,"")</f>
        <v/>
      </c>
      <c r="F78" s="302"/>
      <c r="G78" s="302"/>
      <c r="H78" s="246"/>
      <c r="I78" s="304"/>
      <c r="J78" s="832" t="s">
        <v>511</v>
      </c>
      <c r="K78" s="317" t="str">
        <f>VLOOKUP($L75,Maschinenliste!$A$17:$AE$959,30,0)</f>
        <v>m3</v>
      </c>
      <c r="L78" s="834" t="str">
        <f>VLOOKUP(M85,$R$5:$S$8,2,0)</f>
        <v xml:space="preserve">   sans carburant</v>
      </c>
      <c r="M78" s="318" t="str">
        <f>IF(M85=3,$T$8,"")</f>
        <v/>
      </c>
      <c r="N78" s="304"/>
      <c r="O78" s="6"/>
    </row>
    <row r="79" spans="1:15" hidden="1">
      <c r="A79" s="467"/>
      <c r="B79" s="302"/>
      <c r="C79" s="319" t="str">
        <f>IF(ISERROR(VLOOKUP($D75,Spez!$D$4:$D$46,1,0)),"","Bitte geben Sie manuell die Leistung in kW ein")</f>
        <v/>
      </c>
      <c r="D79" s="835"/>
      <c r="E79" s="836" t="str">
        <f>IF(ISERROR(VLOOKUP($D75,Spez!$D$4:$D$45,1,0)),"","siehe Masch.bezeichnung")</f>
        <v/>
      </c>
      <c r="F79" s="302"/>
      <c r="G79" s="302"/>
      <c r="H79" s="246"/>
      <c r="I79" s="304"/>
      <c r="J79" s="304"/>
      <c r="K79" s="320" t="str">
        <f>IF(ISERROR(VLOOKUP($L75,Spez!$D$4:$D$46,1,0)),"","Bitte geben Sie manuell die Leistung in kW ein")</f>
        <v/>
      </c>
      <c r="L79" s="837"/>
      <c r="M79" s="855" t="str">
        <f>IF(ISERROR(VLOOKUP($L75,Spez!$D$4:$D$45,1,0)),"","siehe Masch.bezeichnung")</f>
        <v/>
      </c>
      <c r="N79" s="304"/>
      <c r="O79" s="6"/>
    </row>
    <row r="80" spans="1:15" hidden="1">
      <c r="A80" s="467"/>
      <c r="B80" s="321"/>
      <c r="C80" s="302"/>
      <c r="D80" s="302"/>
      <c r="E80" s="827"/>
      <c r="F80" s="302"/>
      <c r="G80" s="302"/>
      <c r="H80" s="246"/>
      <c r="I80" s="304"/>
      <c r="J80" s="322"/>
      <c r="K80" s="304"/>
      <c r="L80" s="304"/>
      <c r="M80" s="838"/>
      <c r="N80" s="304"/>
      <c r="O80" s="6"/>
    </row>
    <row r="81" spans="1:15">
      <c r="A81" s="467"/>
      <c r="B81" s="302"/>
      <c r="C81" s="832" t="s">
        <v>512</v>
      </c>
      <c r="D81" s="323">
        <f>IF(ISERROR(VLOOKUP($D75,Spez!$D$48:$D$54,1,0)),IF(C78="heures (h)","",IF(ISERROR(VLOOKUP($D75,Spez!$N$4:$N$27,1,0)),VLOOKUP($D75,Maschinenliste!$A$17:$Y$944,4,0)/E87,VLOOKUP($D75,Maschinenliste!$A$17:$Y$944,4,0))),VLOOKUP($D75,Maschinenliste!$A$17:$Y$944,4,0))</f>
        <v>35</v>
      </c>
      <c r="E81" s="324" t="str">
        <f>IF(ISERROR(VLOOKUP($D75,Spez!$O$4:$O$56,1,0)),IF(C78="hectares","ares",IF(C78="heures (h)","",C78)),"charretées")</f>
        <v>m3</v>
      </c>
      <c r="F81" s="325" t="str">
        <f>IF(D85=0,"par heure","")</f>
        <v>par heure</v>
      </c>
      <c r="G81" s="302"/>
      <c r="H81" s="246"/>
      <c r="I81" s="304"/>
      <c r="J81" s="838"/>
      <c r="K81" s="832" t="s">
        <v>512</v>
      </c>
      <c r="L81" s="323">
        <f>IF(ISERROR(VLOOKUP($L75,Spez!$D$48:$D$54,1,0)),IF(K78="heures (h)","",IF(ISERROR(VLOOKUP($L75,Spez!$N$4:$N$27,1,0)),VLOOKUP($L75,Maschinenliste!$A$17:$Y$944,4,0)/L87,VLOOKUP($L75,Maschinenliste!$A$17:$Y$944,4,0))),VLOOKUP($L75,Maschinenliste!$A$17:$Y$944,4,0))</f>
        <v>30.6</v>
      </c>
      <c r="M81" s="324" t="str">
        <f>IF(ISERROR(VLOOKUP($L75,Spez!$O$4:$O$56,1,0)),IF(K78="hectares","ares",IF(K78="heures (h)","",K78)),"charretées")</f>
        <v>m3</v>
      </c>
      <c r="N81" s="325" t="str">
        <f>IF(L85=0,"par heure","")</f>
        <v>par heure</v>
      </c>
      <c r="O81" s="6"/>
    </row>
    <row r="82" spans="1:15">
      <c r="A82" s="467"/>
      <c r="B82" s="6"/>
      <c r="C82" s="187"/>
      <c r="D82" s="326"/>
      <c r="E82" s="327"/>
      <c r="F82" s="294"/>
      <c r="G82" s="6"/>
      <c r="H82" s="246"/>
      <c r="I82" s="6"/>
      <c r="J82" s="6"/>
      <c r="K82" s="187"/>
      <c r="L82" s="326"/>
      <c r="M82" s="327"/>
      <c r="N82" s="294"/>
      <c r="O82" s="6"/>
    </row>
    <row r="83" spans="1:15">
      <c r="A83" s="467"/>
      <c r="B83" s="6"/>
      <c r="C83" s="328" t="s">
        <v>279</v>
      </c>
      <c r="D83" s="329">
        <f>VLOOKUP($D75,Maschinenliste!$A$17:$AE$959,4,0)</f>
        <v>35</v>
      </c>
      <c r="E83" s="330" t="e">
        <f>IF(VLOOKUP($D75,Spez!$G$4:$G$15,1,0),"Umrechnung",0)</f>
        <v>#N/A</v>
      </c>
      <c r="F83" s="6"/>
      <c r="G83" s="6"/>
      <c r="H83" s="246"/>
      <c r="I83" s="6"/>
      <c r="J83" s="6"/>
      <c r="K83" s="328" t="s">
        <v>279</v>
      </c>
      <c r="L83" s="329">
        <f>VLOOKUP($L75,Maschinenliste!$A$17:$AE$959,4,0)</f>
        <v>30.6</v>
      </c>
      <c r="M83" s="330" t="e">
        <f>IF(VLOOKUP($L75,Spez!$G$4:$G$15,1,0),"Umrechnung",0)</f>
        <v>#N/A</v>
      </c>
      <c r="N83" s="6"/>
      <c r="O83" s="6"/>
    </row>
    <row r="84" spans="1:15">
      <c r="A84" s="467"/>
      <c r="B84" s="6"/>
      <c r="C84" s="328" t="s">
        <v>132</v>
      </c>
      <c r="D84" s="839">
        <f>IF(ISERROR(VLOOKUP($D75,Spez!$D$4:$D$46,1,0)),D83*E87,D79)</f>
        <v>35</v>
      </c>
      <c r="E84" s="331" t="s">
        <v>147</v>
      </c>
      <c r="F84" s="6"/>
      <c r="G84" s="6"/>
      <c r="H84" s="246"/>
      <c r="I84" s="6"/>
      <c r="J84" s="6"/>
      <c r="K84" s="328" t="s">
        <v>132</v>
      </c>
      <c r="L84" s="839">
        <f>IF(ISERROR(VLOOKUP($L75,Spez!$D$4:$D$46,1,0)),L83*L87,L79)</f>
        <v>30.6</v>
      </c>
      <c r="M84" s="331" t="s">
        <v>147</v>
      </c>
      <c r="N84" s="6"/>
      <c r="O84" s="6"/>
    </row>
    <row r="85" spans="1:15">
      <c r="A85" s="467"/>
      <c r="B85" s="6"/>
      <c r="C85" s="187"/>
      <c r="D85" s="332">
        <f>IF(ISERROR(VLOOKUP($D75,Spez!$D$48:$D$60,1,0)),IF(C78="heures (h)",1,0),0)</f>
        <v>0</v>
      </c>
      <c r="E85" s="332">
        <f>VLOOKUP(D75,Maschinenliste!$A$17:$AE$959,31,0)</f>
        <v>0</v>
      </c>
      <c r="G85" s="6"/>
      <c r="H85" s="246"/>
      <c r="I85" s="6"/>
      <c r="J85" s="6"/>
      <c r="K85" s="187"/>
      <c r="L85" s="332">
        <f>IF(ISERROR(VLOOKUP($L75,Spez!$D$48:$D$60,1,0)),IF(K78="heures (h)",1,0),0)</f>
        <v>0</v>
      </c>
      <c r="M85" s="332">
        <f>VLOOKUP(L75,Maschinenliste!$A$17:$AE$959,31,0)</f>
        <v>0</v>
      </c>
      <c r="N85" s="6"/>
      <c r="O85" s="6"/>
    </row>
    <row r="86" spans="1:15" ht="13.5" thickBot="1">
      <c r="A86" s="467"/>
      <c r="B86" s="6"/>
      <c r="C86" s="6"/>
      <c r="D86" s="10"/>
      <c r="E86" s="6"/>
      <c r="F86" s="6"/>
      <c r="G86" s="6"/>
      <c r="H86" s="246"/>
      <c r="I86" s="6"/>
      <c r="J86" s="6"/>
      <c r="K86" s="6"/>
      <c r="L86" s="6"/>
      <c r="M86" s="6"/>
      <c r="N86" s="6"/>
      <c r="O86" s="6"/>
    </row>
    <row r="87" spans="1:15" ht="16.5" thickBot="1">
      <c r="A87" s="467"/>
      <c r="B87" s="6"/>
      <c r="C87" s="6"/>
      <c r="D87" s="6"/>
      <c r="E87" s="333">
        <f>IF(ISERROR(VLOOKUP($D75,Spez!$O$4:$O$45,1,0)),1,VLOOKUP($D75,Maschinenliste!$A$17:$AE$959,28,0))</f>
        <v>1</v>
      </c>
      <c r="F87" s="334" t="s">
        <v>513</v>
      </c>
      <c r="G87" s="335"/>
      <c r="H87" s="246"/>
      <c r="I87" s="6"/>
      <c r="J87" s="6"/>
      <c r="K87" s="6"/>
      <c r="L87" s="333">
        <f>IF(ISERROR(VLOOKUP($L75,Spez!$O$4:$O$45,1,0)),1,VLOOKUP($L75,Maschinenliste!$A$17:$AE$959,28,0))</f>
        <v>1</v>
      </c>
      <c r="M87" s="334" t="s">
        <v>513</v>
      </c>
      <c r="N87" s="336"/>
      <c r="O87" s="6"/>
    </row>
    <row r="88" spans="1:15" ht="13.5" thickBot="1">
      <c r="A88" s="467"/>
      <c r="B88" s="6"/>
      <c r="C88" s="6"/>
      <c r="D88" s="6"/>
      <c r="E88" s="6"/>
      <c r="F88" s="841" t="str">
        <f>IF(G127=0,"","données ont été modifiées")</f>
        <v/>
      </c>
      <c r="G88" s="6"/>
      <c r="H88" s="246"/>
      <c r="I88" s="6"/>
      <c r="J88" s="6"/>
      <c r="K88" s="6"/>
      <c r="L88" s="6"/>
      <c r="M88" s="841" t="str">
        <f>IF(N127=0,"","données ont été modifiées")</f>
        <v/>
      </c>
      <c r="N88" s="6"/>
      <c r="O88" s="6"/>
    </row>
    <row r="89" spans="1:15" ht="13.5" hidden="1" thickBot="1">
      <c r="A89" s="467"/>
      <c r="B89" s="6"/>
      <c r="C89" s="6"/>
      <c r="D89" s="6" t="s">
        <v>174</v>
      </c>
      <c r="E89" s="337" t="str">
        <f>IF(E85=1,"Eingabe","")</f>
        <v/>
      </c>
      <c r="F89" s="856">
        <v>1.79</v>
      </c>
      <c r="G89" s="191" t="s">
        <v>156</v>
      </c>
      <c r="H89" s="246"/>
      <c r="I89" s="6"/>
      <c r="J89" s="6"/>
      <c r="K89" s="6"/>
      <c r="L89" s="6" t="s">
        <v>174</v>
      </c>
      <c r="M89" s="843">
        <f>F89</f>
        <v>1.79</v>
      </c>
      <c r="N89" s="191" t="s">
        <v>156</v>
      </c>
      <c r="O89" s="6"/>
    </row>
    <row r="90" spans="1:15" ht="13.5" hidden="1" thickBot="1">
      <c r="A90" s="467"/>
      <c r="B90" s="6"/>
      <c r="C90" s="6"/>
      <c r="D90" s="6" t="s">
        <v>154</v>
      </c>
      <c r="E90" s="337" t="str">
        <f>IF(E85=2,"Eingabe","")</f>
        <v/>
      </c>
      <c r="F90" s="857">
        <v>1.6</v>
      </c>
      <c r="G90" s="189" t="s">
        <v>156</v>
      </c>
      <c r="H90" s="246"/>
      <c r="I90" s="6"/>
      <c r="J90" s="6"/>
      <c r="K90" s="6"/>
      <c r="L90" s="6" t="s">
        <v>154</v>
      </c>
      <c r="M90" s="858">
        <f>F90</f>
        <v>1.6</v>
      </c>
      <c r="N90" s="189" t="s">
        <v>156</v>
      </c>
      <c r="O90" s="6"/>
    </row>
    <row r="91" spans="1:15">
      <c r="A91" s="467"/>
      <c r="B91" s="181" t="s">
        <v>515</v>
      </c>
      <c r="C91" s="188" t="s">
        <v>516</v>
      </c>
      <c r="D91" s="338" t="s">
        <v>517</v>
      </c>
      <c r="E91" s="339"/>
      <c r="F91" s="226"/>
      <c r="G91" s="191"/>
      <c r="H91" s="246"/>
      <c r="I91" s="181" t="s">
        <v>515</v>
      </c>
      <c r="J91" s="188" t="s">
        <v>516</v>
      </c>
      <c r="K91" s="338" t="s">
        <v>517</v>
      </c>
      <c r="L91" s="339"/>
      <c r="M91" s="226"/>
      <c r="N91" s="191"/>
      <c r="O91" s="6"/>
    </row>
    <row r="92" spans="1:15">
      <c r="A92" s="467"/>
      <c r="B92" s="6" t="s">
        <v>518</v>
      </c>
      <c r="C92" s="6" t="s">
        <v>380</v>
      </c>
      <c r="D92" s="340">
        <f>VLOOKUP($D75,Maschinenliste!$A$17:$AE$959,5,0)</f>
        <v>164000</v>
      </c>
      <c r="E92" s="6"/>
      <c r="F92" s="233">
        <f>D92</f>
        <v>164000</v>
      </c>
      <c r="G92" s="189"/>
      <c r="H92" s="246"/>
      <c r="I92" s="6" t="s">
        <v>518</v>
      </c>
      <c r="J92" s="6" t="s">
        <v>380</v>
      </c>
      <c r="K92" s="340">
        <f>VLOOKUP($L75,Maschinenliste!$A$17:$AE$959,5,0)</f>
        <v>96000</v>
      </c>
      <c r="L92" s="6"/>
      <c r="M92" s="233">
        <f>K92</f>
        <v>96000</v>
      </c>
      <c r="N92" s="189"/>
      <c r="O92" s="6"/>
    </row>
    <row r="93" spans="1:15">
      <c r="A93" s="467"/>
      <c r="B93" s="6" t="s">
        <v>519</v>
      </c>
      <c r="C93" s="6"/>
      <c r="D93" s="340"/>
      <c r="E93" s="6"/>
      <c r="F93" s="240" t="s">
        <v>520</v>
      </c>
      <c r="G93" s="189"/>
      <c r="H93" s="246"/>
      <c r="I93" s="6" t="s">
        <v>519</v>
      </c>
      <c r="J93" s="6"/>
      <c r="K93" s="340"/>
      <c r="L93" s="6"/>
      <c r="M93" s="240" t="s">
        <v>520</v>
      </c>
      <c r="N93" s="189"/>
      <c r="O93" s="6"/>
    </row>
    <row r="94" spans="1:15">
      <c r="A94" s="467"/>
      <c r="B94" s="6" t="s">
        <v>521</v>
      </c>
      <c r="C94" s="6" t="s">
        <v>522</v>
      </c>
      <c r="D94" s="340">
        <f>VLOOKUP($D75,Maschinenliste!$A$17:$AE$959,10,0)</f>
        <v>7500</v>
      </c>
      <c r="E94" s="294" t="str">
        <f>$C78</f>
        <v>m3</v>
      </c>
      <c r="F94" s="234">
        <f>D94</f>
        <v>7500</v>
      </c>
      <c r="G94" s="189" t="str">
        <f>E94</f>
        <v>m3</v>
      </c>
      <c r="H94" s="246"/>
      <c r="I94" s="6" t="s">
        <v>521</v>
      </c>
      <c r="J94" s="6" t="s">
        <v>522</v>
      </c>
      <c r="K94" s="340">
        <f>VLOOKUP($L75,Maschinenliste!$A$17:$AE$959,10,0)</f>
        <v>6750</v>
      </c>
      <c r="L94" s="294" t="str">
        <f>$K78</f>
        <v>m3</v>
      </c>
      <c r="M94" s="234">
        <f>K94</f>
        <v>6750</v>
      </c>
      <c r="N94" s="189" t="str">
        <f>L94</f>
        <v>m3</v>
      </c>
      <c r="O94" s="6"/>
    </row>
    <row r="95" spans="1:15">
      <c r="A95" s="467"/>
      <c r="B95" s="6" t="s">
        <v>523</v>
      </c>
      <c r="C95" s="6" t="s">
        <v>524</v>
      </c>
      <c r="D95" s="340">
        <f>VLOOKUP($D75,Maschinenliste!$A$17:$AE$959,12,0)</f>
        <v>12</v>
      </c>
      <c r="E95" s="6"/>
      <c r="F95" s="234">
        <f>D95</f>
        <v>12</v>
      </c>
      <c r="G95" s="189"/>
      <c r="H95" s="246"/>
      <c r="I95" s="6" t="s">
        <v>523</v>
      </c>
      <c r="J95" s="6" t="s">
        <v>524</v>
      </c>
      <c r="K95" s="340">
        <f>VLOOKUP($L75,Maschinenliste!$A$17:$AE$959,12,0)</f>
        <v>12</v>
      </c>
      <c r="L95" s="6"/>
      <c r="M95" s="234">
        <f>K95</f>
        <v>12</v>
      </c>
      <c r="N95" s="189"/>
      <c r="O95" s="6"/>
    </row>
    <row r="96" spans="1:15">
      <c r="A96" s="467"/>
      <c r="B96" s="6" t="s">
        <v>525</v>
      </c>
      <c r="C96" s="6" t="s">
        <v>522</v>
      </c>
      <c r="D96" s="340">
        <f>VLOOKUP($D75,Maschinenliste!$A$17:$AE$959,13,0)</f>
        <v>150000</v>
      </c>
      <c r="E96" s="294" t="str">
        <f>C78</f>
        <v>m3</v>
      </c>
      <c r="F96" s="234">
        <f>D96</f>
        <v>150000</v>
      </c>
      <c r="G96" s="189" t="str">
        <f>E96</f>
        <v>m3</v>
      </c>
      <c r="H96" s="246"/>
      <c r="I96" s="6" t="s">
        <v>525</v>
      </c>
      <c r="J96" s="6" t="s">
        <v>522</v>
      </c>
      <c r="K96" s="340">
        <f>VLOOKUP($L75,Maschinenliste!$A$17:$AE$959,13,0)</f>
        <v>120000</v>
      </c>
      <c r="L96" s="294" t="str">
        <f>K78</f>
        <v>m3</v>
      </c>
      <c r="M96" s="234">
        <f>K96</f>
        <v>120000</v>
      </c>
      <c r="N96" s="189" t="str">
        <f>L96</f>
        <v>m3</v>
      </c>
      <c r="O96" s="6"/>
    </row>
    <row r="97" spans="1:15">
      <c r="A97" s="467"/>
      <c r="B97" s="6" t="s">
        <v>526</v>
      </c>
      <c r="C97" s="6" t="s">
        <v>382</v>
      </c>
      <c r="D97" s="341">
        <f>D94*D95/D96</f>
        <v>0.6</v>
      </c>
      <c r="E97" s="342"/>
      <c r="F97" s="343">
        <f>IF(LEN(F99)&gt;0,"",F94*F95/F96)</f>
        <v>0.6</v>
      </c>
      <c r="G97" s="189"/>
      <c r="H97" s="246"/>
      <c r="I97" s="6" t="s">
        <v>526</v>
      </c>
      <c r="J97" s="6" t="s">
        <v>382</v>
      </c>
      <c r="K97" s="341">
        <f>K94*K95/K96</f>
        <v>0.67500000000000004</v>
      </c>
      <c r="L97" s="342"/>
      <c r="M97" s="343">
        <f>IF(LEN(M99)&gt;0,"",M94*M95/M96)</f>
        <v>0.67500000000000004</v>
      </c>
      <c r="N97" s="189"/>
      <c r="O97" s="6"/>
    </row>
    <row r="98" spans="1:15">
      <c r="A98" s="467"/>
      <c r="B98" s="6" t="s">
        <v>501</v>
      </c>
      <c r="C98" s="6" t="s">
        <v>527</v>
      </c>
      <c r="D98" s="340">
        <f>VLOOKUP($D75,Maschinenliste!$A$17:$AE$959,14,0)</f>
        <v>0.1</v>
      </c>
      <c r="E98" s="342"/>
      <c r="F98" s="344">
        <f>IF(LEN(F99)&gt;0,
"",
IF(ISERROR(VLOOKUP($D75,Spez!$B$4:$B$200,1,0)),IF(F97&gt;0,IF(F97&lt;Hypothèses!$C$82,Hypothèses!$B$82,IF(AND(F97&gt;=Hypothèses!$C$82,F97&lt;Hypothèses!$C$81),Hypothèses!$B$81,IF(AND(F97&gt;=Hypothèses!$C$81,F97&lt;Hypothèses!$C$80),Hypothèses!$B$80,IF(AND(F97&gt;=Hypothèses!$C$80,F97&lt;Hypothèses!$C$79),Hypothèses!$B$79,IF(AND(F97&gt;=Hypothèses!$C$79,F97&lt;Hypothèses!$C$78),Hypothèses!$B$78,0))))),""),0))</f>
        <v>0.1</v>
      </c>
      <c r="G98" s="189"/>
      <c r="H98" s="246"/>
      <c r="I98" s="6" t="s">
        <v>501</v>
      </c>
      <c r="J98" s="6" t="s">
        <v>527</v>
      </c>
      <c r="K98" s="340">
        <f>VLOOKUP($L75,Maschinenliste!$A$17:$AE$959,14,0)</f>
        <v>0.1</v>
      </c>
      <c r="L98" s="342"/>
      <c r="M98" s="344">
        <f>IF(LEN(M99)&gt;0,
"",
IF(ISERROR(VLOOKUP($L75,Spez!$B$4:$B$200,1,0)),IF(M97&gt;0,IF(M97&lt;Hypothèses!$C$82,Hypothèses!$B$82,IF(AND(M97&gt;=Hypothèses!$C$82,M97&lt;Hypothèses!$C$81),Hypothèses!$B$81,IF(AND(M97&gt;=Hypothèses!$C$81,M97&lt;Hypothèses!$C$80),Hypothèses!$B$80,IF(AND(M97&gt;=Hypothèses!$C$80,M97&lt;Hypothèses!$C$79),Hypothèses!$B$79,IF(AND(M97&gt;=Hypothèses!$C$79,M97&lt;Hypothèses!$C$78),Hypothèses!$B$78,0))))),""),0))</f>
        <v>0.1</v>
      </c>
      <c r="N98" s="189"/>
      <c r="O98" s="6"/>
    </row>
    <row r="99" spans="1:15" ht="15">
      <c r="A99" s="467"/>
      <c r="B99" s="6" t="s">
        <v>528</v>
      </c>
      <c r="C99" s="6" t="s">
        <v>380</v>
      </c>
      <c r="D99" s="200"/>
      <c r="E99" s="345"/>
      <c r="F99" s="234"/>
      <c r="G99" s="189"/>
      <c r="H99" s="246"/>
      <c r="I99" s="6" t="s">
        <v>528</v>
      </c>
      <c r="J99" s="6" t="s">
        <v>380</v>
      </c>
      <c r="K99" s="200"/>
      <c r="L99" s="345"/>
      <c r="M99" s="234"/>
      <c r="N99" s="189"/>
      <c r="O99" s="6"/>
    </row>
    <row r="100" spans="1:15">
      <c r="A100" s="467"/>
      <c r="B100" s="6" t="s">
        <v>529</v>
      </c>
      <c r="C100" s="6" t="s">
        <v>382</v>
      </c>
      <c r="D100" s="340">
        <f>VLOOKUP($D75,Maschinenliste!$A$17:$AE$959,11,0)</f>
        <v>0</v>
      </c>
      <c r="E100" s="6"/>
      <c r="F100" s="234">
        <f>D100</f>
        <v>0</v>
      </c>
      <c r="G100" s="346" t="str">
        <f>IF(E85=0,"",IF(E85=1,$D84*F100*Hypothèses!$C$25,IF(OR(E85=2,E85=3),$D84*F100*Hypothèses!$C$26,"")))</f>
        <v/>
      </c>
      <c r="H100" s="347"/>
      <c r="I100" s="6" t="s">
        <v>529</v>
      </c>
      <c r="J100" s="6" t="s">
        <v>382</v>
      </c>
      <c r="K100" s="340" t="str">
        <f>VLOOKUP($L75,Maschinenliste!$A$17:$AE$959,11,0)</f>
        <v xml:space="preserve"> </v>
      </c>
      <c r="L100" s="6"/>
      <c r="M100" s="234" t="str">
        <f>K100</f>
        <v xml:space="preserve"> </v>
      </c>
      <c r="N100" s="346" t="str">
        <f>IF(M85=0,"",IF(M85=1,$L84*M100*Hypothèses!$C$25,IF(OR(M85=2,M85=3),$L84*M100*Hypothèses!$C$26,"")))</f>
        <v/>
      </c>
      <c r="O100" s="6"/>
    </row>
    <row r="101" spans="1:15">
      <c r="A101" s="467"/>
      <c r="B101" s="6" t="s">
        <v>530</v>
      </c>
      <c r="C101" s="6" t="s">
        <v>527</v>
      </c>
      <c r="D101" s="340">
        <f>VLOOKUP($D75,Maschinenliste!$A$17:$AE$959,15,0)</f>
        <v>0.55000000000000004</v>
      </c>
      <c r="E101" s="6"/>
      <c r="F101" s="234">
        <f>D101</f>
        <v>0.55000000000000004</v>
      </c>
      <c r="G101" s="846">
        <f>(F94*G113)</f>
        <v>4510</v>
      </c>
      <c r="H101" s="246"/>
      <c r="I101" s="6" t="s">
        <v>530</v>
      </c>
      <c r="J101" s="6" t="s">
        <v>527</v>
      </c>
      <c r="K101" s="340">
        <f>VLOOKUP($L75,Maschinenliste!$A$17:$AE$959,15,0)</f>
        <v>0.55000000000000004</v>
      </c>
      <c r="L101" s="6"/>
      <c r="M101" s="234">
        <f>K101</f>
        <v>0.55000000000000004</v>
      </c>
      <c r="N101" s="846">
        <f>(M94*N113)</f>
        <v>2970.0000000000005</v>
      </c>
      <c r="O101" s="6"/>
    </row>
    <row r="102" spans="1:15">
      <c r="A102" s="467"/>
      <c r="B102" s="6" t="s">
        <v>531</v>
      </c>
      <c r="C102" s="6" t="s">
        <v>383</v>
      </c>
      <c r="D102" s="340">
        <f>VLOOKUP($D75,Maschinenliste!$A$17:$AE$959,16,0)</f>
        <v>149</v>
      </c>
      <c r="E102" s="6"/>
      <c r="F102" s="234">
        <f>D102</f>
        <v>149</v>
      </c>
      <c r="G102" s="189"/>
      <c r="H102" s="246"/>
      <c r="I102" s="6" t="s">
        <v>531</v>
      </c>
      <c r="J102" s="6" t="s">
        <v>383</v>
      </c>
      <c r="K102" s="340">
        <f>VLOOKUP($L75,Maschinenliste!$A$17:$AE$959,16,0)</f>
        <v>134</v>
      </c>
      <c r="L102" s="6"/>
      <c r="M102" s="234">
        <f>K102</f>
        <v>134</v>
      </c>
      <c r="N102" s="189"/>
      <c r="O102" s="6"/>
    </row>
    <row r="103" spans="1:15">
      <c r="A103" s="467"/>
      <c r="B103" s="6" t="s">
        <v>532</v>
      </c>
      <c r="C103" s="6" t="s">
        <v>382</v>
      </c>
      <c r="D103" s="341">
        <v>0.1</v>
      </c>
      <c r="E103" s="6"/>
      <c r="F103" s="235">
        <f>D103</f>
        <v>0.1</v>
      </c>
      <c r="G103" s="189"/>
      <c r="H103" s="246"/>
      <c r="I103" s="6" t="s">
        <v>532</v>
      </c>
      <c r="J103" s="6" t="s">
        <v>382</v>
      </c>
      <c r="K103" s="341">
        <v>0.1</v>
      </c>
      <c r="L103" s="6"/>
      <c r="M103" s="235">
        <f>K103</f>
        <v>0.1</v>
      </c>
      <c r="N103" s="189"/>
      <c r="O103" s="6"/>
    </row>
    <row r="104" spans="1:15">
      <c r="A104" s="467"/>
      <c r="B104" s="6" t="s">
        <v>533</v>
      </c>
      <c r="C104" s="6"/>
      <c r="D104" s="341">
        <v>0</v>
      </c>
      <c r="E104" s="6"/>
      <c r="F104" s="235">
        <f>D104</f>
        <v>0</v>
      </c>
      <c r="G104" s="189"/>
      <c r="H104" s="246"/>
      <c r="I104" s="6" t="s">
        <v>533</v>
      </c>
      <c r="J104" s="6"/>
      <c r="K104" s="341">
        <v>0</v>
      </c>
      <c r="L104" s="6"/>
      <c r="M104" s="235">
        <f>K104</f>
        <v>0</v>
      </c>
      <c r="N104" s="189"/>
      <c r="O104" s="6"/>
    </row>
    <row r="105" spans="1:15">
      <c r="A105" s="467"/>
      <c r="B105" s="6"/>
      <c r="C105" s="6"/>
      <c r="D105" s="190"/>
      <c r="E105" s="6"/>
      <c r="F105" s="190"/>
      <c r="G105" s="348"/>
      <c r="H105" s="246"/>
      <c r="I105" s="6"/>
      <c r="J105" s="6"/>
      <c r="K105" s="190"/>
      <c r="L105" s="6"/>
      <c r="M105" s="190"/>
      <c r="N105" s="348"/>
      <c r="O105" s="6"/>
    </row>
    <row r="106" spans="1:15">
      <c r="A106" s="467"/>
      <c r="B106" s="188" t="s">
        <v>534</v>
      </c>
      <c r="C106" s="349"/>
      <c r="D106" s="622" t="s">
        <v>535</v>
      </c>
      <c r="E106" s="623"/>
      <c r="F106" s="622" t="s">
        <v>535</v>
      </c>
      <c r="G106" s="621" t="s">
        <v>536</v>
      </c>
      <c r="H106" s="246"/>
      <c r="I106" s="188" t="s">
        <v>534</v>
      </c>
      <c r="J106" s="349"/>
      <c r="K106" s="622" t="s">
        <v>535</v>
      </c>
      <c r="L106" s="623"/>
      <c r="M106" s="622" t="s">
        <v>535</v>
      </c>
      <c r="N106" s="621" t="s">
        <v>536</v>
      </c>
      <c r="O106" s="6"/>
    </row>
    <row r="107" spans="1:15">
      <c r="A107" s="467"/>
      <c r="B107" s="6" t="s">
        <v>537</v>
      </c>
      <c r="C107" s="6"/>
      <c r="D107" s="847">
        <f>(D92-(D92*D98))/D95</f>
        <v>12300</v>
      </c>
      <c r="E107" s="6"/>
      <c r="F107" s="847">
        <f>IF(LEN(F99)&gt;0,(F92-F99)/F95,(F92-(F92*F98))/F95)</f>
        <v>12300</v>
      </c>
      <c r="G107" s="189"/>
      <c r="H107" s="246"/>
      <c r="I107" s="6" t="s">
        <v>537</v>
      </c>
      <c r="J107" s="6"/>
      <c r="K107" s="847">
        <f>(K92-(K92*K98))/K95</f>
        <v>7200</v>
      </c>
      <c r="L107" s="6"/>
      <c r="M107" s="847">
        <f>IF(LEN(M99)&gt;0,(M92-M99)/M95,(M92-(M92*M98))/M95)</f>
        <v>7200</v>
      </c>
      <c r="N107" s="189"/>
      <c r="O107" s="6"/>
    </row>
    <row r="108" spans="1:15">
      <c r="A108" s="467"/>
      <c r="B108" s="6" t="s">
        <v>538</v>
      </c>
      <c r="C108" s="6"/>
      <c r="D108" s="847">
        <f>(D92-(D98*D92))*Hypothèses!$C$13/100*0.6+(D98*D92*Hypothèses!$C$13/100)</f>
        <v>1574.3999999999999</v>
      </c>
      <c r="E108" s="6"/>
      <c r="F108" s="847">
        <f>IF(LEN(F99)&gt;0,(F92-F99)*Hypothèses!$C$13/100*0.6+(F99*Hypothèses!$C$13/100),(F92-(F98*F92))*Hypothèses!$C$13/100*0.6+(F98*F92*Hypothèses!$C$13/100))</f>
        <v>1574.3999999999999</v>
      </c>
      <c r="G108" s="189"/>
      <c r="H108" s="246"/>
      <c r="I108" s="6" t="s">
        <v>538</v>
      </c>
      <c r="J108" s="6"/>
      <c r="K108" s="847">
        <f>(K92-(K98*K92))*Hypothèses!$C$13/100*0.6+(K98*K92*Hypothèses!$C$13/100)</f>
        <v>921.6</v>
      </c>
      <c r="L108" s="6"/>
      <c r="M108" s="847">
        <f>IF(LEN(M99)&gt;0,(M92-M99)*Hypothèses!$C$13/100*0.6+(M99*Hypothèses!$C$13/100),(M92-(M98*M92))*Hypothèses!$C$13/100*0.6+(M98*M92*Hypothèses!$C$13/100))</f>
        <v>921.6</v>
      </c>
      <c r="N108" s="189"/>
      <c r="O108" s="6"/>
    </row>
    <row r="109" spans="1:15">
      <c r="A109" s="467"/>
      <c r="B109" s="6" t="s">
        <v>539</v>
      </c>
      <c r="C109" s="6"/>
      <c r="D109" s="847">
        <f>IF(ISERROR(VLOOKUP($D75,Spez!$K$4:$K$200,1,0)),IF((VLOOKUP($D75,Maschinenliste!$A$17:$AE$959,31,0)&gt;0),D102*Hypothèses!$C$17,D102*Hypothèses!$C$18),D102*Hypothèses!$C$18)</f>
        <v>1043</v>
      </c>
      <c r="E109" s="6"/>
      <c r="F109" s="847">
        <f>IF(ISERROR(VLOOKUP($D75,Spez!$K$4:$K$200,1,0)),IF((VLOOKUP($D75,Maschinenliste!$A$17:$AE$959,31,0)&gt;0),F102*Hypothèses!$C$17,F102*Hypothèses!$C$18),F102*Hypothèses!$C$18)</f>
        <v>1043</v>
      </c>
      <c r="G109" s="189"/>
      <c r="H109" s="246"/>
      <c r="I109" s="6" t="s">
        <v>539</v>
      </c>
      <c r="J109" s="6"/>
      <c r="K109" s="847">
        <f>IF(ISERROR(VLOOKUP($L75,Spez!$K$4:$K$200,1,0)),IF((VLOOKUP($L75,Maschinenliste!$A$17:$AE$959,31,0)&gt;0),K102*Hypothèses!$C$17,K102*Hypothèses!$C$18),K102*Hypothèses!$C$18)</f>
        <v>938</v>
      </c>
      <c r="L109" s="6"/>
      <c r="M109" s="847">
        <f>IF(ISERROR(VLOOKUP($L75,Spez!$K$4:$K$200,1,0)),IF((VLOOKUP($L75,Maschinenliste!$A$17:$AE$959,31,0)&gt;0),M102*Hypothèses!$C$17,M102*Hypothèses!$C$18),M102*Hypothèses!$C$18)</f>
        <v>938</v>
      </c>
      <c r="N109" s="189"/>
      <c r="O109" s="6"/>
    </row>
    <row r="110" spans="1:15">
      <c r="A110" s="467"/>
      <c r="B110" s="186" t="s">
        <v>540</v>
      </c>
      <c r="C110" s="186"/>
      <c r="D110" s="847">
        <f>VLOOKUP($D75,Maschinenliste!$A$17:$AE$959,29,0)</f>
        <v>328</v>
      </c>
      <c r="E110" s="6"/>
      <c r="F110" s="848">
        <f>D110</f>
        <v>328</v>
      </c>
      <c r="G110" s="189"/>
      <c r="H110" s="246"/>
      <c r="I110" s="186" t="s">
        <v>540</v>
      </c>
      <c r="J110" s="186"/>
      <c r="K110" s="847">
        <f>VLOOKUP($L75,Maschinenliste!$A$17:$AE$959,29,0)</f>
        <v>192</v>
      </c>
      <c r="L110" s="6"/>
      <c r="M110" s="848">
        <f>K110</f>
        <v>192</v>
      </c>
      <c r="N110" s="189"/>
      <c r="O110" s="6"/>
    </row>
    <row r="111" spans="1:15" ht="13.5" thickBot="1">
      <c r="A111" s="467"/>
      <c r="B111" s="353" t="s">
        <v>541</v>
      </c>
      <c r="C111" s="6"/>
      <c r="D111" s="354">
        <f>SUM(D107:D110)</f>
        <v>15245.4</v>
      </c>
      <c r="E111" s="355">
        <f>D111/D94</f>
        <v>2.0327199999999999</v>
      </c>
      <c r="F111" s="354">
        <f>SUM(F107:F110)</f>
        <v>15245.4</v>
      </c>
      <c r="G111" s="356">
        <f>F111/F94</f>
        <v>2.0327199999999999</v>
      </c>
      <c r="H111" s="247"/>
      <c r="I111" s="353" t="s">
        <v>541</v>
      </c>
      <c r="J111" s="6"/>
      <c r="K111" s="354">
        <f>SUM(K107:K110)</f>
        <v>9251.6</v>
      </c>
      <c r="L111" s="355">
        <f>K111/K94</f>
        <v>1.3706074074074075</v>
      </c>
      <c r="M111" s="354">
        <f>SUM(M107:M110)</f>
        <v>9251.6</v>
      </c>
      <c r="N111" s="356">
        <f>M111/M94</f>
        <v>1.3706074074074075</v>
      </c>
      <c r="O111" s="6"/>
    </row>
    <row r="112" spans="1:15" ht="13.5" thickTop="1">
      <c r="A112" s="467"/>
      <c r="B112" s="6"/>
      <c r="C112" s="6"/>
      <c r="D112" s="357"/>
      <c r="E112" s="358"/>
      <c r="F112" s="357"/>
      <c r="G112" s="359"/>
      <c r="H112" s="247"/>
      <c r="I112" s="6"/>
      <c r="J112" s="6"/>
      <c r="K112" s="357"/>
      <c r="L112" s="358"/>
      <c r="M112" s="357"/>
      <c r="N112" s="359"/>
      <c r="O112" s="6"/>
    </row>
    <row r="113" spans="1:15">
      <c r="A113" s="467"/>
      <c r="B113" s="849" t="s">
        <v>542</v>
      </c>
      <c r="C113" s="6"/>
      <c r="D113" s="190"/>
      <c r="E113" s="358">
        <f>$D92/$D96*D101</f>
        <v>0.60133333333333339</v>
      </c>
      <c r="F113" s="190"/>
      <c r="G113" s="359">
        <f>IF(F93="Occasion",$D92/$D96*F101,F92/F96*F101)</f>
        <v>0.60133333333333339</v>
      </c>
      <c r="H113" s="247"/>
      <c r="I113" s="849" t="s">
        <v>542</v>
      </c>
      <c r="J113" s="6"/>
      <c r="K113" s="190"/>
      <c r="L113" s="358">
        <f>$K92/$K96*K101</f>
        <v>0.44000000000000006</v>
      </c>
      <c r="M113" s="190"/>
      <c r="N113" s="359">
        <f>IF(M93="Occasion",$K92/$K96*M101,M92/M96*M101)</f>
        <v>0.44000000000000006</v>
      </c>
      <c r="O113" s="6"/>
    </row>
    <row r="114" spans="1:15">
      <c r="A114" s="467"/>
      <c r="B114" s="849" t="s">
        <v>543</v>
      </c>
      <c r="C114" s="6"/>
      <c r="D114" s="190"/>
      <c r="E114" s="358">
        <f>IF(ISERROR(VLOOKUP($D75,Spez!$E$4:$E$36,1,0)),
IF(ISERROR(VLOOKUP($D75,Spez!$H$4:$H$36,1,0)),
IF(ISERROR(VLOOKUP($D75,Spez!$G$4:$G$36,1,0)),
IF($E85=0,0,
IF($E85=1,$D84*Hypothèses!$C$25*D100*Hypothèses!$C$22,
IF($E85=2,$D84*Hypothèses!$C$26*D100*Hypothèses!$C$23,
IF($E85=3,$D84*Hypothèses!$C$26*D100*Hypothèses!$C$24,
IF($E85=4,Hypothèses!$C$34,
IF($E85=5,$D84*D100/100*Hypothèses!C102,"?")))))),
IF($E85=1,$D84*Hypothèses!$C$25*D100*Hypothèses!$C$22/$D83*100,
IF($E85=2,$D84*Hypothèses!$C$26*D100*Hypothèses!$C$23/$D83*100))),
$D84*Hypothèses!$C$25*D100*Hypothèses!$C$22/$D83),IF($E85=1,($D84*Hypothèses!$C$25*D100*Hypothèses!$C$22)+($D84*Hypothèses!$C$25*D100*Hypothèses!$C$27*Hypothèses!$C$37)))</f>
        <v>0</v>
      </c>
      <c r="F114" s="190"/>
      <c r="G114" s="850">
        <f>IF(ISERROR(VLOOKUP($D75,Spez!$E$4:$E$36,1,0)),
IF(ISERROR(VLOOKUP($D75,Spez!$H$4:$H$36,1,0)),
IF(ISERROR(VLOOKUP($D75,Spez!$G$4:$G$36,1,0)),
IF($E85=0,0,IF($E85=1,$D84*Hypothèses!$C$25*F100*$F$23,
IF($E85=2,$D84*Hypothèses!$C$26*F100*$F$24,
IF($E85=3,$D84*Hypothèses!$C$26*F100*Hypothèses!$C$24,
IF($E85=4,Hypothèses!$C$34,
IF($E85=5,$D84*F100/100*Hypothèses!C102,"?")))))),
IF($E85=1,$D84*Hypothèses!$C$25*F100*$F$23/$D83*100,
IF($E85=2,$D84*Hypothèses!$C$26*F100*$F$24/$D83*100))),$D84*Hypothèses!$C$25*F100*$F$23/$D83),IF($E85=1,($D84*Hypothèses!$C$25*F100*$F$23)+($D84*Hypothèses!$C$25*F100*Hypothèses!$C$27*Hypothèses!$C$37)))</f>
        <v>0</v>
      </c>
      <c r="H114" s="247"/>
      <c r="I114" s="849" t="s">
        <v>543</v>
      </c>
      <c r="J114" s="6"/>
      <c r="K114" s="190"/>
      <c r="L114" s="358">
        <f>IF(ISERROR(VLOOKUP($L75,Spez!$E$4:$E$36,1,0)),
IF(ISERROR(VLOOKUP($L75,Spez!$H$4:$H$36,1,0)),
IF(ISERROR(VLOOKUP($L75,Spez!$G$4:$G$36,1,0)),
IF($M85=0,0,
IF($M85=1,$L84*Hypothèses!$C$25*K100*Hypothèses!$C$22,
IF($M85=2,$L84*Hypothèses!$C$26*K100*Hypothèses!$C$23,
IF($M85=3,$L84*Hypothèses!$C$26*K100*Hypothèses!$C$24,
IF($M85=4,Hypothèses!$C$34,
IF($M85=5,$L84*K100/100*Hypothèses!C102,"?")))))),
IF($M85=1,$L84*Hypothèses!$C$25*K100*Hypothèses!$C$22/$L83*100,
IF($M85=2,$L84*Hypothèses!$C$26*K100*Hypothèses!$C$23/$L83*100))),
$L84*Hypothèses!$C$25*K100*Hypothèses!$C$22/$D83),IF($M85=1,($L84*Hypothèses!$C$25*K100*Hypothèses!$C$22)+($L84*Hypothèses!$C$25*K100*Hypothèses!$C$27*Hypothèses!$C$37)))</f>
        <v>0</v>
      </c>
      <c r="M114" s="190"/>
      <c r="N114" s="850">
        <f>IF(ISERROR(VLOOKUP($L75,Spez!$E$4:$E$36,1,0)),
IF(ISERROR(VLOOKUP($L75,Spez!$H$4:$H$36,1,0)),
IF(ISERROR(VLOOKUP($L75,Spez!$G$4:$G$36,1,0)),
IF($M85=0,0,
IF($M85=1,$L84*Hypothèses!$C$25*M100*$F$23,
IF($M85=2,$L84*Hypothèses!$C$26*M100*$F$24,
IF($M85=3,$L84*Hypothèses!$C$26*M100*Hypothèses!$C$24,
IF($M85=4,Hypothèses!$C$34,
IF($M85=5,$L84*M100/100*Hypothèses!C102,"?")))))),
IF($M85=1,$L84*Hypothèses!$C$25*M100*$F$23/$L83*100,
IF($M85=2,$L84*Hypothèses!$C$26*M100*$F$24/$L83*100))),$L84*Hypothèses!$C$25*M100*$F$23/$L83),IF($M85=1,($L84*Hypothèses!$C$25*M100*$F$23)+($L84*Hypothèses!$C$25*M100*Hypothèses!$C$27*Hypothèses!$C$37)))</f>
        <v>0</v>
      </c>
      <c r="O114" s="6"/>
    </row>
    <row r="115" spans="1:15">
      <c r="A115" s="467"/>
      <c r="B115" s="849" t="s">
        <v>544</v>
      </c>
      <c r="C115" s="6"/>
      <c r="D115" s="190"/>
      <c r="E115" s="358">
        <f>IF(ISERROR(VLOOKUP($D75,Spez!$M$4:$M$19,1,0)),IF(VLOOKUP($D75,Maschinenliste!$A$17:$AE$959,31,0)=0,VLOOKUP($D75,Maschinenliste!$A$17:$AE$959,23,0),0),VLOOKUP($D75,Hypothèses!$B$31:$C$35,2,0))</f>
        <v>0</v>
      </c>
      <c r="F115" s="190"/>
      <c r="G115" s="851">
        <f>E115</f>
        <v>0</v>
      </c>
      <c r="H115" s="247"/>
      <c r="I115" s="849" t="s">
        <v>544</v>
      </c>
      <c r="J115" s="6"/>
      <c r="K115" s="190"/>
      <c r="L115" s="358">
        <f>IF(ISERROR(VLOOKUP($L75,Spez!$M$4:$M$19,1,0)),IF(VLOOKUP($L75,Maschinenliste!$A$17:$AE$959,31,0)=0,VLOOKUP($L75,Maschinenliste!$A$17:$AE$959,23,0),0),VLOOKUP($D75,Hypothèses!$B$31:$C$35,2,0))</f>
        <v>0</v>
      </c>
      <c r="M115" s="190"/>
      <c r="N115" s="851">
        <f>L115</f>
        <v>0</v>
      </c>
      <c r="O115" s="6"/>
    </row>
    <row r="116" spans="1:15" ht="13.5" thickBot="1">
      <c r="A116" s="467"/>
      <c r="B116" s="360" t="s">
        <v>545</v>
      </c>
      <c r="C116" s="6"/>
      <c r="D116" s="190"/>
      <c r="E116" s="355">
        <f>SUM(E113:E115)</f>
        <v>0.60133333333333339</v>
      </c>
      <c r="F116" s="190"/>
      <c r="G116" s="356">
        <f>SUM(G113:G115)</f>
        <v>0.60133333333333339</v>
      </c>
      <c r="H116" s="247"/>
      <c r="I116" s="360" t="s">
        <v>545</v>
      </c>
      <c r="J116" s="6"/>
      <c r="K116" s="190"/>
      <c r="L116" s="355">
        <f>SUM(L113:L115)</f>
        <v>0.44000000000000006</v>
      </c>
      <c r="M116" s="190"/>
      <c r="N116" s="356">
        <f>SUM(N113:N115)</f>
        <v>0.44000000000000006</v>
      </c>
      <c r="O116" s="6"/>
    </row>
    <row r="117" spans="1:15" ht="13.5" thickTop="1">
      <c r="A117" s="467"/>
      <c r="B117" s="6"/>
      <c r="C117" s="6"/>
      <c r="D117" s="190"/>
      <c r="E117" s="6"/>
      <c r="F117" s="190"/>
      <c r="G117" s="189"/>
      <c r="H117" s="246"/>
      <c r="I117" s="6"/>
      <c r="J117" s="6"/>
      <c r="K117" s="190"/>
      <c r="L117" s="6"/>
      <c r="M117" s="190"/>
      <c r="N117" s="189"/>
      <c r="O117" s="6"/>
    </row>
    <row r="118" spans="1:15">
      <c r="A118" s="467"/>
      <c r="B118" s="6" t="s">
        <v>546</v>
      </c>
      <c r="C118" s="6"/>
      <c r="D118" s="859" t="str">
        <f>IF(ISERROR(VLOOKUP($D75,Spez!$I$4:$I$14,1,0)),"","par charretée")</f>
        <v/>
      </c>
      <c r="E118" s="362">
        <f>IF(ISERROR(VLOOKUP($D75,Spez!$I$4:$I$14,1,0)),E111+E116,(E111+E116)*VLOOKUP($D75,Maschinenliste!$A$17:$AE$959,28,0))</f>
        <v>2.6340533333333331</v>
      </c>
      <c r="F118" s="859" t="str">
        <f>IF(ISERROR(VLOOKUP($D75,Spez!$I$4:$I$14,1,0)),"","par charretée")</f>
        <v/>
      </c>
      <c r="G118" s="363">
        <f>IF(ISERROR(VLOOKUP($D75,Spez!$I$4:$I$14,1,0)),G111+G116,(G111+G116)*VLOOKUP($D75,Maschinenliste!$A$17:$AE$959,28,0))</f>
        <v>2.6340533333333331</v>
      </c>
      <c r="H118" s="247"/>
      <c r="I118" s="6" t="s">
        <v>546</v>
      </c>
      <c r="J118" s="6"/>
      <c r="K118" s="859" t="str">
        <f>IF(ISERROR(VLOOKUP($L75,Spez!$I$4:$I$14,1,0)),"","par charretée")</f>
        <v/>
      </c>
      <c r="L118" s="362">
        <f>IF(ISERROR(VLOOKUP($L75,Spez!$I$4:$I$14,1,0)),L111+L116,(L111+L116)*VLOOKUP($L75,Maschinenliste!$A$17:$AE$959,28,0))</f>
        <v>1.8106074074074074</v>
      </c>
      <c r="M118" s="859" t="str">
        <f>IF(ISERROR(VLOOKUP($L75,Spez!$I$4:$I$14,1,0)),"","par charretée")</f>
        <v/>
      </c>
      <c r="N118" s="363">
        <f>IF(ISERROR(VLOOKUP($L75,Spez!$I$4:$I$14,1,0)),N111+N116,(N111+N116)*VLOOKUP($L75,Maschinenliste!$A$17:$AE$959,28,0))</f>
        <v>1.8106074074074074</v>
      </c>
      <c r="O118" s="6"/>
    </row>
    <row r="119" spans="1:15" ht="13.5" thickBot="1">
      <c r="A119" s="467"/>
      <c r="B119" s="6" t="s">
        <v>547</v>
      </c>
      <c r="C119" s="6"/>
      <c r="D119" s="860" t="str">
        <f>IF(ISERROR(VLOOKUP($D75,Spez!$I$4:$I$14,1,0)),"","par charretée")</f>
        <v/>
      </c>
      <c r="E119" s="364">
        <f>E118*(1+D103+D104)</f>
        <v>2.8974586666666666</v>
      </c>
      <c r="F119" s="860" t="str">
        <f>IF(ISERROR(VLOOKUP($D75,Spez!$I$4:$I$14,1,0)),"","par charretée")</f>
        <v/>
      </c>
      <c r="G119" s="365">
        <f>G118*(1+F103+F104)</f>
        <v>2.8974586666666666</v>
      </c>
      <c r="H119" s="248"/>
      <c r="I119" s="6" t="s">
        <v>547</v>
      </c>
      <c r="J119" s="6"/>
      <c r="K119" s="860" t="str">
        <f>IF(ISERROR(VLOOKUP($L75,Spez!$I$4:$I$14,1,0)),"","par charretée")</f>
        <v/>
      </c>
      <c r="L119" s="364">
        <f>L118*(1+K103+K104)</f>
        <v>1.9916681481481484</v>
      </c>
      <c r="M119" s="860" t="str">
        <f>IF(ISERROR(VLOOKUP($L75,Spez!$I$4:$I$14,1,0)),"","par charretée")</f>
        <v/>
      </c>
      <c r="N119" s="365">
        <f>N118*(1+M103+M104)</f>
        <v>1.9916681481481484</v>
      </c>
      <c r="O119" s="6"/>
    </row>
    <row r="120" spans="1:15">
      <c r="A120" s="467"/>
      <c r="B120" s="6"/>
      <c r="C120" s="6"/>
      <c r="D120" s="327" t="str">
        <f>IF(ISERROR(VLOOKUP($D75,Spez!$P$4:$P$30,1,0)),"","Fr. par charretée")</f>
        <v/>
      </c>
      <c r="E120" s="366" t="str">
        <f>IF(ISERROR(VLOOKUP($D75,Spez!$P$4:$P$30,1,0)),"",E119*VLOOKUP($D75,Maschinenliste!$A$17:$AE$959,28,0))</f>
        <v/>
      </c>
      <c r="F120" s="367" t="str">
        <f>IF(ISERROR(VLOOKUP($D75,Spez!$P$4:$P$30,1,0)),"","Fr. par charretée")</f>
        <v/>
      </c>
      <c r="G120" s="366" t="str">
        <f>IF(ISERROR(VLOOKUP($D75,Spez!$P$4:$P$30,1,0)),"",G119*VLOOKUP($D75,Maschinenliste!$A$17:$AE$959,28,0))</f>
        <v/>
      </c>
      <c r="H120" s="248"/>
      <c r="I120" s="6"/>
      <c r="J120" s="6"/>
      <c r="K120" s="327" t="str">
        <f>IF(ISERROR(VLOOKUP($L75,Spez!$P$4:$P$30,1,0)),"","Fr. par charretée")</f>
        <v/>
      </c>
      <c r="L120" s="366" t="str">
        <f>IF(ISERROR(VLOOKUP($L75,Spez!$P$4:$P$30,1,0)),"",L119*VLOOKUP($L75,Maschinenliste!$A$17:$AE$959,28,0))</f>
        <v/>
      </c>
      <c r="M120" s="367" t="str">
        <f>IF(ISERROR(VLOOKUP($L75,Spez!$P$4:$P$30,1,0)),"","Fr. par charretée")</f>
        <v/>
      </c>
      <c r="N120" s="366" t="str">
        <f>IF(ISERROR(VLOOKUP($L75,Spez!$P$4:$P$30,1,0)),"",N119*VLOOKUP($L75,Maschinenliste!$A$17:$AE$959,28,0))</f>
        <v/>
      </c>
      <c r="O120" s="6"/>
    </row>
    <row r="121" spans="1:15" ht="13.5" thickBot="1">
      <c r="A121" s="467"/>
      <c r="B121" s="6" t="str">
        <f>IF(C78="heures (h)","","Tarif d'indemnisation (supp. compris) par heure")</f>
        <v>Tarif d'indemnisation (supp. compris) par heure</v>
      </c>
      <c r="C121" s="6"/>
      <c r="D121" s="327" t="str">
        <f>IF(E94="heures (h)","","Fr. par heure")</f>
        <v>Fr. par heure</v>
      </c>
      <c r="E121" s="368">
        <f>IF(E94="heures (h)","",IF(ISERROR(VLOOKUP($D75,Spez!$P$4:$P$44,1,0)),IF($C78="heures (h)","",IF($C78="hectares",E119*$D81/100,E119*$D81)),E119*VLOOKUP($D75,Maschinenliste!$A$17:$AE$959,28,0)*$D81))</f>
        <v>101.41105333333333</v>
      </c>
      <c r="F121" s="361" t="str">
        <f>IF(G94="heures (h)","","Fr. je heure")</f>
        <v>Fr. je heure</v>
      </c>
      <c r="G121" s="368">
        <f>IF(G94="heures (h)","",IF(ISERROR(VLOOKUP($D75,Spez!$P$4:$P$44,1,0)),IF($C78="heures (h)","",IF($C78="hectares",G119*$D81/100,G119*$D81)),G119*VLOOKUP($D75,Maschinenliste!$A$17:$AE$959,28,0)*$D81))</f>
        <v>101.41105333333333</v>
      </c>
      <c r="H121" s="248"/>
      <c r="I121" s="6" t="str">
        <f>IF(K78="heures (h)","","Tarif d'indemnisation (supp. compris) par heure")</f>
        <v>Tarif d'indemnisation (supp. compris) par heure</v>
      </c>
      <c r="J121" s="6"/>
      <c r="K121" s="327" t="str">
        <f>IF(L94="heures (h)","","Fr. par heure")</f>
        <v>Fr. par heure</v>
      </c>
      <c r="L121" s="368">
        <f>IF(L94="heures (h)","",IF(ISERROR(VLOOKUP($L75,Spez!$P$4:$P$44,1,0)),IF($K78="heures (h)","",IF($K78="hectares",L119*$L81/100,L119*$L81)),L119*VLOOKUP($L75,Maschinenliste!$A$17:$AE$959,28,0)*$L81))</f>
        <v>60.945045333333347</v>
      </c>
      <c r="M121" s="361" t="str">
        <f>IF(N94="heures (h)","","Fr. je heure")</f>
        <v>Fr. je heure</v>
      </c>
      <c r="N121" s="368">
        <f>IF(N94="heures (h)","",IF(ISERROR(VLOOKUP($L75,Spez!$P$4:$P$44,1,0)),IF($K78="heures (h)","",IF($K78="hectares",N119*$L81/100,N119*$L81)),N119*VLOOKUP($L75,Maschinenliste!$A$17:$AE$959,28,0)*$L81))</f>
        <v>60.945045333333347</v>
      </c>
      <c r="O121" s="6"/>
    </row>
    <row r="122" spans="1:15" ht="13.5" customHeight="1" thickTop="1">
      <c r="A122" s="467"/>
      <c r="B122" s="187" t="s">
        <v>139</v>
      </c>
      <c r="C122" s="6"/>
      <c r="D122" s="6"/>
      <c r="E122" s="369">
        <f>IF(ISERROR(VLOOKUP($D75,Spez!$F$4:$F$200,1,0)),VLOOKUP($D75,Maschinenliste!$A$17:$AE$959,6,0)-E119,VLOOKUP($D75,Maschinenliste!$A$17:$AE$959,26,0)-E119)</f>
        <v>97.102541333333335</v>
      </c>
      <c r="F122" s="854"/>
      <c r="G122" s="370">
        <f>IF(ISERROR(VLOOKUP($D75,Spez!$F$5:$F$200,1,0)),VLOOKUP($D75,Maschinenliste!$A$17:$AE$959,6,0)-G119,VLOOKUP($D75,Maschinenliste!$A$17:$AE$959,28,0)-G119)</f>
        <v>97.102541333333335</v>
      </c>
      <c r="H122" s="371"/>
      <c r="I122" s="187" t="s">
        <v>139</v>
      </c>
      <c r="J122" s="6"/>
      <c r="K122" s="6"/>
      <c r="L122" s="369">
        <f>IF(ISERROR(VLOOKUP($L75,Spez!$F$4:$F$200,1,0)),VLOOKUP($L75,Maschinenliste!$A$17:$AE$959,6,0)-L119,VLOOKUP($L75,Maschinenliste!$A$17:$AE$959,26,0)-L119)</f>
        <v>59.00833185185185</v>
      </c>
      <c r="M122" s="854"/>
      <c r="N122" s="370">
        <f>IF(ISERROR(VLOOKUP($L75,Spez!$F$5:$F$87,1,0)),VLOOKUP($L75,Maschinenliste!$A$17:$AE$959,6,0)-N119,VLOOKUP($L75,Maschinenliste!$A$17:$AE$959,28,0)-N119)</f>
        <v>59.00833185185185</v>
      </c>
      <c r="O122" s="6"/>
    </row>
    <row r="123" spans="1:15" ht="12.75" customHeight="1">
      <c r="A123" s="467"/>
      <c r="B123" s="187" t="s">
        <v>140</v>
      </c>
      <c r="C123" s="6"/>
      <c r="D123" s="6"/>
      <c r="E123" s="372">
        <f>IF(ISERROR(VLOOKUP($D75,Spez!$F$4:$F$200,1,0)),VLOOKUP($D75,Maschinenliste!$A$17:$AE$959,7,0)-E119,VLOOKUP($D75,Maschinenliste!$A$17:$AE$959,27,0)-E119)</f>
        <v>2.5413333333332844E-3</v>
      </c>
      <c r="F123" s="854"/>
      <c r="G123" s="370">
        <f>IF(ISERROR(VLOOKUP($D75,Spez!$F$5:$F$200,1,0)),VLOOKUP($D75,Maschinenliste!$A$17:$AE$959,7,0)-G119,VLOOKUP($D75,Maschinenliste!$A$17:$AE$959,29,0)-G119)</f>
        <v>2.5413333333332844E-3</v>
      </c>
      <c r="H123" s="371"/>
      <c r="I123" s="187" t="s">
        <v>140</v>
      </c>
      <c r="J123" s="6"/>
      <c r="K123" s="6"/>
      <c r="L123" s="372">
        <f>IF(ISERROR(VLOOKUP($L75,Spez!$F$4:$F$200,1,0)),VLOOKUP($L75,Maschinenliste!$A$17:$AE$959,7,0)-L119,VLOOKUP($L75,Maschinenliste!$A$17:$AE$959,27,0)-L119)</f>
        <v>8.3318518518515905E-3</v>
      </c>
      <c r="M123" s="854"/>
      <c r="N123" s="370">
        <f>IF(ISERROR(VLOOKUP($L75,Spez!$F$5:$F$87,1,0)),VLOOKUP($L75,Maschinenliste!$A$17:$AE$959,7,0)-N119,VLOOKUP($L75,Maschinenliste!$A$17:$AE$959,29,0)-N119)</f>
        <v>8.3318518518515905E-3</v>
      </c>
      <c r="O123" s="6"/>
    </row>
    <row r="124" spans="1:15" ht="15">
      <c r="A124" s="467"/>
      <c r="B124" s="187"/>
      <c r="C124" s="6"/>
      <c r="D124" s="6"/>
      <c r="E124" s="373"/>
      <c r="F124" s="374" t="str">
        <f>IF(F95*F94&gt;F96,"le degré d'utilisation dépasse 100% - veuillez corriger l'utilisation annuelle ou durée d'amortissement!","")</f>
        <v/>
      </c>
      <c r="H124" s="246"/>
      <c r="I124" s="187"/>
      <c r="J124" s="6"/>
      <c r="K124" s="6"/>
      <c r="L124" s="373"/>
      <c r="M124" s="374" t="str">
        <f>IF(M95*M94&gt;M96,"le degré d'utilisation dépasse 100% - veuillez corriger l'utilisation annuelle ou durée d'amortissement!","")</f>
        <v/>
      </c>
      <c r="O124" s="6"/>
    </row>
    <row r="125" spans="1:15" ht="15.75">
      <c r="A125" s="467"/>
      <c r="B125" s="375" t="str">
        <f>IF(Hypothèses!$F$11&gt;0,"Les hypothèses générales ont été modifiées - le résultat (valeur par défaut) ne correspond pas à la valeur indicative officielle d’Agroscope.",IF(AND((OR(E122&gt;1,E122&lt;-1)),(OR(E123&gt;1,E123&lt;-1))),"ATTENTION - Vos données ne sont pas correctes","ok"))</f>
        <v>ok</v>
      </c>
      <c r="C125" s="6"/>
      <c r="D125" s="6"/>
      <c r="E125" s="462"/>
      <c r="F125" s="462"/>
      <c r="H125" s="246"/>
      <c r="I125" s="375" t="str">
        <f>IF(Hypothèses!$F$11&gt;0,"Les hypothèses générales ont été modifiées - le résultat (valeur par défaut) ne correspond pas à la valeur indicative officielle d’Agroscope.",IF(AND((OR(L122&gt;1,L122&lt;-1)),(OR(L123&gt;1,L123&lt;-1))),"ATTENTION - Vos données ne sont pas correctes","ok"))</f>
        <v>ok</v>
      </c>
      <c r="J125" s="6"/>
      <c r="K125" s="6"/>
      <c r="L125" s="462"/>
      <c r="M125" s="462"/>
      <c r="O125" s="6"/>
    </row>
    <row r="126" spans="1:15">
      <c r="A126" s="467"/>
      <c r="B126" s="376" t="str">
        <f>IF(Hypothèses!$F$11&gt;0,"",IF(B125="ok","",IF(OR(E122&gt;1,E122&lt;-1),"Veuillez vérifier la puissance en kW ou la valeur résiduelle","ok")))</f>
        <v/>
      </c>
      <c r="C126" s="377"/>
      <c r="D126" s="6"/>
      <c r="E126" s="462"/>
      <c r="F126" s="462"/>
      <c r="G126" s="6"/>
      <c r="H126" s="246"/>
      <c r="I126" s="376" t="str">
        <f>IF(Hypothèses!$F$11&gt;0,"",IF(I125="ok","",IF(OR(L122&gt;1,L122&lt;-1),"Veuillez vérifier la puissance en kW  ou la valeur résiduelle","ok")))</f>
        <v/>
      </c>
      <c r="J126" s="377"/>
      <c r="K126" s="6"/>
      <c r="L126" s="462"/>
      <c r="M126" s="462"/>
      <c r="N126" s="6"/>
      <c r="O126" s="6"/>
    </row>
    <row r="127" spans="1:15">
      <c r="A127" s="467"/>
      <c r="B127" s="6" t="s">
        <v>548</v>
      </c>
      <c r="C127" s="6"/>
      <c r="D127" s="6"/>
      <c r="E127" s="6"/>
      <c r="F127" s="6"/>
      <c r="G127" s="378">
        <f>(G119/E119)-1</f>
        <v>0</v>
      </c>
      <c r="H127" s="379"/>
      <c r="I127" s="6" t="s">
        <v>548</v>
      </c>
      <c r="J127" s="6"/>
      <c r="K127" s="6"/>
      <c r="L127" s="6"/>
      <c r="M127" s="6"/>
      <c r="N127" s="378">
        <f>(N119/L119)-1</f>
        <v>0</v>
      </c>
      <c r="O127" s="6"/>
    </row>
    <row r="128" spans="1:15">
      <c r="A128" s="467"/>
      <c r="B128" s="6"/>
      <c r="C128" s="6"/>
      <c r="D128" s="6"/>
      <c r="E128" s="6"/>
      <c r="F128" s="6"/>
      <c r="G128" s="6"/>
      <c r="H128" s="246"/>
      <c r="I128" s="6"/>
      <c r="J128" s="6"/>
      <c r="K128" s="6"/>
      <c r="L128" s="6"/>
      <c r="M128" s="6"/>
      <c r="N128" s="6"/>
      <c r="O128" s="6"/>
    </row>
    <row r="129" spans="1:15">
      <c r="A129" s="467"/>
      <c r="B129" s="6"/>
      <c r="C129" s="6"/>
      <c r="D129" s="6"/>
      <c r="E129" s="6"/>
      <c r="F129" s="6"/>
      <c r="G129" s="6"/>
      <c r="H129" s="246"/>
      <c r="I129" s="6"/>
      <c r="J129" s="6"/>
      <c r="K129" s="6"/>
      <c r="L129" s="6"/>
      <c r="M129" s="6"/>
      <c r="N129" s="6"/>
      <c r="O129" s="6"/>
    </row>
    <row r="130" spans="1:15">
      <c r="A130" s="467"/>
      <c r="B130" s="6"/>
      <c r="C130" s="6"/>
      <c r="D130" s="6"/>
      <c r="E130" s="6"/>
      <c r="F130" s="6"/>
      <c r="G130" s="6"/>
      <c r="H130" s="246"/>
      <c r="I130" s="6"/>
      <c r="J130" s="6"/>
      <c r="K130" s="6"/>
      <c r="L130" s="6"/>
      <c r="M130" s="6"/>
      <c r="N130" s="6"/>
      <c r="O130" s="6"/>
    </row>
    <row r="131" spans="1:15">
      <c r="A131" s="467"/>
      <c r="B131" s="6"/>
      <c r="C131" s="6"/>
      <c r="D131" s="6"/>
      <c r="E131" s="6"/>
      <c r="F131" s="6"/>
      <c r="G131" s="6"/>
      <c r="H131" s="246"/>
      <c r="I131" s="6"/>
      <c r="J131" s="6"/>
      <c r="K131" s="6"/>
      <c r="L131" s="6"/>
      <c r="M131" s="6"/>
      <c r="N131" s="6"/>
      <c r="O131" s="6"/>
    </row>
    <row r="132" spans="1:15" ht="18">
      <c r="A132" s="467"/>
      <c r="B132" s="250" t="str">
        <f>IF($C$4=1,"",IF($C$4=2,"Calcul machine A2","?"))</f>
        <v>Calcul machine A2</v>
      </c>
      <c r="C132" s="6"/>
      <c r="D132" s="196" t="str">
        <f>IF(LEN(D135)&gt;0,"","Sélectionnez le code de machine")</f>
        <v>Sélectionnez le code de machine</v>
      </c>
      <c r="E132" s="6"/>
      <c r="F132" s="6"/>
      <c r="G132" s="6"/>
      <c r="H132" s="246"/>
      <c r="I132" s="250" t="str">
        <f>IF($C$4=1,"",IF($C$4=2,"Calcul machine B2","?"))</f>
        <v>Calcul machine B2</v>
      </c>
      <c r="J132" s="6"/>
      <c r="K132" s="6"/>
      <c r="L132" s="196" t="str">
        <f>IF(LEN(L135)&gt;0,"","Sélectionnez le code de machine")</f>
        <v>Sélectionnez le code de machine</v>
      </c>
      <c r="M132" s="6"/>
      <c r="N132" s="6"/>
      <c r="O132" s="6"/>
    </row>
    <row r="133" spans="1:15">
      <c r="A133" s="467"/>
      <c r="B133" s="382" t="e">
        <f>IF(AND(LEN(D135)&gt;0,LEN(D75)&gt;0,C138=C78),"","Erreur! Les machines n'ont pas la même UT.")</f>
        <v>#N/A</v>
      </c>
      <c r="C133" s="6"/>
      <c r="E133" s="6"/>
      <c r="F133" s="6"/>
      <c r="G133" s="6"/>
      <c r="H133" s="246"/>
      <c r="I133" s="382" t="e">
        <f>IF(AND(LEN(L135)&gt;0,LEN(L75)&gt;0,K138=K78),"","Erreur! Les machines n'ont pas la même UT.")</f>
        <v>#N/A</v>
      </c>
      <c r="J133" s="6"/>
      <c r="K133" s="6"/>
      <c r="L133" s="6"/>
      <c r="M133" s="6"/>
      <c r="N133" s="6"/>
      <c r="O133" s="6"/>
    </row>
    <row r="134" spans="1:15" ht="13.5" thickBot="1">
      <c r="A134" s="467"/>
      <c r="B134" s="827" t="s">
        <v>509</v>
      </c>
      <c r="C134" s="302"/>
      <c r="D134" s="303" t="s">
        <v>510</v>
      </c>
      <c r="E134" s="302"/>
      <c r="F134" s="302"/>
      <c r="G134" s="302"/>
      <c r="H134" s="246"/>
      <c r="I134" s="827" t="s">
        <v>509</v>
      </c>
      <c r="J134" s="302"/>
      <c r="K134" s="303" t="s">
        <v>510</v>
      </c>
      <c r="L134" s="302"/>
      <c r="M134" s="302"/>
      <c r="N134" s="302"/>
      <c r="O134" s="6"/>
    </row>
    <row r="135" spans="1:15" ht="15.75">
      <c r="A135" s="467"/>
      <c r="B135" s="386"/>
      <c r="C135" s="306"/>
      <c r="D135" s="383"/>
      <c r="E135" s="827" t="s">
        <v>278</v>
      </c>
      <c r="F135" s="302"/>
      <c r="G135" s="302"/>
      <c r="H135" s="246"/>
      <c r="I135" s="384"/>
      <c r="J135" s="387"/>
      <c r="K135" s="307"/>
      <c r="L135" s="383"/>
      <c r="M135" s="304" t="s">
        <v>214</v>
      </c>
      <c r="N135" s="304"/>
      <c r="O135" s="6"/>
    </row>
    <row r="136" spans="1:15" ht="16.5" thickBot="1">
      <c r="A136" s="467"/>
      <c r="B136" s="308" t="e">
        <f>VLOOKUP(D135,Maschinenliste!$A$17:$AE$959,3,0)</f>
        <v>#N/A</v>
      </c>
      <c r="C136" s="309"/>
      <c r="D136" s="310"/>
      <c r="E136" s="311"/>
      <c r="F136" s="312"/>
      <c r="G136" s="312"/>
      <c r="H136" s="246"/>
      <c r="I136" s="313" t="e">
        <f>VLOOKUP(L135,Maschinenliste!$A$17:$AE$959,3,0)</f>
        <v>#N/A</v>
      </c>
      <c r="J136" s="238"/>
      <c r="K136" s="238"/>
      <c r="L136" s="245"/>
      <c r="M136" s="304"/>
      <c r="N136" s="304"/>
      <c r="O136" s="6"/>
    </row>
    <row r="137" spans="1:15">
      <c r="A137" s="467"/>
      <c r="B137" s="314" t="str">
        <f>IF(ISERROR(VLOOKUP($D135,Spez!$A$4:$A$30,1,0)),"","Stop: la machine sélectionnée ne peut pas être calculée avec ce programme!")</f>
        <v/>
      </c>
      <c r="C137" s="302"/>
      <c r="D137" s="302"/>
      <c r="E137" s="302"/>
      <c r="F137" s="302"/>
      <c r="G137" s="302"/>
      <c r="H137" s="246"/>
      <c r="I137" s="314" t="str">
        <f>IF(ISERROR(VLOOKUP($L135,Spez!$A$4:$A$30,1,0)),"","Stop: la machine sélectionnée ne peut pas être calculée avec ce programme!")</f>
        <v/>
      </c>
      <c r="J137" s="304"/>
      <c r="K137" s="304"/>
      <c r="L137" s="304"/>
      <c r="M137" s="304"/>
      <c r="N137" s="304"/>
      <c r="O137" s="6"/>
    </row>
    <row r="138" spans="1:15">
      <c r="A138" s="467"/>
      <c r="B138" s="832" t="s">
        <v>511</v>
      </c>
      <c r="C138" s="315" t="e">
        <f>VLOOKUP($D135,Maschinenliste!$A$17:$AE$959,30,0)</f>
        <v>#N/A</v>
      </c>
      <c r="D138" s="832" t="e">
        <f>VLOOKUP(E145,$R$5:$S$8,2,0)</f>
        <v>#N/A</v>
      </c>
      <c r="E138" s="316" t="e">
        <f>IF(E145=3,$T$8,"")</f>
        <v>#N/A</v>
      </c>
      <c r="F138" s="304"/>
      <c r="G138" s="302"/>
      <c r="H138" s="246"/>
      <c r="I138" s="304"/>
      <c r="J138" s="832" t="s">
        <v>511</v>
      </c>
      <c r="K138" s="317" t="e">
        <f>VLOOKUP($L135,Maschinenliste!$A$17:$AE$959,30,0)</f>
        <v>#N/A</v>
      </c>
      <c r="L138" s="834" t="e">
        <f>VLOOKUP(M145,$R$5:$S$8,2,0)</f>
        <v>#N/A</v>
      </c>
      <c r="M138" s="318" t="e">
        <f>IF(M145=3,$T$8,"")</f>
        <v>#N/A</v>
      </c>
      <c r="N138" s="304"/>
      <c r="O138" s="6"/>
    </row>
    <row r="139" spans="1:15" hidden="1">
      <c r="A139" s="467"/>
      <c r="B139" s="302"/>
      <c r="C139" s="319" t="str">
        <f>IF(ISERROR(VLOOKUP($D135,Spez!$D$4:$D$46,1,0)),"","Bitte geben Sie manuell die Leistung in kW ein")</f>
        <v/>
      </c>
      <c r="D139" s="835">
        <v>5</v>
      </c>
      <c r="E139" s="836" t="str">
        <f>IF(ISERROR(VLOOKUP($D135,Spez!$D$4:$D$45,1,0)),"","siehe Masch.bezeichnung")</f>
        <v/>
      </c>
      <c r="F139" s="302"/>
      <c r="G139" s="302"/>
      <c r="H139" s="246"/>
      <c r="I139" s="304"/>
      <c r="J139" s="304"/>
      <c r="K139" s="320" t="str">
        <f>IF(ISERROR(VLOOKUP($L135,Spez!$D$4:$D$46,1,0)),"","Bitte geben Sie manuell die Leistung in kW ein")</f>
        <v/>
      </c>
      <c r="L139" s="837"/>
      <c r="M139" s="855" t="str">
        <f>IF(ISERROR(VLOOKUP($L135,Spez!$D$4:$D$45,1,0)),"","siehe Masch.bezeichnung")</f>
        <v/>
      </c>
      <c r="N139" s="304"/>
      <c r="O139" s="6"/>
    </row>
    <row r="140" spans="1:15" hidden="1">
      <c r="A140" s="467"/>
      <c r="B140" s="321"/>
      <c r="C140" s="302"/>
      <c r="D140" s="302"/>
      <c r="E140" s="827"/>
      <c r="F140" s="302"/>
      <c r="G140" s="302"/>
      <c r="H140" s="246"/>
      <c r="I140" s="304"/>
      <c r="J140" s="322"/>
      <c r="K140" s="304"/>
      <c r="L140" s="304"/>
      <c r="M140" s="838"/>
      <c r="N140" s="304"/>
      <c r="O140" s="6"/>
    </row>
    <row r="141" spans="1:15">
      <c r="A141" s="467"/>
      <c r="B141" s="302"/>
      <c r="C141" s="832" t="s">
        <v>512</v>
      </c>
      <c r="D141" s="323" t="e">
        <f>IF(ISERROR(VLOOKUP($D135,Spez!$D$48:$D$54,1,0)),IF(C138="heures (h)","",IF(ISERROR(VLOOKUP($D135,Spez!$N$4:$N$27,1,0)),VLOOKUP($D135,Maschinenliste!$A$17:$Y$944,4,0)/E147,VLOOKUP($D135,Maschinenliste!$A$17:$Y$944,4,0))),VLOOKUP($D135,Maschinenliste!$A$17:$Y$944,4,0))</f>
        <v>#N/A</v>
      </c>
      <c r="E141" s="324" t="e">
        <f>IF(ISERROR(VLOOKUP($D135,Spez!$O$4:$O$56,1,0)),IF(C138="hectares","ares",IF(C138="heures (h)","",C138)),"charretées")</f>
        <v>#N/A</v>
      </c>
      <c r="F141" s="325" t="e">
        <f>IF(D145=0,"par heure","")</f>
        <v>#N/A</v>
      </c>
      <c r="G141" s="302"/>
      <c r="H141" s="246"/>
      <c r="I141" s="304"/>
      <c r="J141" s="838"/>
      <c r="K141" s="832" t="s">
        <v>512</v>
      </c>
      <c r="L141" s="323" t="e">
        <f>IF(ISERROR(VLOOKUP($L135,Spez!$D$48:$D$54,1,0)),IF(K138="heures (h)","",IF(ISERROR(VLOOKUP($L135,Spez!$N$4:$N$27,1,0)),VLOOKUP($L135,Maschinenliste!$A$17:$Y$944,4,0)/L147,VLOOKUP($L135,Maschinenliste!$A$17:$Y$944,4,0))),VLOOKUP($L135,Maschinenliste!$A$17:$Y$944,4,0))</f>
        <v>#N/A</v>
      </c>
      <c r="M141" s="324" t="e">
        <f>IF(ISERROR(VLOOKUP($L135,Spez!$O$4:$O$56,1,0)),IF(K138="hectares","ares",IF(K138="heures (h)","",K138)),"charretées")</f>
        <v>#N/A</v>
      </c>
      <c r="N141" s="325" t="e">
        <f>IF(L145=0,"par heure","")</f>
        <v>#N/A</v>
      </c>
      <c r="O141" s="6"/>
    </row>
    <row r="142" spans="1:15">
      <c r="A142" s="467"/>
      <c r="B142" s="6"/>
      <c r="C142" s="187"/>
      <c r="D142" s="326"/>
      <c r="E142" s="327"/>
      <c r="F142" s="294"/>
      <c r="G142" s="6"/>
      <c r="H142" s="246"/>
      <c r="I142" s="6"/>
      <c r="J142" s="6"/>
      <c r="K142" s="187"/>
      <c r="L142" s="326"/>
      <c r="M142" s="327"/>
      <c r="N142" s="294"/>
      <c r="O142" s="6"/>
    </row>
    <row r="143" spans="1:15">
      <c r="A143" s="467"/>
      <c r="B143" s="6"/>
      <c r="C143" s="328" t="s">
        <v>279</v>
      </c>
      <c r="D143" s="329" t="e">
        <f>VLOOKUP($D135,Maschinenliste!$A$17:$AE$959,4,0)</f>
        <v>#N/A</v>
      </c>
      <c r="E143" s="330" t="e">
        <f>IF(VLOOKUP($D135,Spez!$G$4:$G$15,1,0),"Umrechnung",0)</f>
        <v>#N/A</v>
      </c>
      <c r="F143" s="6"/>
      <c r="G143" s="6"/>
      <c r="H143" s="246"/>
      <c r="I143" s="6"/>
      <c r="J143" s="6"/>
      <c r="K143" s="328" t="s">
        <v>279</v>
      </c>
      <c r="L143" s="329" t="e">
        <f>VLOOKUP($L135,Maschinenliste!$A$17:$AE$959,4,0)</f>
        <v>#N/A</v>
      </c>
      <c r="M143" s="330" t="e">
        <f>IF(VLOOKUP($L135,Spez!$G$4:$G$15,1,0),"Umrechnung",0)</f>
        <v>#N/A</v>
      </c>
      <c r="N143" s="6"/>
      <c r="O143" s="6"/>
    </row>
    <row r="144" spans="1:15">
      <c r="A144" s="467"/>
      <c r="B144" s="6"/>
      <c r="C144" s="328" t="s">
        <v>132</v>
      </c>
      <c r="D144" s="839" t="e">
        <f>IF(ISERROR(VLOOKUP($D135,Spez!$D$4:$D$46,1,0)),D143*E147,D139)</f>
        <v>#N/A</v>
      </c>
      <c r="E144" s="331" t="s">
        <v>147</v>
      </c>
      <c r="F144" s="6"/>
      <c r="G144" s="6"/>
      <c r="H144" s="246"/>
      <c r="I144" s="6"/>
      <c r="J144" s="6"/>
      <c r="K144" s="328" t="s">
        <v>132</v>
      </c>
      <c r="L144" s="839" t="e">
        <f>IF(ISERROR(VLOOKUP($L135,Spez!$D$4:$D$46,1,0)),L143*L147,L139)</f>
        <v>#N/A</v>
      </c>
      <c r="M144" s="331" t="s">
        <v>147</v>
      </c>
      <c r="N144" s="6"/>
      <c r="O144" s="6"/>
    </row>
    <row r="145" spans="1:15">
      <c r="A145" s="467"/>
      <c r="B145" s="6"/>
      <c r="C145" s="187"/>
      <c r="D145" s="332" t="e">
        <f>IF(ISERROR(VLOOKUP($D135,Spez!$D$48:$D$60,1,0)),IF(C138="heures (h)",1,0),0)</f>
        <v>#N/A</v>
      </c>
      <c r="E145" s="840" t="e">
        <f>VLOOKUP(D135,Maschinenliste!$A$17:$AE$959,31,0)</f>
        <v>#N/A</v>
      </c>
      <c r="G145" s="6"/>
      <c r="H145" s="246"/>
      <c r="I145" s="6"/>
      <c r="J145" s="6"/>
      <c r="K145" s="187"/>
      <c r="L145" s="332" t="e">
        <f>IF(ISERROR(VLOOKUP($L135,Spez!$D$48:$D$60,1,0)),IF(K138="heures (h)",1,0),0)</f>
        <v>#N/A</v>
      </c>
      <c r="M145" s="840" t="e">
        <f>VLOOKUP(L135,Maschinenliste!$A$17:$AE$959,31,0)</f>
        <v>#N/A</v>
      </c>
      <c r="N145" s="6"/>
      <c r="O145" s="6"/>
    </row>
    <row r="146" spans="1:15" ht="13.5" thickBot="1">
      <c r="A146" s="467"/>
      <c r="B146" s="6"/>
      <c r="C146" s="6"/>
      <c r="D146" s="10"/>
      <c r="E146" s="6"/>
      <c r="F146" s="6"/>
      <c r="G146" s="6"/>
      <c r="H146" s="246"/>
      <c r="I146" s="6"/>
      <c r="J146" s="6"/>
      <c r="K146" s="6"/>
      <c r="L146" s="6"/>
      <c r="M146" s="6"/>
      <c r="N146" s="6"/>
      <c r="O146" s="6"/>
    </row>
    <row r="147" spans="1:15" ht="16.5" thickBot="1">
      <c r="A147" s="467"/>
      <c r="B147" s="6"/>
      <c r="C147" s="6"/>
      <c r="D147" s="6"/>
      <c r="E147" s="333">
        <f>IF(ISERROR(VLOOKUP($D135,Spez!$O$4:$O$45,1,0)),1,VLOOKUP($D135,Maschinenliste!$A$17:$AE$959,28,0))</f>
        <v>1</v>
      </c>
      <c r="F147" s="334" t="s">
        <v>513</v>
      </c>
      <c r="G147" s="335"/>
      <c r="H147" s="246"/>
      <c r="I147" s="6"/>
      <c r="J147" s="6"/>
      <c r="K147" s="6"/>
      <c r="L147" s="333">
        <f>IF(ISERROR(VLOOKUP($L135,Spez!$O$4:$O$45,1,0)),1,VLOOKUP($L135,Maschinenliste!$A$17:$AE$959,28,0))</f>
        <v>1</v>
      </c>
      <c r="M147" s="334" t="s">
        <v>513</v>
      </c>
      <c r="N147" s="336"/>
      <c r="O147" s="6"/>
    </row>
    <row r="148" spans="1:15" ht="13.5" thickBot="1">
      <c r="A148" s="467"/>
      <c r="B148" s="6"/>
      <c r="C148" s="6"/>
      <c r="D148" s="6"/>
      <c r="E148" s="6"/>
      <c r="F148" s="841" t="e">
        <f>IF(G187=0,"","données ont été modifiées")</f>
        <v>#N/A</v>
      </c>
      <c r="G148" s="6"/>
      <c r="H148" s="246"/>
      <c r="I148" s="6"/>
      <c r="J148" s="6"/>
      <c r="K148" s="6"/>
      <c r="L148" s="6"/>
      <c r="M148" s="841" t="e">
        <f>IF(N187=0,"","données ont été modifiées")</f>
        <v>#N/A</v>
      </c>
      <c r="N148" s="6"/>
      <c r="O148" s="6"/>
    </row>
    <row r="149" spans="1:15" ht="13.5" hidden="1" thickBot="1">
      <c r="A149" s="467"/>
      <c r="B149" s="6"/>
      <c r="C149" s="6"/>
      <c r="D149" s="6" t="s">
        <v>174</v>
      </c>
      <c r="E149" s="337" t="e">
        <f>IF(E145=1,"Eingabe","")</f>
        <v>#N/A</v>
      </c>
      <c r="F149" s="856">
        <v>1.79</v>
      </c>
      <c r="G149" s="191" t="s">
        <v>156</v>
      </c>
      <c r="H149" s="246"/>
      <c r="I149" s="6"/>
      <c r="J149" s="6"/>
      <c r="K149" s="6"/>
      <c r="L149" s="6" t="s">
        <v>174</v>
      </c>
      <c r="M149" s="843">
        <f>F149</f>
        <v>1.79</v>
      </c>
      <c r="N149" s="191" t="s">
        <v>156</v>
      </c>
      <c r="O149" s="6"/>
    </row>
    <row r="150" spans="1:15" ht="13.5" hidden="1" thickBot="1">
      <c r="A150" s="467"/>
      <c r="B150" s="6"/>
      <c r="C150" s="6"/>
      <c r="D150" s="6" t="s">
        <v>154</v>
      </c>
      <c r="E150" s="337" t="e">
        <f>IF(E145=2,"Eingabe","")</f>
        <v>#N/A</v>
      </c>
      <c r="F150" s="857">
        <v>1.6</v>
      </c>
      <c r="G150" s="189" t="s">
        <v>156</v>
      </c>
      <c r="H150" s="246"/>
      <c r="I150" s="6"/>
      <c r="J150" s="6"/>
      <c r="K150" s="6"/>
      <c r="L150" s="6" t="s">
        <v>154</v>
      </c>
      <c r="M150" s="858">
        <f>F150</f>
        <v>1.6</v>
      </c>
      <c r="N150" s="189" t="s">
        <v>156</v>
      </c>
      <c r="O150" s="6"/>
    </row>
    <row r="151" spans="1:15">
      <c r="A151" s="467"/>
      <c r="B151" s="181" t="s">
        <v>515</v>
      </c>
      <c r="C151" s="188" t="s">
        <v>516</v>
      </c>
      <c r="D151" s="338" t="s">
        <v>517</v>
      </c>
      <c r="E151" s="339"/>
      <c r="F151" s="226"/>
      <c r="G151" s="191"/>
      <c r="H151" s="246"/>
      <c r="I151" s="181" t="s">
        <v>515</v>
      </c>
      <c r="J151" s="188" t="s">
        <v>516</v>
      </c>
      <c r="K151" s="338" t="s">
        <v>517</v>
      </c>
      <c r="L151" s="339"/>
      <c r="M151" s="226"/>
      <c r="N151" s="191"/>
      <c r="O151" s="6"/>
    </row>
    <row r="152" spans="1:15">
      <c r="A152" s="467"/>
      <c r="B152" s="6" t="s">
        <v>518</v>
      </c>
      <c r="C152" s="6" t="s">
        <v>380</v>
      </c>
      <c r="D152" s="340" t="e">
        <f>VLOOKUP($D135,Maschinenliste!$A$17:$AE$959,5,0)</f>
        <v>#N/A</v>
      </c>
      <c r="E152" s="6"/>
      <c r="F152" s="233" t="e">
        <f>D152</f>
        <v>#N/A</v>
      </c>
      <c r="G152" s="189"/>
      <c r="H152" s="246"/>
      <c r="I152" s="6" t="s">
        <v>518</v>
      </c>
      <c r="J152" s="6" t="s">
        <v>380</v>
      </c>
      <c r="K152" s="340" t="e">
        <f>VLOOKUP($L135,Maschinenliste!$A$17:$AE$959,5,0)</f>
        <v>#N/A</v>
      </c>
      <c r="L152" s="6"/>
      <c r="M152" s="233" t="e">
        <f>K152</f>
        <v>#N/A</v>
      </c>
      <c r="N152" s="189"/>
      <c r="O152" s="6"/>
    </row>
    <row r="153" spans="1:15">
      <c r="A153" s="467"/>
      <c r="B153" s="6" t="s">
        <v>519</v>
      </c>
      <c r="C153" s="6"/>
      <c r="D153" s="340"/>
      <c r="E153" s="6"/>
      <c r="F153" s="240" t="s">
        <v>520</v>
      </c>
      <c r="G153" s="189"/>
      <c r="H153" s="246"/>
      <c r="I153" s="6" t="s">
        <v>519</v>
      </c>
      <c r="J153" s="6"/>
      <c r="K153" s="340"/>
      <c r="L153" s="6"/>
      <c r="M153" s="240" t="s">
        <v>520</v>
      </c>
      <c r="N153" s="189"/>
      <c r="O153" s="6"/>
    </row>
    <row r="154" spans="1:15">
      <c r="A154" s="467"/>
      <c r="B154" s="6" t="s">
        <v>521</v>
      </c>
      <c r="C154" s="6" t="s">
        <v>522</v>
      </c>
      <c r="D154" s="340" t="e">
        <f>VLOOKUP($D135,Maschinenliste!$A$17:$AE$959,10,0)</f>
        <v>#N/A</v>
      </c>
      <c r="E154" s="294" t="e">
        <f>$C138</f>
        <v>#N/A</v>
      </c>
      <c r="F154" s="234" t="e">
        <f>D154</f>
        <v>#N/A</v>
      </c>
      <c r="G154" s="189" t="e">
        <f>E154</f>
        <v>#N/A</v>
      </c>
      <c r="H154" s="246"/>
      <c r="I154" s="6" t="s">
        <v>521</v>
      </c>
      <c r="J154" s="6" t="s">
        <v>522</v>
      </c>
      <c r="K154" s="340" t="e">
        <f>VLOOKUP($L135,Maschinenliste!$A$17:$AE$959,10,0)</f>
        <v>#N/A</v>
      </c>
      <c r="L154" s="294" t="e">
        <f>$K138</f>
        <v>#N/A</v>
      </c>
      <c r="M154" s="234" t="e">
        <f>K154</f>
        <v>#N/A</v>
      </c>
      <c r="N154" s="189" t="e">
        <f>L154</f>
        <v>#N/A</v>
      </c>
      <c r="O154" s="6"/>
    </row>
    <row r="155" spans="1:15">
      <c r="A155" s="467"/>
      <c r="B155" s="6" t="s">
        <v>523</v>
      </c>
      <c r="C155" s="6" t="s">
        <v>524</v>
      </c>
      <c r="D155" s="340" t="e">
        <f>VLOOKUP($D135,Maschinenliste!$A$17:$AE$959,12,0)</f>
        <v>#N/A</v>
      </c>
      <c r="E155" s="6"/>
      <c r="F155" s="234" t="e">
        <f>D155</f>
        <v>#N/A</v>
      </c>
      <c r="G155" s="189"/>
      <c r="H155" s="246"/>
      <c r="I155" s="6" t="s">
        <v>523</v>
      </c>
      <c r="J155" s="6" t="s">
        <v>524</v>
      </c>
      <c r="K155" s="340" t="e">
        <f>VLOOKUP($L135,Maschinenliste!$A$17:$AE$959,12,0)</f>
        <v>#N/A</v>
      </c>
      <c r="L155" s="6"/>
      <c r="M155" s="234" t="e">
        <f>K155</f>
        <v>#N/A</v>
      </c>
      <c r="N155" s="189"/>
      <c r="O155" s="6"/>
    </row>
    <row r="156" spans="1:15">
      <c r="A156" s="467"/>
      <c r="B156" s="6" t="s">
        <v>525</v>
      </c>
      <c r="C156" s="6" t="s">
        <v>522</v>
      </c>
      <c r="D156" s="340" t="e">
        <f>VLOOKUP($D135,Maschinenliste!$A$17:$AE$959,13,0)</f>
        <v>#N/A</v>
      </c>
      <c r="E156" s="294" t="e">
        <f>C138</f>
        <v>#N/A</v>
      </c>
      <c r="F156" s="234" t="e">
        <f>D156</f>
        <v>#N/A</v>
      </c>
      <c r="G156" s="189" t="e">
        <f>E156</f>
        <v>#N/A</v>
      </c>
      <c r="H156" s="246"/>
      <c r="I156" s="6" t="s">
        <v>525</v>
      </c>
      <c r="J156" s="6" t="s">
        <v>522</v>
      </c>
      <c r="K156" s="340" t="e">
        <f>VLOOKUP($L135,Maschinenliste!$A$17:$AE$959,13,0)</f>
        <v>#N/A</v>
      </c>
      <c r="L156" s="294" t="e">
        <f>K138</f>
        <v>#N/A</v>
      </c>
      <c r="M156" s="234" t="e">
        <f>K156</f>
        <v>#N/A</v>
      </c>
      <c r="N156" s="189" t="e">
        <f>L156</f>
        <v>#N/A</v>
      </c>
      <c r="O156" s="6"/>
    </row>
    <row r="157" spans="1:15">
      <c r="A157" s="467"/>
      <c r="B157" s="6" t="s">
        <v>526</v>
      </c>
      <c r="C157" s="6" t="s">
        <v>382</v>
      </c>
      <c r="D157" s="341" t="e">
        <f>D154*D155/D156</f>
        <v>#N/A</v>
      </c>
      <c r="E157" s="342"/>
      <c r="F157" s="343" t="e">
        <f>IF(LEN(F159)&gt;0,"",F154*F155/F156)</f>
        <v>#N/A</v>
      </c>
      <c r="G157" s="189"/>
      <c r="H157" s="246"/>
      <c r="I157" s="6" t="s">
        <v>526</v>
      </c>
      <c r="J157" s="6" t="s">
        <v>382</v>
      </c>
      <c r="K157" s="341" t="e">
        <f>K154*K155/K156</f>
        <v>#N/A</v>
      </c>
      <c r="L157" s="342"/>
      <c r="M157" s="343" t="e">
        <f>IF(LEN(M159)&gt;0,"",M154*M155/M156)</f>
        <v>#N/A</v>
      </c>
      <c r="N157" s="189"/>
      <c r="O157" s="6"/>
    </row>
    <row r="158" spans="1:15">
      <c r="A158" s="467"/>
      <c r="B158" s="6" t="s">
        <v>501</v>
      </c>
      <c r="C158" s="6" t="s">
        <v>527</v>
      </c>
      <c r="D158" s="340" t="e">
        <f>VLOOKUP($D135,Maschinenliste!$A$17:$AE$959,14,0)</f>
        <v>#N/A</v>
      </c>
      <c r="E158" s="342"/>
      <c r="F158" s="344" t="e">
        <f>IF(LEN(F159)&gt;0,
"",
IF(ISERROR(VLOOKUP($D135,Spez!$B$4:$B$200,1,0)),IF(F157&gt;0,IF(F157&lt;Hypothèses!$C$82,Hypothèses!$B$82,IF(AND(F157&gt;=Hypothèses!$C$82,F157&lt;Hypothèses!$C$81),Hypothèses!$B$81,IF(AND(F157&gt;=Hypothèses!$C$81,F157&lt;Hypothèses!$C$80),Hypothèses!$B$80,IF(AND(F157&gt;=Hypothèses!$C$80,F157&lt;Hypothèses!$C$79),Hypothèses!$B$79,IF(AND(F157&gt;=Hypothèses!$C$79,F157&lt;Hypothèses!$C$78),Hypothèses!$B$78,0))))),""),0))</f>
        <v>#N/A</v>
      </c>
      <c r="G158" s="189"/>
      <c r="H158" s="246"/>
      <c r="I158" s="6" t="s">
        <v>501</v>
      </c>
      <c r="J158" s="6" t="s">
        <v>527</v>
      </c>
      <c r="K158" s="340" t="e">
        <f>VLOOKUP($L135,Maschinenliste!$A$17:$AE$959,14,0)</f>
        <v>#N/A</v>
      </c>
      <c r="L158" s="342"/>
      <c r="M158" s="344" t="e">
        <f>IF(LEN(M159)&gt;0,
"",
IF(ISERROR(VLOOKUP($L135,Spez!$B$4:$B$200,1,0)),IF(M157&gt;0,IF(M157&lt;Hypothèses!$C$82,Hypothèses!$B$82,IF(AND(M157&gt;=Hypothèses!$C$82,M157&lt;Hypothèses!$C$81),Hypothèses!$B$81,IF(AND(M157&gt;=Hypothèses!$C$81,M157&lt;Hypothèses!$C$80),Hypothèses!$B$80,IF(AND(M157&gt;=Hypothèses!$C$80,M157&lt;Hypothèses!$C$79),Hypothèses!$B$79,IF(AND(M157&gt;=Hypothèses!$C$79,M157&lt;Hypothèses!$C$78),Hypothèses!$B$78,0))))),""),0))</f>
        <v>#N/A</v>
      </c>
      <c r="N158" s="189"/>
      <c r="O158" s="6"/>
    </row>
    <row r="159" spans="1:15" ht="15">
      <c r="A159" s="467"/>
      <c r="B159" s="6" t="s">
        <v>528</v>
      </c>
      <c r="C159" s="6" t="s">
        <v>380</v>
      </c>
      <c r="D159" s="200"/>
      <c r="E159" s="345"/>
      <c r="F159" s="234"/>
      <c r="G159" s="189"/>
      <c r="H159" s="246"/>
      <c r="I159" s="6" t="s">
        <v>528</v>
      </c>
      <c r="J159" s="6" t="s">
        <v>380</v>
      </c>
      <c r="K159" s="200"/>
      <c r="L159" s="345"/>
      <c r="M159" s="234"/>
      <c r="N159" s="189"/>
      <c r="O159" s="6"/>
    </row>
    <row r="160" spans="1:15">
      <c r="A160" s="467"/>
      <c r="B160" s="6" t="s">
        <v>529</v>
      </c>
      <c r="C160" s="6" t="s">
        <v>382</v>
      </c>
      <c r="D160" s="340" t="e">
        <f>VLOOKUP($D135,Maschinenliste!$A$17:$AE$959,11,0)</f>
        <v>#N/A</v>
      </c>
      <c r="E160" s="6"/>
      <c r="F160" s="234" t="e">
        <f>D160</f>
        <v>#N/A</v>
      </c>
      <c r="G160" s="346" t="e">
        <f>IF(E145=0,"",IF(E145=1,$D144*F160*Hypothèses!$C$25,IF(OR(E145=2,E145=3),$D144*F160*Hypothèses!$C$26,"")))</f>
        <v>#N/A</v>
      </c>
      <c r="H160" s="347"/>
      <c r="I160" s="6" t="s">
        <v>529</v>
      </c>
      <c r="J160" s="6" t="s">
        <v>382</v>
      </c>
      <c r="K160" s="340" t="e">
        <f>VLOOKUP($L135,Maschinenliste!$A$17:$AE$959,11,0)</f>
        <v>#N/A</v>
      </c>
      <c r="L160" s="6"/>
      <c r="M160" s="234" t="e">
        <f>K160</f>
        <v>#N/A</v>
      </c>
      <c r="N160" s="346" t="e">
        <f>IF(M145=0,"",IF(M145=1,$L144*M160*Hypothèses!$C$25,IF(OR(M145=2,M145=3),$L144*M160*Hypothèses!$C$26,"")))</f>
        <v>#N/A</v>
      </c>
      <c r="O160" s="6"/>
    </row>
    <row r="161" spans="1:15">
      <c r="A161" s="467"/>
      <c r="B161" s="6" t="s">
        <v>530</v>
      </c>
      <c r="C161" s="6" t="s">
        <v>527</v>
      </c>
      <c r="D161" s="340" t="e">
        <f>VLOOKUP($D135,Maschinenliste!$A$17:$AE$959,15,0)</f>
        <v>#N/A</v>
      </c>
      <c r="E161" s="6"/>
      <c r="F161" s="234" t="e">
        <f>D161</f>
        <v>#N/A</v>
      </c>
      <c r="G161" s="846" t="e">
        <f>(F154*G173)</f>
        <v>#N/A</v>
      </c>
      <c r="H161" s="246"/>
      <c r="I161" s="6" t="s">
        <v>530</v>
      </c>
      <c r="J161" s="6" t="s">
        <v>527</v>
      </c>
      <c r="K161" s="340" t="e">
        <f>VLOOKUP($L135,Maschinenliste!$A$17:$AE$959,15,0)</f>
        <v>#N/A</v>
      </c>
      <c r="L161" s="6"/>
      <c r="M161" s="234" t="e">
        <f>K161</f>
        <v>#N/A</v>
      </c>
      <c r="N161" s="846" t="e">
        <f>(M154*N173)</f>
        <v>#N/A</v>
      </c>
      <c r="O161" s="6"/>
    </row>
    <row r="162" spans="1:15">
      <c r="A162" s="467"/>
      <c r="B162" s="6" t="s">
        <v>531</v>
      </c>
      <c r="C162" s="6" t="s">
        <v>383</v>
      </c>
      <c r="D162" s="340" t="e">
        <f>VLOOKUP($D135,Maschinenliste!$A$17:$AE$959,16,0)</f>
        <v>#N/A</v>
      </c>
      <c r="E162" s="6"/>
      <c r="F162" s="234" t="e">
        <f>D162</f>
        <v>#N/A</v>
      </c>
      <c r="G162" s="189"/>
      <c r="H162" s="246"/>
      <c r="I162" s="6" t="s">
        <v>531</v>
      </c>
      <c r="J162" s="6" t="s">
        <v>383</v>
      </c>
      <c r="K162" s="340" t="e">
        <f>VLOOKUP($L135,Maschinenliste!$A$17:$AE$959,16,0)</f>
        <v>#N/A</v>
      </c>
      <c r="L162" s="6"/>
      <c r="M162" s="234" t="e">
        <f>K162</f>
        <v>#N/A</v>
      </c>
      <c r="N162" s="189"/>
      <c r="O162" s="6"/>
    </row>
    <row r="163" spans="1:15">
      <c r="A163" s="467"/>
      <c r="B163" s="6" t="s">
        <v>532</v>
      </c>
      <c r="C163" s="6" t="s">
        <v>382</v>
      </c>
      <c r="D163" s="341">
        <v>0.1</v>
      </c>
      <c r="E163" s="6"/>
      <c r="F163" s="235">
        <f>D163</f>
        <v>0.1</v>
      </c>
      <c r="G163" s="189"/>
      <c r="H163" s="246"/>
      <c r="I163" s="6" t="s">
        <v>532</v>
      </c>
      <c r="J163" s="6" t="s">
        <v>382</v>
      </c>
      <c r="K163" s="341">
        <v>0.1</v>
      </c>
      <c r="L163" s="6"/>
      <c r="M163" s="235">
        <f>K163</f>
        <v>0.1</v>
      </c>
      <c r="N163" s="189"/>
      <c r="O163" s="6"/>
    </row>
    <row r="164" spans="1:15">
      <c r="A164" s="467"/>
      <c r="B164" s="6" t="s">
        <v>533</v>
      </c>
      <c r="C164" s="6"/>
      <c r="D164" s="341">
        <v>0</v>
      </c>
      <c r="E164" s="6"/>
      <c r="F164" s="235">
        <f>D164</f>
        <v>0</v>
      </c>
      <c r="G164" s="189"/>
      <c r="H164" s="246"/>
      <c r="I164" s="6" t="s">
        <v>533</v>
      </c>
      <c r="J164" s="6"/>
      <c r="K164" s="341">
        <v>0</v>
      </c>
      <c r="L164" s="6"/>
      <c r="M164" s="235">
        <f>K164</f>
        <v>0</v>
      </c>
      <c r="N164" s="189"/>
      <c r="O164" s="6"/>
    </row>
    <row r="165" spans="1:15">
      <c r="A165" s="467"/>
      <c r="B165" s="6"/>
      <c r="C165" s="6"/>
      <c r="D165" s="190"/>
      <c r="E165" s="6"/>
      <c r="F165" s="190"/>
      <c r="G165" s="348"/>
      <c r="H165" s="246"/>
      <c r="I165" s="6"/>
      <c r="J165" s="6"/>
      <c r="K165" s="190"/>
      <c r="L165" s="6"/>
      <c r="M165" s="190"/>
      <c r="N165" s="348"/>
      <c r="O165" s="6"/>
    </row>
    <row r="166" spans="1:15">
      <c r="A166" s="467"/>
      <c r="B166" s="188" t="s">
        <v>534</v>
      </c>
      <c r="C166" s="349"/>
      <c r="D166" s="622" t="s">
        <v>535</v>
      </c>
      <c r="E166" s="623"/>
      <c r="F166" s="622" t="s">
        <v>535</v>
      </c>
      <c r="G166" s="861" t="s">
        <v>536</v>
      </c>
      <c r="H166" s="246"/>
      <c r="I166" s="188" t="s">
        <v>534</v>
      </c>
      <c r="J166" s="349"/>
      <c r="K166" s="622" t="s">
        <v>535</v>
      </c>
      <c r="L166" s="623"/>
      <c r="M166" s="622" t="s">
        <v>535</v>
      </c>
      <c r="N166" s="621" t="s">
        <v>536</v>
      </c>
      <c r="O166" s="6"/>
    </row>
    <row r="167" spans="1:15">
      <c r="A167" s="467"/>
      <c r="B167" s="6" t="s">
        <v>537</v>
      </c>
      <c r="C167" s="6"/>
      <c r="D167" s="847" t="e">
        <f>(D152-(D152*D158))/D155</f>
        <v>#N/A</v>
      </c>
      <c r="E167" s="6"/>
      <c r="F167" s="847" t="e">
        <f>IF(LEN(F159)&gt;0,(F152-F159)/F155,(F152-(F152*F158))/F155)</f>
        <v>#N/A</v>
      </c>
      <c r="G167" s="189"/>
      <c r="H167" s="246"/>
      <c r="I167" s="6" t="s">
        <v>537</v>
      </c>
      <c r="J167" s="6"/>
      <c r="K167" s="847" t="e">
        <f>(K152-(K152*K158))/K155</f>
        <v>#N/A</v>
      </c>
      <c r="L167" s="6"/>
      <c r="M167" s="847" t="e">
        <f>IF(LEN(M159)&gt;0,(M152-M159)/M155,(M152-(M152*M158))/M155)</f>
        <v>#N/A</v>
      </c>
      <c r="N167" s="189"/>
      <c r="O167" s="6"/>
    </row>
    <row r="168" spans="1:15">
      <c r="A168" s="467"/>
      <c r="B168" s="6" t="s">
        <v>538</v>
      </c>
      <c r="C168" s="6"/>
      <c r="D168" s="847" t="e">
        <f>(D152-(D158*D152))*Hypothèses!$C$13/100*0.6+(D158*D152*Hypothèses!$C$13/100)</f>
        <v>#N/A</v>
      </c>
      <c r="E168" s="6"/>
      <c r="F168" s="847" t="e">
        <f>IF(LEN(F159)&gt;0,(F152-F159)*Hypothèses!$C$13/100*0.6+(F159*Hypothèses!$C$13/100),(F152-(F158*F152))*Hypothèses!$C$13/100*0.6+(F158*F152*Hypothèses!$C$13/100))</f>
        <v>#N/A</v>
      </c>
      <c r="G168" s="189"/>
      <c r="H168" s="246"/>
      <c r="I168" s="6" t="s">
        <v>538</v>
      </c>
      <c r="J168" s="6"/>
      <c r="K168" s="847" t="e">
        <f>(K152-(K158*K152))*Hypothèses!$C$13/100*0.6+(K158*K152*Hypothèses!$C$13/100)</f>
        <v>#N/A</v>
      </c>
      <c r="L168" s="6"/>
      <c r="M168" s="847" t="e">
        <f>IF(LEN(M159)&gt;0,(M152-M159)*Hypothèses!$C$13/100*0.6+(M159*Hypothèses!$C$13/100),(M152-(M158*M152))*Hypothèses!$C$13/100*0.6+(M158*M152*Hypothèses!$C$13/100))</f>
        <v>#N/A</v>
      </c>
      <c r="N168" s="189"/>
      <c r="O168" s="6"/>
    </row>
    <row r="169" spans="1:15">
      <c r="A169" s="467"/>
      <c r="B169" s="6" t="s">
        <v>539</v>
      </c>
      <c r="C169" s="6"/>
      <c r="D169" s="847" t="e">
        <f>IF(ISERROR(VLOOKUP($D135,Spez!$K$4:$K$200,1,0)),IF((VLOOKUP($D135,Maschinenliste!$A$17:$AE$959,31,0)&gt;0),D162*Hypothèses!$C$17,D162*Hypothèses!$C$18),D162*Hypothèses!$C$18)</f>
        <v>#N/A</v>
      </c>
      <c r="E169" s="6"/>
      <c r="F169" s="847" t="e">
        <f>IF(ISERROR(VLOOKUP($D135,Spez!$K$4:$K$200,1,0)),IF((VLOOKUP($D135,Maschinenliste!$A$17:$AE$959,31,0)&gt;0),F162*Hypothèses!$C$17,F162*Hypothèses!$C$18),F162*Hypothèses!$C$18)</f>
        <v>#N/A</v>
      </c>
      <c r="G169" s="189"/>
      <c r="H169" s="246"/>
      <c r="I169" s="6" t="s">
        <v>539</v>
      </c>
      <c r="J169" s="6"/>
      <c r="K169" s="847" t="e">
        <f>IF(ISERROR(VLOOKUP($L135,Spez!$K$4:$K$200,1,0)),IF((VLOOKUP($L135,Maschinenliste!$A$17:$AE$959,31,0)&gt;0),K162*Hypothèses!$C$17,K162*Hypothèses!$C$18),K162*Hypothèses!$C$18)</f>
        <v>#N/A</v>
      </c>
      <c r="L169" s="6"/>
      <c r="M169" s="847" t="e">
        <f>IF(ISERROR(VLOOKUP($L135,Spez!$K$4:$K$200,1,0)),IF((VLOOKUP($L135,Maschinenliste!$A$17:$AE$959,31,0)&gt;0),M162*Hypothèses!$C$17,M162*Hypothèses!$C$18),M162*Hypothèses!$C$18)</f>
        <v>#N/A</v>
      </c>
      <c r="N169" s="189"/>
      <c r="O169" s="6"/>
    </row>
    <row r="170" spans="1:15">
      <c r="A170" s="467"/>
      <c r="B170" s="186" t="s">
        <v>540</v>
      </c>
      <c r="C170" s="186"/>
      <c r="D170" s="847" t="e">
        <f>VLOOKUP($D135,Maschinenliste!$A$17:$AE$959,29,0)</f>
        <v>#N/A</v>
      </c>
      <c r="E170" s="6"/>
      <c r="F170" s="848" t="e">
        <f>D170</f>
        <v>#N/A</v>
      </c>
      <c r="G170" s="189"/>
      <c r="H170" s="246"/>
      <c r="I170" s="186" t="s">
        <v>540</v>
      </c>
      <c r="J170" s="186"/>
      <c r="K170" s="847" t="e">
        <f>VLOOKUP($L135,Maschinenliste!$A$17:$AE$959,29,0)</f>
        <v>#N/A</v>
      </c>
      <c r="L170" s="6"/>
      <c r="M170" s="848" t="e">
        <f>K170</f>
        <v>#N/A</v>
      </c>
      <c r="N170" s="189"/>
      <c r="O170" s="6"/>
    </row>
    <row r="171" spans="1:15" ht="13.5" thickBot="1">
      <c r="A171" s="467"/>
      <c r="B171" s="353" t="s">
        <v>541</v>
      </c>
      <c r="C171" s="6"/>
      <c r="D171" s="354" t="e">
        <f>SUM(D167:D170)</f>
        <v>#N/A</v>
      </c>
      <c r="E171" s="355" t="e">
        <f>D171/D154</f>
        <v>#N/A</v>
      </c>
      <c r="F171" s="354" t="e">
        <f>SUM(F167:F170)</f>
        <v>#N/A</v>
      </c>
      <c r="G171" s="356" t="e">
        <f>F171/F154</f>
        <v>#N/A</v>
      </c>
      <c r="H171" s="247"/>
      <c r="I171" s="353" t="s">
        <v>541</v>
      </c>
      <c r="J171" s="6"/>
      <c r="K171" s="354" t="e">
        <f>SUM(K167:K170)</f>
        <v>#N/A</v>
      </c>
      <c r="L171" s="355" t="e">
        <f>K171/K154</f>
        <v>#N/A</v>
      </c>
      <c r="M171" s="354" t="e">
        <f>SUM(M167:M170)</f>
        <v>#N/A</v>
      </c>
      <c r="N171" s="356" t="e">
        <f>M171/M154</f>
        <v>#N/A</v>
      </c>
      <c r="O171" s="6"/>
    </row>
    <row r="172" spans="1:15" ht="13.5" thickTop="1">
      <c r="A172" s="467"/>
      <c r="B172" s="6"/>
      <c r="C172" s="6"/>
      <c r="D172" s="357"/>
      <c r="E172" s="358"/>
      <c r="F172" s="357"/>
      <c r="G172" s="359"/>
      <c r="H172" s="247"/>
      <c r="I172" s="6"/>
      <c r="J172" s="6"/>
      <c r="K172" s="357"/>
      <c r="L172" s="358"/>
      <c r="M172" s="357"/>
      <c r="N172" s="359"/>
      <c r="O172" s="6"/>
    </row>
    <row r="173" spans="1:15">
      <c r="A173" s="467"/>
      <c r="B173" s="849" t="s">
        <v>542</v>
      </c>
      <c r="C173" s="6"/>
      <c r="D173" s="190"/>
      <c r="E173" s="358" t="e">
        <f>$D152/$D156*D161</f>
        <v>#N/A</v>
      </c>
      <c r="F173" s="190"/>
      <c r="G173" s="359" t="e">
        <f>IF(F153="Occasion",$D152/$D156*F161,F152/F156*F161)</f>
        <v>#N/A</v>
      </c>
      <c r="H173" s="247"/>
      <c r="I173" s="849" t="s">
        <v>542</v>
      </c>
      <c r="J173" s="6"/>
      <c r="K173" s="190"/>
      <c r="L173" s="358" t="e">
        <f>$K152/$K156*K161</f>
        <v>#N/A</v>
      </c>
      <c r="M173" s="190"/>
      <c r="N173" s="359" t="e">
        <f>IF(M153="Occasion",$K152/$K156*M161,M152/M156*M161)</f>
        <v>#N/A</v>
      </c>
      <c r="O173" s="6"/>
    </row>
    <row r="174" spans="1:15">
      <c r="A174" s="467"/>
      <c r="B174" s="849" t="s">
        <v>543</v>
      </c>
      <c r="C174" s="6"/>
      <c r="D174" s="190"/>
      <c r="E174" s="358" t="e">
        <f>IF(ISERROR(VLOOKUP($D135,Spez!$E$4:$E$36,1,0)),
IF(ISERROR(VLOOKUP($D135,Spez!$H$4:$H$36,1,0)),
IF(ISERROR(VLOOKUP($D135,Spez!$G$4:$G$36,1,0)),
IF($E145=0,0,
IF($E145=1,$D144*Hypothèses!$C$25*D160*Hypothèses!$C$22,
IF($E145=2,$D144*Hypothèses!$C$26*D160*Hypothèses!$C$23,
IF($E145=3,$D144*Hypothèses!$C$26*D160*Hypothèses!$C$24,
IF($E145=4,Hypothèses!$C$34,
IF($E145=5,$D144*D160/100*Hypothèses!C162,"?")))))),
IF($E145=1,$D144*Hypothèses!$C$25*D160*Hypothèses!$C$22/$D143*100,
IF($E145=2,$D144*Hypothèses!$C$26*D160*Hypothèses!$C$23/$D143*100))),
$D144*Hypothèses!$C$25*D160*Hypothèses!$C$22/$D143),IF($E145=1,($D144*Hypothèses!$C$25*D160*Hypothèses!$C$22)+($D144*Hypothèses!$C$25*D160*Hypothèses!$C$27*Hypothèses!$C$37)))</f>
        <v>#N/A</v>
      </c>
      <c r="F174" s="190"/>
      <c r="G174" s="850" t="e">
        <f>IF(ISERROR(VLOOKUP($D135,Spez!$E$4:$E$36,1,0)),
IF(ISERROR(VLOOKUP($D135,Spez!$H$4:$H$36,1,0)),
IF(ISERROR(VLOOKUP($D135,Spez!$G$4:$G$36,1,0)),
IF($E145=0,0,IF($E145=1,$D144*Hypothèses!$C$25*F160*$F$23,
IF($E145=2,$D144*Hypothèses!$C$26*F160*$F$24,
IF($E145=3,$D144*Hypothèses!$C$26*F160*Hypothèses!$C$24,
IF($E145=4,Hypothèses!$C$34,
IF($E145=5,$D144*F160/100*Hypothèses!C162,"?")))))),
IF($E145=1,$D144*Hypothèses!$C$25*F160*$F$23/$D143*100,
IF($E145=2,$D144*Hypothèses!$C$26*F160*$F$24/$D143*100))),$D144*Hypothèses!$C$25*F160*$F$23/$D143),IF($E145=1,($D144*Hypothèses!$C$25*F160*$F$23)+($D144*Hypothèses!$C$25*F160*Hypothèses!$C$27*Hypothèses!$C$37)))</f>
        <v>#N/A</v>
      </c>
      <c r="H174" s="247"/>
      <c r="I174" s="849" t="s">
        <v>543</v>
      </c>
      <c r="J174" s="6"/>
      <c r="K174" s="190"/>
      <c r="L174" s="358" t="e">
        <f>IF(ISERROR(VLOOKUP($L135,Spez!$E$4:$E$36,1,0)),
IF(ISERROR(VLOOKUP($L135,Spez!$H$4:$H$36,1,0)),
IF(ISERROR(VLOOKUP($L135,Spez!$G$4:$G$36,1,0)),
IF($M145=0,0,
IF($M145=1,$L144*Hypothèses!$C$25*K160*Hypothèses!$C$22,
IF($M145=2,$L144*Hypothèses!$C$26*K160*Hypothèses!$C$23,
IF($M145=3,$L144*Hypothèses!$C$26*K160*Hypothèses!$C$24,
IF($M145=4,Hypothèses!$C$34,
IF($M145=5,$L144*K160/100*Hypothèses!C162,"?")))))),
IF($M145=1,$L144*Hypothèses!$C$25*K160*Hypothèses!$C$22/$L143*100,
IF($M145=2,$L144*Hypothèses!$C$26*K160*Hypothèses!$C$23/$L143*100))),
$L144*Hypothèses!$C$25*K160*Hypothèses!$C$22/$D143),IF($M145=1,($L144*Hypothèses!$C$25*K160*Hypothèses!$C$22)+($L144*Hypothèses!$C$25*K160*Hypothèses!$C$27*Hypothèses!$C$37)))</f>
        <v>#N/A</v>
      </c>
      <c r="M174" s="190"/>
      <c r="N174" s="850" t="e">
        <f>IF(ISERROR(VLOOKUP($L135,Spez!$E$4:$E$36,1,0)),
IF(ISERROR(VLOOKUP($L135,Spez!$H$4:$H$36,1,0)),
IF(ISERROR(VLOOKUP($L135,Spez!$G$4:$G$36,1,0)),
IF($M145=0,0,
IF($M145=1,$L144*Hypothèses!$C$25*M160*$F$23,
IF($M145=2,$L144*Hypothèses!$C$26*M160*$F$24,
IF($M145=3,$L144*Hypothèses!$C$26*M160*Hypothèses!$C$24,
IF($M145=4,Hypothèses!$C$34,
IF($M145=5,$L144*M160/100*Hypothèses!C162,"?")))))),
IF($M145=1,$L144*Hypothèses!$C$25*M160*$F$23/$L143*100,
IF($M145=2,$L144*Hypothèses!$C$26*M160*$F$24/$L143*100))),$L144*Hypothèses!$C$25*M160*$F$23/$L143),IF($M145=1,($L144*Hypothèses!$C$25*M160*$F$23)+($L144*Hypothèses!$C$25*M160*Hypothèses!$C$27*Hypothèses!$C$37)))</f>
        <v>#N/A</v>
      </c>
      <c r="O174" s="6"/>
    </row>
    <row r="175" spans="1:15">
      <c r="A175" s="467"/>
      <c r="B175" s="849" t="s">
        <v>544</v>
      </c>
      <c r="C175" s="6"/>
      <c r="D175" s="190"/>
      <c r="E175" s="358" t="e">
        <f>IF(ISERROR(VLOOKUP($D135,Spez!$M$4:$M$19,1,0)),IF(VLOOKUP($D135,Maschinenliste!$A$17:$AE$959,31,0)=0,VLOOKUP($D135,Maschinenliste!$A$17:$AE$959,23,0),0),VLOOKUP($D135,Hypothèses!$B$31:$C$35,2,0))</f>
        <v>#N/A</v>
      </c>
      <c r="F175" s="190"/>
      <c r="G175" s="851" t="e">
        <f>E175</f>
        <v>#N/A</v>
      </c>
      <c r="H175" s="247"/>
      <c r="I175" s="849" t="s">
        <v>544</v>
      </c>
      <c r="J175" s="6"/>
      <c r="K175" s="190"/>
      <c r="L175" s="358" t="e">
        <f>IF(ISERROR(VLOOKUP($L135,Spez!$M$4:$M$19,1,0)),IF(VLOOKUP($L135,Maschinenliste!$A$17:$AE$959,31,0)=0,VLOOKUP($L135,Maschinenliste!$A$17:$AE$959,23,0),0),VLOOKUP($D135,Hypothèses!$B$31:$C$35,2,0))</f>
        <v>#N/A</v>
      </c>
      <c r="M175" s="190"/>
      <c r="N175" s="851" t="e">
        <f>L175</f>
        <v>#N/A</v>
      </c>
      <c r="O175" s="6"/>
    </row>
    <row r="176" spans="1:15" ht="13.5" thickBot="1">
      <c r="A176" s="467"/>
      <c r="B176" s="360" t="s">
        <v>545</v>
      </c>
      <c r="C176" s="6"/>
      <c r="D176" s="190"/>
      <c r="E176" s="355" t="e">
        <f>SUM(E173:E175)</f>
        <v>#N/A</v>
      </c>
      <c r="F176" s="190"/>
      <c r="G176" s="356" t="e">
        <f>SUM(G173:G175)</f>
        <v>#N/A</v>
      </c>
      <c r="H176" s="247"/>
      <c r="I176" s="360" t="s">
        <v>545</v>
      </c>
      <c r="J176" s="6"/>
      <c r="K176" s="190"/>
      <c r="L176" s="355" t="e">
        <f>SUM(L173:L175)</f>
        <v>#N/A</v>
      </c>
      <c r="M176" s="190"/>
      <c r="N176" s="356" t="e">
        <f>SUM(N173:N175)</f>
        <v>#N/A</v>
      </c>
      <c r="O176" s="6"/>
    </row>
    <row r="177" spans="1:15" ht="13.5" thickTop="1">
      <c r="A177" s="467"/>
      <c r="B177" s="6"/>
      <c r="C177" s="6"/>
      <c r="D177" s="190"/>
      <c r="E177" s="6"/>
      <c r="F177" s="190"/>
      <c r="G177" s="189"/>
      <c r="H177" s="246"/>
      <c r="I177" s="6"/>
      <c r="J177" s="6"/>
      <c r="K177" s="190"/>
      <c r="L177" s="6"/>
      <c r="M177" s="190"/>
      <c r="N177" s="189"/>
      <c r="O177" s="6"/>
    </row>
    <row r="178" spans="1:15">
      <c r="A178" s="467"/>
      <c r="B178" s="6" t="s">
        <v>546</v>
      </c>
      <c r="C178" s="6"/>
      <c r="D178" s="859" t="str">
        <f>IF(ISERROR(VLOOKUP($D135,Spez!$I$4:$I$14,1,0)),"","par charretée")</f>
        <v/>
      </c>
      <c r="E178" s="362" t="e">
        <f>IF(ISERROR(VLOOKUP($D135,Spez!$I$4:$I$14,1,0)),E171+E176,(E171+E176)*VLOOKUP($D135,Maschinenliste!$A$17:$AE$959,28,0))</f>
        <v>#N/A</v>
      </c>
      <c r="F178" s="859" t="str">
        <f>IF(ISERROR(VLOOKUP($D135,Spez!$I$4:$I$14,1,0)),"","par charretée")</f>
        <v/>
      </c>
      <c r="G178" s="363" t="e">
        <f>IF(ISERROR(VLOOKUP($D135,Spez!$I$4:$I$14,1,0)),G171+G176,(G171+G176)*VLOOKUP($D135,Maschinenliste!$A$17:$AE$959,28,0))</f>
        <v>#N/A</v>
      </c>
      <c r="H178" s="247"/>
      <c r="I178" s="6" t="s">
        <v>546</v>
      </c>
      <c r="J178" s="6"/>
      <c r="K178" s="859" t="str">
        <f>IF(ISERROR(VLOOKUP($L135,Spez!$I$4:$I$14,1,0)),"","par charretée")</f>
        <v/>
      </c>
      <c r="L178" s="362" t="e">
        <f>IF(ISERROR(VLOOKUP($L135,Spez!$I$4:$I$14,1,0)),L171+L176,(L171+L176)*VLOOKUP($L135,Maschinenliste!$A$17:$AE$959,28,0))</f>
        <v>#N/A</v>
      </c>
      <c r="M178" s="859" t="str">
        <f>IF(ISERROR(VLOOKUP($L135,Spez!$I$4:$I$14,1,0)),"","par charretée")</f>
        <v/>
      </c>
      <c r="N178" s="363" t="e">
        <f>IF(ISERROR(VLOOKUP($L135,Spez!$I$4:$I$14,1,0)),N171+N176,(N171+N176)*VLOOKUP($L135,Maschinenliste!$A$17:$AE$959,28,0))</f>
        <v>#N/A</v>
      </c>
      <c r="O178" s="6"/>
    </row>
    <row r="179" spans="1:15" ht="13.5" thickBot="1">
      <c r="A179" s="467"/>
      <c r="B179" s="6" t="s">
        <v>547</v>
      </c>
      <c r="C179" s="6"/>
      <c r="D179" s="860" t="str">
        <f>IF(ISERROR(VLOOKUP($D135,Spez!$I$4:$I$14,1,0)),"","par charretée")</f>
        <v/>
      </c>
      <c r="E179" s="364" t="e">
        <f>E178*(1+D163+D164)</f>
        <v>#N/A</v>
      </c>
      <c r="F179" s="860" t="str">
        <f>IF(ISERROR(VLOOKUP($D135,Spez!$I$4:$I$14,1,0)),"","par charretée")</f>
        <v/>
      </c>
      <c r="G179" s="365" t="e">
        <f>G178*(1+F163+F164)</f>
        <v>#N/A</v>
      </c>
      <c r="H179" s="248"/>
      <c r="I179" s="6" t="s">
        <v>547</v>
      </c>
      <c r="J179" s="6"/>
      <c r="K179" s="860" t="str">
        <f>IF(ISERROR(VLOOKUP($L135,Spez!$I$4:$I$14,1,0)),"","par charretée")</f>
        <v/>
      </c>
      <c r="L179" s="364" t="e">
        <f>L178*(1+K163+K164)</f>
        <v>#N/A</v>
      </c>
      <c r="M179" s="860" t="str">
        <f>IF(ISERROR(VLOOKUP($L135,Spez!$I$4:$I$14,1,0)),"","par charretée")</f>
        <v/>
      </c>
      <c r="N179" s="365" t="e">
        <f>N178*(1+M163+M164)</f>
        <v>#N/A</v>
      </c>
      <c r="O179" s="6"/>
    </row>
    <row r="180" spans="1:15">
      <c r="A180" s="467"/>
      <c r="B180" s="6"/>
      <c r="C180" s="6"/>
      <c r="D180" s="327" t="str">
        <f>IF(ISERROR(VLOOKUP($D135,Spez!$P$4:$P$30,1,0)),"","Fr. par charretée")</f>
        <v/>
      </c>
      <c r="E180" s="366" t="str">
        <f>IF(ISERROR(VLOOKUP($D135,Spez!$P$4:$P$30,1,0)),"",E179*VLOOKUP($D135,Maschinenliste!$A$17:$AE$959,28,0))</f>
        <v/>
      </c>
      <c r="F180" s="367" t="str">
        <f>IF(ISERROR(VLOOKUP($D135,Spez!$P$4:$P$30,1,0)),"","Fr. par charretée")</f>
        <v/>
      </c>
      <c r="G180" s="366" t="str">
        <f>IF(ISERROR(VLOOKUP($D135,Spez!$P$4:$P$30,1,0)),"",G179*VLOOKUP($D135,Maschinenliste!$A$17:$AE$959,28,0))</f>
        <v/>
      </c>
      <c r="H180" s="248"/>
      <c r="I180" s="6"/>
      <c r="J180" s="6"/>
      <c r="K180" s="327" t="str">
        <f>IF(ISERROR(VLOOKUP($L135,Spez!$P$4:$P$30,1,0)),"","Fr. par charretée")</f>
        <v/>
      </c>
      <c r="L180" s="366" t="str">
        <f>IF(ISERROR(VLOOKUP($L135,Spez!$P$4:$P$30,1,0)),"",L179*VLOOKUP($L135,Maschinenliste!$A$17:$AE$959,28,0))</f>
        <v/>
      </c>
      <c r="M180" s="367" t="str">
        <f>IF(ISERROR(VLOOKUP($L135,Spez!$P$4:$P$30,1,0)),"","Fr. par charretée")</f>
        <v/>
      </c>
      <c r="N180" s="366" t="str">
        <f>IF(ISERROR(VLOOKUP($L135,Spez!$P$4:$P$30,1,0)),"",N179*VLOOKUP($L135,Maschinenliste!$A$17:$AE$959,28,0))</f>
        <v/>
      </c>
      <c r="O180" s="6"/>
    </row>
    <row r="181" spans="1:15" ht="13.5" thickBot="1">
      <c r="A181" s="467"/>
      <c r="B181" s="6" t="e">
        <f>IF(C138="heures (h)","","Tarif d'indemnisation (supp. compris) par heure")</f>
        <v>#N/A</v>
      </c>
      <c r="C181" s="6"/>
      <c r="D181" s="327" t="e">
        <f>IF(E154="heures (h)","","Fr. par heure")</f>
        <v>#N/A</v>
      </c>
      <c r="E181" s="368" t="e">
        <f>IF(E154="heures (h)","",IF(ISERROR(VLOOKUP($D135,Spez!$P$4:$P$44,1,0)),IF($C138="heures (h)","",IF($C138="hectares",E179*$D141/100,E179*$D141)),E179*VLOOKUP($D135,Maschinenliste!$A$17:$AE$959,28,0)*$D141))</f>
        <v>#N/A</v>
      </c>
      <c r="F181" s="361" t="e">
        <f>IF(G154="heures (h)","","Fr. je heure")</f>
        <v>#N/A</v>
      </c>
      <c r="G181" s="368" t="e">
        <f>IF(G154="heures (h)","",IF(ISERROR(VLOOKUP($D135,Spez!$P$4:$P$44,1,0)),IF($C138="heures (h)","",IF($C138="hectares",G179*$D141/100,G179*$D141)),G179*VLOOKUP($D135,Maschinenliste!$A$17:$AE$959,28,0)*$D141))</f>
        <v>#N/A</v>
      </c>
      <c r="H181" s="248"/>
      <c r="I181" s="6" t="e">
        <f>IF(K138="heures (h)","","Tarif d'indemnisation (supp. compris) par heure")</f>
        <v>#N/A</v>
      </c>
      <c r="J181" s="6"/>
      <c r="K181" s="327" t="e">
        <f>IF(L154="heures (h)","","Fr. par heure")</f>
        <v>#N/A</v>
      </c>
      <c r="L181" s="368" t="e">
        <f>IF(L154="heures (h)","",IF(ISERROR(VLOOKUP($L135,Spez!$P$4:$P$44,1,0)),IF($K138="heures (h)","",IF($K138="hectares",L179*$L141/100,L179*$L141)),L179*VLOOKUP($L135,Maschinenliste!$A$17:$AE$959,28,0)*$L141))</f>
        <v>#N/A</v>
      </c>
      <c r="M181" s="361" t="e">
        <f>IF(N154="heures (h)","","Fr. je heure")</f>
        <v>#N/A</v>
      </c>
      <c r="N181" s="368" t="e">
        <f>IF(N154="heures (h)","",IF(ISERROR(VLOOKUP($L135,Spez!$P$4:$P$44,1,0)),IF($K138="heures (h)","",IF($K138="hectares",N179*$L141/100,N179*$L141)),N179*VLOOKUP($L135,Maschinenliste!$A$17:$AE$959,28,0)*$L141))</f>
        <v>#N/A</v>
      </c>
      <c r="O181" s="6"/>
    </row>
    <row r="182" spans="1:15" ht="13.5" hidden="1" thickTop="1">
      <c r="A182" s="467"/>
      <c r="B182" s="187" t="s">
        <v>139</v>
      </c>
      <c r="C182" s="6"/>
      <c r="D182" s="6"/>
      <c r="E182" s="369" t="e">
        <f>IF(ISERROR(VLOOKUP($D135,Spez!$F$4:$F$200,1,0)),VLOOKUP($D135,Maschinenliste!$A$17:$AE$959,6,0)-E179,VLOOKUP($D135,Maschinenliste!$A$17:$AE$959,26,0)-E179)</f>
        <v>#N/A</v>
      </c>
      <c r="F182" s="854"/>
      <c r="G182" s="370" t="e">
        <f>IF(ISERROR(VLOOKUP($D135,Spez!$F$5:$F$200,1,0)),VLOOKUP($D135,Maschinenliste!$A$17:$AE$959,6,0)-G179,VLOOKUP($D135,Maschinenliste!$A$17:$AE$959,28,0)-G179)</f>
        <v>#N/A</v>
      </c>
      <c r="H182" s="371"/>
      <c r="I182" s="187" t="s">
        <v>139</v>
      </c>
      <c r="J182" s="6"/>
      <c r="K182" s="6"/>
      <c r="L182" s="369" t="e">
        <f>IF(ISERROR(VLOOKUP($L135,Spez!$F$4:$F$200,1,0)),VLOOKUP($L135,Maschinenliste!$A$17:$AE$959,6,0)-L179,VLOOKUP($L135,Maschinenliste!$A$17:$AE$959,26,0)-L179)</f>
        <v>#N/A</v>
      </c>
      <c r="M182" s="854"/>
      <c r="N182" s="370" t="e">
        <f>IF(ISERROR(VLOOKUP($L135,Spez!$F$5:$F$87,1,0)),VLOOKUP($L135,Maschinenliste!$A$17:$AE$959,6,0)-N179,VLOOKUP($L135,Maschinenliste!$A$17:$AE$959,28,0)-N179)</f>
        <v>#N/A</v>
      </c>
      <c r="O182" s="6"/>
    </row>
    <row r="183" spans="1:15" ht="13.5" hidden="1" thickTop="1">
      <c r="A183" s="467"/>
      <c r="B183" s="187" t="s">
        <v>140</v>
      </c>
      <c r="C183" s="6"/>
      <c r="D183" s="6"/>
      <c r="E183" s="372" t="e">
        <f>IF(ISERROR(VLOOKUP($D135,Spez!$F$4:$F$200,1,0)),VLOOKUP($D135,Maschinenliste!$A$17:$AE$959,7,0)-E179,VLOOKUP($D135,Maschinenliste!$A$17:$AE$959,27,0)-E179)</f>
        <v>#N/A</v>
      </c>
      <c r="F183" s="854"/>
      <c r="G183" s="370" t="e">
        <f>IF(ISERROR(VLOOKUP($D135,Spez!$F$5:$F$200,1,0)),VLOOKUP($D135,Maschinenliste!$A$17:$AE$959,7,0)-G179,VLOOKUP($D135,Maschinenliste!$A$17:$AE$959,29,0)-G179)</f>
        <v>#N/A</v>
      </c>
      <c r="H183" s="371"/>
      <c r="I183" s="187" t="s">
        <v>140</v>
      </c>
      <c r="J183" s="6"/>
      <c r="K183" s="6"/>
      <c r="L183" s="372" t="e">
        <f>IF(ISERROR(VLOOKUP($L135,Spez!$F$4:$F$200,1,0)),VLOOKUP($L135,Maschinenliste!$A$17:$AE$959,7,0)-L179,VLOOKUP($L135,Maschinenliste!$A$17:$AE$959,27,0)-L179)</f>
        <v>#N/A</v>
      </c>
      <c r="M183" s="854"/>
      <c r="N183" s="370" t="e">
        <f>IF(ISERROR(VLOOKUP($L135,Spez!$F$5:$F$87,1,0)),VLOOKUP($L135,Maschinenliste!$A$17:$AE$959,7,0)-N179,VLOOKUP($L135,Maschinenliste!$A$17:$AE$959,29,0)-N179)</f>
        <v>#N/A</v>
      </c>
      <c r="O183" s="6"/>
    </row>
    <row r="184" spans="1:15" ht="15.75" thickTop="1">
      <c r="A184" s="467"/>
      <c r="B184" s="187"/>
      <c r="C184" s="6"/>
      <c r="D184" s="6"/>
      <c r="E184" s="373"/>
      <c r="F184" s="374" t="e">
        <f>IF(F155*F154&gt;F156,"le degré d'utilisation dépasse 100% - veuillez corriger l'utilisation annuelle ou durée d'amortissement!","")</f>
        <v>#N/A</v>
      </c>
      <c r="H184" s="246"/>
      <c r="I184" s="187"/>
      <c r="J184" s="6"/>
      <c r="K184" s="6"/>
      <c r="L184" s="373"/>
      <c r="M184" s="374" t="e">
        <f>IF(M155*M154&gt;M156,"le degré d'utilisation dépasse 100% - veuillez corriger l'utilisation annuelle ou durée d'amortissement!","")</f>
        <v>#N/A</v>
      </c>
      <c r="O184" s="6"/>
    </row>
    <row r="185" spans="1:15" ht="15.75">
      <c r="A185" s="467"/>
      <c r="B185" s="375" t="e">
        <f>IF(Hypothèses!$F$11&gt;0,"Les hypothèses générales ont été modifiées - le résultat (valeur par défaut) ne correspond pas à la valeur indicative officielle d’Agroscope.",IF(AND((OR(E182&gt;1,E182&lt;-1)),(OR(E183&gt;1,E183&lt;-1))),"ATTENTION - Vos données ne sont pas correctes","ok"))</f>
        <v>#N/A</v>
      </c>
      <c r="C185" s="6"/>
      <c r="D185" s="6"/>
      <c r="E185" s="462"/>
      <c r="F185" s="462"/>
      <c r="H185" s="246"/>
      <c r="I185" s="375" t="e">
        <f>IF(Hypothèses!$F$11&gt;0,"Les hypothèses générales ont été modifiées - le résultat (valeur par défaut) ne correspond pas à la valeur indicative officielle d’Agroscope.",IF(AND((OR(L182&gt;1,L182&lt;-1)),(OR(L183&gt;1,L183&lt;-1))),"ATTENTION - Vos données ne sont pas correctes","ok"))</f>
        <v>#N/A</v>
      </c>
      <c r="J185" s="6"/>
      <c r="K185" s="6"/>
      <c r="L185" s="462"/>
      <c r="M185" s="462"/>
      <c r="O185" s="6"/>
    </row>
    <row r="186" spans="1:15">
      <c r="A186" s="467"/>
      <c r="B186" s="376" t="e">
        <f>IF(Hypothèses!$F$11&gt;0,"",IF(B185="ok","",IF(OR(E182&gt;1,E182&lt;-1),"Veuillez vérifier la puissance en kW ou la valeur résiduelle","ok")))</f>
        <v>#N/A</v>
      </c>
      <c r="C186" s="377"/>
      <c r="D186" s="6"/>
      <c r="E186" s="462"/>
      <c r="F186" s="462"/>
      <c r="G186" s="6"/>
      <c r="H186" s="246"/>
      <c r="I186" s="376" t="e">
        <f>IF(Hypothèses!$F$11&gt;0,"",IF(I185="ok","",IF(OR(L182&gt;1,L182&lt;-1),"Veuillez vérifier la puissance en kW ou la valeur résiduelle","ok")))</f>
        <v>#N/A</v>
      </c>
      <c r="J186" s="377"/>
      <c r="K186" s="6"/>
      <c r="L186" s="462"/>
      <c r="M186" s="462"/>
      <c r="N186" s="6"/>
      <c r="O186" s="6"/>
    </row>
    <row r="187" spans="1:15">
      <c r="A187" s="467"/>
      <c r="B187" s="6" t="s">
        <v>548</v>
      </c>
      <c r="C187" s="6"/>
      <c r="D187" s="6"/>
      <c r="E187" s="6"/>
      <c r="F187" s="6"/>
      <c r="G187" s="378" t="e">
        <f>(G179/E179)-1</f>
        <v>#N/A</v>
      </c>
      <c r="H187" s="379"/>
      <c r="I187" s="6" t="s">
        <v>548</v>
      </c>
      <c r="J187" s="6"/>
      <c r="K187" s="6"/>
      <c r="L187" s="6"/>
      <c r="M187" s="6"/>
      <c r="N187" s="378" t="e">
        <f>(N179/L179)-1</f>
        <v>#N/A</v>
      </c>
      <c r="O187" s="6"/>
    </row>
    <row r="188" spans="1:15">
      <c r="A188" s="467"/>
      <c r="B188" s="6"/>
      <c r="C188" s="6"/>
      <c r="D188" s="6"/>
      <c r="E188" s="6"/>
      <c r="F188" s="6"/>
      <c r="G188" s="6"/>
      <c r="H188" s="246"/>
      <c r="I188" s="6"/>
      <c r="J188" s="6"/>
      <c r="K188" s="6"/>
      <c r="L188" s="6"/>
      <c r="M188" s="6"/>
      <c r="N188" s="6"/>
      <c r="O188" s="6"/>
    </row>
    <row r="189" spans="1:15">
      <c r="A189" s="467"/>
      <c r="B189" s="6"/>
      <c r="C189" s="6"/>
      <c r="D189" s="6"/>
      <c r="E189" s="6"/>
      <c r="F189" s="6"/>
      <c r="G189" s="6"/>
      <c r="H189" s="246"/>
      <c r="I189" s="6"/>
      <c r="J189" s="6"/>
      <c r="K189" s="6"/>
      <c r="L189" s="6"/>
      <c r="M189" s="6"/>
      <c r="N189" s="6"/>
      <c r="O189" s="6"/>
    </row>
    <row r="190" spans="1:15">
      <c r="A190" s="467"/>
      <c r="B190" s="6"/>
      <c r="C190" s="6"/>
      <c r="D190" s="6"/>
      <c r="E190" s="6"/>
      <c r="F190" s="6"/>
      <c r="G190" s="6"/>
      <c r="H190" s="246"/>
      <c r="I190" s="6"/>
      <c r="J190" s="6"/>
      <c r="K190" s="6"/>
      <c r="L190" s="6"/>
      <c r="M190" s="6"/>
      <c r="N190" s="6"/>
      <c r="O190" s="6"/>
    </row>
    <row r="191" spans="1:15">
      <c r="A191" s="467"/>
      <c r="B191" s="6"/>
      <c r="C191" s="6"/>
      <c r="D191" s="6"/>
      <c r="E191" s="6"/>
      <c r="F191" s="6"/>
      <c r="G191" s="6"/>
      <c r="H191" s="246"/>
      <c r="I191" s="6"/>
      <c r="J191" s="6"/>
      <c r="K191" s="6"/>
      <c r="L191" s="6"/>
      <c r="M191" s="6"/>
      <c r="N191" s="6"/>
      <c r="O191" s="6"/>
    </row>
    <row r="192" spans="1:15" ht="18">
      <c r="A192" s="467"/>
      <c r="B192" s="250" t="str">
        <f>IF($C$4=1,"",IF($C$4=2,"Calcul machine A3","?"))</f>
        <v>Calcul machine A3</v>
      </c>
      <c r="C192" s="6"/>
      <c r="D192" s="196" t="str">
        <f>IF(LEN(D195)&gt;0,"","Sélectionnez le code de machine")</f>
        <v>Sélectionnez le code de machine</v>
      </c>
      <c r="E192" s="6"/>
      <c r="F192" s="6"/>
      <c r="G192" s="6"/>
      <c r="H192" s="246"/>
      <c r="I192" s="250" t="str">
        <f>IF($C$4=1,"",IF($C$4=2,"Calcul machine B3","?"))</f>
        <v>Calcul machine B3</v>
      </c>
      <c r="J192" s="6"/>
      <c r="K192" s="6"/>
      <c r="L192" s="196" t="str">
        <f>IF(LEN(L195)&gt;0,"","Sélectionnez le code de machine")</f>
        <v>Sélectionnez le code de machine</v>
      </c>
      <c r="M192" s="6"/>
      <c r="N192" s="6"/>
      <c r="O192" s="6"/>
    </row>
    <row r="193" spans="1:15">
      <c r="A193" s="467"/>
      <c r="B193" s="382" t="e">
        <f>IF(AND(LEN(D195)&gt;0,LEN(D135)&gt;0,C198=C138),"","Erreur! Les machines n'ont pas la même UT.")</f>
        <v>#N/A</v>
      </c>
      <c r="C193" s="6"/>
      <c r="D193" s="6"/>
      <c r="E193" s="6"/>
      <c r="F193" s="6"/>
      <c r="G193" s="6"/>
      <c r="H193" s="246"/>
      <c r="I193" s="382" t="e">
        <f>IF(AND(LEN(L195)&gt;0,LEN(L135)&gt;0,K198=K138),"","Erreur! Les machines n'ont pas la même UT.")</f>
        <v>#N/A</v>
      </c>
      <c r="J193" s="6"/>
      <c r="K193" s="6"/>
      <c r="L193" s="6"/>
      <c r="M193" s="6"/>
      <c r="N193" s="6"/>
      <c r="O193" s="6"/>
    </row>
    <row r="194" spans="1:15" ht="13.5" thickBot="1">
      <c r="A194" s="467"/>
      <c r="B194" s="827" t="s">
        <v>509</v>
      </c>
      <c r="C194" s="302"/>
      <c r="D194" s="303" t="s">
        <v>510</v>
      </c>
      <c r="E194" s="302"/>
      <c r="F194" s="302"/>
      <c r="G194" s="302"/>
      <c r="H194" s="246"/>
      <c r="I194" s="827" t="s">
        <v>509</v>
      </c>
      <c r="J194" s="302"/>
      <c r="K194" s="303" t="s">
        <v>510</v>
      </c>
      <c r="L194" s="302"/>
      <c r="M194" s="302"/>
      <c r="N194" s="302"/>
      <c r="O194" s="6"/>
    </row>
    <row r="195" spans="1:15" ht="15.75">
      <c r="A195" s="467"/>
      <c r="B195" s="386"/>
      <c r="C195" s="306"/>
      <c r="D195" s="383"/>
      <c r="E195" s="827" t="s">
        <v>278</v>
      </c>
      <c r="F195" s="302"/>
      <c r="G195" s="302"/>
      <c r="H195" s="246"/>
      <c r="I195" s="384"/>
      <c r="J195" s="307"/>
      <c r="K195" s="307"/>
      <c r="L195" s="383"/>
      <c r="M195" s="304" t="s">
        <v>214</v>
      </c>
      <c r="N195" s="304"/>
      <c r="O195" s="6"/>
    </row>
    <row r="196" spans="1:15" ht="16.5" thickBot="1">
      <c r="A196" s="467"/>
      <c r="B196" s="308" t="e">
        <f>VLOOKUP(D195,Maschinenliste!$A$17:$AE$959,3,0)</f>
        <v>#N/A</v>
      </c>
      <c r="C196" s="309"/>
      <c r="D196" s="310"/>
      <c r="E196" s="311"/>
      <c r="F196" s="312"/>
      <c r="G196" s="312"/>
      <c r="H196" s="246"/>
      <c r="I196" s="313" t="e">
        <f>VLOOKUP(L195,Maschinenliste!$A$17:$AE$959,3,0)</f>
        <v>#N/A</v>
      </c>
      <c r="J196" s="238"/>
      <c r="K196" s="238"/>
      <c r="L196" s="245"/>
      <c r="M196" s="304"/>
      <c r="N196" s="304"/>
      <c r="O196" s="6"/>
    </row>
    <row r="197" spans="1:15">
      <c r="A197" s="467"/>
      <c r="B197" s="314" t="str">
        <f>IF(ISERROR(VLOOKUP($D195,Spez!$A$4:$A$30,1,0)),"","Stop: la machine sélectionnée ne peut pas être calculée avec ce programme!")</f>
        <v/>
      </c>
      <c r="C197" s="302"/>
      <c r="D197" s="302"/>
      <c r="E197" s="302"/>
      <c r="F197" s="302"/>
      <c r="G197" s="302"/>
      <c r="H197" s="246"/>
      <c r="I197" s="314" t="str">
        <f>IF(ISERROR(VLOOKUP($L195,Spez!$A$4:$A$30,1,0)),"","Stop: la machine sélectionnée ne peut pas être calculée avec ce programme!")</f>
        <v/>
      </c>
      <c r="J197" s="304"/>
      <c r="K197" s="304"/>
      <c r="L197" s="304"/>
      <c r="M197" s="304"/>
      <c r="N197" s="304"/>
      <c r="O197" s="6"/>
    </row>
    <row r="198" spans="1:15">
      <c r="A198" s="467"/>
      <c r="B198" s="832" t="s">
        <v>511</v>
      </c>
      <c r="C198" s="315" t="e">
        <f>VLOOKUP($D195,Maschinenliste!$A$17:$AE$959,30,0)</f>
        <v>#N/A</v>
      </c>
      <c r="D198" s="832" t="e">
        <f>VLOOKUP(E205,$R$5:$S$8,2,0)</f>
        <v>#N/A</v>
      </c>
      <c r="E198" s="316" t="e">
        <f>IF(E205=3,$T$8,"")</f>
        <v>#N/A</v>
      </c>
      <c r="F198" s="302"/>
      <c r="G198" s="302"/>
      <c r="H198" s="246"/>
      <c r="I198" s="304"/>
      <c r="J198" s="832" t="s">
        <v>511</v>
      </c>
      <c r="K198" s="317" t="e">
        <f>VLOOKUP($L195,Maschinenliste!$A$17:$AE$959,30,0)</f>
        <v>#N/A</v>
      </c>
      <c r="L198" s="834" t="e">
        <f>VLOOKUP(M205,$R$5:$S$8,2,0)</f>
        <v>#N/A</v>
      </c>
      <c r="M198" s="318" t="e">
        <f>IF(M205=3,$T$8,"")</f>
        <v>#N/A</v>
      </c>
      <c r="N198" s="304"/>
      <c r="O198" s="6"/>
    </row>
    <row r="199" spans="1:15" hidden="1">
      <c r="A199" s="467"/>
      <c r="B199" s="302"/>
      <c r="C199" s="319" t="str">
        <f>IF(ISERROR(VLOOKUP($D195,Spez!$D$4:$D$46,1,0)),"","Bitte geben Sie manuell die Leistung in kW ein")</f>
        <v/>
      </c>
      <c r="D199" s="835">
        <v>5</v>
      </c>
      <c r="E199" s="836" t="str">
        <f>IF(ISERROR(VLOOKUP($D195,Spez!$D$4:$D$45,1,0)),"","siehe Masch.bezeichnung")</f>
        <v/>
      </c>
      <c r="F199" s="302"/>
      <c r="G199" s="302"/>
      <c r="H199" s="246"/>
      <c r="I199" s="304"/>
      <c r="J199" s="304"/>
      <c r="K199" s="320" t="str">
        <f>IF(ISERROR(VLOOKUP($L195,Spez!$D$4:$D$46,1,0)),"","Bitte geben Sie manuell die Leistung in kW ein")</f>
        <v/>
      </c>
      <c r="L199" s="837"/>
      <c r="M199" s="855" t="str">
        <f>IF(ISERROR(VLOOKUP($L195,Spez!$D$4:$D$45,1,0)),"","siehe Masch.bezeichnung")</f>
        <v/>
      </c>
      <c r="N199" s="304"/>
      <c r="O199" s="6"/>
    </row>
    <row r="200" spans="1:15" hidden="1">
      <c r="A200" s="467"/>
      <c r="B200" s="321"/>
      <c r="C200" s="302"/>
      <c r="D200" s="302"/>
      <c r="E200" s="827"/>
      <c r="F200" s="302"/>
      <c r="G200" s="302"/>
      <c r="H200" s="246"/>
      <c r="I200" s="304"/>
      <c r="J200" s="322"/>
      <c r="K200" s="304"/>
      <c r="L200" s="304"/>
      <c r="M200" s="838"/>
      <c r="N200" s="304"/>
      <c r="O200" s="6"/>
    </row>
    <row r="201" spans="1:15">
      <c r="A201" s="467"/>
      <c r="B201" s="302"/>
      <c r="C201" s="832" t="s">
        <v>512</v>
      </c>
      <c r="D201" s="323" t="e">
        <f>IF(ISERROR(VLOOKUP($D195,Spez!$D$48:$D$54,1,0)),IF(C198="heures (h)","",IF(ISERROR(VLOOKUP($D195,Spez!$N$4:$N$27,1,0)),VLOOKUP($D195,Maschinenliste!$A$17:$Y$944,4,0)/E207,VLOOKUP($D195,Maschinenliste!$A$17:$Y$944,4,0))),VLOOKUP($D195,Maschinenliste!$A$17:$Y$944,4,0))</f>
        <v>#N/A</v>
      </c>
      <c r="E201" s="324" t="e">
        <f>IF(ISERROR(VLOOKUP($D195,Spez!$O$4:$O$56,1,0)),IF(C198="hectares","ares",IF(C198="heures (h)","",C198)),"charretées")</f>
        <v>#N/A</v>
      </c>
      <c r="F201" s="325" t="e">
        <f>IF(D205=0,"par heure","")</f>
        <v>#N/A</v>
      </c>
      <c r="G201" s="302"/>
      <c r="H201" s="246"/>
      <c r="I201" s="304"/>
      <c r="J201" s="838"/>
      <c r="K201" s="832" t="s">
        <v>512</v>
      </c>
      <c r="L201" s="323" t="e">
        <f>IF(ISERROR(VLOOKUP($L195,Spez!$D$48:$D$54,1,0)),IF(K198="heures (h)","",IF(ISERROR(VLOOKUP($L195,Spez!$N$4:$N$27,1,0)),VLOOKUP($L195,Maschinenliste!$A$17:$Y$944,4,0)/L207,VLOOKUP($L195,Maschinenliste!$A$17:$Y$944,4,0))),VLOOKUP($L195,Maschinenliste!$A$17:$Y$944,4,0))</f>
        <v>#N/A</v>
      </c>
      <c r="M201" s="324" t="e">
        <f>IF(ISERROR(VLOOKUP($L195,Spez!$O$4:$O$56,1,0)),IF(K198="hectares","ares",IF(K198="heures (h)","",K198)),"charretées")</f>
        <v>#N/A</v>
      </c>
      <c r="N201" s="325" t="e">
        <f>IF(L205=0,"par heure","")</f>
        <v>#N/A</v>
      </c>
      <c r="O201" s="6"/>
    </row>
    <row r="202" spans="1:15">
      <c r="A202" s="467"/>
      <c r="B202" s="6"/>
      <c r="C202" s="187"/>
      <c r="D202" s="326"/>
      <c r="E202" s="327"/>
      <c r="F202" s="294"/>
      <c r="G202" s="6"/>
      <c r="H202" s="246"/>
      <c r="I202" s="6"/>
      <c r="J202" s="6"/>
      <c r="K202" s="187"/>
      <c r="L202" s="326"/>
      <c r="M202" s="327"/>
      <c r="N202" s="294"/>
      <c r="O202" s="6"/>
    </row>
    <row r="203" spans="1:15">
      <c r="A203" s="467"/>
      <c r="B203" s="6"/>
      <c r="C203" s="328" t="s">
        <v>279</v>
      </c>
      <c r="D203" s="329" t="e">
        <f>VLOOKUP($D195,Maschinenliste!$A$17:$AE$959,4,0)</f>
        <v>#N/A</v>
      </c>
      <c r="E203" s="330" t="e">
        <f>IF(VLOOKUP($D195,Spez!$G$4:$G$15,1,0),"Umrechnung",0)</f>
        <v>#N/A</v>
      </c>
      <c r="F203" s="6"/>
      <c r="G203" s="6"/>
      <c r="H203" s="246"/>
      <c r="I203" s="6"/>
      <c r="J203" s="6"/>
      <c r="K203" s="328" t="s">
        <v>279</v>
      </c>
      <c r="L203" s="329" t="e">
        <f>VLOOKUP($L195,Maschinenliste!$A$17:$AE$959,4,0)</f>
        <v>#N/A</v>
      </c>
      <c r="M203" s="330" t="e">
        <f>IF(VLOOKUP($L195,Spez!$G$4:$G$15,1,0),"Umrechnung",0)</f>
        <v>#N/A</v>
      </c>
      <c r="N203" s="6"/>
      <c r="O203" s="6"/>
    </row>
    <row r="204" spans="1:15">
      <c r="A204" s="467"/>
      <c r="B204" s="6"/>
      <c r="C204" s="328" t="s">
        <v>132</v>
      </c>
      <c r="D204" s="839" t="e">
        <f>IF(ISERROR(VLOOKUP($D195,Spez!$D$4:$D$46,1,0)),D203*E207,D199)</f>
        <v>#N/A</v>
      </c>
      <c r="E204" s="331" t="s">
        <v>147</v>
      </c>
      <c r="F204" s="6"/>
      <c r="G204" s="6"/>
      <c r="H204" s="246"/>
      <c r="I204" s="6"/>
      <c r="J204" s="6"/>
      <c r="K204" s="328" t="s">
        <v>132</v>
      </c>
      <c r="L204" s="839" t="e">
        <f>IF(ISERROR(VLOOKUP($L195,Spez!$D$4:$D$46,1,0)),L203*L207,L199)</f>
        <v>#N/A</v>
      </c>
      <c r="M204" s="331" t="s">
        <v>147</v>
      </c>
      <c r="N204" s="6"/>
      <c r="O204" s="6"/>
    </row>
    <row r="205" spans="1:15">
      <c r="A205" s="467"/>
      <c r="B205" s="6"/>
      <c r="C205" s="187"/>
      <c r="D205" s="332" t="e">
        <f>IF(ISERROR(VLOOKUP($D195,Spez!$D$48:$D$60,1,0)),IF(C198="heures (h)",1,0),0)</f>
        <v>#N/A</v>
      </c>
      <c r="E205" s="840" t="e">
        <f>VLOOKUP(D195,Maschinenliste!$A$17:$AE$959,31,0)</f>
        <v>#N/A</v>
      </c>
      <c r="G205" s="6"/>
      <c r="H205" s="246"/>
      <c r="I205" s="6"/>
      <c r="J205" s="6"/>
      <c r="K205" s="187"/>
      <c r="L205" s="332" t="e">
        <f>IF(ISERROR(VLOOKUP($L195,Spez!$D$48:$D$60,1,0)),IF(K198="heures (h)",1,0),0)</f>
        <v>#N/A</v>
      </c>
      <c r="M205" s="840" t="e">
        <f>VLOOKUP(L195,Maschinenliste!$A$17:$AE$959,31,0)</f>
        <v>#N/A</v>
      </c>
      <c r="N205" s="6"/>
      <c r="O205" s="6"/>
    </row>
    <row r="206" spans="1:15" ht="13.5" thickBot="1">
      <c r="A206" s="467"/>
      <c r="B206" s="6"/>
      <c r="C206" s="6"/>
      <c r="D206" s="10"/>
      <c r="E206" s="6"/>
      <c r="F206" s="6"/>
      <c r="G206" s="6"/>
      <c r="H206" s="246"/>
      <c r="I206" s="6"/>
      <c r="J206" s="6"/>
      <c r="K206" s="6"/>
      <c r="L206" s="6"/>
      <c r="M206" s="6"/>
      <c r="N206" s="6"/>
      <c r="O206" s="6"/>
    </row>
    <row r="207" spans="1:15" ht="16.5" thickBot="1">
      <c r="A207" s="467"/>
      <c r="B207" s="6"/>
      <c r="C207" s="6"/>
      <c r="D207" s="6"/>
      <c r="E207" s="333">
        <f>IF(ISERROR(VLOOKUP($D195,Spez!$O$4:$O$45,1,0)),1,VLOOKUP($D195,Maschinenliste!$A$17:$AE$959,28,0))</f>
        <v>1</v>
      </c>
      <c r="F207" s="334" t="s">
        <v>513</v>
      </c>
      <c r="G207" s="335"/>
      <c r="H207" s="246"/>
      <c r="I207" s="6"/>
      <c r="J207" s="6"/>
      <c r="K207" s="6"/>
      <c r="L207" s="333">
        <f>IF(ISERROR(VLOOKUP($L195,Spez!$O$4:$O$45,1,0)),1,VLOOKUP($L195,Maschinenliste!$A$17:$AE$959,28,0))</f>
        <v>1</v>
      </c>
      <c r="M207" s="334" t="s">
        <v>513</v>
      </c>
      <c r="N207" s="336"/>
      <c r="O207" s="6"/>
    </row>
    <row r="208" spans="1:15" ht="13.5" thickBot="1">
      <c r="A208" s="467"/>
      <c r="B208" s="6"/>
      <c r="C208" s="6"/>
      <c r="D208" s="6"/>
      <c r="E208" s="6"/>
      <c r="F208" s="841" t="e">
        <f>IF(G247=0,"","données ont été modifiées")</f>
        <v>#N/A</v>
      </c>
      <c r="G208" s="6"/>
      <c r="H208" s="246"/>
      <c r="I208" s="6"/>
      <c r="J208" s="6"/>
      <c r="K208" s="6"/>
      <c r="L208" s="6"/>
      <c r="M208" s="841" t="e">
        <f>IF(N247=0,"","données ont été modifiées")</f>
        <v>#N/A</v>
      </c>
      <c r="N208" s="6"/>
      <c r="O208" s="6"/>
    </row>
    <row r="209" spans="1:15" ht="13.5" hidden="1" thickBot="1">
      <c r="A209" s="467"/>
      <c r="B209" s="6"/>
      <c r="C209" s="6"/>
      <c r="D209" s="6" t="s">
        <v>174</v>
      </c>
      <c r="E209" s="337" t="e">
        <f>IF(E205=1,"Eingabe","")</f>
        <v>#N/A</v>
      </c>
      <c r="F209" s="856">
        <v>1.79</v>
      </c>
      <c r="G209" s="191" t="s">
        <v>156</v>
      </c>
      <c r="H209" s="246"/>
      <c r="I209" s="6"/>
      <c r="J209" s="6"/>
      <c r="K209" s="6"/>
      <c r="L209" s="6" t="s">
        <v>174</v>
      </c>
      <c r="M209" s="843">
        <f>F209</f>
        <v>1.79</v>
      </c>
      <c r="N209" s="191" t="s">
        <v>156</v>
      </c>
      <c r="O209" s="6"/>
    </row>
    <row r="210" spans="1:15" ht="13.5" hidden="1" thickBot="1">
      <c r="A210" s="467"/>
      <c r="B210" s="6"/>
      <c r="C210" s="6"/>
      <c r="D210" s="6" t="s">
        <v>154</v>
      </c>
      <c r="E210" s="337" t="e">
        <f>IF(E205=2,"Eingabe","")</f>
        <v>#N/A</v>
      </c>
      <c r="F210" s="857">
        <v>1.6</v>
      </c>
      <c r="G210" s="189" t="s">
        <v>156</v>
      </c>
      <c r="H210" s="246"/>
      <c r="I210" s="6"/>
      <c r="J210" s="6"/>
      <c r="K210" s="6"/>
      <c r="L210" s="6" t="s">
        <v>154</v>
      </c>
      <c r="M210" s="858">
        <f>F210</f>
        <v>1.6</v>
      </c>
      <c r="N210" s="189" t="s">
        <v>156</v>
      </c>
      <c r="O210" s="6"/>
    </row>
    <row r="211" spans="1:15">
      <c r="A211" s="467"/>
      <c r="B211" s="181" t="s">
        <v>515</v>
      </c>
      <c r="C211" s="188" t="s">
        <v>516</v>
      </c>
      <c r="D211" s="338" t="s">
        <v>517</v>
      </c>
      <c r="E211" s="339"/>
      <c r="F211" s="226"/>
      <c r="G211" s="191"/>
      <c r="H211" s="246"/>
      <c r="I211" s="181" t="s">
        <v>515</v>
      </c>
      <c r="J211" s="188" t="s">
        <v>516</v>
      </c>
      <c r="K211" s="338" t="s">
        <v>517</v>
      </c>
      <c r="L211" s="339"/>
      <c r="M211" s="226"/>
      <c r="N211" s="191"/>
      <c r="O211" s="6"/>
    </row>
    <row r="212" spans="1:15">
      <c r="A212" s="467"/>
      <c r="B212" s="6" t="s">
        <v>518</v>
      </c>
      <c r="C212" s="6" t="s">
        <v>380</v>
      </c>
      <c r="D212" s="340" t="e">
        <f>VLOOKUP($D195,Maschinenliste!$A$17:$AE$959,5,0)</f>
        <v>#N/A</v>
      </c>
      <c r="E212" s="6"/>
      <c r="F212" s="233" t="e">
        <f>D212</f>
        <v>#N/A</v>
      </c>
      <c r="G212" s="189"/>
      <c r="H212" s="246"/>
      <c r="I212" s="6" t="s">
        <v>518</v>
      </c>
      <c r="J212" s="6" t="s">
        <v>380</v>
      </c>
      <c r="K212" s="340" t="e">
        <f>VLOOKUP($L195,Maschinenliste!$A$17:$AE$959,5,0)</f>
        <v>#N/A</v>
      </c>
      <c r="L212" s="6"/>
      <c r="M212" s="233" t="e">
        <f>K212</f>
        <v>#N/A</v>
      </c>
      <c r="N212" s="189"/>
      <c r="O212" s="6"/>
    </row>
    <row r="213" spans="1:15">
      <c r="A213" s="467"/>
      <c r="B213" s="6" t="s">
        <v>519</v>
      </c>
      <c r="C213" s="6"/>
      <c r="D213" s="340"/>
      <c r="E213" s="6"/>
      <c r="F213" s="240" t="s">
        <v>520</v>
      </c>
      <c r="G213" s="189"/>
      <c r="H213" s="246"/>
      <c r="I213" s="6" t="s">
        <v>519</v>
      </c>
      <c r="J213" s="6"/>
      <c r="K213" s="340"/>
      <c r="L213" s="6"/>
      <c r="M213" s="240" t="s">
        <v>520</v>
      </c>
      <c r="N213" s="189"/>
      <c r="O213" s="6"/>
    </row>
    <row r="214" spans="1:15">
      <c r="A214" s="467"/>
      <c r="B214" s="6" t="s">
        <v>521</v>
      </c>
      <c r="C214" s="6" t="s">
        <v>522</v>
      </c>
      <c r="D214" s="340" t="e">
        <f>VLOOKUP($D195,Maschinenliste!$A$17:$AE$959,10,0)</f>
        <v>#N/A</v>
      </c>
      <c r="E214" s="294" t="e">
        <f>$C198</f>
        <v>#N/A</v>
      </c>
      <c r="F214" s="234" t="e">
        <f>D214</f>
        <v>#N/A</v>
      </c>
      <c r="G214" s="189" t="e">
        <f>E214</f>
        <v>#N/A</v>
      </c>
      <c r="H214" s="246"/>
      <c r="I214" s="6" t="s">
        <v>521</v>
      </c>
      <c r="J214" s="6" t="s">
        <v>522</v>
      </c>
      <c r="K214" s="340" t="e">
        <f>VLOOKUP($L195,Maschinenliste!$A$17:$AE$959,10,0)</f>
        <v>#N/A</v>
      </c>
      <c r="L214" s="294" t="e">
        <f>$K198</f>
        <v>#N/A</v>
      </c>
      <c r="M214" s="234" t="e">
        <f>K214</f>
        <v>#N/A</v>
      </c>
      <c r="N214" s="189" t="e">
        <f>L214</f>
        <v>#N/A</v>
      </c>
      <c r="O214" s="6"/>
    </row>
    <row r="215" spans="1:15">
      <c r="A215" s="467"/>
      <c r="B215" s="6" t="s">
        <v>523</v>
      </c>
      <c r="C215" s="6" t="s">
        <v>524</v>
      </c>
      <c r="D215" s="340" t="e">
        <f>VLOOKUP($D195,Maschinenliste!$A$17:$AE$959,12,0)</f>
        <v>#N/A</v>
      </c>
      <c r="E215" s="6"/>
      <c r="F215" s="234" t="e">
        <f>D215</f>
        <v>#N/A</v>
      </c>
      <c r="G215" s="189"/>
      <c r="H215" s="246"/>
      <c r="I215" s="6" t="s">
        <v>523</v>
      </c>
      <c r="J215" s="6" t="s">
        <v>524</v>
      </c>
      <c r="K215" s="340" t="e">
        <f>VLOOKUP($L195,Maschinenliste!$A$17:$AE$959,12,0)</f>
        <v>#N/A</v>
      </c>
      <c r="L215" s="6"/>
      <c r="M215" s="234" t="e">
        <f>K215</f>
        <v>#N/A</v>
      </c>
      <c r="N215" s="189"/>
      <c r="O215" s="6"/>
    </row>
    <row r="216" spans="1:15">
      <c r="A216" s="467"/>
      <c r="B216" s="6" t="s">
        <v>525</v>
      </c>
      <c r="C216" s="6" t="s">
        <v>522</v>
      </c>
      <c r="D216" s="340" t="e">
        <f>VLOOKUP($D195,Maschinenliste!$A$17:$AE$959,13,0)</f>
        <v>#N/A</v>
      </c>
      <c r="E216" s="294" t="e">
        <f>C198</f>
        <v>#N/A</v>
      </c>
      <c r="F216" s="234" t="e">
        <f>D216</f>
        <v>#N/A</v>
      </c>
      <c r="G216" s="189" t="e">
        <f>E216</f>
        <v>#N/A</v>
      </c>
      <c r="H216" s="246"/>
      <c r="I216" s="6" t="s">
        <v>525</v>
      </c>
      <c r="J216" s="6" t="s">
        <v>522</v>
      </c>
      <c r="K216" s="340" t="e">
        <f>VLOOKUP($L195,Maschinenliste!$A$17:$AE$959,13,0)</f>
        <v>#N/A</v>
      </c>
      <c r="L216" s="294" t="e">
        <f>K198</f>
        <v>#N/A</v>
      </c>
      <c r="M216" s="234" t="e">
        <f>K216</f>
        <v>#N/A</v>
      </c>
      <c r="N216" s="189" t="e">
        <f>L216</f>
        <v>#N/A</v>
      </c>
      <c r="O216" s="6"/>
    </row>
    <row r="217" spans="1:15">
      <c r="A217" s="467"/>
      <c r="B217" s="6" t="s">
        <v>526</v>
      </c>
      <c r="C217" s="6" t="s">
        <v>382</v>
      </c>
      <c r="D217" s="341" t="e">
        <f>D214*D215/D216</f>
        <v>#N/A</v>
      </c>
      <c r="E217" s="342"/>
      <c r="F217" s="343" t="e">
        <f>IF(LEN(F219)&gt;0,"",F214*F215/F216)</f>
        <v>#N/A</v>
      </c>
      <c r="G217" s="189"/>
      <c r="H217" s="246"/>
      <c r="I217" s="6" t="s">
        <v>526</v>
      </c>
      <c r="J217" s="6" t="s">
        <v>382</v>
      </c>
      <c r="K217" s="341" t="e">
        <f>K214*K215/K216</f>
        <v>#N/A</v>
      </c>
      <c r="L217" s="342"/>
      <c r="M217" s="343" t="e">
        <f>IF(LEN(M219)&gt;0,"",M214*M215/M216)</f>
        <v>#N/A</v>
      </c>
      <c r="N217" s="189"/>
      <c r="O217" s="6"/>
    </row>
    <row r="218" spans="1:15">
      <c r="A218" s="467"/>
      <c r="B218" s="6" t="s">
        <v>501</v>
      </c>
      <c r="C218" s="6" t="s">
        <v>527</v>
      </c>
      <c r="D218" s="340" t="e">
        <f>VLOOKUP($D195,Maschinenliste!$A$17:$AE$959,14,0)</f>
        <v>#N/A</v>
      </c>
      <c r="E218" s="342"/>
      <c r="F218" s="344" t="e">
        <f>IF(LEN(F219)&gt;0,
"",
IF(ISERROR(VLOOKUP($D195,Spez!$B$4:$B$200,1,0)),IF(F217&gt;0,IF(F217&lt;Hypothèses!$C$82,Hypothèses!$B$82,IF(AND(F217&gt;=Hypothèses!$C$82,F217&lt;Hypothèses!$C$81),Hypothèses!$B$81,IF(AND(F217&gt;=Hypothèses!$C$81,F217&lt;Hypothèses!$C$80),Hypothèses!$B$80,IF(AND(F217&gt;=Hypothèses!$C$80,F217&lt;Hypothèses!$C$79),Hypothèses!$B$79,IF(AND(F217&gt;=Hypothèses!$C$79,F217&lt;Hypothèses!$C$78),Hypothèses!$B$78,0))))),""),0))</f>
        <v>#N/A</v>
      </c>
      <c r="G218" s="189"/>
      <c r="H218" s="246"/>
      <c r="I218" s="6" t="s">
        <v>501</v>
      </c>
      <c r="J218" s="6" t="s">
        <v>527</v>
      </c>
      <c r="K218" s="340" t="e">
        <f>VLOOKUP($L195,Maschinenliste!$A$17:$AE$959,14,0)</f>
        <v>#N/A</v>
      </c>
      <c r="L218" s="342"/>
      <c r="M218" s="344" t="e">
        <f>IF(LEN(M219)&gt;0,
"",
IF(ISERROR(VLOOKUP($L195,Spez!$B$4:$B$200,1,0)),IF(M217&gt;0,IF(M217&lt;Hypothèses!$C$82,Hypothèses!$B$82,IF(AND(M217&gt;=Hypothèses!$C$82,M217&lt;Hypothèses!$C$81),Hypothèses!$B$81,IF(AND(M217&gt;=Hypothèses!$C$81,M217&lt;Hypothèses!$C$80),Hypothèses!$B$80,IF(AND(M217&gt;=Hypothèses!$C$80,M217&lt;Hypothèses!$C$79),Hypothèses!$B$79,IF(AND(M217&gt;=Hypothèses!$C$79,M217&lt;Hypothèses!$C$78),Hypothèses!$B$78,0))))),""),0))</f>
        <v>#N/A</v>
      </c>
      <c r="N218" s="189"/>
      <c r="O218" s="6"/>
    </row>
    <row r="219" spans="1:15" ht="15">
      <c r="A219" s="467"/>
      <c r="B219" s="6" t="s">
        <v>528</v>
      </c>
      <c r="C219" s="6" t="s">
        <v>380</v>
      </c>
      <c r="D219" s="200"/>
      <c r="E219" s="345"/>
      <c r="F219" s="234"/>
      <c r="G219" s="189"/>
      <c r="H219" s="246"/>
      <c r="I219" s="6" t="s">
        <v>528</v>
      </c>
      <c r="J219" s="6" t="s">
        <v>380</v>
      </c>
      <c r="K219" s="200"/>
      <c r="L219" s="345"/>
      <c r="M219" s="234"/>
      <c r="N219" s="189"/>
      <c r="O219" s="6"/>
    </row>
    <row r="220" spans="1:15">
      <c r="A220" s="467"/>
      <c r="B220" s="6" t="s">
        <v>529</v>
      </c>
      <c r="C220" s="6" t="s">
        <v>382</v>
      </c>
      <c r="D220" s="340" t="e">
        <f>VLOOKUP($D195,Maschinenliste!$A$17:$AE$959,11,0)</f>
        <v>#N/A</v>
      </c>
      <c r="E220" s="6"/>
      <c r="F220" s="234" t="e">
        <f>D220</f>
        <v>#N/A</v>
      </c>
      <c r="G220" s="346" t="e">
        <f>IF(E205=0,"",IF(E205=1,$D204*F220*Hypothèses!$C$25,IF(OR(E205=2,E205=3),$D204*F220*Hypothèses!$C$26,"")))</f>
        <v>#N/A</v>
      </c>
      <c r="H220" s="347"/>
      <c r="I220" s="6" t="s">
        <v>529</v>
      </c>
      <c r="J220" s="6" t="s">
        <v>382</v>
      </c>
      <c r="K220" s="340" t="e">
        <f>VLOOKUP($L195,Maschinenliste!$A$17:$AE$959,11,0)</f>
        <v>#N/A</v>
      </c>
      <c r="L220" s="6"/>
      <c r="M220" s="234" t="e">
        <f>K220</f>
        <v>#N/A</v>
      </c>
      <c r="N220" s="346" t="e">
        <f>IF(M205=0,"",IF(M205=1,$L204*M220*Hypothèses!$C$25,IF(OR(M205=2,M205=3),$L204*M220*Hypothèses!$C$26,"")))</f>
        <v>#N/A</v>
      </c>
      <c r="O220" s="6"/>
    </row>
    <row r="221" spans="1:15">
      <c r="A221" s="467"/>
      <c r="B221" s="6" t="s">
        <v>530</v>
      </c>
      <c r="C221" s="6" t="s">
        <v>527</v>
      </c>
      <c r="D221" s="340" t="e">
        <f>VLOOKUP($D195,Maschinenliste!$A$17:$AE$959,15,0)</f>
        <v>#N/A</v>
      </c>
      <c r="E221" s="6"/>
      <c r="F221" s="234" t="e">
        <f>D221</f>
        <v>#N/A</v>
      </c>
      <c r="G221" s="846" t="e">
        <f>(F214*G233)</f>
        <v>#N/A</v>
      </c>
      <c r="H221" s="246"/>
      <c r="I221" s="6" t="s">
        <v>530</v>
      </c>
      <c r="J221" s="6" t="s">
        <v>527</v>
      </c>
      <c r="K221" s="340" t="e">
        <f>VLOOKUP($L195,Maschinenliste!$A$17:$AE$959,15,0)</f>
        <v>#N/A</v>
      </c>
      <c r="L221" s="6"/>
      <c r="M221" s="234" t="e">
        <f>K221</f>
        <v>#N/A</v>
      </c>
      <c r="N221" s="846" t="e">
        <f>(M214*N233)</f>
        <v>#N/A</v>
      </c>
      <c r="O221" s="6"/>
    </row>
    <row r="222" spans="1:15">
      <c r="A222" s="467"/>
      <c r="B222" s="6" t="s">
        <v>531</v>
      </c>
      <c r="C222" s="6" t="s">
        <v>383</v>
      </c>
      <c r="D222" s="340" t="e">
        <f>VLOOKUP($D195,Maschinenliste!$A$17:$AE$959,16,0)</f>
        <v>#N/A</v>
      </c>
      <c r="E222" s="6"/>
      <c r="F222" s="234" t="e">
        <f>D222</f>
        <v>#N/A</v>
      </c>
      <c r="G222" s="189"/>
      <c r="H222" s="246"/>
      <c r="I222" s="6" t="s">
        <v>531</v>
      </c>
      <c r="J222" s="6" t="s">
        <v>383</v>
      </c>
      <c r="K222" s="340" t="e">
        <f>VLOOKUP($L195,Maschinenliste!$A$17:$AE$959,16,0)</f>
        <v>#N/A</v>
      </c>
      <c r="L222" s="6"/>
      <c r="M222" s="234" t="e">
        <f>K222</f>
        <v>#N/A</v>
      </c>
      <c r="N222" s="189"/>
      <c r="O222" s="6"/>
    </row>
    <row r="223" spans="1:15">
      <c r="A223" s="467"/>
      <c r="B223" s="6" t="s">
        <v>532</v>
      </c>
      <c r="C223" s="6" t="s">
        <v>382</v>
      </c>
      <c r="D223" s="341">
        <v>0.1</v>
      </c>
      <c r="E223" s="6"/>
      <c r="F223" s="235">
        <f>D223</f>
        <v>0.1</v>
      </c>
      <c r="G223" s="189"/>
      <c r="H223" s="246"/>
      <c r="I223" s="6" t="s">
        <v>532</v>
      </c>
      <c r="J223" s="6" t="s">
        <v>382</v>
      </c>
      <c r="K223" s="341">
        <v>0.1</v>
      </c>
      <c r="L223" s="6"/>
      <c r="M223" s="235">
        <f>K223</f>
        <v>0.1</v>
      </c>
      <c r="N223" s="189"/>
      <c r="O223" s="6"/>
    </row>
    <row r="224" spans="1:15">
      <c r="A224" s="467"/>
      <c r="B224" s="6" t="s">
        <v>533</v>
      </c>
      <c r="C224" s="6"/>
      <c r="D224" s="341">
        <v>0</v>
      </c>
      <c r="E224" s="6"/>
      <c r="F224" s="235">
        <f>D224</f>
        <v>0</v>
      </c>
      <c r="G224" s="189"/>
      <c r="H224" s="246"/>
      <c r="I224" s="6" t="s">
        <v>533</v>
      </c>
      <c r="J224" s="6"/>
      <c r="K224" s="341">
        <v>0</v>
      </c>
      <c r="L224" s="6"/>
      <c r="M224" s="235">
        <f>K224</f>
        <v>0</v>
      </c>
      <c r="N224" s="189"/>
      <c r="O224" s="6"/>
    </row>
    <row r="225" spans="1:15">
      <c r="A225" s="467"/>
      <c r="B225" s="6"/>
      <c r="C225" s="6"/>
      <c r="D225" s="190"/>
      <c r="E225" s="6"/>
      <c r="F225" s="190"/>
      <c r="G225" s="348"/>
      <c r="H225" s="246"/>
      <c r="I225" s="6"/>
      <c r="J225" s="6"/>
      <c r="K225" s="190"/>
      <c r="L225" s="6"/>
      <c r="M225" s="190"/>
      <c r="N225" s="348"/>
      <c r="O225" s="6"/>
    </row>
    <row r="226" spans="1:15">
      <c r="A226" s="467"/>
      <c r="B226" s="188" t="s">
        <v>534</v>
      </c>
      <c r="C226" s="349"/>
      <c r="D226" s="622" t="s">
        <v>535</v>
      </c>
      <c r="E226" s="623"/>
      <c r="F226" s="622" t="s">
        <v>535</v>
      </c>
      <c r="G226" s="621" t="s">
        <v>536</v>
      </c>
      <c r="H226" s="246"/>
      <c r="I226" s="188" t="s">
        <v>534</v>
      </c>
      <c r="J226" s="349"/>
      <c r="K226" s="622" t="s">
        <v>535</v>
      </c>
      <c r="L226" s="623"/>
      <c r="M226" s="622" t="s">
        <v>535</v>
      </c>
      <c r="N226" s="621" t="s">
        <v>536</v>
      </c>
      <c r="O226" s="6"/>
    </row>
    <row r="227" spans="1:15">
      <c r="A227" s="467"/>
      <c r="B227" s="6" t="s">
        <v>537</v>
      </c>
      <c r="C227" s="6"/>
      <c r="D227" s="847" t="e">
        <f>(D212-(D212*D218))/D215</f>
        <v>#N/A</v>
      </c>
      <c r="E227" s="6"/>
      <c r="F227" s="847" t="e">
        <f>IF(LEN(F219)&gt;0,(F212-F219)/F215,(F212-(F212*F218))/F215)</f>
        <v>#N/A</v>
      </c>
      <c r="G227" s="189"/>
      <c r="H227" s="246"/>
      <c r="I227" s="6" t="s">
        <v>537</v>
      </c>
      <c r="J227" s="6"/>
      <c r="K227" s="847" t="e">
        <f>(K212-(K212*K218))/K215</f>
        <v>#N/A</v>
      </c>
      <c r="L227" s="6"/>
      <c r="M227" s="847" t="e">
        <f>IF(LEN(M219)&gt;0,(M212-M219)/M215,(M212-(M212*M218))/M215)</f>
        <v>#N/A</v>
      </c>
      <c r="N227" s="189"/>
      <c r="O227" s="6"/>
    </row>
    <row r="228" spans="1:15">
      <c r="A228" s="467"/>
      <c r="B228" s="6" t="s">
        <v>538</v>
      </c>
      <c r="C228" s="6"/>
      <c r="D228" s="847" t="e">
        <f>(D212-(D218*D212))*Hypothèses!$C$13/100*0.6+(D218*D212*Hypothèses!$C$13/100)</f>
        <v>#N/A</v>
      </c>
      <c r="E228" s="6"/>
      <c r="F228" s="847" t="e">
        <f>IF(LEN(F219)&gt;0,(F212-F219)*Hypothèses!$C$13/100*0.6+(F219*Hypothèses!$C$13/100),(F212-(F218*F212))*Hypothèses!$C$13/100*0.6+(F218*F212*Hypothèses!$C$13/100))</f>
        <v>#N/A</v>
      </c>
      <c r="G228" s="189"/>
      <c r="H228" s="246"/>
      <c r="I228" s="6" t="s">
        <v>538</v>
      </c>
      <c r="J228" s="6"/>
      <c r="K228" s="847" t="e">
        <f>(K212-(K218*K212))*Hypothèses!$C$13/100*0.6+(K218*K212*Hypothèses!$C$13/100)</f>
        <v>#N/A</v>
      </c>
      <c r="L228" s="6"/>
      <c r="M228" s="847" t="e">
        <f>IF(LEN(M219)&gt;0,(M212-M219)*Hypothèses!$C$13/100*0.6+(M219*Hypothèses!$C$13/100),(M212-(M218*M212))*Hypothèses!$C$13/100*0.6+(M218*M212*Hypothèses!$C$13/100))</f>
        <v>#N/A</v>
      </c>
      <c r="N228" s="189"/>
      <c r="O228" s="6"/>
    </row>
    <row r="229" spans="1:15">
      <c r="A229" s="467"/>
      <c r="B229" s="6" t="s">
        <v>539</v>
      </c>
      <c r="C229" s="6"/>
      <c r="D229" s="847" t="e">
        <f>IF(ISERROR(VLOOKUP($D195,Spez!$K$4:$K$200,1,0)),IF((VLOOKUP($D195,Maschinenliste!$A$17:$AE$959,31,0)&gt;0),D222*Hypothèses!$C$17,D222*Hypothèses!$C$18),D222*Hypothèses!$C$18)</f>
        <v>#N/A</v>
      </c>
      <c r="E229" s="6"/>
      <c r="F229" s="847" t="e">
        <f>IF(ISERROR(VLOOKUP($D195,Spez!$K$4:$K$200,1,0)),IF((VLOOKUP($D195,Maschinenliste!$A$17:$AE$959,31,0)&gt;0),F222*Hypothèses!$C$17,F222*Hypothèses!$C$18),F222*Hypothèses!$C$18)</f>
        <v>#N/A</v>
      </c>
      <c r="G229" s="189"/>
      <c r="H229" s="246"/>
      <c r="I229" s="6" t="s">
        <v>539</v>
      </c>
      <c r="J229" s="6"/>
      <c r="K229" s="847" t="e">
        <f>IF(ISERROR(VLOOKUP($L195,Spez!$K$4:$K$200,1,0)),IF((VLOOKUP($L195,Maschinenliste!$A$17:$AE$959,31,0)&gt;0),K222*Hypothèses!$C$17,K222*Hypothèses!$C$18),K222*Hypothèses!$C$18)</f>
        <v>#N/A</v>
      </c>
      <c r="L229" s="6"/>
      <c r="M229" s="847" t="e">
        <f>IF(ISERROR(VLOOKUP($L195,Spez!$K$4:$K$200,1,0)),IF((VLOOKUP($L195,Maschinenliste!$A$17:$AE$959,31,0)&gt;0),M222*Hypothèses!$C$17,M222*Hypothèses!$C$18),M222*Hypothèses!$C$18)</f>
        <v>#N/A</v>
      </c>
      <c r="N229" s="189"/>
      <c r="O229" s="6"/>
    </row>
    <row r="230" spans="1:15">
      <c r="A230" s="467"/>
      <c r="B230" s="186" t="s">
        <v>540</v>
      </c>
      <c r="C230" s="186"/>
      <c r="D230" s="847" t="e">
        <f>VLOOKUP($D195,Maschinenliste!$A$17:$AE$959,29,0)</f>
        <v>#N/A</v>
      </c>
      <c r="E230" s="6"/>
      <c r="F230" s="848" t="e">
        <f>D230</f>
        <v>#N/A</v>
      </c>
      <c r="G230" s="189"/>
      <c r="H230" s="246"/>
      <c r="I230" s="186" t="s">
        <v>540</v>
      </c>
      <c r="J230" s="186"/>
      <c r="K230" s="847" t="e">
        <f>VLOOKUP($L195,Maschinenliste!$A$17:$AE$959,29,0)</f>
        <v>#N/A</v>
      </c>
      <c r="L230" s="6"/>
      <c r="M230" s="848" t="e">
        <f>K230</f>
        <v>#N/A</v>
      </c>
      <c r="N230" s="189"/>
      <c r="O230" s="6"/>
    </row>
    <row r="231" spans="1:15" ht="13.5" thickBot="1">
      <c r="A231" s="467"/>
      <c r="B231" s="353" t="s">
        <v>541</v>
      </c>
      <c r="C231" s="6"/>
      <c r="D231" s="354" t="e">
        <f>SUM(D227:D230)</f>
        <v>#N/A</v>
      </c>
      <c r="E231" s="355" t="e">
        <f>D231/D214</f>
        <v>#N/A</v>
      </c>
      <c r="F231" s="354" t="e">
        <f>SUM(F227:F230)</f>
        <v>#N/A</v>
      </c>
      <c r="G231" s="356" t="e">
        <f>F231/F214</f>
        <v>#N/A</v>
      </c>
      <c r="H231" s="247"/>
      <c r="I231" s="353" t="s">
        <v>541</v>
      </c>
      <c r="J231" s="6"/>
      <c r="K231" s="354" t="e">
        <f>SUM(K227:K230)</f>
        <v>#N/A</v>
      </c>
      <c r="L231" s="355" t="e">
        <f>K231/K214</f>
        <v>#N/A</v>
      </c>
      <c r="M231" s="354" t="e">
        <f>SUM(M227:M230)</f>
        <v>#N/A</v>
      </c>
      <c r="N231" s="356" t="e">
        <f>M231/M214</f>
        <v>#N/A</v>
      </c>
      <c r="O231" s="6"/>
    </row>
    <row r="232" spans="1:15" ht="13.5" thickTop="1">
      <c r="A232" s="467"/>
      <c r="B232" s="6"/>
      <c r="C232" s="6"/>
      <c r="D232" s="357"/>
      <c r="E232" s="358"/>
      <c r="F232" s="357"/>
      <c r="G232" s="359"/>
      <c r="H232" s="247"/>
      <c r="I232" s="6"/>
      <c r="J232" s="6"/>
      <c r="K232" s="357"/>
      <c r="L232" s="358"/>
      <c r="M232" s="357"/>
      <c r="N232" s="359"/>
      <c r="O232" s="6"/>
    </row>
    <row r="233" spans="1:15" ht="13.5" customHeight="1">
      <c r="A233" s="467"/>
      <c r="B233" s="849" t="s">
        <v>542</v>
      </c>
      <c r="C233" s="6"/>
      <c r="D233" s="190"/>
      <c r="E233" s="358" t="e">
        <f>$D212/$D216*D221</f>
        <v>#N/A</v>
      </c>
      <c r="F233" s="190"/>
      <c r="G233" s="359" t="e">
        <f>IF(F213="Occasion",$D212/$D216*F221,F212/F216*F221)</f>
        <v>#N/A</v>
      </c>
      <c r="H233" s="247"/>
      <c r="I233" s="849" t="s">
        <v>542</v>
      </c>
      <c r="J233" s="6"/>
      <c r="K233" s="190"/>
      <c r="L233" s="358" t="e">
        <f>$K212/$K216*K221</f>
        <v>#N/A</v>
      </c>
      <c r="M233" s="190"/>
      <c r="N233" s="359" t="e">
        <f>IF(M213="Occasion",$K212/$K216*M221,M212/M216*M221)</f>
        <v>#N/A</v>
      </c>
      <c r="O233" s="6"/>
    </row>
    <row r="234" spans="1:15">
      <c r="A234" s="467"/>
      <c r="B234" s="849" t="s">
        <v>543</v>
      </c>
      <c r="C234" s="6"/>
      <c r="D234" s="190"/>
      <c r="E234" s="358" t="e">
        <f>IF(ISERROR(VLOOKUP($D195,Spez!$E$4:$E$36,1,0)),
IF(ISERROR(VLOOKUP($D195,Spez!$H$4:$H$36,1,0)),
IF(ISERROR(VLOOKUP($D195,Spez!$G$4:$G$36,1,0)),
IF($E205=0,0,
IF($E205=1,$D204*Hypothèses!$C$25*D220*Hypothèses!$C$22,
IF($E205=2,$D204*Hypothèses!$C$26*D220*Hypothèses!$C$23,
IF($E205=3,$D204*Hypothèses!$C$26*D220*Hypothèses!$C$24,
IF($E205=4,Hypothèses!$C$34,
IF($E205=5,$D204*D220/100*Hypothèses!C222,"?")))))),
IF($E205=1,$D204*Hypothèses!$C$25*D220*Hypothèses!$C$22/$D203*100,
IF($E205=2,$D204*Hypothèses!$C$26*D220*Hypothèses!$C$23/$D203*100))),
$D204*Hypothèses!$C$25*D220*Hypothèses!$C$22/$D203),IF($E205=1,($D204*Hypothèses!$C$25*D220*Hypothèses!$C$22)+($D204*Hypothèses!$C$25*D220*Hypothèses!$C$27*Hypothèses!$C$37)))</f>
        <v>#N/A</v>
      </c>
      <c r="F234" s="190"/>
      <c r="G234" s="850" t="e">
        <f>IF(ISERROR(VLOOKUP($D195,Spez!$E$4:$E$36,1,0)),
IF(ISERROR(VLOOKUP($D195,Spez!$H$4:$H$36,1,0)),
IF(ISERROR(VLOOKUP($D195,Spez!$G$4:$G$36,1,0)),
IF($E205=0,0,IF($E205=1,$D204*Hypothèses!$C$25*F220*$F$23,
IF($E205=2,$D204*Hypothèses!$C$26*F220*$F$24,
IF($E205=3,$D204*Hypothèses!$C$26*F220*Hypothèses!$C$24,
IF($E205=4,Hypothèses!$C$34,
IF($E205=5,$D204*F220/100*Hypothèses!C222,"?")))))),
IF($E205=1,$D204*Hypothèses!$C$25*F220*$F$23/$D203*100,
IF($E205=2,$D204*Hypothèses!$C$26*F220*$F$24/$D203*100))),$D204*Hypothèses!$C$25*F220*$F$23/$D203),IF($E205=1,($D204*Hypothèses!$C$25*F220*$F$23)+($D204*Hypothèses!$C$25*F220*Hypothèses!$C$27*Hypothèses!$C$37)))</f>
        <v>#N/A</v>
      </c>
      <c r="H234" s="247"/>
      <c r="I234" s="849" t="s">
        <v>543</v>
      </c>
      <c r="J234" s="6"/>
      <c r="K234" s="190"/>
      <c r="L234" s="358" t="e">
        <f>IF(ISERROR(VLOOKUP($L195,Spez!$E$4:$E$36,1,0)),
IF(ISERROR(VLOOKUP($L195,Spez!$H$4:$H$36,1,0)),
IF(ISERROR(VLOOKUP($L195,Spez!$G$4:$G$36,1,0)),
IF($M205=0,0,
IF($M205=1,$L204*Hypothèses!$C$25*K220*Hypothèses!$C$22,
IF($M205=2,$L204*Hypothèses!$C$26*K220*Hypothèses!$C$23,
IF($M205=3,$L204*Hypothèses!$C$26*K220*Hypothèses!$C$24,
IF($M205=4,Hypothèses!$C$34,
IF($M205=5,$L204*K220/100*Hypothèses!C222,"?")))))),
IF($M205=1,$L204*Hypothèses!$C$25*K220*Hypothèses!$C$22/$L203*100,
IF($M205=2,$L204*Hypothèses!$C$26*K220*Hypothèses!$C$23/$L203*100))),
$L204*Hypothèses!$C$25*K220*Hypothèses!$C$22/$D203),IF($M205=1,($L204*Hypothèses!$C$25*K220*Hypothèses!$C$22)+($L204*Hypothèses!$C$25*K220*Hypothèses!$C$27*Hypothèses!$C$37)))</f>
        <v>#N/A</v>
      </c>
      <c r="M234" s="190"/>
      <c r="N234" s="850" t="e">
        <f>IF(ISERROR(VLOOKUP($L195,Spez!$E$4:$E$36,1,0)),
IF(ISERROR(VLOOKUP($L195,Spez!$H$4:$H$36,1,0)),
IF(ISERROR(VLOOKUP($L195,Spez!$G$4:$G$36,1,0)),
IF($M205=0,0,
IF($M205=1,$L204*Hypothèses!$C$25*M220*$F$23,
IF($M205=2,$L204*Hypothèses!$C$26*M220*$F$24,
IF($M205=3,$L204*Hypothèses!$C$26*M220*Hypothèses!$C$24,
IF($M205=4,Hypothèses!$C$34,
IF($M205=5,$L204*M220/100*Hypothèses!C222,"?")))))),
IF($M205=1,$L204*Hypothèses!$C$25*M220*$F$23/$L203*100,
IF($M205=2,$L204*Hypothèses!$C$26*M220*$F$24/$L203*100))),$L204*Hypothèses!$C$25*M220*$F$23/$L203),IF($M205=1,($L204*Hypothèses!$C$25*M220*$F$23)+($L204*Hypothèses!$C$25*M220*Hypothèses!$C$27*Hypothèses!$C$37)))</f>
        <v>#N/A</v>
      </c>
      <c r="O234" s="6"/>
    </row>
    <row r="235" spans="1:15">
      <c r="A235" s="467"/>
      <c r="B235" s="849" t="s">
        <v>544</v>
      </c>
      <c r="C235" s="6"/>
      <c r="D235" s="190"/>
      <c r="E235" s="358" t="e">
        <f>IF(ISERROR(VLOOKUP($D195,Spez!$M$4:$M$19,1,0)),IF(VLOOKUP($D195,Maschinenliste!$A$17:$AE$959,31,0)=0,VLOOKUP($D195,Maschinenliste!$A$17:$AE$959,23,0),0),VLOOKUP($D195,Hypothèses!$B$31:$C$35,2,0))</f>
        <v>#N/A</v>
      </c>
      <c r="F235" s="190"/>
      <c r="G235" s="851" t="e">
        <f>E235</f>
        <v>#N/A</v>
      </c>
      <c r="H235" s="247"/>
      <c r="I235" s="849" t="s">
        <v>544</v>
      </c>
      <c r="J235" s="6"/>
      <c r="K235" s="190"/>
      <c r="L235" s="358" t="e">
        <f>IF(ISERROR(VLOOKUP($L195,Spez!$M$4:$M$19,1,0)),IF(VLOOKUP($L195,Maschinenliste!$A$17:$AE$959,31,0)=0,VLOOKUP($L195,Maschinenliste!$A$17:$AE$959,23,0),0),VLOOKUP($D195,Hypothèses!$B$31:$C$35,2,0))</f>
        <v>#N/A</v>
      </c>
      <c r="M235" s="190"/>
      <c r="N235" s="851" t="e">
        <f>L235</f>
        <v>#N/A</v>
      </c>
      <c r="O235" s="6"/>
    </row>
    <row r="236" spans="1:15" ht="13.5" thickBot="1">
      <c r="A236" s="467"/>
      <c r="B236" s="360" t="s">
        <v>545</v>
      </c>
      <c r="C236" s="6"/>
      <c r="D236" s="190"/>
      <c r="E236" s="355" t="e">
        <f>SUM(E233:E235)</f>
        <v>#N/A</v>
      </c>
      <c r="F236" s="190"/>
      <c r="G236" s="356" t="e">
        <f>SUM(G233:G235)</f>
        <v>#N/A</v>
      </c>
      <c r="H236" s="247"/>
      <c r="I236" s="360" t="s">
        <v>545</v>
      </c>
      <c r="J236" s="6"/>
      <c r="K236" s="190"/>
      <c r="L236" s="355" t="e">
        <f>SUM(L233:L235)</f>
        <v>#N/A</v>
      </c>
      <c r="M236" s="190"/>
      <c r="N236" s="356" t="e">
        <f>SUM(N233:N235)</f>
        <v>#N/A</v>
      </c>
      <c r="O236" s="6"/>
    </row>
    <row r="237" spans="1:15" ht="13.5" thickTop="1">
      <c r="A237" s="467"/>
      <c r="B237" s="6"/>
      <c r="C237" s="6"/>
      <c r="D237" s="190"/>
      <c r="E237" s="6"/>
      <c r="F237" s="190"/>
      <c r="G237" s="189"/>
      <c r="H237" s="246"/>
      <c r="I237" s="6"/>
      <c r="J237" s="6"/>
      <c r="K237" s="190"/>
      <c r="L237" s="6"/>
      <c r="M237" s="190"/>
      <c r="N237" s="189"/>
      <c r="O237" s="6"/>
    </row>
    <row r="238" spans="1:15">
      <c r="A238" s="467"/>
      <c r="B238" s="6" t="s">
        <v>546</v>
      </c>
      <c r="C238" s="6"/>
      <c r="D238" s="859" t="str">
        <f>IF(ISERROR(VLOOKUP($D195,Spez!$I$4:$I$14,1,0)),"","par charretée")</f>
        <v/>
      </c>
      <c r="E238" s="362" t="e">
        <f>IF(ISERROR(VLOOKUP($D195,Spez!$I$4:$I$14,1,0)),E231+E236,(E231+E236)*VLOOKUP($D195,Maschinenliste!$A$17:$AE$959,28,0))</f>
        <v>#N/A</v>
      </c>
      <c r="F238" s="859" t="str">
        <f>IF(ISERROR(VLOOKUP($D195,Spez!$I$4:$I$14,1,0)),"","par charretée")</f>
        <v/>
      </c>
      <c r="G238" s="363" t="e">
        <f>IF(ISERROR(VLOOKUP($D195,Spez!$I$4:$I$14,1,0)),G231+G236,(G231+G236)*VLOOKUP($D195,Maschinenliste!$A$17:$AE$959,28,0))</f>
        <v>#N/A</v>
      </c>
      <c r="H238" s="247"/>
      <c r="I238" s="6" t="s">
        <v>546</v>
      </c>
      <c r="J238" s="6"/>
      <c r="K238" s="859" t="str">
        <f>IF(ISERROR(VLOOKUP($L195,Spez!$I$4:$I$14,1,0)),"","par charretée")</f>
        <v/>
      </c>
      <c r="L238" s="362" t="e">
        <f>IF(ISERROR(VLOOKUP($L195,Spez!$I$4:$I$14,1,0)),L231+L236,(L231+L236)*VLOOKUP($L195,Maschinenliste!$A$17:$AE$959,28,0))</f>
        <v>#N/A</v>
      </c>
      <c r="M238" s="859" t="str">
        <f>IF(ISERROR(VLOOKUP($L195,Spez!$I$4:$I$14,1,0)),"","par charretée")</f>
        <v/>
      </c>
      <c r="N238" s="363" t="e">
        <f>IF(ISERROR(VLOOKUP($L195,Spez!$I$4:$I$14,1,0)),N231+N236,(N231+N236)*VLOOKUP($L195,Maschinenliste!$A$17:$AE$959,28,0))</f>
        <v>#N/A</v>
      </c>
      <c r="O238" s="6"/>
    </row>
    <row r="239" spans="1:15" ht="13.5" thickBot="1">
      <c r="A239" s="467"/>
      <c r="B239" s="6" t="s">
        <v>547</v>
      </c>
      <c r="C239" s="6"/>
      <c r="D239" s="860" t="str">
        <f>IF(ISERROR(VLOOKUP($D195,Spez!$I$4:$I$14,1,0)),"","par charretée")</f>
        <v/>
      </c>
      <c r="E239" s="364" t="e">
        <f>E238*(1+D223+D224)</f>
        <v>#N/A</v>
      </c>
      <c r="F239" s="860" t="str">
        <f>IF(ISERROR(VLOOKUP($D195,Spez!$I$4:$I$14,1,0)),"","par charretée")</f>
        <v/>
      </c>
      <c r="G239" s="365" t="e">
        <f>G238*(1+F223+F224)</f>
        <v>#N/A</v>
      </c>
      <c r="H239" s="248"/>
      <c r="I239" s="6" t="s">
        <v>547</v>
      </c>
      <c r="J239" s="6"/>
      <c r="K239" s="860" t="str">
        <f>IF(ISERROR(VLOOKUP($L195,Spez!$I$4:$I$14,1,0)),"","par charretée")</f>
        <v/>
      </c>
      <c r="L239" s="364" t="e">
        <f>L238*(1+K223+K224)</f>
        <v>#N/A</v>
      </c>
      <c r="M239" s="860" t="str">
        <f>IF(ISERROR(VLOOKUP($L195,Spez!$I$4:$I$14,1,0)),"","par charretée")</f>
        <v/>
      </c>
      <c r="N239" s="365" t="e">
        <f>N238*(1+M223+M224)</f>
        <v>#N/A</v>
      </c>
      <c r="O239" s="6"/>
    </row>
    <row r="240" spans="1:15">
      <c r="A240" s="467"/>
      <c r="B240" s="6"/>
      <c r="C240" s="6"/>
      <c r="D240" s="327" t="str">
        <f>IF(ISERROR(VLOOKUP($D195,Spez!$P$4:$P$30,1,0)),"","Fr. par charretée")</f>
        <v/>
      </c>
      <c r="E240" s="366" t="str">
        <f>IF(ISERROR(VLOOKUP($D195,Spez!$P$4:$P$30,1,0)),"",E239*VLOOKUP($D195,Maschinenliste!$A$17:$AE$959,28,0))</f>
        <v/>
      </c>
      <c r="F240" s="367" t="str">
        <f>IF(ISERROR(VLOOKUP($D195,Spez!$P$4:$P$30,1,0)),"","Fr. par charretée")</f>
        <v/>
      </c>
      <c r="G240" s="366" t="str">
        <f>IF(ISERROR(VLOOKUP($D195,Spez!$P$4:$P$30,1,0)),"",G239*VLOOKUP($D195,Maschinenliste!$A$17:$AE$959,28,0))</f>
        <v/>
      </c>
      <c r="H240" s="248"/>
      <c r="I240" s="6"/>
      <c r="J240" s="6"/>
      <c r="K240" s="327" t="str">
        <f>IF(ISERROR(VLOOKUP($L195,Spez!$P$4:$P$30,1,0)),"","Fr. par charretée")</f>
        <v/>
      </c>
      <c r="L240" s="366" t="str">
        <f>IF(ISERROR(VLOOKUP($L195,Spez!$P$4:$P$30,1,0)),"",L239*VLOOKUP($L195,Maschinenliste!$A$17:$AE$959,28,0))</f>
        <v/>
      </c>
      <c r="M240" s="367" t="str">
        <f>IF(ISERROR(VLOOKUP($L195,Spez!$P$4:$P$30,1,0)),"","Fr. par charretée")</f>
        <v/>
      </c>
      <c r="N240" s="366" t="str">
        <f>IF(ISERROR(VLOOKUP($L195,Spez!$P$4:$P$30,1,0)),"",N239*VLOOKUP($L195,Maschinenliste!$A$17:$AE$959,28,0))</f>
        <v/>
      </c>
      <c r="O240" s="6"/>
    </row>
    <row r="241" spans="1:15" ht="13.5" thickBot="1">
      <c r="A241" s="467"/>
      <c r="B241" s="6" t="e">
        <f>IF(C198="heures (h)","","Tarif d'indemnisation (supp. compris) par heure")</f>
        <v>#N/A</v>
      </c>
      <c r="C241" s="6"/>
      <c r="D241" s="327" t="e">
        <f>IF(E214="heures (h)","","Fr. par heure")</f>
        <v>#N/A</v>
      </c>
      <c r="E241" s="368" t="e">
        <f>IF(E214="heures (h)","",IF(ISERROR(VLOOKUP($D195,Spez!$P$4:$P$44,1,0)),IF($C198="heures (h)","",IF($C198="hectares",E239*$D201/100,E239*$D201)),E239*VLOOKUP($D195,Maschinenliste!$A$17:$AE$959,28,0)*$D201))</f>
        <v>#N/A</v>
      </c>
      <c r="F241" s="361" t="e">
        <f>IF(G214="heures (h)","","Fr. je heure")</f>
        <v>#N/A</v>
      </c>
      <c r="G241" s="368" t="e">
        <f>IF(G214="heures (h)","",IF(ISERROR(VLOOKUP($D195,Spez!$P$4:$P$44,1,0)),IF($C198="heures (h)","",IF($C198="hectares",G239*$D201/100,G239*$D201)),G239*VLOOKUP($D195,Maschinenliste!$A$17:$AE$959,28,0)*$D201))</f>
        <v>#N/A</v>
      </c>
      <c r="H241" s="248"/>
      <c r="I241" s="6" t="e">
        <f>IF(K198="heures (h)","","Tarif d'indemnisation (supp. compris) par heure")</f>
        <v>#N/A</v>
      </c>
      <c r="J241" s="6"/>
      <c r="K241" s="327" t="e">
        <f>IF(L214="heures (h)","","Fr. par heure")</f>
        <v>#N/A</v>
      </c>
      <c r="L241" s="368" t="e">
        <f>IF(L214="heures (h)","",IF(ISERROR(VLOOKUP($L195,Spez!$P$4:$P$44,1,0)),IF($K198="heures (h)","",IF($K198="hectares",L239*$L201/100,L239*$L201)),L239*VLOOKUP($L195,Maschinenliste!$A$17:$AE$959,28,0)*$L201))</f>
        <v>#N/A</v>
      </c>
      <c r="M241" s="361" t="e">
        <f>IF(N214="heures (h)","","Fr. je heure")</f>
        <v>#N/A</v>
      </c>
      <c r="N241" s="368" t="e">
        <f>IF(N214="heures (h)","",IF(ISERROR(VLOOKUP($L195,Spez!$P$4:$P$44,1,0)),IF($K198="heures (h)","",IF($K198="hectares",N239*$L201/100,N239*$L201)),N239*VLOOKUP($L195,Maschinenliste!$A$17:$AE$959,28,0)*$L201))</f>
        <v>#N/A</v>
      </c>
      <c r="O241" s="6"/>
    </row>
    <row r="242" spans="1:15" ht="13.5" hidden="1" thickTop="1">
      <c r="A242" s="467"/>
      <c r="B242" s="187" t="s">
        <v>139</v>
      </c>
      <c r="C242" s="6"/>
      <c r="D242" s="6"/>
      <c r="E242" s="369" t="e">
        <f>IF(ISERROR(VLOOKUP($D195,Spez!$F$4:$F$200,1,0)),VLOOKUP($D195,Maschinenliste!$A$17:$AE$959,6,0)-E239,VLOOKUP($D195,Maschinenliste!$A$17:$AE$959,26,0)-E239)</f>
        <v>#N/A</v>
      </c>
      <c r="F242" s="854"/>
      <c r="G242" s="370" t="e">
        <f>IF(ISERROR(VLOOKUP($D195,Spez!$F$5:$F$200,1,0)),VLOOKUP($D195,Maschinenliste!$A$17:$AE$959,6,0)-G239,VLOOKUP($D195,Maschinenliste!$A$17:$AE$959,28,0)-G239)</f>
        <v>#N/A</v>
      </c>
      <c r="H242" s="371"/>
      <c r="I242" s="187" t="s">
        <v>139</v>
      </c>
      <c r="J242" s="6"/>
      <c r="K242" s="6"/>
      <c r="L242" s="369" t="e">
        <f>IF(ISERROR(VLOOKUP($L195,Spez!$F$4:$F$200,1,0)),VLOOKUP($L195,Maschinenliste!$A$17:$AE$959,6,0)-L239,VLOOKUP($L195,Maschinenliste!$A$17:$AE$959,26,0)-L239)</f>
        <v>#N/A</v>
      </c>
      <c r="M242" s="854"/>
      <c r="N242" s="370" t="e">
        <f>IF(ISERROR(VLOOKUP($L195,Spez!$F$5:$F$87,1,0)),VLOOKUP($L195,Maschinenliste!$A$17:$AE$959,6,0)-N239,VLOOKUP($L195,Maschinenliste!$A$17:$AE$959,28,0)-N239)</f>
        <v>#N/A</v>
      </c>
      <c r="O242" s="6"/>
    </row>
    <row r="243" spans="1:15" ht="13.5" hidden="1" thickTop="1">
      <c r="A243" s="467"/>
      <c r="B243" s="187" t="s">
        <v>140</v>
      </c>
      <c r="C243" s="6"/>
      <c r="D243" s="6"/>
      <c r="E243" s="372" t="e">
        <f>IF(ISERROR(VLOOKUP($D195,Spez!$F$4:$F$200,1,0)),VLOOKUP($D195,Maschinenliste!$A$17:$AE$959,7,0)-E239,VLOOKUP($D195,Maschinenliste!$A$17:$AE$959,27,0)-E239)</f>
        <v>#N/A</v>
      </c>
      <c r="F243" s="854"/>
      <c r="G243" s="370" t="e">
        <f>IF(ISERROR(VLOOKUP($D195,Spez!$F$5:$F$200,1,0)),VLOOKUP($D195,Maschinenliste!$A$17:$AE$959,7,0)-G239,VLOOKUP($D195,Maschinenliste!$A$17:$AE$959,29,0)-G239)</f>
        <v>#N/A</v>
      </c>
      <c r="H243" s="371"/>
      <c r="I243" s="187" t="s">
        <v>140</v>
      </c>
      <c r="J243" s="6"/>
      <c r="K243" s="6"/>
      <c r="L243" s="372" t="e">
        <f>IF(ISERROR(VLOOKUP($L195,Spez!$F$4:$F$200,1,0)),VLOOKUP($L195,Maschinenliste!$A$17:$AE$959,7,0)-L239,VLOOKUP($L195,Maschinenliste!$A$17:$AE$959,27,0)-L239)</f>
        <v>#N/A</v>
      </c>
      <c r="M243" s="854"/>
      <c r="N243" s="370" t="e">
        <f>IF(ISERROR(VLOOKUP($L195,Spez!$F$5:$F$87,1,0)),VLOOKUP($L195,Maschinenliste!$A$17:$AE$959,7,0)-N239,VLOOKUP($L195,Maschinenliste!$A$17:$AE$959,29,0)-N239)</f>
        <v>#N/A</v>
      </c>
      <c r="O243" s="6"/>
    </row>
    <row r="244" spans="1:15" ht="15.75" thickTop="1">
      <c r="A244" s="467"/>
      <c r="B244" s="187"/>
      <c r="C244" s="6"/>
      <c r="D244" s="6"/>
      <c r="E244" s="373"/>
      <c r="F244" s="374" t="e">
        <f>IF(F215*F214&gt;F216,"le degré d'utilisation dépasse 100% - veuillez corriger l'utilisation annuelle ou durée d'amortissement!","")</f>
        <v>#N/A</v>
      </c>
      <c r="H244" s="246"/>
      <c r="I244" s="187"/>
      <c r="J244" s="6"/>
      <c r="K244" s="6"/>
      <c r="L244" s="373"/>
      <c r="M244" s="374" t="e">
        <f>IF(M215*M214&gt;M216,"le degré d'utilisation dépasse 100% - veuillez corriger l'utilisation annuelle ou durée d'amortissement!","")</f>
        <v>#N/A</v>
      </c>
      <c r="O244" s="6"/>
    </row>
    <row r="245" spans="1:15" ht="15.75">
      <c r="A245" s="467"/>
      <c r="B245" s="375" t="e">
        <f>IF(Hypothèses!$F$11&gt;0,"Les hypothèses générales ont été modifiées - le résultat (valeur par défaut) ne correspond pas à la valeur indicative officielle d’Agroscope.",IF(AND((OR(E242&gt;1,E242&lt;-1)),(OR(E243&gt;1,E243&lt;-1))),"ATTENTION - Vos données ne sont pas correctes","ok"))</f>
        <v>#N/A</v>
      </c>
      <c r="C245" s="6"/>
      <c r="D245" s="6"/>
      <c r="E245" s="462"/>
      <c r="F245" s="462"/>
      <c r="H245" s="246"/>
      <c r="I245" s="375" t="e">
        <f>IF(Hypothèses!$F$11&gt;0,"Les hypothèses générales ont été modifiées - le résultat (valeur par défaut) ne correspond pas à la valeur indicative officielle d’Agroscope.",IF(AND((OR(L242&gt;1,L242&lt;-1)),(OR(L243&gt;1,L243&lt;-1))),"ATTENTION - Vos données ne sont pas correctes","ok"))</f>
        <v>#N/A</v>
      </c>
      <c r="J245" s="6"/>
      <c r="K245" s="6"/>
      <c r="L245" s="462"/>
      <c r="M245" s="462"/>
      <c r="O245" s="6"/>
    </row>
    <row r="246" spans="1:15">
      <c r="A246" s="467"/>
      <c r="B246" s="376" t="e">
        <f>IF(Hypothèses!$F$11&gt;0,"",IF(B245="ok","",IF(OR(E242&gt;1,E242&lt;-1),"Veuillez vérifier la puissance en kW ou la valeur résiduelle","ok")))</f>
        <v>#N/A</v>
      </c>
      <c r="C246" s="377"/>
      <c r="D246" s="6"/>
      <c r="E246" s="462"/>
      <c r="F246" s="462"/>
      <c r="G246" s="6"/>
      <c r="H246" s="246"/>
      <c r="I246" s="376" t="e">
        <f>IF(Hypothèses!$F$11&gt;0,"",IF(I245="ok","",IF(OR(L242&gt;1,L242&lt;-1),"Veuillez vérifier la puissance en kW ou la valeur résiduelle","ok")))</f>
        <v>#N/A</v>
      </c>
      <c r="J246" s="377"/>
      <c r="K246" s="6"/>
      <c r="L246" s="462"/>
      <c r="M246" s="462"/>
      <c r="N246" s="6"/>
      <c r="O246" s="6"/>
    </row>
    <row r="247" spans="1:15">
      <c r="A247" s="467"/>
      <c r="B247" s="6" t="s">
        <v>548</v>
      </c>
      <c r="C247" s="6"/>
      <c r="D247" s="6"/>
      <c r="E247" s="6"/>
      <c r="F247" s="6"/>
      <c r="G247" s="378" t="e">
        <f>(G239/E239)-1</f>
        <v>#N/A</v>
      </c>
      <c r="H247" s="379"/>
      <c r="I247" s="6" t="s">
        <v>548</v>
      </c>
      <c r="J247" s="6"/>
      <c r="K247" s="6"/>
      <c r="L247" s="6"/>
      <c r="M247" s="6"/>
      <c r="N247" s="378" t="e">
        <f>(N239/L239)-1</f>
        <v>#N/A</v>
      </c>
      <c r="O247" s="6"/>
    </row>
    <row r="248" spans="1:15">
      <c r="A248" s="467"/>
      <c r="B248" s="6"/>
      <c r="C248" s="6"/>
      <c r="D248" s="6"/>
      <c r="E248" s="6"/>
      <c r="F248" s="6"/>
      <c r="G248" s="6"/>
      <c r="H248" s="246"/>
      <c r="I248" s="6"/>
      <c r="J248" s="6"/>
      <c r="K248" s="6"/>
      <c r="L248" s="6"/>
      <c r="M248" s="6"/>
      <c r="N248" s="6"/>
      <c r="O248" s="6"/>
    </row>
    <row r="249" spans="1:15">
      <c r="A249" s="467"/>
      <c r="B249" s="6"/>
      <c r="C249" s="6"/>
      <c r="D249" s="6"/>
      <c r="E249" s="6"/>
      <c r="F249" s="6"/>
      <c r="G249" s="6"/>
      <c r="H249" s="246"/>
      <c r="I249" s="6"/>
      <c r="J249" s="6"/>
      <c r="K249" s="6"/>
      <c r="L249" s="6"/>
      <c r="M249" s="6"/>
      <c r="N249" s="6"/>
      <c r="O249" s="6"/>
    </row>
    <row r="250" spans="1:15">
      <c r="A250" s="467"/>
      <c r="B250" s="6" t="s">
        <v>549</v>
      </c>
      <c r="C250" s="6"/>
      <c r="D250" s="6"/>
      <c r="E250" s="6"/>
      <c r="F250" s="6"/>
      <c r="G250" s="6"/>
      <c r="H250" s="246"/>
      <c r="I250" s="6"/>
      <c r="J250" s="6"/>
      <c r="K250" s="6"/>
      <c r="L250" s="6"/>
      <c r="M250" s="6"/>
      <c r="N250" s="6"/>
      <c r="O250" s="6"/>
    </row>
    <row r="251" spans="1:15">
      <c r="A251" s="467"/>
      <c r="B251" s="862" t="s">
        <v>550</v>
      </c>
      <c r="D251" s="6"/>
      <c r="E251" s="6"/>
      <c r="F251" s="6"/>
      <c r="G251" s="6"/>
      <c r="H251" s="246"/>
      <c r="I251" s="6"/>
      <c r="J251" s="6"/>
      <c r="K251" s="6"/>
      <c r="L251" s="6"/>
      <c r="M251" s="6"/>
      <c r="N251" s="6"/>
      <c r="O251" s="6"/>
    </row>
    <row r="252" spans="1:15">
      <c r="A252" s="467"/>
      <c r="B252" s="6"/>
      <c r="C252" s="6"/>
      <c r="D252" s="6"/>
      <c r="E252" s="6"/>
      <c r="F252" s="6"/>
      <c r="G252" s="6"/>
      <c r="H252" s="246"/>
      <c r="I252" s="6"/>
      <c r="J252" s="6"/>
      <c r="K252" s="6"/>
      <c r="L252" s="6"/>
      <c r="M252" s="6"/>
      <c r="N252" s="6"/>
      <c r="O252" s="6"/>
    </row>
    <row r="253" spans="1:15">
      <c r="A253" s="467"/>
      <c r="B253" s="6"/>
      <c r="C253" s="6"/>
      <c r="D253" s="6"/>
      <c r="E253" s="6"/>
      <c r="F253" s="6"/>
      <c r="G253" s="6"/>
      <c r="H253" s="246"/>
      <c r="I253" s="6"/>
      <c r="J253" s="6"/>
      <c r="K253" s="6"/>
      <c r="L253" s="6"/>
      <c r="M253" s="6"/>
      <c r="N253" s="6"/>
      <c r="O253" s="6"/>
    </row>
    <row r="254" spans="1:15">
      <c r="A254" s="467"/>
      <c r="B254" s="6"/>
      <c r="C254" s="6"/>
      <c r="D254" s="6"/>
      <c r="E254" s="6"/>
      <c r="F254" s="6"/>
      <c r="G254" s="6"/>
      <c r="H254" s="246"/>
      <c r="I254" s="6"/>
      <c r="J254" s="6"/>
      <c r="K254" s="6"/>
      <c r="L254" s="6"/>
      <c r="M254" s="6"/>
      <c r="N254" s="6"/>
      <c r="O254" s="6"/>
    </row>
    <row r="255" spans="1:15">
      <c r="A255" s="467"/>
      <c r="B255" s="6"/>
      <c r="C255" s="6"/>
      <c r="D255" s="6"/>
      <c r="E255" s="6"/>
      <c r="F255" s="6"/>
      <c r="G255" s="6"/>
      <c r="H255" s="246"/>
      <c r="I255" s="6"/>
      <c r="J255" s="6"/>
      <c r="K255" s="6"/>
      <c r="L255" s="6"/>
      <c r="M255" s="6"/>
      <c r="N255" s="6"/>
      <c r="O255" s="6"/>
    </row>
    <row r="256" spans="1:15">
      <c r="A256" s="6"/>
      <c r="B256" s="6"/>
      <c r="C256" s="6"/>
      <c r="D256" s="6"/>
      <c r="E256" s="6"/>
      <c r="F256" s="6"/>
      <c r="G256" s="6"/>
      <c r="H256" s="246"/>
      <c r="I256" s="6"/>
      <c r="J256" s="6"/>
      <c r="K256" s="6"/>
      <c r="L256" s="6"/>
      <c r="M256" s="6"/>
      <c r="N256" s="6"/>
      <c r="O256" s="6"/>
    </row>
    <row r="257" spans="1:15">
      <c r="A257" s="6"/>
      <c r="B257" s="6"/>
      <c r="C257" s="6"/>
      <c r="D257" s="6"/>
      <c r="E257" s="6"/>
      <c r="F257" s="6"/>
      <c r="G257" s="6"/>
      <c r="H257" s="246"/>
      <c r="I257" s="6"/>
      <c r="J257" s="6"/>
      <c r="K257" s="6"/>
      <c r="L257" s="6"/>
      <c r="M257" s="6"/>
      <c r="N257" s="6"/>
      <c r="O257" s="6"/>
    </row>
    <row r="258" spans="1:15">
      <c r="A258" s="6"/>
      <c r="H258" s="246"/>
      <c r="I258" s="6"/>
      <c r="J258" s="6"/>
      <c r="K258" s="6"/>
      <c r="L258" s="6"/>
      <c r="M258" s="6"/>
      <c r="N258" s="6"/>
      <c r="O258" s="6"/>
    </row>
    <row r="259" spans="1:15">
      <c r="A259" s="6"/>
      <c r="H259" s="246"/>
      <c r="I259" s="6"/>
      <c r="J259" s="6"/>
      <c r="K259" s="6"/>
      <c r="L259" s="6"/>
      <c r="M259" s="6"/>
      <c r="N259" s="6"/>
      <c r="O259" s="6"/>
    </row>
    <row r="260" spans="1:15">
      <c r="A260" s="6"/>
      <c r="H260" s="246"/>
      <c r="I260" s="6"/>
      <c r="J260" s="6"/>
      <c r="K260" s="6"/>
      <c r="L260" s="6"/>
      <c r="M260" s="6"/>
      <c r="N260" s="6"/>
      <c r="O260" s="6"/>
    </row>
    <row r="261" spans="1:15">
      <c r="A261" s="6"/>
      <c r="H261" s="246"/>
      <c r="I261" s="6"/>
      <c r="J261" s="6"/>
      <c r="K261" s="6"/>
      <c r="L261" s="6"/>
      <c r="M261" s="6"/>
      <c r="N261" s="6"/>
      <c r="O261" s="6"/>
    </row>
    <row r="262" spans="1:15">
      <c r="A262" s="6"/>
      <c r="H262" s="246"/>
      <c r="I262" s="6"/>
      <c r="J262" s="6"/>
      <c r="K262" s="6"/>
      <c r="L262" s="6"/>
      <c r="M262" s="6"/>
      <c r="N262" s="6"/>
      <c r="O262" s="6"/>
    </row>
    <row r="263" spans="1:15">
      <c r="A263" s="6"/>
      <c r="H263" s="246"/>
      <c r="I263" s="6"/>
      <c r="J263" s="6"/>
      <c r="K263" s="6"/>
      <c r="L263" s="6"/>
      <c r="M263" s="6"/>
      <c r="N263" s="6"/>
      <c r="O263" s="6"/>
    </row>
    <row r="264" spans="1:15">
      <c r="A264" s="6"/>
      <c r="H264" s="246"/>
      <c r="I264" s="6"/>
      <c r="J264" s="6"/>
      <c r="K264" s="6"/>
      <c r="L264" s="6"/>
      <c r="M264" s="6"/>
      <c r="N264" s="6"/>
      <c r="O264" s="6"/>
    </row>
    <row r="265" spans="1:15">
      <c r="A265" s="6"/>
      <c r="H265" s="246"/>
      <c r="I265" s="6"/>
      <c r="J265" s="6"/>
      <c r="K265" s="6"/>
      <c r="L265" s="6"/>
      <c r="M265" s="6"/>
      <c r="N265" s="6"/>
      <c r="O265" s="6"/>
    </row>
    <row r="266" spans="1:15">
      <c r="A266" s="6"/>
      <c r="H266" s="246"/>
      <c r="I266" s="6"/>
      <c r="J266" s="6"/>
      <c r="K266" s="6"/>
      <c r="L266" s="6"/>
      <c r="M266" s="6"/>
      <c r="N266" s="6"/>
      <c r="O266" s="6"/>
    </row>
    <row r="267" spans="1:15">
      <c r="A267" s="6"/>
      <c r="H267" s="246"/>
      <c r="I267" s="6"/>
      <c r="J267" s="6"/>
      <c r="K267" s="6"/>
      <c r="L267" s="6"/>
      <c r="M267" s="6"/>
      <c r="N267" s="6"/>
      <c r="O267" s="6"/>
    </row>
    <row r="268" spans="1:15">
      <c r="A268" s="6"/>
      <c r="H268" s="246"/>
      <c r="I268" s="6"/>
      <c r="J268" s="6"/>
      <c r="K268" s="6"/>
      <c r="L268" s="6"/>
      <c r="M268" s="6"/>
      <c r="N268" s="6"/>
      <c r="O268" s="6"/>
    </row>
    <row r="269" spans="1:15">
      <c r="A269" s="6"/>
      <c r="H269" s="246"/>
      <c r="I269" s="6"/>
      <c r="J269" s="6"/>
      <c r="K269" s="6"/>
      <c r="L269" s="6"/>
      <c r="M269" s="6"/>
      <c r="N269" s="6"/>
      <c r="O269" s="6"/>
    </row>
    <row r="270" spans="1:15">
      <c r="A270" s="6"/>
      <c r="H270" s="246"/>
      <c r="I270" s="6"/>
      <c r="J270" s="6"/>
      <c r="K270" s="6"/>
      <c r="L270" s="6"/>
      <c r="M270" s="6"/>
      <c r="N270" s="6"/>
      <c r="O270" s="6"/>
    </row>
    <row r="271" spans="1:15">
      <c r="A271" s="6"/>
      <c r="H271" s="246"/>
      <c r="I271" s="6"/>
      <c r="J271" s="6"/>
      <c r="K271" s="6"/>
      <c r="L271" s="6"/>
      <c r="M271" s="6"/>
      <c r="N271" s="6"/>
      <c r="O271" s="6"/>
    </row>
    <row r="272" spans="1:15">
      <c r="A272" s="6"/>
      <c r="H272" s="246"/>
      <c r="I272" s="6"/>
      <c r="J272" s="6"/>
      <c r="K272" s="6"/>
      <c r="L272" s="6"/>
      <c r="M272" s="6"/>
      <c r="N272" s="6"/>
      <c r="O272" s="6"/>
    </row>
    <row r="273" spans="1:15">
      <c r="A273" s="6"/>
      <c r="H273" s="246"/>
      <c r="I273" s="6"/>
      <c r="J273" s="6"/>
      <c r="K273" s="6"/>
      <c r="L273" s="6"/>
      <c r="M273" s="6"/>
      <c r="N273" s="6"/>
      <c r="O273" s="6"/>
    </row>
    <row r="274" spans="1:15">
      <c r="A274" s="6"/>
      <c r="H274" s="246"/>
      <c r="I274" s="6"/>
      <c r="J274" s="6"/>
      <c r="K274" s="6"/>
      <c r="L274" s="6"/>
      <c r="M274" s="6"/>
      <c r="N274" s="6"/>
      <c r="O274" s="6"/>
    </row>
    <row r="275" spans="1:15">
      <c r="A275" s="6"/>
      <c r="H275" s="246"/>
      <c r="I275" s="6"/>
      <c r="J275" s="6"/>
      <c r="K275" s="6"/>
      <c r="L275" s="6"/>
      <c r="M275" s="6"/>
      <c r="N275" s="6"/>
      <c r="O275" s="6"/>
    </row>
    <row r="276" spans="1:15">
      <c r="A276" s="6"/>
      <c r="H276" s="246"/>
      <c r="I276" s="6"/>
      <c r="J276" s="6"/>
      <c r="K276" s="6"/>
      <c r="L276" s="6"/>
      <c r="M276" s="6"/>
      <c r="N276" s="6"/>
      <c r="O276" s="6"/>
    </row>
    <row r="277" spans="1:15">
      <c r="A277" s="6"/>
      <c r="H277" s="246"/>
      <c r="I277" s="6"/>
      <c r="J277" s="6"/>
      <c r="K277" s="6"/>
      <c r="L277" s="6"/>
      <c r="M277" s="6"/>
      <c r="N277" s="6"/>
      <c r="O277" s="6"/>
    </row>
    <row r="278" spans="1:15">
      <c r="A278" s="6"/>
      <c r="H278" s="246"/>
      <c r="I278" s="6"/>
      <c r="J278" s="6"/>
      <c r="K278" s="6"/>
      <c r="L278" s="6"/>
      <c r="M278" s="6"/>
      <c r="N278" s="6"/>
      <c r="O278" s="6"/>
    </row>
    <row r="279" spans="1:15">
      <c r="A279" s="6"/>
      <c r="H279" s="246"/>
      <c r="I279" s="6"/>
      <c r="J279" s="6"/>
      <c r="K279" s="6"/>
      <c r="L279" s="6"/>
      <c r="M279" s="6"/>
      <c r="N279" s="6"/>
      <c r="O279" s="6"/>
    </row>
    <row r="280" spans="1:15">
      <c r="A280" s="6"/>
      <c r="H280" s="246"/>
      <c r="I280" s="6"/>
      <c r="J280" s="6"/>
      <c r="K280" s="6"/>
      <c r="L280" s="6"/>
      <c r="M280" s="6"/>
      <c r="N280" s="6"/>
      <c r="O280" s="6"/>
    </row>
    <row r="281" spans="1:15">
      <c r="A281" s="6"/>
      <c r="H281" s="246"/>
      <c r="I281" s="6"/>
      <c r="J281" s="6"/>
      <c r="K281" s="6"/>
      <c r="L281" s="6"/>
      <c r="M281" s="6"/>
      <c r="N281" s="6"/>
      <c r="O281" s="6"/>
    </row>
    <row r="282" spans="1:15">
      <c r="A282" s="6"/>
      <c r="H282" s="246"/>
      <c r="I282" s="6"/>
      <c r="J282" s="6"/>
      <c r="K282" s="6"/>
      <c r="L282" s="6"/>
      <c r="M282" s="6"/>
      <c r="N282" s="6"/>
      <c r="O282" s="6"/>
    </row>
    <row r="283" spans="1:15">
      <c r="A283" s="6"/>
      <c r="H283" s="246"/>
      <c r="I283" s="6"/>
      <c r="J283" s="6"/>
      <c r="K283" s="6"/>
      <c r="L283" s="6"/>
      <c r="M283" s="6"/>
      <c r="N283" s="6"/>
      <c r="O283" s="6"/>
    </row>
    <row r="284" spans="1:15">
      <c r="A284" s="6"/>
      <c r="H284" s="246"/>
      <c r="I284" s="6"/>
      <c r="J284" s="6"/>
      <c r="K284" s="6"/>
      <c r="L284" s="6"/>
      <c r="M284" s="6"/>
      <c r="N284" s="6"/>
      <c r="O284" s="6"/>
    </row>
    <row r="285" spans="1:15">
      <c r="A285" s="6"/>
      <c r="H285" s="246"/>
      <c r="I285" s="6"/>
      <c r="J285" s="6"/>
      <c r="K285" s="6"/>
      <c r="L285" s="6"/>
      <c r="M285" s="6"/>
      <c r="N285" s="6"/>
      <c r="O285" s="6"/>
    </row>
    <row r="286" spans="1:15">
      <c r="A286" s="6"/>
      <c r="H286" s="246"/>
      <c r="I286" s="6"/>
      <c r="J286" s="6"/>
      <c r="K286" s="6"/>
      <c r="L286" s="6"/>
      <c r="M286" s="6"/>
      <c r="N286" s="6"/>
      <c r="O286" s="6"/>
    </row>
    <row r="287" spans="1:15">
      <c r="A287" s="6"/>
      <c r="H287" s="246"/>
      <c r="I287" s="6"/>
      <c r="J287" s="6"/>
      <c r="K287" s="6"/>
      <c r="L287" s="6"/>
      <c r="M287" s="6"/>
      <c r="N287" s="6"/>
      <c r="O287" s="6"/>
    </row>
    <row r="288" spans="1:15">
      <c r="A288" s="6"/>
      <c r="H288" s="246"/>
      <c r="I288" s="6"/>
      <c r="J288" s="6"/>
      <c r="K288" s="6"/>
      <c r="L288" s="6"/>
      <c r="M288" s="6"/>
      <c r="N288" s="6"/>
      <c r="O288" s="6"/>
    </row>
    <row r="289" spans="1:15">
      <c r="A289" s="6"/>
      <c r="H289" s="246"/>
      <c r="I289" s="6"/>
      <c r="J289" s="6"/>
      <c r="K289" s="6"/>
      <c r="L289" s="6"/>
      <c r="M289" s="6"/>
      <c r="N289" s="6"/>
      <c r="O289" s="6"/>
    </row>
    <row r="290" spans="1:15">
      <c r="A290" s="6"/>
      <c r="H290" s="246"/>
      <c r="I290" s="6"/>
      <c r="J290" s="6"/>
      <c r="K290" s="6"/>
      <c r="L290" s="6"/>
      <c r="M290" s="6"/>
      <c r="N290" s="6"/>
      <c r="O290" s="6"/>
    </row>
    <row r="291" spans="1:15">
      <c r="A291" s="6"/>
      <c r="H291" s="246"/>
      <c r="I291" s="6"/>
      <c r="J291" s="6"/>
      <c r="K291" s="6"/>
      <c r="L291" s="6"/>
      <c r="M291" s="6"/>
      <c r="N291" s="6"/>
      <c r="O291" s="6"/>
    </row>
    <row r="292" spans="1:15">
      <c r="A292" s="6"/>
      <c r="H292" s="246"/>
      <c r="I292" s="6"/>
      <c r="J292" s="6"/>
      <c r="K292" s="6"/>
      <c r="L292" s="6"/>
      <c r="M292" s="6"/>
      <c r="N292" s="6"/>
      <c r="O292" s="6"/>
    </row>
    <row r="293" spans="1:15">
      <c r="A293" s="6"/>
      <c r="H293" s="246"/>
      <c r="I293" s="6"/>
      <c r="J293" s="6"/>
      <c r="K293" s="6"/>
      <c r="L293" s="6"/>
      <c r="M293" s="6"/>
      <c r="N293" s="6"/>
      <c r="O293" s="6"/>
    </row>
    <row r="294" spans="1:15">
      <c r="A294" s="6"/>
      <c r="H294" s="246"/>
      <c r="I294" s="6"/>
      <c r="J294" s="6"/>
      <c r="K294" s="6"/>
      <c r="L294" s="6"/>
      <c r="M294" s="6"/>
      <c r="N294" s="6"/>
      <c r="O294" s="6"/>
    </row>
    <row r="295" spans="1:15">
      <c r="A295" s="6"/>
      <c r="H295" s="246"/>
      <c r="I295" s="6"/>
      <c r="J295" s="6"/>
      <c r="K295" s="6"/>
      <c r="L295" s="6"/>
      <c r="M295" s="6"/>
      <c r="N295" s="6"/>
      <c r="O295" s="6"/>
    </row>
    <row r="296" spans="1:15">
      <c r="A296" s="6"/>
      <c r="H296" s="246"/>
      <c r="I296" s="6"/>
      <c r="J296" s="6"/>
      <c r="K296" s="6"/>
      <c r="L296" s="6"/>
      <c r="M296" s="6"/>
      <c r="N296" s="6"/>
      <c r="O296" s="6"/>
    </row>
    <row r="297" spans="1:15">
      <c r="A297" s="6"/>
      <c r="H297" s="246"/>
      <c r="I297" s="6"/>
      <c r="J297" s="6"/>
      <c r="K297" s="6"/>
      <c r="L297" s="6"/>
      <c r="M297" s="6"/>
      <c r="N297" s="6"/>
      <c r="O297" s="6"/>
    </row>
    <row r="298" spans="1:15">
      <c r="A298" s="6"/>
      <c r="H298" s="246"/>
      <c r="I298" s="6"/>
      <c r="J298" s="6"/>
      <c r="K298" s="6"/>
      <c r="L298" s="6"/>
      <c r="M298" s="6"/>
      <c r="N298" s="6"/>
      <c r="O298" s="6"/>
    </row>
    <row r="299" spans="1:15">
      <c r="A299" s="6"/>
      <c r="H299" s="246"/>
      <c r="I299" s="6"/>
      <c r="J299" s="6"/>
      <c r="K299" s="6"/>
      <c r="L299" s="6"/>
      <c r="M299" s="6"/>
      <c r="N299" s="6"/>
      <c r="O299" s="6"/>
    </row>
    <row r="300" spans="1:15">
      <c r="A300" s="6"/>
      <c r="H300" s="246"/>
      <c r="I300" s="6"/>
      <c r="J300" s="6"/>
      <c r="K300" s="6"/>
      <c r="L300" s="6"/>
      <c r="M300" s="6"/>
      <c r="N300" s="6"/>
      <c r="O300" s="6"/>
    </row>
    <row r="301" spans="1:15">
      <c r="A301" s="6"/>
      <c r="H301" s="246"/>
      <c r="I301" s="6"/>
      <c r="J301" s="6"/>
      <c r="K301" s="6"/>
      <c r="L301" s="6"/>
      <c r="M301" s="6"/>
      <c r="N301" s="6"/>
      <c r="O301" s="6"/>
    </row>
    <row r="302" spans="1:15">
      <c r="A302" s="6"/>
      <c r="H302" s="246"/>
      <c r="I302" s="6"/>
      <c r="J302" s="6"/>
      <c r="K302" s="6"/>
      <c r="L302" s="6"/>
      <c r="M302" s="6"/>
      <c r="N302" s="6"/>
      <c r="O302" s="6"/>
    </row>
    <row r="303" spans="1:15">
      <c r="A303" s="6"/>
      <c r="H303" s="246"/>
      <c r="I303" s="6"/>
      <c r="J303" s="6"/>
      <c r="K303" s="6"/>
      <c r="L303" s="6"/>
      <c r="M303" s="6"/>
      <c r="N303" s="6"/>
      <c r="O303" s="6"/>
    </row>
    <row r="304" spans="1:15">
      <c r="A304" s="6"/>
      <c r="H304" s="246"/>
      <c r="I304" s="6"/>
      <c r="J304" s="6"/>
      <c r="K304" s="6"/>
      <c r="L304" s="6"/>
      <c r="M304" s="6"/>
      <c r="N304" s="6"/>
      <c r="O304" s="6"/>
    </row>
    <row r="305" spans="1:15">
      <c r="A305" s="6"/>
      <c r="H305" s="246"/>
      <c r="I305" s="6"/>
      <c r="J305" s="6"/>
      <c r="K305" s="6"/>
      <c r="L305" s="6"/>
      <c r="M305" s="6"/>
      <c r="N305" s="6"/>
      <c r="O305" s="6"/>
    </row>
    <row r="306" spans="1:15">
      <c r="A306" s="6"/>
      <c r="H306" s="246"/>
      <c r="I306" s="6"/>
      <c r="J306" s="6"/>
      <c r="K306" s="6"/>
      <c r="L306" s="6"/>
      <c r="M306" s="6"/>
      <c r="N306" s="6"/>
      <c r="O306" s="6"/>
    </row>
    <row r="307" spans="1:15">
      <c r="A307" s="6"/>
      <c r="H307" s="246"/>
      <c r="I307" s="6"/>
      <c r="J307" s="6"/>
      <c r="K307" s="6"/>
      <c r="L307" s="6"/>
      <c r="M307" s="6"/>
      <c r="N307" s="6"/>
      <c r="O307" s="6"/>
    </row>
    <row r="308" spans="1:15">
      <c r="A308" s="6"/>
      <c r="H308" s="246"/>
      <c r="I308" s="6"/>
      <c r="J308" s="6"/>
      <c r="K308" s="6"/>
      <c r="L308" s="6"/>
      <c r="M308" s="6"/>
      <c r="N308" s="6"/>
      <c r="O308" s="6"/>
    </row>
    <row r="309" spans="1:15">
      <c r="A309" s="6"/>
      <c r="H309" s="246"/>
      <c r="I309" s="6"/>
      <c r="J309" s="6"/>
      <c r="K309" s="6"/>
      <c r="L309" s="6"/>
      <c r="M309" s="6"/>
      <c r="N309" s="6"/>
      <c r="O309" s="6"/>
    </row>
    <row r="310" spans="1:15">
      <c r="A310" s="6"/>
      <c r="H310" s="246"/>
      <c r="I310" s="6"/>
      <c r="J310" s="6"/>
      <c r="K310" s="6"/>
      <c r="L310" s="6"/>
      <c r="M310" s="6"/>
      <c r="N310" s="6"/>
      <c r="O310" s="6"/>
    </row>
    <row r="311" spans="1:15">
      <c r="A311" s="6"/>
      <c r="H311" s="246"/>
      <c r="I311" s="6"/>
      <c r="J311" s="6"/>
      <c r="K311" s="6"/>
      <c r="L311" s="6"/>
      <c r="M311" s="6"/>
      <c r="N311" s="6"/>
      <c r="O311" s="6"/>
    </row>
    <row r="312" spans="1:15">
      <c r="A312" s="6"/>
      <c r="H312" s="246"/>
      <c r="I312" s="6"/>
      <c r="J312" s="6"/>
      <c r="K312" s="6"/>
      <c r="L312" s="6"/>
      <c r="M312" s="6"/>
      <c r="N312" s="6"/>
      <c r="O312" s="6"/>
    </row>
    <row r="313" spans="1:15">
      <c r="A313" s="6"/>
      <c r="H313" s="246"/>
      <c r="I313" s="6"/>
      <c r="J313" s="6"/>
      <c r="K313" s="6"/>
      <c r="L313" s="6"/>
      <c r="M313" s="6"/>
      <c r="N313" s="6"/>
      <c r="O313" s="6"/>
    </row>
    <row r="314" spans="1:15">
      <c r="A314" s="6"/>
      <c r="H314" s="246"/>
      <c r="I314" s="6"/>
      <c r="J314" s="6"/>
      <c r="K314" s="6"/>
      <c r="L314" s="6"/>
      <c r="M314" s="6"/>
      <c r="N314" s="6"/>
      <c r="O314" s="6"/>
    </row>
    <row r="315" spans="1:15">
      <c r="A315" s="6"/>
      <c r="H315" s="246"/>
      <c r="I315" s="6"/>
      <c r="J315" s="6"/>
      <c r="K315" s="6"/>
      <c r="L315" s="6"/>
      <c r="M315" s="6"/>
      <c r="N315" s="6"/>
      <c r="O315" s="6"/>
    </row>
    <row r="316" spans="1:15">
      <c r="A316" s="6"/>
      <c r="H316" s="246"/>
      <c r="I316" s="6"/>
      <c r="J316" s="6"/>
      <c r="K316" s="6"/>
      <c r="L316" s="6"/>
      <c r="M316" s="6"/>
      <c r="N316" s="6"/>
      <c r="O316" s="6"/>
    </row>
    <row r="317" spans="1:15">
      <c r="A317" s="6"/>
      <c r="H317" s="246"/>
      <c r="I317" s="6"/>
      <c r="J317" s="6"/>
      <c r="K317" s="6"/>
      <c r="L317" s="6"/>
      <c r="M317" s="6"/>
      <c r="N317" s="6"/>
      <c r="O317" s="6"/>
    </row>
    <row r="318" spans="1:15">
      <c r="A318" s="6"/>
      <c r="H318" s="246"/>
      <c r="I318" s="6"/>
      <c r="J318" s="6"/>
      <c r="K318" s="6"/>
      <c r="L318" s="6"/>
      <c r="M318" s="6"/>
      <c r="N318" s="6"/>
      <c r="O318" s="6"/>
    </row>
    <row r="319" spans="1:15">
      <c r="A319" s="6"/>
      <c r="H319" s="246"/>
      <c r="I319" s="6"/>
      <c r="J319" s="6"/>
      <c r="K319" s="6"/>
      <c r="L319" s="6"/>
      <c r="M319" s="6"/>
      <c r="N319" s="6"/>
      <c r="O319" s="6"/>
    </row>
    <row r="320" spans="1:15">
      <c r="A320" s="6"/>
      <c r="H320" s="246"/>
      <c r="I320" s="6"/>
      <c r="J320" s="6"/>
      <c r="K320" s="6"/>
      <c r="L320" s="6"/>
      <c r="M320" s="6"/>
      <c r="N320" s="6"/>
      <c r="O320" s="6"/>
    </row>
    <row r="321" spans="1:15">
      <c r="A321" s="6"/>
      <c r="H321" s="246"/>
      <c r="I321" s="6"/>
      <c r="J321" s="6"/>
      <c r="K321" s="6"/>
      <c r="L321" s="6"/>
      <c r="M321" s="6"/>
      <c r="N321" s="6"/>
      <c r="O321" s="6"/>
    </row>
    <row r="322" spans="1:15">
      <c r="A322" s="6"/>
      <c r="H322" s="246"/>
      <c r="I322" s="6"/>
      <c r="J322" s="6"/>
      <c r="K322" s="6"/>
      <c r="L322" s="6"/>
      <c r="M322" s="6"/>
      <c r="N322" s="6"/>
      <c r="O322" s="6"/>
    </row>
    <row r="323" spans="1:15">
      <c r="A323" s="6"/>
      <c r="H323" s="246"/>
      <c r="I323" s="6"/>
      <c r="J323" s="6"/>
      <c r="K323" s="6"/>
      <c r="L323" s="6"/>
      <c r="M323" s="6"/>
      <c r="N323" s="6"/>
      <c r="O323" s="6"/>
    </row>
    <row r="324" spans="1:15">
      <c r="A324" s="6"/>
      <c r="H324" s="246"/>
      <c r="I324" s="6"/>
      <c r="J324" s="6"/>
      <c r="K324" s="6"/>
      <c r="L324" s="6"/>
      <c r="M324" s="6"/>
      <c r="N324" s="6"/>
      <c r="O324" s="6"/>
    </row>
    <row r="325" spans="1:15">
      <c r="A325" s="6"/>
      <c r="H325" s="246"/>
      <c r="I325" s="6"/>
      <c r="J325" s="6"/>
      <c r="K325" s="6"/>
      <c r="L325" s="6"/>
      <c r="M325" s="6"/>
      <c r="N325" s="6"/>
      <c r="O325" s="6"/>
    </row>
    <row r="326" spans="1:15">
      <c r="A326" s="6"/>
      <c r="H326" s="246"/>
      <c r="I326" s="6"/>
      <c r="J326" s="6"/>
      <c r="K326" s="6"/>
      <c r="L326" s="6"/>
      <c r="M326" s="6"/>
      <c r="N326" s="6"/>
      <c r="O326" s="6"/>
    </row>
    <row r="327" spans="1:15">
      <c r="A327" s="6"/>
      <c r="H327" s="246"/>
      <c r="I327" s="6"/>
      <c r="J327" s="6"/>
      <c r="K327" s="6"/>
      <c r="L327" s="6"/>
      <c r="M327" s="6"/>
      <c r="N327" s="6"/>
      <c r="O327" s="6"/>
    </row>
    <row r="328" spans="1:15">
      <c r="A328" s="6"/>
      <c r="H328" s="246"/>
      <c r="I328" s="6"/>
      <c r="J328" s="6"/>
      <c r="K328" s="6"/>
      <c r="L328" s="6"/>
      <c r="M328" s="6"/>
      <c r="N328" s="6"/>
      <c r="O328" s="6"/>
    </row>
    <row r="329" spans="1:15">
      <c r="A329" s="6"/>
      <c r="H329" s="246"/>
      <c r="I329" s="6"/>
      <c r="J329" s="6"/>
      <c r="K329" s="6"/>
      <c r="L329" s="6"/>
      <c r="M329" s="6"/>
      <c r="N329" s="6"/>
      <c r="O329" s="6"/>
    </row>
    <row r="330" spans="1:15">
      <c r="A330" s="6"/>
      <c r="H330" s="246"/>
      <c r="I330" s="6"/>
      <c r="J330" s="6"/>
      <c r="K330" s="6"/>
      <c r="L330" s="6"/>
      <c r="M330" s="6"/>
      <c r="N330" s="6"/>
      <c r="O330" s="6"/>
    </row>
    <row r="331" spans="1:15">
      <c r="A331" s="6"/>
      <c r="H331" s="246"/>
      <c r="I331" s="6"/>
      <c r="J331" s="6"/>
      <c r="K331" s="6"/>
      <c r="L331" s="6"/>
      <c r="M331" s="6"/>
      <c r="N331" s="6"/>
      <c r="O331" s="6"/>
    </row>
    <row r="332" spans="1:15">
      <c r="A332" s="6"/>
      <c r="H332" s="246"/>
      <c r="I332" s="6"/>
      <c r="J332" s="6"/>
      <c r="K332" s="6"/>
      <c r="L332" s="6"/>
      <c r="M332" s="6"/>
      <c r="N332" s="6"/>
      <c r="O332" s="6"/>
    </row>
    <row r="333" spans="1:15">
      <c r="A333" s="6"/>
      <c r="H333" s="246"/>
      <c r="I333" s="6"/>
      <c r="J333" s="6"/>
      <c r="K333" s="6"/>
      <c r="L333" s="6"/>
      <c r="M333" s="6"/>
      <c r="N333" s="6"/>
      <c r="O333" s="6"/>
    </row>
    <row r="334" spans="1:15">
      <c r="A334" s="6"/>
      <c r="H334" s="246"/>
      <c r="I334" s="6"/>
      <c r="J334" s="6"/>
      <c r="K334" s="6"/>
      <c r="L334" s="6"/>
      <c r="M334" s="6"/>
      <c r="N334" s="6"/>
      <c r="O334" s="6"/>
    </row>
    <row r="335" spans="1:15">
      <c r="A335" s="6"/>
      <c r="H335" s="246"/>
      <c r="I335" s="6"/>
      <c r="J335" s="6"/>
      <c r="K335" s="6"/>
      <c r="L335" s="6"/>
      <c r="M335" s="6"/>
      <c r="N335" s="6"/>
      <c r="O335" s="6"/>
    </row>
    <row r="336" spans="1:15">
      <c r="A336" s="6"/>
      <c r="H336" s="246"/>
      <c r="I336" s="6"/>
      <c r="J336" s="6"/>
      <c r="K336" s="6"/>
      <c r="L336" s="6"/>
      <c r="M336" s="6"/>
      <c r="N336" s="6"/>
      <c r="O336" s="6"/>
    </row>
    <row r="337" spans="1:15">
      <c r="A337" s="6"/>
      <c r="H337" s="246"/>
      <c r="I337" s="6"/>
      <c r="J337" s="6"/>
      <c r="K337" s="6"/>
      <c r="L337" s="6"/>
      <c r="M337" s="6"/>
      <c r="N337" s="6"/>
      <c r="O337" s="6"/>
    </row>
    <row r="338" spans="1:15">
      <c r="A338" s="6"/>
      <c r="H338" s="246"/>
      <c r="I338" s="6"/>
      <c r="J338" s="6"/>
      <c r="K338" s="6"/>
      <c r="L338" s="6"/>
      <c r="M338" s="6"/>
      <c r="N338" s="6"/>
      <c r="O338" s="6"/>
    </row>
    <row r="339" spans="1:15">
      <c r="A339" s="6"/>
      <c r="H339" s="246"/>
      <c r="I339" s="6"/>
      <c r="J339" s="6"/>
      <c r="K339" s="6"/>
      <c r="L339" s="6"/>
      <c r="M339" s="6"/>
      <c r="N339" s="6"/>
      <c r="O339" s="6"/>
    </row>
    <row r="340" spans="1:15">
      <c r="A340" s="6"/>
      <c r="H340" s="246"/>
      <c r="I340" s="6"/>
      <c r="J340" s="6"/>
      <c r="K340" s="6"/>
      <c r="L340" s="6"/>
      <c r="M340" s="6"/>
      <c r="N340" s="6"/>
      <c r="O340" s="6"/>
    </row>
    <row r="341" spans="1:15">
      <c r="A341" s="6"/>
      <c r="H341" s="246"/>
      <c r="I341" s="6"/>
      <c r="J341" s="6"/>
      <c r="K341" s="6"/>
      <c r="L341" s="6"/>
      <c r="M341" s="6"/>
      <c r="N341" s="6"/>
      <c r="O341" s="6"/>
    </row>
    <row r="342" spans="1:15">
      <c r="A342" s="6"/>
      <c r="H342" s="246"/>
      <c r="I342" s="6"/>
      <c r="J342" s="6"/>
      <c r="K342" s="6"/>
      <c r="L342" s="6"/>
      <c r="M342" s="6"/>
      <c r="N342" s="6"/>
      <c r="O342" s="6"/>
    </row>
    <row r="343" spans="1:15">
      <c r="A343" s="6"/>
      <c r="H343" s="246"/>
      <c r="I343" s="6"/>
      <c r="J343" s="6"/>
      <c r="K343" s="6"/>
      <c r="L343" s="6"/>
      <c r="M343" s="6"/>
      <c r="N343" s="6"/>
      <c r="O343" s="6"/>
    </row>
    <row r="344" spans="1:15">
      <c r="A344" s="6"/>
      <c r="H344" s="246"/>
      <c r="I344" s="6"/>
      <c r="J344" s="6"/>
      <c r="K344" s="6"/>
      <c r="L344" s="6"/>
      <c r="M344" s="6"/>
      <c r="N344" s="6"/>
      <c r="O344" s="6"/>
    </row>
    <row r="345" spans="1:15">
      <c r="A345" s="6"/>
      <c r="H345" s="246"/>
      <c r="I345" s="6"/>
      <c r="J345" s="6"/>
      <c r="K345" s="6"/>
      <c r="L345" s="6"/>
      <c r="M345" s="6"/>
      <c r="N345" s="6"/>
      <c r="O345" s="6"/>
    </row>
    <row r="346" spans="1:15">
      <c r="A346" s="6"/>
      <c r="H346" s="246"/>
      <c r="I346" s="6"/>
      <c r="J346" s="6"/>
      <c r="K346" s="6"/>
      <c r="L346" s="6"/>
      <c r="M346" s="6"/>
      <c r="N346" s="6"/>
      <c r="O346" s="6"/>
    </row>
    <row r="347" spans="1:15">
      <c r="A347" s="6"/>
      <c r="H347" s="246"/>
      <c r="I347" s="6"/>
      <c r="J347" s="6"/>
      <c r="K347" s="6"/>
      <c r="L347" s="6"/>
      <c r="M347" s="6"/>
      <c r="N347" s="6"/>
      <c r="O347" s="6"/>
    </row>
    <row r="348" spans="1:15">
      <c r="A348" s="6"/>
      <c r="H348" s="246"/>
      <c r="I348" s="6"/>
      <c r="J348" s="6"/>
      <c r="K348" s="6"/>
      <c r="L348" s="6"/>
      <c r="M348" s="6"/>
      <c r="N348" s="6"/>
      <c r="O348" s="6"/>
    </row>
    <row r="349" spans="1:15">
      <c r="A349" s="6"/>
      <c r="H349" s="246"/>
      <c r="I349" s="6"/>
      <c r="J349" s="6"/>
      <c r="K349" s="6"/>
      <c r="L349" s="6"/>
      <c r="M349" s="6"/>
      <c r="N349" s="6"/>
      <c r="O349" s="6"/>
    </row>
    <row r="350" spans="1:15">
      <c r="A350" s="6"/>
      <c r="H350" s="246"/>
      <c r="I350" s="6"/>
      <c r="J350" s="6"/>
      <c r="K350" s="6"/>
      <c r="L350" s="6"/>
      <c r="M350" s="6"/>
      <c r="N350" s="6"/>
      <c r="O350" s="6"/>
    </row>
    <row r="351" spans="1:15">
      <c r="A351" s="6"/>
      <c r="H351" s="246"/>
      <c r="I351" s="6"/>
      <c r="J351" s="6"/>
      <c r="K351" s="6"/>
      <c r="L351" s="6"/>
      <c r="M351" s="6"/>
      <c r="N351" s="6"/>
      <c r="O351" s="6"/>
    </row>
    <row r="352" spans="1:15">
      <c r="A352" s="6"/>
      <c r="H352" s="246"/>
      <c r="I352" s="6"/>
      <c r="J352" s="6"/>
      <c r="K352" s="6"/>
      <c r="L352" s="6"/>
      <c r="M352" s="6"/>
      <c r="N352" s="6"/>
      <c r="O352" s="6"/>
    </row>
    <row r="353" spans="1:15">
      <c r="A353" s="6"/>
      <c r="H353" s="246"/>
      <c r="I353" s="6"/>
      <c r="J353" s="6"/>
      <c r="K353" s="6"/>
      <c r="L353" s="6"/>
      <c r="M353" s="6"/>
      <c r="N353" s="6"/>
      <c r="O353" s="6"/>
    </row>
    <row r="354" spans="1:15">
      <c r="A354" s="6"/>
      <c r="H354" s="246"/>
      <c r="I354" s="6"/>
      <c r="J354" s="6"/>
      <c r="K354" s="6"/>
      <c r="L354" s="6"/>
      <c r="M354" s="6"/>
      <c r="N354" s="6"/>
      <c r="O354" s="6"/>
    </row>
    <row r="355" spans="1:15">
      <c r="A355" s="6"/>
      <c r="H355" s="246"/>
      <c r="I355" s="6"/>
      <c r="J355" s="6"/>
      <c r="K355" s="6"/>
      <c r="L355" s="6"/>
      <c r="M355" s="6"/>
      <c r="N355" s="6"/>
      <c r="O355" s="6"/>
    </row>
    <row r="356" spans="1:15">
      <c r="A356" s="6"/>
      <c r="H356" s="246"/>
      <c r="I356" s="6"/>
      <c r="J356" s="6"/>
      <c r="K356" s="6"/>
      <c r="L356" s="6"/>
      <c r="M356" s="6"/>
      <c r="N356" s="6"/>
      <c r="O356" s="6"/>
    </row>
    <row r="357" spans="1:15">
      <c r="A357" s="6"/>
      <c r="H357" s="246"/>
      <c r="I357" s="6"/>
      <c r="J357" s="6"/>
      <c r="K357" s="6"/>
      <c r="L357" s="6"/>
      <c r="M357" s="6"/>
      <c r="N357" s="6"/>
      <c r="O357" s="6"/>
    </row>
    <row r="358" spans="1:15">
      <c r="A358" s="6"/>
      <c r="H358" s="246"/>
      <c r="I358" s="6"/>
      <c r="J358" s="6"/>
      <c r="K358" s="6"/>
      <c r="L358" s="6"/>
      <c r="M358" s="6"/>
      <c r="N358" s="6"/>
      <c r="O358" s="6"/>
    </row>
    <row r="359" spans="1:15">
      <c r="A359" s="6"/>
      <c r="H359" s="246"/>
      <c r="I359" s="6"/>
      <c r="J359" s="6"/>
      <c r="K359" s="6"/>
      <c r="L359" s="6"/>
      <c r="M359" s="6"/>
      <c r="N359" s="6"/>
      <c r="O359" s="6"/>
    </row>
    <row r="360" spans="1:15">
      <c r="A360" s="6"/>
      <c r="H360" s="246"/>
      <c r="I360" s="6"/>
      <c r="J360" s="6"/>
      <c r="K360" s="6"/>
      <c r="L360" s="6"/>
      <c r="M360" s="6"/>
      <c r="N360" s="6"/>
      <c r="O360" s="6"/>
    </row>
    <row r="361" spans="1:15">
      <c r="A361" s="6"/>
      <c r="H361" s="246"/>
      <c r="I361" s="6"/>
      <c r="J361" s="6"/>
      <c r="K361" s="6"/>
      <c r="L361" s="6"/>
      <c r="M361" s="6"/>
      <c r="N361" s="6"/>
      <c r="O361" s="6"/>
    </row>
    <row r="362" spans="1:15">
      <c r="A362" s="6"/>
      <c r="H362" s="246"/>
      <c r="I362" s="6"/>
      <c r="J362" s="6"/>
      <c r="K362" s="6"/>
      <c r="L362" s="6"/>
      <c r="M362" s="6"/>
      <c r="N362" s="6"/>
      <c r="O362" s="6"/>
    </row>
    <row r="363" spans="1:15">
      <c r="A363" s="6"/>
      <c r="H363" s="246"/>
      <c r="I363" s="6"/>
      <c r="J363" s="6"/>
      <c r="K363" s="6"/>
      <c r="L363" s="6"/>
      <c r="M363" s="6"/>
      <c r="N363" s="6"/>
      <c r="O363" s="6"/>
    </row>
    <row r="364" spans="1:15">
      <c r="A364" s="6"/>
      <c r="H364" s="246"/>
      <c r="I364" s="6"/>
      <c r="J364" s="6"/>
      <c r="K364" s="6"/>
      <c r="L364" s="6"/>
      <c r="M364" s="6"/>
      <c r="N364" s="6"/>
      <c r="O364" s="6"/>
    </row>
    <row r="365" spans="1:15">
      <c r="A365" s="6"/>
      <c r="H365" s="246"/>
      <c r="I365" s="6"/>
      <c r="J365" s="6"/>
      <c r="K365" s="6"/>
      <c r="L365" s="6"/>
      <c r="M365" s="6"/>
      <c r="N365" s="6"/>
      <c r="O365" s="6"/>
    </row>
    <row r="366" spans="1:15">
      <c r="A366" s="6"/>
      <c r="H366" s="246"/>
      <c r="I366" s="6"/>
      <c r="J366" s="6"/>
      <c r="K366" s="6"/>
      <c r="L366" s="6"/>
      <c r="M366" s="6"/>
      <c r="N366" s="6"/>
      <c r="O366" s="6"/>
    </row>
    <row r="367" spans="1:15">
      <c r="A367" s="6"/>
      <c r="H367" s="246"/>
      <c r="I367" s="6"/>
      <c r="J367" s="6"/>
      <c r="K367" s="6"/>
      <c r="L367" s="6"/>
      <c r="M367" s="6"/>
      <c r="N367" s="6"/>
      <c r="O367" s="6"/>
    </row>
    <row r="368" spans="1:15">
      <c r="A368" s="6"/>
      <c r="H368" s="246"/>
      <c r="I368" s="6"/>
      <c r="J368" s="6"/>
      <c r="K368" s="6"/>
      <c r="L368" s="6"/>
      <c r="M368" s="6"/>
      <c r="N368" s="6"/>
      <c r="O368" s="6"/>
    </row>
    <row r="369" spans="1:15">
      <c r="A369" s="6"/>
      <c r="H369" s="246"/>
      <c r="I369" s="6"/>
      <c r="J369" s="6"/>
      <c r="K369" s="6"/>
      <c r="L369" s="6"/>
      <c r="M369" s="6"/>
      <c r="N369" s="6"/>
      <c r="O369" s="6"/>
    </row>
    <row r="370" spans="1:15">
      <c r="A370" s="6"/>
      <c r="H370" s="246"/>
      <c r="I370" s="6"/>
      <c r="J370" s="6"/>
      <c r="K370" s="6"/>
      <c r="L370" s="6"/>
      <c r="M370" s="6"/>
      <c r="N370" s="6"/>
      <c r="O370" s="6"/>
    </row>
    <row r="371" spans="1:15">
      <c r="A371" s="6"/>
      <c r="H371" s="246"/>
      <c r="I371" s="6"/>
      <c r="J371" s="6"/>
      <c r="K371" s="6"/>
      <c r="L371" s="6"/>
      <c r="M371" s="6"/>
      <c r="N371" s="6"/>
      <c r="O371" s="6"/>
    </row>
    <row r="372" spans="1:15">
      <c r="A372" s="6"/>
      <c r="H372" s="246"/>
      <c r="I372" s="6"/>
      <c r="J372" s="6"/>
      <c r="K372" s="6"/>
      <c r="L372" s="6"/>
      <c r="M372" s="6"/>
      <c r="N372" s="6"/>
      <c r="O372" s="6"/>
    </row>
    <row r="373" spans="1:15">
      <c r="A373" s="6"/>
      <c r="H373" s="246"/>
      <c r="I373" s="6"/>
      <c r="J373" s="6"/>
      <c r="K373" s="6"/>
      <c r="L373" s="6"/>
      <c r="M373" s="6"/>
      <c r="N373" s="6"/>
      <c r="O373" s="6"/>
    </row>
    <row r="374" spans="1:15">
      <c r="A374" s="6"/>
      <c r="H374" s="246"/>
      <c r="I374" s="6"/>
      <c r="J374" s="6"/>
      <c r="K374" s="6"/>
      <c r="L374" s="6"/>
      <c r="M374" s="6"/>
      <c r="N374" s="6"/>
      <c r="O374" s="6"/>
    </row>
    <row r="375" spans="1:15">
      <c r="A375" s="6"/>
      <c r="H375" s="246"/>
      <c r="I375" s="6"/>
      <c r="J375" s="6"/>
      <c r="K375" s="6"/>
      <c r="L375" s="6"/>
      <c r="M375" s="6"/>
      <c r="N375" s="6"/>
      <c r="O375" s="6"/>
    </row>
    <row r="376" spans="1:15">
      <c r="A376" s="6"/>
      <c r="H376" s="246"/>
      <c r="I376" s="6"/>
      <c r="J376" s="6"/>
      <c r="K376" s="6"/>
      <c r="L376" s="6"/>
      <c r="M376" s="6"/>
      <c r="N376" s="6"/>
      <c r="O376" s="6"/>
    </row>
    <row r="377" spans="1:15">
      <c r="A377" s="6"/>
      <c r="H377" s="246"/>
      <c r="I377" s="6"/>
      <c r="J377" s="6"/>
      <c r="K377" s="6"/>
      <c r="L377" s="6"/>
      <c r="M377" s="6"/>
      <c r="N377" s="6"/>
      <c r="O377" s="6"/>
    </row>
    <row r="378" spans="1:15">
      <c r="A378" s="6"/>
      <c r="H378" s="246"/>
      <c r="I378" s="6"/>
      <c r="J378" s="6"/>
      <c r="K378" s="6"/>
      <c r="L378" s="6"/>
      <c r="M378" s="6"/>
      <c r="N378" s="6"/>
      <c r="O378" s="6"/>
    </row>
    <row r="379" spans="1:15">
      <c r="A379" s="6"/>
      <c r="H379" s="246"/>
      <c r="I379" s="6"/>
      <c r="J379" s="6"/>
      <c r="K379" s="6"/>
      <c r="L379" s="6"/>
      <c r="M379" s="6"/>
      <c r="N379" s="6"/>
      <c r="O379" s="6"/>
    </row>
    <row r="380" spans="1:15">
      <c r="A380" s="6"/>
      <c r="H380" s="246"/>
      <c r="I380" s="6"/>
      <c r="J380" s="6"/>
      <c r="K380" s="6"/>
      <c r="L380" s="6"/>
      <c r="M380" s="6"/>
      <c r="N380" s="6"/>
      <c r="O380" s="6"/>
    </row>
    <row r="381" spans="1:15">
      <c r="A381" s="6"/>
      <c r="H381" s="246"/>
      <c r="I381" s="6"/>
      <c r="J381" s="6"/>
      <c r="K381" s="6"/>
      <c r="L381" s="6"/>
      <c r="M381" s="6"/>
      <c r="N381" s="6"/>
      <c r="O381" s="6"/>
    </row>
    <row r="382" spans="1:15">
      <c r="A382" s="6"/>
      <c r="H382" s="246"/>
      <c r="I382" s="6"/>
      <c r="J382" s="6"/>
      <c r="K382" s="6"/>
      <c r="L382" s="6"/>
      <c r="M382" s="6"/>
      <c r="N382" s="6"/>
      <c r="O382" s="6"/>
    </row>
    <row r="383" spans="1:15">
      <c r="A383" s="6"/>
      <c r="H383" s="246"/>
      <c r="I383" s="6"/>
      <c r="J383" s="6"/>
      <c r="K383" s="6"/>
      <c r="L383" s="6"/>
      <c r="M383" s="6"/>
      <c r="N383" s="6"/>
      <c r="O383" s="6"/>
    </row>
    <row r="384" spans="1:15">
      <c r="A384" s="6"/>
      <c r="H384" s="246"/>
      <c r="I384" s="6"/>
      <c r="J384" s="6"/>
      <c r="K384" s="6"/>
      <c r="L384" s="6"/>
      <c r="M384" s="6"/>
      <c r="N384" s="6"/>
      <c r="O384" s="6"/>
    </row>
    <row r="385" spans="1:15">
      <c r="A385" s="6"/>
      <c r="H385" s="246"/>
      <c r="I385" s="6"/>
      <c r="J385" s="6"/>
      <c r="K385" s="6"/>
      <c r="L385" s="6"/>
      <c r="M385" s="6"/>
      <c r="N385" s="6"/>
      <c r="O385" s="6"/>
    </row>
    <row r="386" spans="1:15">
      <c r="A386" s="6"/>
      <c r="H386" s="246"/>
      <c r="I386" s="6"/>
      <c r="J386" s="6"/>
      <c r="K386" s="6"/>
      <c r="L386" s="6"/>
      <c r="M386" s="6"/>
      <c r="N386" s="6"/>
      <c r="O386" s="6"/>
    </row>
    <row r="387" spans="1:15">
      <c r="A387" s="6"/>
      <c r="H387" s="246"/>
      <c r="I387" s="6"/>
      <c r="J387" s="6"/>
      <c r="K387" s="6"/>
      <c r="L387" s="6"/>
      <c r="M387" s="6"/>
      <c r="N387" s="6"/>
      <c r="O387" s="6"/>
    </row>
    <row r="388" spans="1:15">
      <c r="A388" s="6"/>
      <c r="H388" s="246"/>
      <c r="I388" s="6"/>
      <c r="J388" s="6"/>
      <c r="K388" s="6"/>
      <c r="L388" s="6"/>
      <c r="M388" s="6"/>
      <c r="N388" s="6"/>
      <c r="O388" s="6"/>
    </row>
    <row r="389" spans="1:15">
      <c r="A389" s="6"/>
      <c r="H389" s="246"/>
      <c r="I389" s="6"/>
      <c r="J389" s="6"/>
      <c r="K389" s="6"/>
      <c r="L389" s="6"/>
      <c r="M389" s="6"/>
      <c r="N389" s="6"/>
      <c r="O389" s="6"/>
    </row>
    <row r="390" spans="1:15">
      <c r="A390" s="6"/>
      <c r="H390" s="246"/>
      <c r="I390" s="6"/>
      <c r="J390" s="6"/>
      <c r="K390" s="6"/>
      <c r="L390" s="6"/>
      <c r="M390" s="6"/>
      <c r="N390" s="6"/>
      <c r="O390" s="6"/>
    </row>
    <row r="391" spans="1:15">
      <c r="A391" s="6"/>
      <c r="H391" s="246"/>
      <c r="I391" s="6"/>
      <c r="J391" s="6"/>
      <c r="K391" s="6"/>
      <c r="L391" s="6"/>
      <c r="M391" s="6"/>
      <c r="N391" s="6"/>
      <c r="O391" s="6"/>
    </row>
    <row r="392" spans="1:15">
      <c r="A392" s="6"/>
      <c r="H392" s="246"/>
      <c r="I392" s="6"/>
      <c r="J392" s="6"/>
      <c r="K392" s="6"/>
      <c r="L392" s="6"/>
      <c r="M392" s="6"/>
      <c r="N392" s="6"/>
      <c r="O392" s="6"/>
    </row>
    <row r="393" spans="1:15">
      <c r="A393" s="6"/>
      <c r="H393" s="246"/>
      <c r="I393" s="6"/>
      <c r="J393" s="6"/>
      <c r="K393" s="6"/>
      <c r="L393" s="6"/>
      <c r="M393" s="6"/>
      <c r="N393" s="6"/>
      <c r="O393" s="6"/>
    </row>
    <row r="394" spans="1:15">
      <c r="A394" s="6"/>
      <c r="H394" s="246"/>
      <c r="I394" s="6"/>
      <c r="J394" s="6"/>
      <c r="K394" s="6"/>
      <c r="L394" s="6"/>
      <c r="M394" s="6"/>
      <c r="N394" s="6"/>
      <c r="O394" s="6"/>
    </row>
    <row r="395" spans="1:15">
      <c r="A395" s="6"/>
      <c r="H395" s="246"/>
      <c r="I395" s="6"/>
      <c r="J395" s="6"/>
      <c r="K395" s="6"/>
      <c r="L395" s="6"/>
      <c r="M395" s="6"/>
      <c r="N395" s="6"/>
      <c r="O395" s="6"/>
    </row>
    <row r="396" spans="1:15">
      <c r="A396" s="6"/>
      <c r="H396" s="246"/>
      <c r="I396" s="6"/>
      <c r="J396" s="6"/>
      <c r="K396" s="6"/>
      <c r="L396" s="6"/>
      <c r="M396" s="6"/>
      <c r="N396" s="6"/>
      <c r="O396" s="6"/>
    </row>
    <row r="397" spans="1:15">
      <c r="A397" s="6"/>
      <c r="H397" s="246"/>
      <c r="I397" s="6"/>
      <c r="J397" s="6"/>
      <c r="K397" s="6"/>
      <c r="L397" s="6"/>
      <c r="M397" s="6"/>
      <c r="N397" s="6"/>
      <c r="O397" s="6"/>
    </row>
    <row r="398" spans="1:15">
      <c r="A398" s="6"/>
      <c r="H398" s="246"/>
      <c r="I398" s="6"/>
      <c r="J398" s="6"/>
      <c r="K398" s="6"/>
      <c r="L398" s="6"/>
      <c r="M398" s="6"/>
      <c r="N398" s="6"/>
      <c r="O398" s="6"/>
    </row>
    <row r="399" spans="1:15">
      <c r="A399" s="6"/>
      <c r="H399" s="246"/>
      <c r="I399" s="6"/>
      <c r="J399" s="6"/>
      <c r="K399" s="6"/>
      <c r="L399" s="6"/>
      <c r="M399" s="6"/>
      <c r="N399" s="6"/>
      <c r="O399" s="6"/>
    </row>
    <row r="400" spans="1:15">
      <c r="A400" s="6"/>
      <c r="H400" s="246"/>
      <c r="I400" s="6"/>
      <c r="J400" s="6"/>
      <c r="K400" s="6"/>
      <c r="L400" s="6"/>
      <c r="M400" s="6"/>
      <c r="N400" s="6"/>
      <c r="O400" s="6"/>
    </row>
    <row r="401" spans="1:15">
      <c r="A401" s="6"/>
      <c r="H401" s="246"/>
      <c r="I401" s="6"/>
      <c r="J401" s="6"/>
      <c r="K401" s="6"/>
      <c r="L401" s="6"/>
      <c r="M401" s="6"/>
      <c r="N401" s="6"/>
      <c r="O401" s="6"/>
    </row>
    <row r="402" spans="1:15">
      <c r="A402" s="6"/>
      <c r="H402" s="246"/>
      <c r="I402" s="6"/>
      <c r="J402" s="6"/>
      <c r="K402" s="6"/>
      <c r="L402" s="6"/>
      <c r="M402" s="6"/>
      <c r="N402" s="6"/>
      <c r="O402" s="6"/>
    </row>
    <row r="403" spans="1:15">
      <c r="A403" s="6"/>
      <c r="H403" s="246"/>
      <c r="I403" s="6"/>
      <c r="J403" s="6"/>
      <c r="K403" s="6"/>
      <c r="L403" s="6"/>
      <c r="M403" s="6"/>
      <c r="N403" s="6"/>
      <c r="O403" s="6"/>
    </row>
    <row r="404" spans="1:15">
      <c r="A404" s="6"/>
      <c r="H404" s="246"/>
      <c r="I404" s="6"/>
      <c r="J404" s="6"/>
      <c r="K404" s="6"/>
      <c r="L404" s="6"/>
      <c r="M404" s="6"/>
      <c r="N404" s="6"/>
      <c r="O404" s="6"/>
    </row>
    <row r="405" spans="1:15">
      <c r="A405" s="6"/>
      <c r="H405" s="246"/>
      <c r="I405" s="6"/>
      <c r="J405" s="6"/>
      <c r="K405" s="6"/>
      <c r="L405" s="6"/>
      <c r="M405" s="6"/>
      <c r="N405" s="6"/>
      <c r="O405" s="6"/>
    </row>
    <row r="406" spans="1:15">
      <c r="A406" s="6"/>
      <c r="H406" s="246"/>
      <c r="I406" s="6"/>
      <c r="J406" s="6"/>
      <c r="K406" s="6"/>
      <c r="L406" s="6"/>
      <c r="M406" s="6"/>
      <c r="N406" s="6"/>
      <c r="O406" s="6"/>
    </row>
    <row r="407" spans="1:15">
      <c r="A407" s="6"/>
      <c r="H407" s="246"/>
      <c r="I407" s="6"/>
      <c r="J407" s="6"/>
      <c r="K407" s="6"/>
      <c r="L407" s="6"/>
      <c r="M407" s="6"/>
      <c r="N407" s="6"/>
      <c r="O407" s="6"/>
    </row>
    <row r="408" spans="1:15">
      <c r="A408" s="6"/>
      <c r="H408" s="246"/>
      <c r="I408" s="6"/>
      <c r="J408" s="6"/>
      <c r="K408" s="6"/>
      <c r="L408" s="6"/>
      <c r="M408" s="6"/>
      <c r="N408" s="6"/>
      <c r="O408" s="6"/>
    </row>
    <row r="409" spans="1:15">
      <c r="A409" s="6"/>
      <c r="H409" s="246"/>
      <c r="I409" s="6"/>
      <c r="J409" s="6"/>
      <c r="K409" s="6"/>
      <c r="L409" s="6"/>
      <c r="M409" s="6"/>
      <c r="N409" s="6"/>
      <c r="O409" s="6"/>
    </row>
    <row r="410" spans="1:15">
      <c r="A410" s="6"/>
      <c r="H410" s="246"/>
      <c r="I410" s="6"/>
      <c r="J410" s="6"/>
      <c r="K410" s="6"/>
      <c r="L410" s="6"/>
      <c r="M410" s="6"/>
      <c r="N410" s="6"/>
      <c r="O410" s="6"/>
    </row>
    <row r="411" spans="1:15">
      <c r="A411" s="6"/>
      <c r="H411" s="246"/>
      <c r="I411" s="6"/>
      <c r="J411" s="6"/>
      <c r="K411" s="6"/>
      <c r="L411" s="6"/>
      <c r="M411" s="6"/>
      <c r="N411" s="6"/>
      <c r="O411" s="6"/>
    </row>
    <row r="412" spans="1:15">
      <c r="A412" s="6"/>
      <c r="H412" s="246"/>
      <c r="I412" s="6"/>
      <c r="J412" s="6"/>
      <c r="K412" s="6"/>
      <c r="L412" s="6"/>
      <c r="M412" s="6"/>
      <c r="N412" s="6"/>
      <c r="O412" s="6"/>
    </row>
    <row r="413" spans="1:15">
      <c r="A413" s="6"/>
      <c r="H413" s="246"/>
      <c r="I413" s="6"/>
      <c r="J413" s="6"/>
      <c r="K413" s="6"/>
      <c r="L413" s="6"/>
      <c r="M413" s="6"/>
      <c r="N413" s="6"/>
      <c r="O413" s="6"/>
    </row>
    <row r="414" spans="1:15">
      <c r="A414" s="6"/>
      <c r="H414" s="246"/>
      <c r="I414" s="6"/>
      <c r="J414" s="6"/>
      <c r="K414" s="6"/>
      <c r="L414" s="6"/>
      <c r="M414" s="6"/>
      <c r="N414" s="6"/>
      <c r="O414" s="6"/>
    </row>
    <row r="415" spans="1:15">
      <c r="A415" s="6"/>
      <c r="H415" s="246"/>
      <c r="I415" s="6"/>
      <c r="J415" s="6"/>
      <c r="K415" s="6"/>
      <c r="L415" s="6"/>
      <c r="M415" s="6"/>
      <c r="N415" s="6"/>
      <c r="O415" s="6"/>
    </row>
    <row r="416" spans="1:15">
      <c r="A416" s="6"/>
      <c r="H416" s="246"/>
      <c r="I416" s="6"/>
      <c r="J416" s="6"/>
      <c r="K416" s="6"/>
      <c r="L416" s="6"/>
      <c r="M416" s="6"/>
      <c r="N416" s="6"/>
      <c r="O416" s="6"/>
    </row>
    <row r="417" spans="1:15">
      <c r="A417" s="6"/>
      <c r="H417" s="246"/>
      <c r="I417" s="6"/>
      <c r="J417" s="6"/>
      <c r="K417" s="6"/>
      <c r="L417" s="6"/>
      <c r="M417" s="6"/>
      <c r="N417" s="6"/>
      <c r="O417" s="6"/>
    </row>
    <row r="418" spans="1:15">
      <c r="A418" s="6"/>
      <c r="H418" s="246"/>
      <c r="I418" s="6"/>
      <c r="J418" s="6"/>
      <c r="K418" s="6"/>
      <c r="L418" s="6"/>
      <c r="M418" s="6"/>
      <c r="N418" s="6"/>
      <c r="O418" s="6"/>
    </row>
    <row r="419" spans="1:15">
      <c r="A419" s="6"/>
      <c r="H419" s="246"/>
      <c r="I419" s="6"/>
      <c r="J419" s="6"/>
      <c r="K419" s="6"/>
      <c r="L419" s="6"/>
      <c r="M419" s="6"/>
      <c r="N419" s="6"/>
      <c r="O419" s="6"/>
    </row>
    <row r="420" spans="1:15">
      <c r="A420" s="6"/>
      <c r="H420" s="246"/>
      <c r="I420" s="6"/>
      <c r="J420" s="6"/>
      <c r="K420" s="6"/>
      <c r="L420" s="6"/>
      <c r="M420" s="6"/>
      <c r="N420" s="6"/>
      <c r="O420" s="6"/>
    </row>
    <row r="421" spans="1:15">
      <c r="A421" s="6"/>
      <c r="H421" s="246"/>
      <c r="I421" s="6"/>
      <c r="J421" s="6"/>
      <c r="K421" s="6"/>
      <c r="L421" s="6"/>
      <c r="M421" s="6"/>
      <c r="N421" s="6"/>
      <c r="O421" s="6"/>
    </row>
    <row r="422" spans="1:15">
      <c r="A422" s="6"/>
      <c r="H422" s="246"/>
      <c r="I422" s="6"/>
      <c r="J422" s="6"/>
      <c r="K422" s="6"/>
      <c r="L422" s="6"/>
      <c r="M422" s="6"/>
      <c r="N422" s="6"/>
      <c r="O422" s="6"/>
    </row>
    <row r="423" spans="1:15">
      <c r="A423" s="6"/>
      <c r="H423" s="246"/>
      <c r="I423" s="6"/>
      <c r="J423" s="6"/>
      <c r="K423" s="6"/>
      <c r="L423" s="6"/>
      <c r="M423" s="6"/>
      <c r="N423" s="6"/>
      <c r="O423" s="6"/>
    </row>
    <row r="424" spans="1:15">
      <c r="A424" s="6"/>
      <c r="H424" s="246"/>
      <c r="I424" s="6"/>
      <c r="J424" s="6"/>
      <c r="K424" s="6"/>
      <c r="L424" s="6"/>
      <c r="M424" s="6"/>
      <c r="N424" s="6"/>
      <c r="O424" s="6"/>
    </row>
    <row r="425" spans="1:15">
      <c r="A425" s="6"/>
      <c r="H425" s="246"/>
      <c r="I425" s="6"/>
      <c r="J425" s="6"/>
      <c r="K425" s="6"/>
      <c r="L425" s="6"/>
      <c r="M425" s="6"/>
      <c r="N425" s="6"/>
      <c r="O425" s="6"/>
    </row>
    <row r="426" spans="1:15">
      <c r="A426" s="6"/>
      <c r="H426" s="246"/>
      <c r="I426" s="6"/>
      <c r="J426" s="6"/>
      <c r="K426" s="6"/>
      <c r="L426" s="6"/>
      <c r="M426" s="6"/>
      <c r="N426" s="6"/>
      <c r="O426" s="6"/>
    </row>
    <row r="427" spans="1:15">
      <c r="A427" s="6"/>
      <c r="H427" s="246"/>
      <c r="I427" s="6"/>
      <c r="J427" s="6"/>
      <c r="K427" s="6"/>
      <c r="L427" s="6"/>
      <c r="M427" s="6"/>
      <c r="N427" s="6"/>
      <c r="O427" s="6"/>
    </row>
    <row r="428" spans="1:15">
      <c r="A428" s="6"/>
      <c r="H428" s="246"/>
      <c r="I428" s="6"/>
      <c r="J428" s="6"/>
      <c r="K428" s="6"/>
      <c r="L428" s="6"/>
      <c r="M428" s="6"/>
      <c r="N428" s="6"/>
      <c r="O428" s="6"/>
    </row>
    <row r="429" spans="1:15">
      <c r="A429" s="6"/>
      <c r="H429" s="246"/>
      <c r="I429" s="6"/>
      <c r="J429" s="6"/>
      <c r="K429" s="6"/>
      <c r="L429" s="6"/>
      <c r="M429" s="6"/>
      <c r="N429" s="6"/>
      <c r="O429" s="6"/>
    </row>
    <row r="430" spans="1:15">
      <c r="A430" s="6"/>
      <c r="H430" s="246"/>
      <c r="I430" s="6"/>
      <c r="J430" s="6"/>
      <c r="K430" s="6"/>
      <c r="L430" s="6"/>
      <c r="M430" s="6"/>
      <c r="N430" s="6"/>
      <c r="O430" s="6"/>
    </row>
    <row r="431" spans="1:15">
      <c r="A431" s="6"/>
      <c r="H431" s="246"/>
      <c r="I431" s="6"/>
      <c r="J431" s="6"/>
      <c r="K431" s="6"/>
      <c r="L431" s="6"/>
      <c r="M431" s="6"/>
      <c r="N431" s="6"/>
      <c r="O431" s="6"/>
    </row>
    <row r="432" spans="1:15">
      <c r="A432" s="6"/>
      <c r="H432" s="246"/>
      <c r="I432" s="6"/>
      <c r="J432" s="6"/>
      <c r="K432" s="6"/>
      <c r="L432" s="6"/>
      <c r="M432" s="6"/>
      <c r="N432" s="6"/>
      <c r="O432" s="6"/>
    </row>
    <row r="433" spans="1:15">
      <c r="A433" s="6"/>
      <c r="H433" s="246"/>
      <c r="I433" s="6"/>
      <c r="J433" s="6"/>
      <c r="K433" s="6"/>
      <c r="L433" s="6"/>
      <c r="M433" s="6"/>
      <c r="N433" s="6"/>
      <c r="O433" s="6"/>
    </row>
    <row r="434" spans="1:15">
      <c r="A434" s="6"/>
      <c r="H434" s="246"/>
      <c r="I434" s="6"/>
      <c r="J434" s="6"/>
      <c r="K434" s="6"/>
      <c r="L434" s="6"/>
      <c r="M434" s="6"/>
      <c r="N434" s="6"/>
      <c r="O434" s="6"/>
    </row>
    <row r="435" spans="1:15">
      <c r="A435" s="6"/>
      <c r="H435" s="246"/>
      <c r="I435" s="6"/>
      <c r="J435" s="6"/>
      <c r="K435" s="6"/>
      <c r="L435" s="6"/>
      <c r="M435" s="6"/>
      <c r="N435" s="6"/>
      <c r="O435" s="6"/>
    </row>
    <row r="436" spans="1:15">
      <c r="A436" s="6"/>
      <c r="H436" s="246"/>
      <c r="I436" s="6"/>
      <c r="J436" s="6"/>
      <c r="K436" s="6"/>
      <c r="L436" s="6"/>
      <c r="M436" s="6"/>
      <c r="N436" s="6"/>
      <c r="O436" s="6"/>
    </row>
    <row r="437" spans="1:15">
      <c r="A437" s="6"/>
      <c r="H437" s="246"/>
      <c r="I437" s="6"/>
      <c r="J437" s="6"/>
      <c r="K437" s="6"/>
      <c r="L437" s="6"/>
      <c r="M437" s="6"/>
      <c r="N437" s="6"/>
      <c r="O437" s="6"/>
    </row>
    <row r="438" spans="1:15">
      <c r="A438" s="6"/>
      <c r="H438" s="246"/>
      <c r="I438" s="6"/>
      <c r="J438" s="6"/>
      <c r="K438" s="6"/>
      <c r="L438" s="6"/>
      <c r="M438" s="6"/>
      <c r="N438" s="6"/>
      <c r="O438" s="6"/>
    </row>
    <row r="439" spans="1:15">
      <c r="A439" s="6"/>
      <c r="H439" s="246"/>
      <c r="I439" s="6"/>
      <c r="J439" s="6"/>
      <c r="K439" s="6"/>
      <c r="L439" s="6"/>
      <c r="M439" s="6"/>
      <c r="N439" s="6"/>
      <c r="O439" s="6"/>
    </row>
    <row r="440" spans="1:15">
      <c r="A440" s="6"/>
      <c r="H440" s="246"/>
      <c r="I440" s="6"/>
      <c r="J440" s="6"/>
      <c r="K440" s="6"/>
      <c r="L440" s="6"/>
      <c r="M440" s="6"/>
      <c r="N440" s="6"/>
      <c r="O440" s="6"/>
    </row>
    <row r="441" spans="1:15">
      <c r="A441" s="6"/>
      <c r="H441" s="246"/>
      <c r="I441" s="6"/>
      <c r="J441" s="6"/>
      <c r="K441" s="6"/>
      <c r="L441" s="6"/>
      <c r="M441" s="6"/>
      <c r="N441" s="6"/>
      <c r="O441" s="6"/>
    </row>
    <row r="442" spans="1:15">
      <c r="A442" s="6"/>
      <c r="H442" s="246"/>
      <c r="I442" s="6"/>
      <c r="J442" s="6"/>
      <c r="K442" s="6"/>
      <c r="L442" s="6"/>
      <c r="M442" s="6"/>
      <c r="N442" s="6"/>
      <c r="O442" s="6"/>
    </row>
    <row r="443" spans="1:15">
      <c r="A443" s="6"/>
      <c r="H443" s="246"/>
      <c r="I443" s="6"/>
      <c r="J443" s="6"/>
      <c r="K443" s="6"/>
      <c r="L443" s="6"/>
      <c r="M443" s="6"/>
      <c r="N443" s="6"/>
      <c r="O443" s="6"/>
    </row>
    <row r="444" spans="1:15">
      <c r="A444" s="6"/>
      <c r="H444" s="246"/>
      <c r="I444" s="6"/>
      <c r="J444" s="6"/>
      <c r="K444" s="6"/>
      <c r="L444" s="6"/>
      <c r="M444" s="6"/>
      <c r="N444" s="6"/>
      <c r="O444" s="6"/>
    </row>
    <row r="445" spans="1:15">
      <c r="A445" s="6"/>
      <c r="H445" s="246"/>
      <c r="I445" s="6"/>
      <c r="J445" s="6"/>
      <c r="K445" s="6"/>
      <c r="L445" s="6"/>
      <c r="M445" s="6"/>
      <c r="N445" s="6"/>
      <c r="O445" s="6"/>
    </row>
    <row r="446" spans="1:15">
      <c r="A446" s="6"/>
      <c r="H446" s="246"/>
      <c r="I446" s="6"/>
      <c r="J446" s="6"/>
      <c r="K446" s="6"/>
      <c r="L446" s="6"/>
      <c r="M446" s="6"/>
      <c r="N446" s="6"/>
      <c r="O446" s="6"/>
    </row>
    <row r="447" spans="1:15">
      <c r="A447" s="6"/>
      <c r="H447" s="246"/>
      <c r="I447" s="6"/>
      <c r="J447" s="6"/>
      <c r="K447" s="6"/>
      <c r="L447" s="6"/>
      <c r="M447" s="6"/>
      <c r="N447" s="6"/>
      <c r="O447" s="6"/>
    </row>
    <row r="448" spans="1:15">
      <c r="A448" s="6"/>
      <c r="H448" s="246"/>
      <c r="I448" s="6"/>
      <c r="J448" s="6"/>
      <c r="K448" s="6"/>
      <c r="L448" s="6"/>
      <c r="M448" s="6"/>
      <c r="N448" s="6"/>
      <c r="O448" s="6"/>
    </row>
    <row r="449" spans="1:15">
      <c r="A449" s="6"/>
      <c r="H449" s="246"/>
      <c r="I449" s="6"/>
      <c r="J449" s="6"/>
      <c r="K449" s="6"/>
      <c r="L449" s="6"/>
      <c r="M449" s="6"/>
      <c r="N449" s="6"/>
      <c r="O449" s="6"/>
    </row>
    <row r="450" spans="1:15">
      <c r="A450" s="6"/>
      <c r="H450" s="246"/>
      <c r="I450" s="6"/>
      <c r="J450" s="6"/>
      <c r="K450" s="6"/>
      <c r="L450" s="6"/>
      <c r="M450" s="6"/>
      <c r="N450" s="6"/>
      <c r="O450" s="6"/>
    </row>
    <row r="451" spans="1:15">
      <c r="A451" s="6"/>
      <c r="H451" s="246"/>
      <c r="I451" s="6"/>
      <c r="J451" s="6"/>
      <c r="K451" s="6"/>
      <c r="L451" s="6"/>
      <c r="M451" s="6"/>
      <c r="N451" s="6"/>
      <c r="O451" s="6"/>
    </row>
    <row r="452" spans="1:15">
      <c r="A452" s="6"/>
      <c r="H452" s="246"/>
      <c r="I452" s="6"/>
      <c r="J452" s="6"/>
      <c r="K452" s="6"/>
      <c r="L452" s="6"/>
      <c r="M452" s="6"/>
      <c r="N452" s="6"/>
      <c r="O452" s="6"/>
    </row>
    <row r="453" spans="1:15">
      <c r="A453" s="6"/>
      <c r="H453" s="246"/>
      <c r="I453" s="6"/>
      <c r="J453" s="6"/>
      <c r="K453" s="6"/>
      <c r="L453" s="6"/>
      <c r="M453" s="6"/>
      <c r="N453" s="6"/>
      <c r="O453" s="6"/>
    </row>
    <row r="454" spans="1:15">
      <c r="A454" s="6"/>
      <c r="H454" s="246"/>
      <c r="I454" s="6"/>
      <c r="J454" s="6"/>
      <c r="K454" s="6"/>
      <c r="L454" s="6"/>
      <c r="M454" s="6"/>
      <c r="N454" s="6"/>
      <c r="O454" s="6"/>
    </row>
    <row r="455" spans="1:15">
      <c r="A455" s="6"/>
      <c r="H455" s="246"/>
      <c r="I455" s="6"/>
      <c r="J455" s="6"/>
      <c r="K455" s="6"/>
      <c r="L455" s="6"/>
      <c r="M455" s="6"/>
      <c r="N455" s="6"/>
      <c r="O455" s="6"/>
    </row>
    <row r="456" spans="1:15">
      <c r="A456" s="6"/>
      <c r="H456" s="246"/>
      <c r="I456" s="6"/>
      <c r="J456" s="6"/>
      <c r="K456" s="6"/>
      <c r="L456" s="6"/>
      <c r="M456" s="6"/>
      <c r="N456" s="6"/>
      <c r="O456" s="6"/>
    </row>
    <row r="457" spans="1:15">
      <c r="A457" s="6"/>
      <c r="H457" s="246"/>
      <c r="I457" s="6"/>
      <c r="J457" s="6"/>
      <c r="K457" s="6"/>
      <c r="L457" s="6"/>
      <c r="M457" s="6"/>
      <c r="N457" s="6"/>
      <c r="O457" s="6"/>
    </row>
    <row r="458" spans="1:15">
      <c r="A458" s="6"/>
      <c r="H458" s="246"/>
      <c r="I458" s="6"/>
      <c r="J458" s="6"/>
      <c r="K458" s="6"/>
      <c r="L458" s="6"/>
      <c r="M458" s="6"/>
      <c r="N458" s="6"/>
      <c r="O458" s="6"/>
    </row>
    <row r="459" spans="1:15">
      <c r="A459" s="6"/>
      <c r="H459" s="246"/>
      <c r="I459" s="6"/>
      <c r="J459" s="6"/>
      <c r="K459" s="6"/>
      <c r="L459" s="6"/>
      <c r="M459" s="6"/>
      <c r="N459" s="6"/>
      <c r="O459" s="6"/>
    </row>
    <row r="460" spans="1:15">
      <c r="A460" s="6"/>
      <c r="H460" s="246"/>
      <c r="I460" s="6"/>
      <c r="J460" s="6"/>
      <c r="K460" s="6"/>
      <c r="L460" s="6"/>
      <c r="M460" s="6"/>
      <c r="N460" s="6"/>
      <c r="O460" s="6"/>
    </row>
    <row r="461" spans="1:15">
      <c r="A461" s="6"/>
      <c r="H461" s="246"/>
      <c r="I461" s="6"/>
      <c r="J461" s="6"/>
      <c r="K461" s="6"/>
      <c r="L461" s="6"/>
      <c r="M461" s="6"/>
      <c r="N461" s="6"/>
      <c r="O461" s="6"/>
    </row>
    <row r="462" spans="1:15">
      <c r="A462" s="6"/>
      <c r="H462" s="246"/>
      <c r="I462" s="6"/>
      <c r="J462" s="6"/>
      <c r="K462" s="6"/>
      <c r="L462" s="6"/>
      <c r="M462" s="6"/>
      <c r="N462" s="6"/>
      <c r="O462" s="6"/>
    </row>
    <row r="463" spans="1:15">
      <c r="A463" s="6"/>
      <c r="H463" s="246"/>
      <c r="I463" s="6"/>
      <c r="J463" s="6"/>
      <c r="K463" s="6"/>
      <c r="L463" s="6"/>
      <c r="M463" s="6"/>
      <c r="N463" s="6"/>
      <c r="O463" s="6"/>
    </row>
    <row r="464" spans="1:15">
      <c r="A464" s="6"/>
      <c r="H464" s="246"/>
      <c r="I464" s="6"/>
      <c r="J464" s="6"/>
      <c r="K464" s="6"/>
      <c r="L464" s="6"/>
      <c r="M464" s="6"/>
      <c r="N464" s="6"/>
      <c r="O464" s="6"/>
    </row>
    <row r="465" spans="1:15">
      <c r="A465" s="6"/>
      <c r="H465" s="246"/>
      <c r="I465" s="6"/>
      <c r="J465" s="6"/>
      <c r="K465" s="6"/>
      <c r="L465" s="6"/>
      <c r="M465" s="6"/>
      <c r="N465" s="6"/>
      <c r="O465" s="6"/>
    </row>
    <row r="466" spans="1:15">
      <c r="A466" s="6"/>
      <c r="H466" s="246"/>
      <c r="I466" s="6"/>
      <c r="J466" s="6"/>
      <c r="K466" s="6"/>
      <c r="L466" s="6"/>
      <c r="M466" s="6"/>
      <c r="N466" s="6"/>
      <c r="O466" s="6"/>
    </row>
    <row r="467" spans="1:15">
      <c r="A467" s="6"/>
      <c r="H467" s="246"/>
      <c r="I467" s="6"/>
      <c r="J467" s="6"/>
      <c r="K467" s="6"/>
      <c r="L467" s="6"/>
      <c r="M467" s="6"/>
      <c r="N467" s="6"/>
      <c r="O467" s="6"/>
    </row>
    <row r="468" spans="1:15">
      <c r="A468" s="6"/>
      <c r="H468" s="246"/>
      <c r="I468" s="6"/>
      <c r="J468" s="6"/>
      <c r="K468" s="6"/>
      <c r="L468" s="6"/>
      <c r="M468" s="6"/>
      <c r="N468" s="6"/>
      <c r="O468" s="6"/>
    </row>
    <row r="469" spans="1:15">
      <c r="A469" s="6"/>
      <c r="H469" s="246"/>
      <c r="I469" s="6"/>
      <c r="J469" s="6"/>
      <c r="K469" s="6"/>
      <c r="L469" s="6"/>
      <c r="M469" s="6"/>
      <c r="N469" s="6"/>
      <c r="O469" s="6"/>
    </row>
    <row r="470" spans="1:15">
      <c r="A470" s="6"/>
      <c r="H470" s="246"/>
      <c r="I470" s="6"/>
      <c r="J470" s="6"/>
      <c r="K470" s="6"/>
      <c r="L470" s="6"/>
      <c r="M470" s="6"/>
      <c r="N470" s="6"/>
      <c r="O470" s="6"/>
    </row>
    <row r="471" spans="1:15">
      <c r="A471" s="6"/>
      <c r="H471" s="246"/>
      <c r="I471" s="6"/>
      <c r="J471" s="6"/>
      <c r="K471" s="6"/>
      <c r="L471" s="6"/>
      <c r="M471" s="6"/>
      <c r="N471" s="6"/>
      <c r="O471" s="6"/>
    </row>
    <row r="472" spans="1:15">
      <c r="A472" s="6"/>
      <c r="H472" s="246"/>
      <c r="I472" s="6"/>
      <c r="J472" s="6"/>
      <c r="K472" s="6"/>
      <c r="L472" s="6"/>
      <c r="M472" s="6"/>
      <c r="N472" s="6"/>
      <c r="O472" s="6"/>
    </row>
    <row r="473" spans="1:15">
      <c r="A473" s="6"/>
      <c r="H473" s="246"/>
      <c r="I473" s="6"/>
      <c r="J473" s="6"/>
      <c r="K473" s="6"/>
      <c r="L473" s="6"/>
      <c r="M473" s="6"/>
      <c r="N473" s="6"/>
      <c r="O473" s="6"/>
    </row>
    <row r="474" spans="1:15">
      <c r="A474" s="6"/>
      <c r="H474" s="246"/>
      <c r="I474" s="6"/>
      <c r="J474" s="6"/>
      <c r="K474" s="6"/>
      <c r="L474" s="6"/>
      <c r="M474" s="6"/>
      <c r="N474" s="6"/>
      <c r="O474" s="6"/>
    </row>
    <row r="475" spans="1:15">
      <c r="A475" s="6"/>
      <c r="H475" s="246"/>
      <c r="I475" s="6"/>
      <c r="J475" s="6"/>
      <c r="K475" s="6"/>
      <c r="L475" s="6"/>
      <c r="M475" s="6"/>
      <c r="N475" s="6"/>
      <c r="O475" s="6"/>
    </row>
    <row r="476" spans="1:15">
      <c r="A476" s="6"/>
      <c r="H476" s="246"/>
      <c r="I476" s="6"/>
      <c r="J476" s="6"/>
      <c r="K476" s="6"/>
      <c r="L476" s="6"/>
      <c r="M476" s="6"/>
      <c r="N476" s="6"/>
      <c r="O476" s="6"/>
    </row>
    <row r="477" spans="1:15">
      <c r="A477" s="6"/>
      <c r="H477" s="246"/>
      <c r="I477" s="6"/>
      <c r="J477" s="6"/>
      <c r="K477" s="6"/>
      <c r="L477" s="6"/>
      <c r="M477" s="6"/>
      <c r="N477" s="6"/>
      <c r="O477" s="6"/>
    </row>
    <row r="478" spans="1:15">
      <c r="A478" s="6"/>
      <c r="H478" s="246"/>
      <c r="I478" s="6"/>
      <c r="J478" s="6"/>
      <c r="K478" s="6"/>
      <c r="L478" s="6"/>
      <c r="M478" s="6"/>
      <c r="N478" s="6"/>
      <c r="O478" s="6"/>
    </row>
    <row r="479" spans="1:15">
      <c r="A479" s="6"/>
      <c r="H479" s="246"/>
      <c r="I479" s="6"/>
      <c r="J479" s="6"/>
      <c r="K479" s="6"/>
      <c r="L479" s="6"/>
      <c r="M479" s="6"/>
      <c r="N479" s="6"/>
      <c r="O479" s="6"/>
    </row>
    <row r="480" spans="1:15">
      <c r="A480" s="6"/>
      <c r="H480" s="246"/>
      <c r="I480" s="6"/>
      <c r="J480" s="6"/>
      <c r="K480" s="6"/>
      <c r="L480" s="6"/>
      <c r="M480" s="6"/>
      <c r="N480" s="6"/>
      <c r="O480" s="6"/>
    </row>
    <row r="481" spans="1:15">
      <c r="A481" s="6"/>
      <c r="H481" s="246"/>
      <c r="I481" s="6"/>
      <c r="J481" s="6"/>
      <c r="K481" s="6"/>
      <c r="L481" s="6"/>
      <c r="M481" s="6"/>
      <c r="N481" s="6"/>
      <c r="O481" s="6"/>
    </row>
    <row r="482" spans="1:15">
      <c r="A482" s="6"/>
      <c r="H482" s="246"/>
      <c r="I482" s="6"/>
      <c r="J482" s="6"/>
      <c r="K482" s="6"/>
      <c r="L482" s="6"/>
      <c r="M482" s="6"/>
      <c r="N482" s="6"/>
      <c r="O482" s="6"/>
    </row>
    <row r="483" spans="1:15">
      <c r="A483" s="6"/>
      <c r="H483" s="246"/>
      <c r="I483" s="6"/>
      <c r="J483" s="6"/>
      <c r="K483" s="6"/>
      <c r="L483" s="6"/>
      <c r="M483" s="6"/>
      <c r="N483" s="6"/>
      <c r="O483" s="6"/>
    </row>
    <row r="484" spans="1:15">
      <c r="A484" s="6"/>
      <c r="H484" s="246"/>
      <c r="I484" s="6"/>
      <c r="J484" s="6"/>
      <c r="K484" s="6"/>
      <c r="L484" s="6"/>
      <c r="M484" s="6"/>
      <c r="N484" s="6"/>
      <c r="O484" s="6"/>
    </row>
    <row r="485" spans="1:15">
      <c r="A485" s="6"/>
      <c r="H485" s="246"/>
      <c r="I485" s="6"/>
      <c r="J485" s="6"/>
      <c r="K485" s="6"/>
      <c r="L485" s="6"/>
      <c r="M485" s="6"/>
      <c r="N485" s="6"/>
      <c r="O485" s="6"/>
    </row>
    <row r="486" spans="1:15">
      <c r="A486" s="6"/>
      <c r="H486" s="246"/>
      <c r="I486" s="6"/>
      <c r="J486" s="6"/>
      <c r="K486" s="6"/>
      <c r="L486" s="6"/>
      <c r="M486" s="6"/>
      <c r="N486" s="6"/>
      <c r="O486" s="6"/>
    </row>
    <row r="487" spans="1:15">
      <c r="A487" s="6"/>
      <c r="H487" s="246"/>
      <c r="I487" s="6"/>
      <c r="J487" s="6"/>
      <c r="K487" s="6"/>
      <c r="L487" s="6"/>
      <c r="M487" s="6"/>
      <c r="N487" s="6"/>
      <c r="O487" s="6"/>
    </row>
    <row r="488" spans="1:15">
      <c r="A488" s="6"/>
      <c r="H488" s="246"/>
      <c r="I488" s="6"/>
      <c r="J488" s="6"/>
      <c r="K488" s="6"/>
      <c r="L488" s="6"/>
      <c r="M488" s="6"/>
      <c r="N488" s="6"/>
      <c r="O488" s="6"/>
    </row>
    <row r="489" spans="1:15">
      <c r="A489" s="6"/>
      <c r="H489" s="246"/>
      <c r="I489" s="6"/>
      <c r="J489" s="6"/>
      <c r="K489" s="6"/>
      <c r="L489" s="6"/>
      <c r="M489" s="6"/>
      <c r="N489" s="6"/>
      <c r="O489" s="6"/>
    </row>
    <row r="490" spans="1:15">
      <c r="A490" s="6"/>
      <c r="H490" s="246"/>
      <c r="I490" s="6"/>
      <c r="J490" s="6"/>
      <c r="K490" s="6"/>
      <c r="L490" s="6"/>
      <c r="M490" s="6"/>
      <c r="N490" s="6"/>
      <c r="O490" s="6"/>
    </row>
    <row r="491" spans="1:15">
      <c r="A491" s="6"/>
      <c r="H491" s="246"/>
      <c r="I491" s="6"/>
      <c r="J491" s="6"/>
      <c r="K491" s="6"/>
      <c r="L491" s="6"/>
      <c r="M491" s="6"/>
      <c r="N491" s="6"/>
      <c r="O491" s="6"/>
    </row>
    <row r="492" spans="1:15">
      <c r="A492" s="6"/>
      <c r="H492" s="246"/>
      <c r="I492" s="6"/>
      <c r="J492" s="6"/>
      <c r="K492" s="6"/>
      <c r="L492" s="6"/>
      <c r="M492" s="6"/>
      <c r="N492" s="6"/>
      <c r="O492" s="6"/>
    </row>
    <row r="493" spans="1:15">
      <c r="A493" s="6"/>
      <c r="H493" s="246"/>
      <c r="I493" s="6"/>
      <c r="J493" s="6"/>
      <c r="K493" s="6"/>
      <c r="L493" s="6"/>
      <c r="M493" s="6"/>
      <c r="N493" s="6"/>
      <c r="O493" s="6"/>
    </row>
    <row r="494" spans="1:15">
      <c r="A494" s="6"/>
      <c r="H494" s="246"/>
      <c r="I494" s="6"/>
      <c r="J494" s="6"/>
      <c r="K494" s="6"/>
      <c r="L494" s="6"/>
      <c r="M494" s="6"/>
      <c r="N494" s="6"/>
      <c r="O494" s="6"/>
    </row>
    <row r="495" spans="1:15">
      <c r="A495" s="6"/>
      <c r="H495" s="246"/>
      <c r="I495" s="6"/>
      <c r="J495" s="6"/>
      <c r="K495" s="6"/>
      <c r="L495" s="6"/>
      <c r="M495" s="6"/>
      <c r="N495" s="6"/>
      <c r="O495" s="6"/>
    </row>
    <row r="496" spans="1:15">
      <c r="A496" s="6"/>
      <c r="H496" s="246"/>
      <c r="I496" s="6"/>
      <c r="J496" s="6"/>
      <c r="K496" s="6"/>
      <c r="L496" s="6"/>
      <c r="M496" s="6"/>
      <c r="N496" s="6"/>
      <c r="O496" s="6"/>
    </row>
    <row r="497" spans="1:15">
      <c r="A497" s="6"/>
      <c r="H497" s="246"/>
      <c r="I497" s="6"/>
      <c r="J497" s="6"/>
      <c r="K497" s="6"/>
      <c r="L497" s="6"/>
      <c r="M497" s="6"/>
      <c r="N497" s="6"/>
      <c r="O497" s="6"/>
    </row>
    <row r="498" spans="1:15">
      <c r="A498" s="6"/>
      <c r="H498" s="246"/>
      <c r="I498" s="6"/>
      <c r="J498" s="6"/>
      <c r="K498" s="6"/>
      <c r="L498" s="6"/>
      <c r="M498" s="6"/>
      <c r="N498" s="6"/>
      <c r="O498" s="6"/>
    </row>
    <row r="499" spans="1:15">
      <c r="A499" s="6"/>
      <c r="H499" s="246"/>
      <c r="I499" s="6"/>
      <c r="J499" s="6"/>
      <c r="K499" s="6"/>
      <c r="L499" s="6"/>
      <c r="M499" s="6"/>
      <c r="N499" s="6"/>
      <c r="O499" s="6"/>
    </row>
    <row r="500" spans="1:15">
      <c r="A500" s="6"/>
      <c r="H500" s="246"/>
      <c r="I500" s="6"/>
      <c r="J500" s="6"/>
      <c r="K500" s="6"/>
      <c r="L500" s="6"/>
      <c r="M500" s="6"/>
      <c r="N500" s="6"/>
      <c r="O500" s="6"/>
    </row>
    <row r="501" spans="1:15">
      <c r="A501" s="6"/>
      <c r="H501" s="246"/>
      <c r="I501" s="6"/>
      <c r="J501" s="6"/>
      <c r="K501" s="6"/>
      <c r="L501" s="6"/>
      <c r="M501" s="6"/>
      <c r="N501" s="6"/>
      <c r="O501" s="6"/>
    </row>
    <row r="502" spans="1:15">
      <c r="A502" s="6"/>
      <c r="H502" s="246"/>
      <c r="I502" s="6"/>
      <c r="J502" s="6"/>
      <c r="K502" s="6"/>
      <c r="L502" s="6"/>
      <c r="M502" s="6"/>
      <c r="N502" s="6"/>
      <c r="O502" s="6"/>
    </row>
    <row r="503" spans="1:15">
      <c r="A503" s="6"/>
      <c r="H503" s="246"/>
      <c r="I503" s="6"/>
      <c r="J503" s="6"/>
      <c r="K503" s="6"/>
      <c r="L503" s="6"/>
      <c r="M503" s="6"/>
      <c r="N503" s="6"/>
      <c r="O503" s="6"/>
    </row>
    <row r="504" spans="1:15">
      <c r="A504" s="6"/>
      <c r="H504" s="246"/>
      <c r="I504" s="6"/>
      <c r="J504" s="6"/>
      <c r="K504" s="6"/>
      <c r="L504" s="6"/>
      <c r="M504" s="6"/>
      <c r="N504" s="6"/>
      <c r="O504" s="6"/>
    </row>
    <row r="505" spans="1:15">
      <c r="A505" s="6"/>
      <c r="H505" s="246"/>
      <c r="I505" s="6"/>
      <c r="J505" s="6"/>
      <c r="K505" s="6"/>
      <c r="L505" s="6"/>
      <c r="M505" s="6"/>
      <c r="N505" s="6"/>
      <c r="O505" s="6"/>
    </row>
    <row r="506" spans="1:15">
      <c r="A506" s="6"/>
      <c r="H506" s="246"/>
      <c r="I506" s="6"/>
      <c r="J506" s="6"/>
      <c r="K506" s="6"/>
      <c r="L506" s="6"/>
      <c r="M506" s="6"/>
      <c r="N506" s="6"/>
      <c r="O506" s="6"/>
    </row>
    <row r="507" spans="1:15">
      <c r="A507" s="6"/>
      <c r="H507" s="246"/>
      <c r="I507" s="6"/>
      <c r="J507" s="6"/>
      <c r="K507" s="6"/>
      <c r="L507" s="6"/>
      <c r="M507" s="6"/>
      <c r="N507" s="6"/>
      <c r="O507" s="6"/>
    </row>
    <row r="508" spans="1:15">
      <c r="A508" s="6"/>
      <c r="H508" s="246"/>
      <c r="I508" s="6"/>
      <c r="J508" s="6"/>
      <c r="K508" s="6"/>
      <c r="L508" s="6"/>
      <c r="M508" s="6"/>
      <c r="N508" s="6"/>
      <c r="O508" s="6"/>
    </row>
    <row r="509" spans="1:15">
      <c r="A509" s="6"/>
      <c r="H509" s="246"/>
      <c r="I509" s="6"/>
      <c r="J509" s="6"/>
      <c r="K509" s="6"/>
      <c r="L509" s="6"/>
      <c r="M509" s="6"/>
      <c r="N509" s="6"/>
      <c r="O509" s="6"/>
    </row>
    <row r="510" spans="1:15">
      <c r="A510" s="6"/>
      <c r="H510" s="246"/>
      <c r="I510" s="6"/>
      <c r="J510" s="6"/>
      <c r="K510" s="6"/>
      <c r="L510" s="6"/>
      <c r="M510" s="6"/>
      <c r="N510" s="6"/>
      <c r="O510" s="6"/>
    </row>
    <row r="511" spans="1:15">
      <c r="A511" s="6"/>
      <c r="H511" s="246"/>
      <c r="I511" s="6"/>
      <c r="J511" s="6"/>
      <c r="K511" s="6"/>
      <c r="L511" s="6"/>
      <c r="M511" s="6"/>
      <c r="N511" s="6"/>
      <c r="O511" s="6"/>
    </row>
    <row r="512" spans="1:15">
      <c r="A512" s="6"/>
      <c r="H512" s="246"/>
      <c r="I512" s="6"/>
      <c r="J512" s="6"/>
      <c r="K512" s="6"/>
      <c r="L512" s="6"/>
      <c r="M512" s="6"/>
      <c r="N512" s="6"/>
      <c r="O512" s="6"/>
    </row>
    <row r="513" spans="1:15">
      <c r="A513" s="6"/>
      <c r="H513" s="246"/>
      <c r="I513" s="6"/>
      <c r="J513" s="6"/>
      <c r="K513" s="6"/>
      <c r="L513" s="6"/>
      <c r="M513" s="6"/>
      <c r="N513" s="6"/>
      <c r="O513" s="6"/>
    </row>
    <row r="514" spans="1:15">
      <c r="A514" s="6"/>
      <c r="H514" s="246"/>
      <c r="I514" s="6"/>
      <c r="J514" s="6"/>
      <c r="K514" s="6"/>
      <c r="L514" s="6"/>
      <c r="M514" s="6"/>
      <c r="N514" s="6"/>
      <c r="O514" s="6"/>
    </row>
    <row r="515" spans="1:15">
      <c r="A515" s="6"/>
      <c r="H515" s="246"/>
      <c r="I515" s="6"/>
      <c r="J515" s="6"/>
      <c r="K515" s="6"/>
      <c r="L515" s="6"/>
      <c r="M515" s="6"/>
      <c r="N515" s="6"/>
      <c r="O515" s="6"/>
    </row>
    <row r="516" spans="1:15">
      <c r="A516" s="6"/>
      <c r="H516" s="246"/>
      <c r="I516" s="6"/>
      <c r="J516" s="6"/>
      <c r="K516" s="6"/>
      <c r="L516" s="6"/>
      <c r="M516" s="6"/>
      <c r="N516" s="6"/>
      <c r="O516" s="6"/>
    </row>
    <row r="517" spans="1:15">
      <c r="A517" s="6"/>
      <c r="H517" s="246"/>
      <c r="I517" s="6"/>
      <c r="J517" s="6"/>
      <c r="K517" s="6"/>
      <c r="L517" s="6"/>
      <c r="M517" s="6"/>
      <c r="N517" s="6"/>
      <c r="O517" s="6"/>
    </row>
    <row r="518" spans="1:15">
      <c r="A518" s="6"/>
      <c r="H518" s="246"/>
      <c r="I518" s="6"/>
      <c r="J518" s="6"/>
      <c r="K518" s="6"/>
      <c r="L518" s="6"/>
      <c r="M518" s="6"/>
      <c r="N518" s="6"/>
      <c r="O518" s="6"/>
    </row>
    <row r="519" spans="1:15">
      <c r="A519" s="6"/>
      <c r="H519" s="246"/>
      <c r="I519" s="6"/>
      <c r="J519" s="6"/>
      <c r="K519" s="6"/>
      <c r="L519" s="6"/>
      <c r="M519" s="6"/>
      <c r="N519" s="6"/>
      <c r="O519" s="6"/>
    </row>
    <row r="520" spans="1:15">
      <c r="A520" s="6"/>
      <c r="H520" s="246"/>
      <c r="I520" s="6"/>
      <c r="J520" s="6"/>
      <c r="K520" s="6"/>
      <c r="L520" s="6"/>
      <c r="M520" s="6"/>
      <c r="N520" s="6"/>
      <c r="O520" s="6"/>
    </row>
    <row r="521" spans="1:15">
      <c r="A521" s="6"/>
      <c r="H521" s="246"/>
      <c r="I521" s="6"/>
      <c r="J521" s="6"/>
      <c r="K521" s="6"/>
      <c r="L521" s="6"/>
      <c r="M521" s="6"/>
      <c r="N521" s="6"/>
      <c r="O521" s="6"/>
    </row>
    <row r="522" spans="1:15">
      <c r="A522" s="6"/>
      <c r="H522" s="246"/>
      <c r="I522" s="6"/>
      <c r="J522" s="6"/>
      <c r="K522" s="6"/>
      <c r="L522" s="6"/>
      <c r="M522" s="6"/>
      <c r="N522" s="6"/>
      <c r="O522" s="6"/>
    </row>
    <row r="523" spans="1:15">
      <c r="A523" s="6"/>
      <c r="H523" s="246"/>
      <c r="I523" s="6"/>
      <c r="J523" s="6"/>
      <c r="K523" s="6"/>
      <c r="L523" s="6"/>
      <c r="M523" s="6"/>
      <c r="N523" s="6"/>
      <c r="O523" s="6"/>
    </row>
    <row r="524" spans="1:15">
      <c r="A524" s="6"/>
      <c r="H524" s="246"/>
      <c r="I524" s="6"/>
      <c r="J524" s="6"/>
      <c r="K524" s="6"/>
      <c r="L524" s="6"/>
      <c r="M524" s="6"/>
      <c r="N524" s="6"/>
      <c r="O524" s="6"/>
    </row>
    <row r="525" spans="1:15">
      <c r="A525" s="6"/>
      <c r="H525" s="246"/>
      <c r="I525" s="6"/>
      <c r="J525" s="6"/>
      <c r="K525" s="6"/>
      <c r="L525" s="6"/>
      <c r="M525" s="6"/>
      <c r="N525" s="6"/>
      <c r="O525" s="6"/>
    </row>
    <row r="526" spans="1:15">
      <c r="A526" s="6"/>
      <c r="H526" s="246"/>
      <c r="I526" s="6"/>
      <c r="J526" s="6"/>
      <c r="K526" s="6"/>
      <c r="L526" s="6"/>
      <c r="M526" s="6"/>
      <c r="N526" s="6"/>
      <c r="O526" s="6"/>
    </row>
    <row r="527" spans="1:15">
      <c r="A527" s="6"/>
      <c r="H527" s="246"/>
      <c r="I527" s="6"/>
      <c r="J527" s="6"/>
      <c r="K527" s="6"/>
      <c r="L527" s="6"/>
      <c r="M527" s="6"/>
      <c r="N527" s="6"/>
      <c r="O527" s="6"/>
    </row>
    <row r="528" spans="1:15">
      <c r="A528" s="6"/>
      <c r="H528" s="246"/>
      <c r="I528" s="6"/>
      <c r="J528" s="6"/>
      <c r="K528" s="6"/>
      <c r="L528" s="6"/>
      <c r="M528" s="6"/>
      <c r="N528" s="6"/>
      <c r="O528" s="6"/>
    </row>
    <row r="529" spans="1:15">
      <c r="A529" s="6"/>
      <c r="H529" s="246"/>
      <c r="I529" s="6"/>
      <c r="J529" s="6"/>
      <c r="K529" s="6"/>
      <c r="L529" s="6"/>
      <c r="M529" s="6"/>
      <c r="N529" s="6"/>
      <c r="O529" s="6"/>
    </row>
    <row r="530" spans="1:15">
      <c r="A530" s="6"/>
      <c r="H530" s="246"/>
      <c r="I530" s="6"/>
      <c r="J530" s="6"/>
      <c r="K530" s="6"/>
      <c r="L530" s="6"/>
      <c r="M530" s="6"/>
      <c r="N530" s="6"/>
      <c r="O530" s="6"/>
    </row>
    <row r="531" spans="1:15">
      <c r="A531" s="6"/>
      <c r="H531" s="246"/>
      <c r="I531" s="6"/>
      <c r="J531" s="6"/>
      <c r="K531" s="6"/>
      <c r="L531" s="6"/>
      <c r="M531" s="6"/>
      <c r="N531" s="6"/>
      <c r="O531" s="6"/>
    </row>
    <row r="532" spans="1:15">
      <c r="A532" s="6"/>
      <c r="H532" s="246"/>
      <c r="I532" s="6"/>
      <c r="J532" s="6"/>
      <c r="K532" s="6"/>
      <c r="L532" s="6"/>
      <c r="M532" s="6"/>
      <c r="N532" s="6"/>
      <c r="O532" s="6"/>
    </row>
    <row r="533" spans="1:15">
      <c r="A533" s="6"/>
      <c r="H533" s="246"/>
      <c r="I533" s="6"/>
      <c r="J533" s="6"/>
      <c r="K533" s="6"/>
      <c r="L533" s="6"/>
      <c r="M533" s="6"/>
      <c r="N533" s="6"/>
      <c r="O533" s="6"/>
    </row>
    <row r="534" spans="1:15">
      <c r="A534" s="6"/>
      <c r="H534" s="246"/>
      <c r="I534" s="6"/>
      <c r="J534" s="6"/>
      <c r="K534" s="6"/>
      <c r="L534" s="6"/>
      <c r="M534" s="6"/>
      <c r="N534" s="6"/>
      <c r="O534" s="6"/>
    </row>
    <row r="535" spans="1:15">
      <c r="A535" s="6"/>
      <c r="H535" s="246"/>
      <c r="I535" s="6"/>
      <c r="J535" s="6"/>
      <c r="K535" s="6"/>
      <c r="L535" s="6"/>
      <c r="M535" s="6"/>
      <c r="N535" s="6"/>
      <c r="O535" s="6"/>
    </row>
    <row r="536" spans="1:15">
      <c r="A536" s="6"/>
      <c r="H536" s="246"/>
      <c r="I536" s="6"/>
      <c r="J536" s="6"/>
      <c r="K536" s="6"/>
      <c r="L536" s="6"/>
      <c r="M536" s="6"/>
      <c r="N536" s="6"/>
      <c r="O536" s="6"/>
    </row>
    <row r="537" spans="1:15">
      <c r="A537" s="6"/>
      <c r="H537" s="246"/>
      <c r="I537" s="6"/>
      <c r="J537" s="6"/>
      <c r="K537" s="6"/>
      <c r="L537" s="6"/>
      <c r="M537" s="6"/>
      <c r="N537" s="6"/>
      <c r="O537" s="6"/>
    </row>
    <row r="538" spans="1:15">
      <c r="A538" s="6"/>
      <c r="H538" s="246"/>
      <c r="I538" s="6"/>
      <c r="J538" s="6"/>
      <c r="K538" s="6"/>
      <c r="L538" s="6"/>
      <c r="M538" s="6"/>
      <c r="N538" s="6"/>
      <c r="O538" s="6"/>
    </row>
    <row r="539" spans="1:15">
      <c r="A539" s="6"/>
      <c r="H539" s="246"/>
      <c r="I539" s="6"/>
      <c r="J539" s="6"/>
      <c r="K539" s="6"/>
      <c r="L539" s="6"/>
      <c r="M539" s="6"/>
      <c r="N539" s="6"/>
      <c r="O539" s="6"/>
    </row>
    <row r="540" spans="1:15">
      <c r="A540" s="6"/>
      <c r="H540" s="246"/>
      <c r="I540" s="6"/>
      <c r="J540" s="6"/>
      <c r="K540" s="6"/>
      <c r="L540" s="6"/>
      <c r="M540" s="6"/>
      <c r="N540" s="6"/>
      <c r="O540" s="6"/>
    </row>
    <row r="541" spans="1:15">
      <c r="A541" s="6"/>
      <c r="H541" s="246"/>
      <c r="I541" s="6"/>
      <c r="J541" s="6"/>
      <c r="K541" s="6"/>
      <c r="L541" s="6"/>
      <c r="M541" s="6"/>
      <c r="N541" s="6"/>
      <c r="O541" s="6"/>
    </row>
    <row r="542" spans="1:15">
      <c r="A542" s="6"/>
      <c r="H542" s="246"/>
      <c r="I542" s="6"/>
      <c r="J542" s="6"/>
      <c r="K542" s="6"/>
      <c r="L542" s="6"/>
      <c r="M542" s="6"/>
      <c r="N542" s="6"/>
      <c r="O542" s="6"/>
    </row>
    <row r="543" spans="1:15">
      <c r="A543" s="6"/>
      <c r="H543" s="246"/>
      <c r="I543" s="6"/>
      <c r="J543" s="6"/>
      <c r="K543" s="6"/>
      <c r="L543" s="6"/>
      <c r="M543" s="6"/>
      <c r="N543" s="6"/>
      <c r="O543" s="6"/>
    </row>
    <row r="544" spans="1:15">
      <c r="A544" s="6"/>
      <c r="H544" s="246"/>
      <c r="I544" s="6"/>
      <c r="J544" s="6"/>
      <c r="K544" s="6"/>
      <c r="L544" s="6"/>
      <c r="M544" s="6"/>
      <c r="N544" s="6"/>
      <c r="O544" s="6"/>
    </row>
    <row r="545" spans="1:15">
      <c r="A545" s="6"/>
      <c r="H545" s="246"/>
      <c r="I545" s="6"/>
      <c r="J545" s="6"/>
      <c r="K545" s="6"/>
      <c r="L545" s="6"/>
      <c r="M545" s="6"/>
      <c r="N545" s="6"/>
      <c r="O545" s="6"/>
    </row>
    <row r="546" spans="1:15">
      <c r="A546" s="6"/>
      <c r="H546" s="246"/>
      <c r="I546" s="6"/>
      <c r="J546" s="6"/>
      <c r="K546" s="6"/>
      <c r="L546" s="6"/>
      <c r="M546" s="6"/>
      <c r="N546" s="6"/>
      <c r="O546" s="6"/>
    </row>
    <row r="547" spans="1:15">
      <c r="A547" s="6"/>
      <c r="H547" s="246"/>
      <c r="I547" s="6"/>
      <c r="J547" s="6"/>
      <c r="K547" s="6"/>
      <c r="L547" s="6"/>
      <c r="M547" s="6"/>
      <c r="N547" s="6"/>
      <c r="O547" s="6"/>
    </row>
    <row r="548" spans="1:15">
      <c r="A548" s="6"/>
      <c r="H548" s="246"/>
      <c r="I548" s="6"/>
      <c r="J548" s="6"/>
      <c r="K548" s="6"/>
      <c r="L548" s="6"/>
      <c r="M548" s="6"/>
      <c r="N548" s="6"/>
      <c r="O548" s="6"/>
    </row>
    <row r="549" spans="1:15">
      <c r="A549" s="6"/>
      <c r="H549" s="246"/>
      <c r="I549" s="6"/>
      <c r="J549" s="6"/>
      <c r="K549" s="6"/>
      <c r="L549" s="6"/>
      <c r="M549" s="6"/>
      <c r="N549" s="6"/>
      <c r="O549" s="6"/>
    </row>
    <row r="550" spans="1:15">
      <c r="A550" s="6"/>
      <c r="H550" s="246"/>
      <c r="I550" s="6"/>
      <c r="J550" s="6"/>
      <c r="K550" s="6"/>
      <c r="L550" s="6"/>
      <c r="M550" s="6"/>
      <c r="N550" s="6"/>
      <c r="O550" s="6"/>
    </row>
    <row r="551" spans="1:15">
      <c r="A551" s="6"/>
      <c r="H551" s="246"/>
      <c r="I551" s="6"/>
      <c r="J551" s="6"/>
      <c r="K551" s="6"/>
      <c r="L551" s="6"/>
      <c r="M551" s="6"/>
      <c r="N551" s="6"/>
      <c r="O551" s="6"/>
    </row>
    <row r="552" spans="1:15">
      <c r="A552" s="6"/>
      <c r="H552" s="246"/>
      <c r="I552" s="6"/>
      <c r="J552" s="6"/>
      <c r="K552" s="6"/>
      <c r="L552" s="6"/>
      <c r="M552" s="6"/>
      <c r="N552" s="6"/>
      <c r="O552" s="6"/>
    </row>
    <row r="553" spans="1:15">
      <c r="A553" s="6"/>
      <c r="H553" s="246"/>
      <c r="I553" s="6"/>
      <c r="J553" s="6"/>
      <c r="K553" s="6"/>
      <c r="L553" s="6"/>
      <c r="M553" s="6"/>
      <c r="N553" s="6"/>
      <c r="O553" s="6"/>
    </row>
    <row r="554" spans="1:15">
      <c r="A554" s="6"/>
      <c r="H554" s="246"/>
      <c r="I554" s="6"/>
      <c r="J554" s="6"/>
      <c r="K554" s="6"/>
      <c r="L554" s="6"/>
      <c r="M554" s="6"/>
      <c r="N554" s="6"/>
      <c r="O554" s="6"/>
    </row>
    <row r="555" spans="1:15">
      <c r="A555" s="6"/>
      <c r="H555" s="246"/>
      <c r="I555" s="6"/>
      <c r="J555" s="6"/>
      <c r="K555" s="6"/>
      <c r="L555" s="6"/>
      <c r="M555" s="6"/>
      <c r="N555" s="6"/>
      <c r="O555" s="6"/>
    </row>
    <row r="556" spans="1:15">
      <c r="A556" s="6"/>
      <c r="H556" s="246"/>
      <c r="I556" s="6"/>
      <c r="J556" s="6"/>
      <c r="K556" s="6"/>
      <c r="L556" s="6"/>
      <c r="M556" s="6"/>
      <c r="N556" s="6"/>
      <c r="O556" s="6"/>
    </row>
    <row r="557" spans="1:15">
      <c r="A557" s="6"/>
      <c r="H557" s="246"/>
      <c r="I557" s="6"/>
      <c r="J557" s="6"/>
      <c r="K557" s="6"/>
      <c r="L557" s="6"/>
      <c r="M557" s="6"/>
      <c r="N557" s="6"/>
      <c r="O557" s="6"/>
    </row>
    <row r="558" spans="1:15">
      <c r="A558" s="6"/>
      <c r="H558" s="246"/>
      <c r="I558" s="6"/>
      <c r="J558" s="6"/>
      <c r="K558" s="6"/>
      <c r="L558" s="6"/>
      <c r="M558" s="6"/>
      <c r="N558" s="6"/>
      <c r="O558" s="6"/>
    </row>
    <row r="559" spans="1:15">
      <c r="A559" s="6"/>
      <c r="H559" s="246"/>
      <c r="I559" s="6"/>
      <c r="J559" s="6"/>
      <c r="K559" s="6"/>
      <c r="L559" s="6"/>
      <c r="M559" s="6"/>
      <c r="N559" s="6"/>
      <c r="O559" s="6"/>
    </row>
    <row r="560" spans="1:15">
      <c r="A560" s="6"/>
      <c r="H560" s="246"/>
      <c r="I560" s="6"/>
      <c r="J560" s="6"/>
      <c r="K560" s="6"/>
      <c r="L560" s="6"/>
      <c r="M560" s="6"/>
      <c r="N560" s="6"/>
      <c r="O560" s="6"/>
    </row>
    <row r="561" spans="1:15">
      <c r="A561" s="6"/>
      <c r="H561" s="246"/>
      <c r="I561" s="6"/>
      <c r="J561" s="6"/>
      <c r="K561" s="6"/>
      <c r="L561" s="6"/>
      <c r="M561" s="6"/>
      <c r="N561" s="6"/>
      <c r="O561" s="6"/>
    </row>
    <row r="562" spans="1:15">
      <c r="A562" s="6"/>
      <c r="H562" s="246"/>
      <c r="I562" s="6"/>
      <c r="J562" s="6"/>
      <c r="K562" s="6"/>
      <c r="L562" s="6"/>
      <c r="M562" s="6"/>
      <c r="N562" s="6"/>
      <c r="O562" s="6"/>
    </row>
    <row r="563" spans="1:15">
      <c r="A563" s="6"/>
      <c r="H563" s="246"/>
      <c r="I563" s="6"/>
      <c r="J563" s="6"/>
      <c r="K563" s="6"/>
      <c r="L563" s="6"/>
      <c r="M563" s="6"/>
      <c r="N563" s="6"/>
      <c r="O563" s="6"/>
    </row>
    <row r="564" spans="1:15">
      <c r="A564" s="6"/>
      <c r="H564" s="246"/>
      <c r="I564" s="6"/>
      <c r="J564" s="6"/>
      <c r="K564" s="6"/>
      <c r="L564" s="6"/>
      <c r="M564" s="6"/>
      <c r="N564" s="6"/>
      <c r="O564" s="6"/>
    </row>
  </sheetData>
  <sheetProtection algorithmName="SHA-512" hashValue="DI43pVM1l8iig9POGdo7xtCU2HNISdlhjthl+l/CyMQT6tzl+SCM3lJKRG0U9Ksg/imxFrDsgwR71N+11rSEeg==" saltValue="nmCAvMWsCrGvFGP/LDn8ew==" spinCount="100000" sheet="1" formatColumns="0"/>
  <customSheetViews>
    <customSheetView guid="{72D97B72-4F31-4935-B383-181115A2573C}" scale="88" hiddenRows="1">
      <selection activeCell="D27" sqref="D27"/>
      <rowBreaks count="4" manualBreakCount="4">
        <brk id="64" max="14" man="1"/>
        <brk id="134" max="14" man="1"/>
        <brk id="196" max="14" man="1"/>
        <brk id="265" max="14" man="1"/>
      </rowBreaks>
      <pageMargins left="0.91" right="0.42" top="0.28999999999999998" bottom="0.33" header="0.18" footer="0.16"/>
      <pageSetup paperSize="9" scale="64" orientation="landscape"/>
      <headerFooter alignWithMargins="0">
        <oddHeader>&amp;F&amp;RSeite &amp;P</oddHeader>
      </headerFooter>
    </customSheetView>
    <customSheetView guid="{27A951D1-C3FC-484C-B83E-FA121C9E6D3A}" scale="88" hiddenRows="1">
      <selection activeCell="D27" sqref="D27"/>
      <rowBreaks count="4" manualBreakCount="4">
        <brk id="64" max="14" man="1"/>
        <brk id="134" max="14" man="1"/>
        <brk id="196" max="14" man="1"/>
        <brk id="265" max="14" man="1"/>
      </rowBreaks>
      <pageMargins left="0.91" right="0.42" top="0.28999999999999998" bottom="0.33" header="0.18" footer="0.16"/>
      <pageSetup paperSize="9" scale="64" orientation="landscape"/>
      <headerFooter alignWithMargins="0">
        <oddHeader>&amp;F&amp;RSeite &amp;P</oddHeader>
      </headerFooter>
    </customSheetView>
  </customSheetViews>
  <phoneticPr fontId="0" type="noConversion"/>
  <dataValidations xWindow="212" yWindow="455" count="10">
    <dataValidation allowBlank="1" showInputMessage="1" showErrorMessage="1" prompt="Darunter zählen zum Beispiel:_x000a_Wegpauschaulen für längere Anfahrtszeiten; Rüstpauschalen für längere Rüstzeiten auf Hof und Feld." sqref="M38" xr:uid="{58AF0050-A95F-444D-BF18-3999BAEAEE45}"/>
    <dataValidation type="list" allowBlank="1" showInputMessage="1" showErrorMessage="1" sqref="F27 M213 F153 M93 F93 M153 M27 F213" xr:uid="{AC427DE3-9E9B-4618-9417-4349C6E08152}">
      <formula1>$U$5:$U$6</formula1>
    </dataValidation>
    <dataValidation type="list" allowBlank="1" showInputMessage="1" showErrorMessage="1" prompt="Sélectionnez une machine avec le code dans la feuille &quot;Maschinenliste&quot; ou dans le rapport ART. " sqref="L135 L195 L75 D135 D75 D9 D195 L9" xr:uid="{F4165CF0-8F8F-456F-8EC3-4DBE0CE60AB5}">
      <formula1>Code</formula1>
    </dataValidation>
    <dataValidation allowBlank="1" showInputMessage="1" showErrorMessage="1" prompt="Suppléments pour temps de trajet, pour la préparation de la machine sur la ferme ou sur le champ et pour l'administration." sqref="F38" xr:uid="{838CAABA-E905-4F9A-A556-F8DEEFBA7CEA}"/>
    <dataValidation allowBlank="1" showInputMessage="1" showErrorMessage="1" prompt="Il faut élever cette valeur pour les machines d'occasion ou pour les machines qui sont déjà amortisées." sqref="F35" xr:uid="{B35AF10A-8971-44C3-BA9B-96BE99B99793}"/>
    <dataValidation allowBlank="1" showInputMessage="1" showErrorMessage="1" prompt="Quelle es la fréquence d'utilisation? (approximation)_x000a_Saisie en UT (heures, hectares, m3, charretées etc.) par an." sqref="F28" xr:uid="{3A0F9A15-B071-4BAF-98F6-53BAAC799D54}"/>
    <dataValidation allowBlank="1" showInputMessage="1" showErrorMessage="1" prompt="Quel travail est effectué? Travails avec un haut degrée de charge: p.e. charrue, chisel &gt; degré de charge = 60%; avec un bas degré de charge:   Semer, rouler, pirouette, andaineur, transports légers &gt; degré de charge = 20%. " sqref="F34" xr:uid="{C1A88F70-9708-4D8E-A339-92CED4C7E85B}"/>
    <dataValidation allowBlank="1" showInputMessage="1" showErrorMessage="1" prompt="Combien la valeur d'échange peut être estimer après la durée d'amortissment?" sqref="F33" xr:uid="{08C0492B-00C3-4987-A3E2-60BDB5E53FB5}"/>
    <dataValidation allowBlank="1" showInputMessage="1" showErrorMessage="1" prompt="Après combien d'unités de travail (h, ha, ch, bal etc.) la machine est abîmée? (durée d'utilisation technique à partir de laquelle les coûts de réparation sont disproportionnés). " sqref="F30" xr:uid="{FCB2C588-83FA-4A0F-90EF-D42C47393B15}"/>
    <dataValidation allowBlank="1" showInputMessage="1" showErrorMessage="1" prompt="Après combien d'années la machine est surannée? (Dépend du progrès technique)" sqref="F29" xr:uid="{2EBC40A9-612B-4C85-A2A2-0FEAB2FE7F42}"/>
  </dataValidations>
  <hyperlinks>
    <hyperlink ref="B251" location="résumé!A1" display="Résumé (Combinaison de machines avec opérateur)" xr:uid="{18AB1388-C8BF-49D8-AA9A-70C726D8CD5C}"/>
    <hyperlink ref="C67" location="B79" display="B79" xr:uid="{42749B31-1834-4001-B9A1-8FE6C7AB4747}"/>
    <hyperlink ref="C68" location="B140" display="B140" xr:uid="{9E4908A2-C884-4A4F-B8BC-60285F5A66E3}"/>
    <hyperlink ref="C69" location="B201" display="B201" xr:uid="{576C0B92-C609-47D9-A2A2-0B017E4C4121}"/>
    <hyperlink ref="J67" location="Maschinen_berechnen!I79" display="Maschinen_berechnen!I79" xr:uid="{541F4FD3-55DA-4D34-A770-20A363AB540E}"/>
    <hyperlink ref="J68" location="Maschinen_berechnen!I140" display="Maschinen_berechnen!I140" xr:uid="{C8E0249E-4B92-4619-9E35-B8BA1B060A12}"/>
    <hyperlink ref="J69" location="Maschinen_berechnen!I201" display="Maschinen_berechnen!I201" xr:uid="{F88AC354-6116-4743-AE11-FA77A52C6667}"/>
  </hyperlinks>
  <pageMargins left="0.91" right="0.42" top="0.28999999999999998" bottom="0.33" header="0.18" footer="0.16"/>
  <pageSetup paperSize="9" scale="64" orientation="landscape" r:id="rId1"/>
  <headerFooter alignWithMargins="0">
    <oddHeader>&amp;F&amp;RSeite &amp;P</oddHeader>
  </headerFooter>
  <rowBreaks count="3" manualBreakCount="3">
    <brk id="62" max="14" man="1"/>
    <brk id="130" max="14" man="1"/>
    <brk id="190" max="1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00B050"/>
  </sheetPr>
  <dimension ref="A1:V146"/>
  <sheetViews>
    <sheetView showZeros="0" zoomScaleNormal="100" workbookViewId="0">
      <selection activeCell="G79" sqref="G79"/>
    </sheetView>
  </sheetViews>
  <sheetFormatPr baseColWidth="10" defaultColWidth="10.85546875" defaultRowHeight="12.75"/>
  <cols>
    <col min="1" max="1" width="2.28515625" style="6" customWidth="1"/>
    <col min="2" max="2" width="29.85546875" style="6" customWidth="1"/>
    <col min="3" max="3" width="10.140625" style="6" customWidth="1"/>
    <col min="4" max="4" width="11.28515625" style="6" customWidth="1"/>
    <col min="5" max="7" width="10.85546875" style="6"/>
    <col min="8" max="8" width="4.28515625" style="6" customWidth="1"/>
    <col min="9" max="9" width="11.42578125" style="6" customWidth="1"/>
    <col min="10" max="10" width="12.85546875" style="6" customWidth="1"/>
    <col min="11" max="11" width="10.85546875" style="6"/>
    <col min="12" max="12" width="10.42578125" style="6" customWidth="1"/>
    <col min="13" max="13" width="10.7109375" style="6" customWidth="1"/>
    <col min="14" max="14" width="11.140625" style="6" customWidth="1"/>
    <col min="15" max="15" width="10.85546875" style="6"/>
    <col min="16" max="16" width="11.42578125" style="6" customWidth="1"/>
    <col min="17" max="16384" width="10.85546875" style="6"/>
  </cols>
  <sheetData>
    <row r="1" spans="1:22" ht="27">
      <c r="A1" s="301" t="str">
        <f>'Calcul des machines'!A1</f>
        <v>TractoScope - Programme de calcul Coûts-machines</v>
      </c>
      <c r="P1"/>
      <c r="Q1"/>
      <c r="R1"/>
      <c r="S1"/>
      <c r="T1"/>
      <c r="U1"/>
      <c r="V1"/>
    </row>
    <row r="2" spans="1:22" ht="18">
      <c r="A2" s="192" t="str">
        <f>lire!A2</f>
        <v xml:space="preserve"> (Agroscope, Tänikon - V. 5.8/2025)</v>
      </c>
      <c r="P2"/>
      <c r="Q2"/>
      <c r="R2"/>
      <c r="S2"/>
      <c r="T2"/>
      <c r="U2"/>
      <c r="V2"/>
    </row>
    <row r="3" spans="1:22" ht="18">
      <c r="A3" s="192"/>
      <c r="P3"/>
      <c r="Q3"/>
      <c r="R3"/>
      <c r="S3"/>
      <c r="T3"/>
      <c r="U3"/>
      <c r="V3"/>
    </row>
    <row r="4" spans="1:22" ht="18">
      <c r="A4" s="250" t="s">
        <v>551</v>
      </c>
      <c r="I4" s="250" t="s">
        <v>552</v>
      </c>
      <c r="J4" s="187"/>
      <c r="K4" s="207"/>
      <c r="P4"/>
      <c r="Q4"/>
      <c r="R4"/>
      <c r="S4"/>
      <c r="T4"/>
      <c r="U4"/>
      <c r="V4"/>
    </row>
    <row r="5" spans="1:22" ht="18">
      <c r="A5" s="192"/>
      <c r="F5" s="187" t="s">
        <v>508</v>
      </c>
      <c r="G5" s="206">
        <f ca="1">NOW()</f>
        <v>45911.373451157408</v>
      </c>
      <c r="P5"/>
      <c r="Q5"/>
      <c r="R5"/>
      <c r="S5"/>
      <c r="T5"/>
      <c r="U5"/>
      <c r="V5"/>
    </row>
    <row r="6" spans="1:22" ht="18">
      <c r="A6" s="192"/>
      <c r="B6" s="6" t="s">
        <v>553</v>
      </c>
      <c r="I6" s="192"/>
      <c r="J6" s="6" t="s">
        <v>553</v>
      </c>
      <c r="P6"/>
      <c r="Q6"/>
      <c r="R6"/>
      <c r="S6"/>
      <c r="T6"/>
      <c r="U6"/>
      <c r="V6"/>
    </row>
    <row r="7" spans="1:22" ht="18">
      <c r="A7" s="192"/>
      <c r="B7" s="236"/>
      <c r="C7" s="209"/>
      <c r="D7" s="237"/>
      <c r="I7" s="192"/>
      <c r="J7" s="236"/>
      <c r="K7" s="209"/>
      <c r="L7" s="237"/>
      <c r="P7"/>
      <c r="Q7"/>
      <c r="R7"/>
      <c r="S7"/>
      <c r="T7"/>
      <c r="U7"/>
      <c r="V7"/>
    </row>
    <row r="8" spans="1:22" ht="18">
      <c r="A8" s="192"/>
      <c r="B8" s="208"/>
      <c r="C8" s="187" t="s">
        <v>554</v>
      </c>
      <c r="D8" s="228">
        <f>IF(E$8="hectares",'Calcul des machines'!D81/100,'Calcul des machines'!D81)</f>
        <v>35</v>
      </c>
      <c r="E8" s="863" t="str">
        <f>IF(ISERROR(VLOOKUP('Calcul des machines'!D75,Spez!$O$4:$O$45,1,0)),'Calcul des machines'!C78,"Charretées")</f>
        <v>m3</v>
      </c>
      <c r="F8" s="6" t="str">
        <f>'Calcul des machines'!F81</f>
        <v>par heure</v>
      </c>
      <c r="I8" s="192"/>
      <c r="J8" s="208"/>
      <c r="K8" s="187" t="s">
        <v>554</v>
      </c>
      <c r="L8" s="228">
        <f>IF(M$8="hectares",'Calcul des machines'!L81/100,'Calcul des machines'!L81)</f>
        <v>30.6</v>
      </c>
      <c r="M8" s="863" t="str">
        <f>IF(ISERROR(VLOOKUP('Calcul des machines'!L75,Spez!$O$4:$O$45,1,0)),'Calcul des machines'!K78,"Charretées")</f>
        <v>m3</v>
      </c>
      <c r="N8" s="6" t="str">
        <f>'Calcul des machines'!N81</f>
        <v>par heure</v>
      </c>
      <c r="P8"/>
      <c r="Q8"/>
      <c r="R8"/>
      <c r="S8"/>
      <c r="T8"/>
      <c r="U8"/>
      <c r="V8"/>
    </row>
    <row r="9" spans="1:22" ht="18">
      <c r="A9" s="192"/>
      <c r="B9" s="208"/>
      <c r="C9" s="187" t="s">
        <v>555</v>
      </c>
      <c r="D9" s="232"/>
      <c r="E9" s="187" t="str">
        <f>E8</f>
        <v>m3</v>
      </c>
      <c r="F9" s="6" t="str">
        <f>F8</f>
        <v>par heure</v>
      </c>
      <c r="G9" s="196"/>
      <c r="H9" s="196"/>
      <c r="I9" s="192"/>
      <c r="J9" s="208"/>
      <c r="K9" s="187" t="s">
        <v>555</v>
      </c>
      <c r="L9" s="232"/>
      <c r="M9" s="187" t="str">
        <f>M8</f>
        <v>m3</v>
      </c>
      <c r="N9" s="6" t="str">
        <f>N8</f>
        <v>par heure</v>
      </c>
      <c r="O9" s="196"/>
      <c r="P9"/>
      <c r="Q9"/>
      <c r="R9"/>
      <c r="S9"/>
      <c r="T9"/>
      <c r="U9"/>
      <c r="V9"/>
    </row>
    <row r="10" spans="1:22" ht="18">
      <c r="A10" s="192"/>
      <c r="B10" s="187"/>
      <c r="C10" s="187" t="s">
        <v>556</v>
      </c>
      <c r="D10" s="298">
        <f>IF(LEN(D9)&gt;0,D9,D8)</f>
        <v>35</v>
      </c>
      <c r="E10" s="187" t="str">
        <f>E8</f>
        <v>m3</v>
      </c>
      <c r="F10" s="6" t="str">
        <f>F8</f>
        <v>par heure</v>
      </c>
      <c r="I10" s="192"/>
      <c r="J10" s="187"/>
      <c r="K10" s="187" t="s">
        <v>556</v>
      </c>
      <c r="L10" s="298">
        <f>IF(LEN(L9)&gt;0,L9,L8)</f>
        <v>30.6</v>
      </c>
      <c r="M10" s="187" t="str">
        <f>M8</f>
        <v>m3</v>
      </c>
      <c r="N10" s="6" t="str">
        <f>N8</f>
        <v>par heure</v>
      </c>
      <c r="P10"/>
      <c r="Q10"/>
      <c r="R10"/>
      <c r="S10"/>
      <c r="T10"/>
      <c r="U10"/>
      <c r="V10"/>
    </row>
    <row r="11" spans="1:22" s="277" customFormat="1" ht="18.75" thickBot="1">
      <c r="A11" s="275"/>
      <c r="B11" s="276"/>
      <c r="C11" s="282"/>
      <c r="E11" s="276"/>
      <c r="F11" s="246"/>
      <c r="G11" s="246"/>
      <c r="H11" s="246"/>
      <c r="I11" s="275"/>
      <c r="J11" s="276"/>
      <c r="K11" s="282"/>
      <c r="M11" s="276"/>
      <c r="N11" s="246"/>
      <c r="O11" s="246"/>
      <c r="P11"/>
      <c r="Q11"/>
      <c r="R11"/>
      <c r="S11"/>
      <c r="T11"/>
      <c r="U11"/>
      <c r="V11"/>
    </row>
    <row r="12" spans="1:22" ht="18.75" thickBot="1">
      <c r="A12" s="266"/>
      <c r="B12" s="274" t="s">
        <v>557</v>
      </c>
      <c r="C12" s="267"/>
      <c r="D12" s="268"/>
      <c r="E12" s="267"/>
      <c r="F12" s="249"/>
      <c r="G12" s="191"/>
      <c r="H12" s="246"/>
      <c r="I12" s="266"/>
      <c r="J12" s="274" t="s">
        <v>557</v>
      </c>
      <c r="K12" s="267"/>
      <c r="L12" s="268"/>
      <c r="M12" s="267"/>
      <c r="N12" s="249"/>
      <c r="O12" s="191"/>
      <c r="P12"/>
      <c r="Q12"/>
      <c r="R12"/>
      <c r="S12"/>
      <c r="T12"/>
      <c r="U12"/>
      <c r="V12"/>
    </row>
    <row r="13" spans="1:22" ht="18">
      <c r="A13" s="269"/>
      <c r="B13" s="187"/>
      <c r="C13" s="187"/>
      <c r="D13" s="210" t="s">
        <v>558</v>
      </c>
      <c r="E13" s="191"/>
      <c r="F13" s="257" t="s">
        <v>559</v>
      </c>
      <c r="G13" s="258"/>
      <c r="H13" s="246"/>
      <c r="I13" s="269"/>
      <c r="J13" s="187"/>
      <c r="K13" s="187"/>
      <c r="L13" s="210" t="s">
        <v>558</v>
      </c>
      <c r="M13" s="191"/>
      <c r="N13" s="257" t="s">
        <v>559</v>
      </c>
      <c r="O13" s="258"/>
      <c r="P13"/>
      <c r="Q13"/>
      <c r="R13"/>
      <c r="S13"/>
      <c r="T13"/>
      <c r="U13"/>
      <c r="V13"/>
    </row>
    <row r="14" spans="1:22" ht="18.75" thickBot="1">
      <c r="A14" s="269"/>
      <c r="B14" s="187"/>
      <c r="C14" s="187" t="s">
        <v>560</v>
      </c>
      <c r="D14" s="224" t="s">
        <v>561</v>
      </c>
      <c r="E14" s="225" t="str">
        <f>$E$8</f>
        <v>m3</v>
      </c>
      <c r="F14" s="224" t="s">
        <v>561</v>
      </c>
      <c r="G14" s="225" t="str">
        <f>E14</f>
        <v>m3</v>
      </c>
      <c r="H14" s="253"/>
      <c r="I14" s="269"/>
      <c r="J14" s="187"/>
      <c r="K14" s="187" t="s">
        <v>560</v>
      </c>
      <c r="L14" s="224" t="s">
        <v>561</v>
      </c>
      <c r="M14" s="225" t="str">
        <f>$M$8</f>
        <v>m3</v>
      </c>
      <c r="N14" s="224" t="s">
        <v>561</v>
      </c>
      <c r="O14" s="225" t="str">
        <f>M14</f>
        <v>m3</v>
      </c>
      <c r="P14"/>
      <c r="Q14"/>
      <c r="R14"/>
      <c r="S14"/>
      <c r="T14"/>
      <c r="U14"/>
      <c r="V14"/>
    </row>
    <row r="15" spans="1:22" ht="18">
      <c r="A15" s="269"/>
      <c r="B15" s="187"/>
      <c r="C15" s="187" t="s">
        <v>562</v>
      </c>
      <c r="D15" s="226"/>
      <c r="E15" s="864">
        <f>IF(E14="heures (h)",E55+E67+E79,0)</f>
        <v>0</v>
      </c>
      <c r="F15" s="226"/>
      <c r="G15" s="864">
        <f>IF(G14="heures (h)",G55+G67+G79,0)</f>
        <v>0</v>
      </c>
      <c r="H15" s="247"/>
      <c r="I15" s="269"/>
      <c r="J15" s="187"/>
      <c r="K15" s="187" t="s">
        <v>562</v>
      </c>
      <c r="L15" s="226"/>
      <c r="M15" s="864">
        <f>IF(M14="heures (h)",M55+M67+M79,0)</f>
        <v>0</v>
      </c>
      <c r="N15" s="226"/>
      <c r="O15" s="864">
        <f>IF(O14="heures (h)",O55+O67+O79,0)</f>
        <v>0</v>
      </c>
      <c r="P15"/>
      <c r="Q15"/>
      <c r="R15"/>
      <c r="S15"/>
      <c r="T15"/>
      <c r="U15"/>
      <c r="V15"/>
    </row>
    <row r="16" spans="1:22" ht="18">
      <c r="A16" s="269"/>
      <c r="B16" s="187"/>
      <c r="C16" s="270" t="s">
        <v>563</v>
      </c>
      <c r="D16" s="259">
        <f>D29+D41+D55+D67+D79+E15</f>
        <v>201.68890512232417</v>
      </c>
      <c r="E16" s="260">
        <f>IF(E14="heures (h)",0,E29+E41+E55+E67+E79)</f>
        <v>5.7625401463521193</v>
      </c>
      <c r="F16" s="259">
        <f>F29+F41+F55+F67+F79+G15</f>
        <v>201.68890512232417</v>
      </c>
      <c r="G16" s="260">
        <f>IF(G14="heures (h)",0,G29+G41+G55+G67+G79)</f>
        <v>5.7625401463521193</v>
      </c>
      <c r="H16" s="254"/>
      <c r="I16" s="269"/>
      <c r="J16" s="187"/>
      <c r="K16" s="270" t="s">
        <v>563</v>
      </c>
      <c r="L16" s="259">
        <f>L29+L41+L55+L67+L79+M15</f>
        <v>94.5080524761905</v>
      </c>
      <c r="M16" s="260">
        <f>IF(M14="heures (h)",0,M29+M41+M55+M67+M79)</f>
        <v>3.0884984469343295</v>
      </c>
      <c r="N16" s="259">
        <f>N29+N41+N55+N67+N79+O15</f>
        <v>94.5080524761905</v>
      </c>
      <c r="O16" s="260">
        <f>IF(O14="heures (h)",0,O29+O41+O55+O67+O79)</f>
        <v>3.0884984469343295</v>
      </c>
      <c r="P16"/>
      <c r="Q16"/>
      <c r="R16"/>
      <c r="S16"/>
      <c r="T16"/>
      <c r="U16"/>
      <c r="V16"/>
    </row>
    <row r="17" spans="1:22" ht="18">
      <c r="A17" s="269"/>
      <c r="B17" s="187"/>
      <c r="C17" s="187" t="s">
        <v>564</v>
      </c>
      <c r="D17" s="261"/>
      <c r="E17" s="262"/>
      <c r="F17" s="261"/>
      <c r="G17" s="262"/>
      <c r="H17" s="265"/>
      <c r="I17" s="269"/>
      <c r="J17" s="187"/>
      <c r="K17" s="187" t="s">
        <v>564</v>
      </c>
      <c r="L17" s="261"/>
      <c r="M17" s="262"/>
      <c r="N17" s="261"/>
      <c r="O17" s="262"/>
      <c r="P17"/>
      <c r="Q17"/>
      <c r="R17"/>
      <c r="S17"/>
      <c r="T17"/>
      <c r="U17"/>
      <c r="V17"/>
    </row>
    <row r="18" spans="1:22" ht="18.75" thickBot="1">
      <c r="A18" s="269"/>
      <c r="B18" s="187"/>
      <c r="C18" s="187" t="s">
        <v>565</v>
      </c>
      <c r="D18" s="263">
        <f>D16+D17</f>
        <v>201.68890512232417</v>
      </c>
      <c r="E18" s="264">
        <f>E16+E17</f>
        <v>5.7625401463521193</v>
      </c>
      <c r="F18" s="263">
        <f>F16+F17</f>
        <v>201.68890512232417</v>
      </c>
      <c r="G18" s="299">
        <f>G16+G17</f>
        <v>5.7625401463521193</v>
      </c>
      <c r="H18" s="255"/>
      <c r="I18" s="269"/>
      <c r="J18" s="187"/>
      <c r="K18" s="187" t="s">
        <v>565</v>
      </c>
      <c r="L18" s="263">
        <f>L16+L17</f>
        <v>94.5080524761905</v>
      </c>
      <c r="M18" s="264">
        <f>M16+M17</f>
        <v>3.0884984469343295</v>
      </c>
      <c r="N18" s="263">
        <f>N16+N17</f>
        <v>94.5080524761905</v>
      </c>
      <c r="O18" s="264">
        <f>O16+O17</f>
        <v>3.0884984469343295</v>
      </c>
      <c r="P18"/>
      <c r="Q18"/>
      <c r="R18"/>
      <c r="S18"/>
      <c r="T18"/>
      <c r="U18"/>
      <c r="V18"/>
    </row>
    <row r="19" spans="1:22" ht="18.75" thickBot="1">
      <c r="A19" s="271"/>
      <c r="B19" s="272"/>
      <c r="C19" s="272"/>
      <c r="D19" s="273"/>
      <c r="E19" s="272"/>
      <c r="F19" s="238"/>
      <c r="G19" s="245"/>
      <c r="H19" s="246"/>
      <c r="I19" s="271"/>
      <c r="J19" s="272"/>
      <c r="K19" s="272"/>
      <c r="L19" s="273"/>
      <c r="M19" s="272"/>
      <c r="N19" s="238"/>
      <c r="O19" s="245"/>
      <c r="P19"/>
      <c r="Q19"/>
      <c r="R19"/>
      <c r="S19"/>
      <c r="T19"/>
      <c r="U19"/>
      <c r="V19"/>
    </row>
    <row r="20" spans="1:22" s="277" customFormat="1" ht="16.5" customHeight="1" thickBot="1">
      <c r="A20" s="275"/>
      <c r="B20" s="276"/>
      <c r="C20" s="276"/>
      <c r="D20" s="253"/>
      <c r="E20" s="276"/>
      <c r="F20" s="246"/>
      <c r="G20" s="246"/>
      <c r="H20" s="246"/>
      <c r="I20" s="275"/>
      <c r="J20" s="276"/>
      <c r="K20" s="276"/>
      <c r="L20" s="253"/>
      <c r="M20" s="276"/>
      <c r="N20" s="246"/>
      <c r="O20" s="246"/>
      <c r="P20"/>
      <c r="Q20"/>
      <c r="R20"/>
      <c r="S20"/>
      <c r="T20"/>
      <c r="U20"/>
      <c r="V20"/>
    </row>
    <row r="21" spans="1:22" ht="18">
      <c r="A21" s="266" t="s">
        <v>566</v>
      </c>
      <c r="B21" s="292"/>
      <c r="C21" s="267" t="s">
        <v>567</v>
      </c>
      <c r="D21" s="278">
        <v>1</v>
      </c>
      <c r="E21" s="865" t="s">
        <v>568</v>
      </c>
      <c r="F21" s="249"/>
      <c r="G21" s="191"/>
      <c r="H21" s="246"/>
      <c r="I21" s="266" t="s">
        <v>566</v>
      </c>
      <c r="J21" s="292"/>
      <c r="K21" s="267" t="s">
        <v>567</v>
      </c>
      <c r="L21" s="278">
        <v>1</v>
      </c>
      <c r="M21" s="865" t="s">
        <v>568</v>
      </c>
      <c r="N21" s="249"/>
      <c r="O21" s="191"/>
      <c r="P21"/>
      <c r="Q21"/>
      <c r="R21"/>
      <c r="S21"/>
      <c r="T21"/>
      <c r="U21"/>
      <c r="V21"/>
    </row>
    <row r="22" spans="1:22" ht="18.75" thickBot="1">
      <c r="A22" s="269"/>
      <c r="B22" s="187"/>
      <c r="C22" s="187"/>
      <c r="D22" s="10"/>
      <c r="E22" s="187"/>
      <c r="G22" s="189"/>
      <c r="H22" s="246"/>
      <c r="I22" s="269"/>
      <c r="J22" s="187"/>
      <c r="K22" s="187"/>
      <c r="L22" s="10"/>
      <c r="M22" s="187"/>
      <c r="O22" s="189"/>
      <c r="P22"/>
      <c r="Q22"/>
      <c r="R22"/>
      <c r="S22"/>
      <c r="T22"/>
      <c r="U22"/>
      <c r="V22"/>
    </row>
    <row r="23" spans="1:22">
      <c r="A23" s="200"/>
      <c r="B23" s="187"/>
      <c r="C23" s="187"/>
      <c r="D23" s="210" t="str">
        <f>D$13</f>
        <v>Valeur indicative Agroscope</v>
      </c>
      <c r="E23" s="249"/>
      <c r="F23" s="257" t="str">
        <f>F$13</f>
        <v>Variante personnelle</v>
      </c>
      <c r="G23" s="258"/>
      <c r="H23" s="246"/>
      <c r="I23" s="200"/>
      <c r="J23" s="187"/>
      <c r="K23" s="187"/>
      <c r="L23" s="210" t="str">
        <f>L$13</f>
        <v>Valeur indicative Agroscope</v>
      </c>
      <c r="M23" s="249"/>
      <c r="N23" s="257" t="str">
        <f>N$13</f>
        <v>Variante personnelle</v>
      </c>
      <c r="O23" s="258"/>
      <c r="P23"/>
      <c r="Q23"/>
      <c r="R23"/>
      <c r="S23"/>
      <c r="T23"/>
      <c r="U23"/>
      <c r="V23"/>
    </row>
    <row r="24" spans="1:22" ht="18">
      <c r="A24" s="269"/>
      <c r="B24" s="187"/>
      <c r="C24" s="187" t="s">
        <v>516</v>
      </c>
      <c r="D24" s="211" t="str">
        <f>D$14</f>
        <v>Heure</v>
      </c>
      <c r="E24" s="188" t="str">
        <f>E$14</f>
        <v>m3</v>
      </c>
      <c r="F24" s="211" t="str">
        <f>F$14</f>
        <v>Heure</v>
      </c>
      <c r="G24" s="212" t="str">
        <f>G$14</f>
        <v>m3</v>
      </c>
      <c r="H24" s="253"/>
      <c r="I24" s="269"/>
      <c r="J24" s="187"/>
      <c r="K24" s="187" t="s">
        <v>516</v>
      </c>
      <c r="L24" s="211" t="str">
        <f>L$14</f>
        <v>Heure</v>
      </c>
      <c r="M24" s="188" t="str">
        <f>M$14</f>
        <v>m3</v>
      </c>
      <c r="N24" s="211" t="str">
        <f>N$14</f>
        <v>Heure</v>
      </c>
      <c r="O24" s="212" t="str">
        <f>O$14</f>
        <v>m3</v>
      </c>
      <c r="P24"/>
      <c r="Q24"/>
      <c r="R24"/>
      <c r="S24"/>
      <c r="T24"/>
      <c r="U24"/>
      <c r="V24"/>
    </row>
    <row r="25" spans="1:22">
      <c r="A25" s="866">
        <v>1</v>
      </c>
      <c r="B25" s="187"/>
      <c r="C25" s="187" t="s">
        <v>569</v>
      </c>
      <c r="D25" s="219">
        <v>31</v>
      </c>
      <c r="E25" s="251">
        <f>IF(E$24="heures (h)","",D25/$D$10)</f>
        <v>0.88571428571428568</v>
      </c>
      <c r="F25" s="400">
        <f>D25</f>
        <v>31</v>
      </c>
      <c r="G25" s="220">
        <f>IF(G$24="heures (h)","",F25/$D$10)</f>
        <v>0.88571428571428568</v>
      </c>
      <c r="H25" s="256"/>
      <c r="I25" s="867">
        <v>1</v>
      </c>
      <c r="J25" s="187"/>
      <c r="K25" s="187" t="s">
        <v>569</v>
      </c>
      <c r="L25" s="219">
        <v>31</v>
      </c>
      <c r="M25" s="251">
        <f>IF(M$24="heures (h)","",L25/$L$10)</f>
        <v>1.0130718954248366</v>
      </c>
      <c r="N25" s="400">
        <f>L25</f>
        <v>31</v>
      </c>
      <c r="O25" s="220">
        <f>IF(O$24="heures (h)","",N25/$L$10)</f>
        <v>1.0130718954248366</v>
      </c>
      <c r="P25"/>
      <c r="Q25"/>
      <c r="R25"/>
      <c r="S25"/>
      <c r="T25"/>
      <c r="U25"/>
      <c r="V25"/>
    </row>
    <row r="26" spans="1:22">
      <c r="A26" s="866">
        <v>2</v>
      </c>
      <c r="B26" s="187"/>
      <c r="C26" s="187" t="s">
        <v>570</v>
      </c>
      <c r="D26" s="219">
        <v>52</v>
      </c>
      <c r="E26" s="251">
        <f>IF(E$24="heures (h)","",D26/$D$10)</f>
        <v>1.4857142857142858</v>
      </c>
      <c r="F26" s="400">
        <f>D26</f>
        <v>52</v>
      </c>
      <c r="G26" s="220">
        <f>IF(G$24="heures (h)","",F26/$D$10)</f>
        <v>1.4857142857142858</v>
      </c>
      <c r="H26" s="256"/>
      <c r="I26" s="867">
        <v>2</v>
      </c>
      <c r="J26" s="187"/>
      <c r="K26" s="187" t="s">
        <v>570</v>
      </c>
      <c r="L26" s="219">
        <v>52</v>
      </c>
      <c r="M26" s="251">
        <f>IF(M$24="heures (h)","",L26/$L$10)</f>
        <v>1.6993464052287581</v>
      </c>
      <c r="N26" s="400">
        <f>L26</f>
        <v>52</v>
      </c>
      <c r="O26" s="220">
        <f>IF(O$24="heures (h)","",N26/$L$10)</f>
        <v>1.6993464052287581</v>
      </c>
      <c r="P26"/>
      <c r="Q26"/>
      <c r="R26"/>
      <c r="S26"/>
      <c r="T26"/>
      <c r="U26"/>
      <c r="V26"/>
    </row>
    <row r="27" spans="1:22" ht="13.5" thickBot="1">
      <c r="A27" s="866">
        <v>3</v>
      </c>
      <c r="B27" s="187"/>
      <c r="C27" s="187" t="s">
        <v>571</v>
      </c>
      <c r="D27" s="221">
        <v>70</v>
      </c>
      <c r="E27" s="252">
        <f>IF(E$24="heures (h)","",D27/$D$10)</f>
        <v>2</v>
      </c>
      <c r="F27" s="868">
        <f>D27</f>
        <v>70</v>
      </c>
      <c r="G27" s="222">
        <f>IF(G$24="heures (h)","",F27/$D$10)</f>
        <v>2</v>
      </c>
      <c r="H27" s="256"/>
      <c r="I27" s="867">
        <v>3</v>
      </c>
      <c r="J27" s="187"/>
      <c r="K27" s="187" t="s">
        <v>571</v>
      </c>
      <c r="L27" s="221">
        <v>70</v>
      </c>
      <c r="M27" s="252">
        <f>IF(M$24="heures (h)","",L27/$L$10)</f>
        <v>2.2875816993464051</v>
      </c>
      <c r="N27" s="868">
        <f>L27</f>
        <v>70</v>
      </c>
      <c r="O27" s="222">
        <f>IF(O$24="heures (h)","",N27/$L$10)</f>
        <v>2.2875816993464051</v>
      </c>
      <c r="P27"/>
      <c r="Q27"/>
      <c r="R27"/>
      <c r="S27"/>
      <c r="T27"/>
      <c r="U27"/>
      <c r="V27"/>
    </row>
    <row r="28" spans="1:22" ht="18.75" thickBot="1">
      <c r="A28" s="269"/>
      <c r="B28" s="187"/>
      <c r="C28" s="187"/>
      <c r="D28" s="10"/>
      <c r="E28" s="187"/>
      <c r="G28" s="189"/>
      <c r="H28" s="246"/>
      <c r="I28" s="269"/>
      <c r="J28" s="187"/>
      <c r="K28" s="187"/>
      <c r="L28" s="10"/>
      <c r="M28" s="187"/>
      <c r="O28" s="189"/>
      <c r="P28"/>
      <c r="Q28"/>
      <c r="R28"/>
      <c r="S28"/>
      <c r="T28"/>
      <c r="U28"/>
      <c r="V28"/>
    </row>
    <row r="29" spans="1:22" ht="18.75" thickBot="1">
      <c r="A29" s="269"/>
      <c r="B29" s="187"/>
      <c r="C29" s="239"/>
      <c r="D29" s="223">
        <f>VLOOKUP(D$21,$A$25:$G$27,4,0)</f>
        <v>31</v>
      </c>
      <c r="E29" s="223">
        <f>VLOOKUP(D$21,$A$25:$G$27,5,0)</f>
        <v>0.88571428571428568</v>
      </c>
      <c r="F29" s="223">
        <f>VLOOKUP(D$21,$A$25:$G$27,6,0)</f>
        <v>31</v>
      </c>
      <c r="G29" s="229">
        <f>VLOOKUP(D$21,$A$25:$G$27,7,0)</f>
        <v>0.88571428571428568</v>
      </c>
      <c r="H29" s="248"/>
      <c r="I29" s="269"/>
      <c r="J29" s="187"/>
      <c r="K29" s="239"/>
      <c r="L29" s="223">
        <f>VLOOKUP(L$21,$I$25:$O$27,4,0)</f>
        <v>31</v>
      </c>
      <c r="M29" s="223">
        <f>VLOOKUP(L$21,$I$25:$O$27,5,0)</f>
        <v>1.0130718954248366</v>
      </c>
      <c r="N29" s="223">
        <f>VLOOKUP(L$21,$I$25:$O$27,6,0)</f>
        <v>31</v>
      </c>
      <c r="O29" s="229">
        <f>VLOOKUP(L$21,$I$25:$O$27,7,0)</f>
        <v>1.0130718954248366</v>
      </c>
      <c r="P29"/>
      <c r="Q29"/>
      <c r="R29"/>
      <c r="S29"/>
      <c r="T29"/>
      <c r="U29"/>
      <c r="V29"/>
    </row>
    <row r="30" spans="1:22" ht="18.75" thickBot="1">
      <c r="A30" s="271"/>
      <c r="B30" s="279"/>
      <c r="C30" s="238"/>
      <c r="D30" s="238"/>
      <c r="E30" s="238"/>
      <c r="F30" s="238"/>
      <c r="G30" s="245"/>
      <c r="H30" s="246"/>
      <c r="I30" s="271"/>
      <c r="J30" s="279"/>
      <c r="K30" s="238"/>
      <c r="L30" s="238"/>
      <c r="M30" s="238"/>
      <c r="N30" s="238"/>
      <c r="O30" s="245"/>
      <c r="P30"/>
      <c r="Q30"/>
      <c r="R30"/>
      <c r="S30"/>
      <c r="T30"/>
      <c r="U30"/>
      <c r="V30"/>
    </row>
    <row r="31" spans="1:22" s="277" customFormat="1" ht="18.75" thickBot="1">
      <c r="A31" s="275"/>
      <c r="B31" s="280"/>
      <c r="C31" s="246"/>
      <c r="D31" s="246"/>
      <c r="E31" s="246"/>
      <c r="F31" s="246"/>
      <c r="G31" s="246"/>
      <c r="H31" s="246"/>
      <c r="I31" s="275"/>
      <c r="J31" s="280"/>
      <c r="K31" s="246"/>
      <c r="L31" s="246"/>
      <c r="M31" s="246"/>
      <c r="N31" s="246"/>
      <c r="O31" s="246"/>
      <c r="P31"/>
      <c r="Q31"/>
      <c r="R31"/>
      <c r="S31"/>
      <c r="T31"/>
      <c r="U31"/>
      <c r="V31"/>
    </row>
    <row r="32" spans="1:22" ht="18">
      <c r="A32" s="266" t="s">
        <v>572</v>
      </c>
      <c r="B32" s="249"/>
      <c r="C32" s="249"/>
      <c r="D32" s="249"/>
      <c r="E32" s="249"/>
      <c r="F32" s="249"/>
      <c r="G32" s="191"/>
      <c r="H32" s="246"/>
      <c r="I32" s="266" t="s">
        <v>573</v>
      </c>
      <c r="J32" s="249"/>
      <c r="K32" s="249"/>
      <c r="L32" s="249"/>
      <c r="M32" s="249"/>
      <c r="N32" s="249"/>
      <c r="O32" s="191"/>
      <c r="P32"/>
      <c r="Q32"/>
      <c r="R32"/>
      <c r="S32"/>
      <c r="T32"/>
      <c r="U32"/>
      <c r="V32"/>
    </row>
    <row r="33" spans="1:22" ht="15.75">
      <c r="A33" s="283">
        <f>'Calcul des machines'!B9</f>
        <v>0</v>
      </c>
      <c r="B33" s="201"/>
      <c r="C33" s="202"/>
      <c r="D33" s="203"/>
      <c r="E33" s="204"/>
      <c r="G33" s="189"/>
      <c r="H33" s="246"/>
      <c r="I33" s="283">
        <f>'Calcul des machines'!I9</f>
        <v>0</v>
      </c>
      <c r="J33" s="201"/>
      <c r="K33" s="202"/>
      <c r="L33" s="203"/>
      <c r="M33" s="204"/>
      <c r="O33" s="189"/>
      <c r="P33"/>
      <c r="Q33"/>
      <c r="R33"/>
      <c r="S33"/>
      <c r="T33"/>
      <c r="U33"/>
      <c r="V33"/>
    </row>
    <row r="34" spans="1:22" ht="15.75">
      <c r="A34" s="284"/>
      <c r="B34" s="199" t="str">
        <f>'Calcul des machines'!B10</f>
        <v>Tracteur 105–124 kW (143–169 ch)</v>
      </c>
      <c r="C34" s="186"/>
      <c r="D34" s="869" t="str">
        <f>IF('Calcul des machines'!G12&gt;0,"avec roues jumelées","")</f>
        <v/>
      </c>
      <c r="E34" s="118"/>
      <c r="G34" s="189"/>
      <c r="H34" s="246"/>
      <c r="I34" s="284"/>
      <c r="J34" s="199" t="str">
        <f>'Calcul des machines'!I10</f>
        <v>Citerne 6000 l, avec rampe d'épandage à tuyaux souples, 12 m</v>
      </c>
      <c r="K34" s="186"/>
      <c r="L34" s="205"/>
      <c r="M34" s="118"/>
      <c r="O34" s="189"/>
      <c r="P34"/>
      <c r="Q34"/>
      <c r="R34"/>
      <c r="S34"/>
      <c r="T34"/>
      <c r="U34"/>
      <c r="V34"/>
    </row>
    <row r="35" spans="1:22" ht="13.5" thickBot="1">
      <c r="A35" s="190"/>
      <c r="B35"/>
      <c r="D35" s="10"/>
      <c r="G35" s="189"/>
      <c r="H35" s="246"/>
      <c r="I35" s="190"/>
      <c r="J35"/>
      <c r="L35" s="10"/>
      <c r="O35" s="189"/>
      <c r="P35"/>
      <c r="Q35"/>
      <c r="R35"/>
      <c r="S35"/>
      <c r="T35"/>
      <c r="U35"/>
      <c r="V35"/>
    </row>
    <row r="36" spans="1:22" ht="15.75">
      <c r="A36" s="190"/>
      <c r="B36" s="208"/>
      <c r="D36" s="210" t="str">
        <f>D13</f>
        <v>Valeur indicative Agroscope</v>
      </c>
      <c r="E36" s="191"/>
      <c r="F36" s="257" t="str">
        <f>F13</f>
        <v>Variante personnelle</v>
      </c>
      <c r="G36" s="258"/>
      <c r="H36" s="246"/>
      <c r="I36" s="190"/>
      <c r="J36" s="208"/>
      <c r="L36" s="210" t="str">
        <f>L$13</f>
        <v>Valeur indicative Agroscope</v>
      </c>
      <c r="M36" s="249"/>
      <c r="N36" s="257" t="str">
        <f>N$13</f>
        <v>Variante personnelle</v>
      </c>
      <c r="O36" s="258"/>
      <c r="P36"/>
      <c r="Q36"/>
      <c r="R36"/>
      <c r="S36"/>
      <c r="T36"/>
      <c r="U36"/>
      <c r="V36"/>
    </row>
    <row r="37" spans="1:22" ht="15.75">
      <c r="A37" s="190"/>
      <c r="B37" s="208"/>
      <c r="C37" s="187" t="s">
        <v>560</v>
      </c>
      <c r="D37" s="211" t="str">
        <f>D$14</f>
        <v>Heure</v>
      </c>
      <c r="E37" s="188" t="str">
        <f>E$14</f>
        <v>m3</v>
      </c>
      <c r="F37" s="211" t="str">
        <f>F$14</f>
        <v>Heure</v>
      </c>
      <c r="G37" s="212" t="str">
        <f>G$14</f>
        <v>m3</v>
      </c>
      <c r="H37" s="253"/>
      <c r="I37" s="190"/>
      <c r="J37" s="208"/>
      <c r="K37" s="187" t="s">
        <v>560</v>
      </c>
      <c r="L37" s="211" t="str">
        <f>L$14</f>
        <v>Heure</v>
      </c>
      <c r="M37" s="188" t="str">
        <f>M$14</f>
        <v>m3</v>
      </c>
      <c r="N37" s="211" t="str">
        <f>N$14</f>
        <v>Heure</v>
      </c>
      <c r="O37" s="212" t="str">
        <f>O$14</f>
        <v>m3</v>
      </c>
      <c r="P37"/>
      <c r="Q37"/>
      <c r="R37"/>
      <c r="S37"/>
      <c r="T37"/>
      <c r="U37"/>
      <c r="V37"/>
    </row>
    <row r="38" spans="1:22" ht="15.75">
      <c r="A38" s="190"/>
      <c r="B38" s="208"/>
      <c r="C38" s="187" t="s">
        <v>574</v>
      </c>
      <c r="D38" s="213">
        <f>'Calcul des machines'!E45</f>
        <v>28.055636363636363</v>
      </c>
      <c r="E38" s="214"/>
      <c r="F38" s="213">
        <f>'Calcul des machines'!G45</f>
        <v>28.055636363636363</v>
      </c>
      <c r="G38" s="214"/>
      <c r="H38" s="246"/>
      <c r="I38" s="190"/>
      <c r="J38" s="208"/>
      <c r="K38" s="187" t="s">
        <v>574</v>
      </c>
      <c r="L38" s="213">
        <f>'Calcul des machines'!L45</f>
        <v>1.6975064935064934</v>
      </c>
      <c r="M38" s="214"/>
      <c r="N38" s="213">
        <f>'Calcul des machines'!N45</f>
        <v>1.6975064935064934</v>
      </c>
      <c r="O38" s="214"/>
      <c r="P38"/>
      <c r="Q38"/>
      <c r="R38"/>
      <c r="S38"/>
      <c r="T38"/>
      <c r="U38"/>
      <c r="V38"/>
    </row>
    <row r="39" spans="1:22" ht="15.75">
      <c r="A39" s="190"/>
      <c r="B39" s="208"/>
      <c r="C39" s="187" t="s">
        <v>575</v>
      </c>
      <c r="D39" s="213">
        <f>'Calcul des machines'!E50</f>
        <v>34.924228899082571</v>
      </c>
      <c r="E39" s="214"/>
      <c r="F39" s="213">
        <f>'Calcul des machines'!G50</f>
        <v>34.924228899082571</v>
      </c>
      <c r="G39" s="214"/>
      <c r="H39" s="246"/>
      <c r="I39" s="190"/>
      <c r="J39" s="208"/>
      <c r="K39" s="187" t="s">
        <v>575</v>
      </c>
      <c r="L39" s="213">
        <f>'Calcul des machines'!L50</f>
        <v>0.63249999999999995</v>
      </c>
      <c r="M39" s="214"/>
      <c r="N39" s="213">
        <f>'Calcul des machines'!N50</f>
        <v>0.63249999999999995</v>
      </c>
      <c r="O39" s="214"/>
      <c r="P39"/>
      <c r="Q39"/>
      <c r="R39"/>
      <c r="S39"/>
      <c r="T39"/>
      <c r="U39"/>
      <c r="V39"/>
    </row>
    <row r="40" spans="1:22" ht="15.75">
      <c r="A40" s="190"/>
      <c r="B40" s="208"/>
      <c r="C40" s="187" t="s">
        <v>576</v>
      </c>
      <c r="D40" s="215">
        <f>'Calcul des machines'!E52</f>
        <v>62.979865262718931</v>
      </c>
      <c r="E40" s="214"/>
      <c r="F40" s="215">
        <f>'Calcul des machines'!G52</f>
        <v>62.979865262718931</v>
      </c>
      <c r="G40" s="214"/>
      <c r="H40" s="246"/>
      <c r="I40" s="190"/>
      <c r="J40" s="208"/>
      <c r="K40" s="187" t="s">
        <v>576</v>
      </c>
      <c r="L40" s="215">
        <f>'Calcul des machines'!L52</f>
        <v>2.3300064935064935</v>
      </c>
      <c r="M40" s="214"/>
      <c r="N40" s="215">
        <f>'Calcul des machines'!N52</f>
        <v>2.3300064935064935</v>
      </c>
      <c r="O40" s="214"/>
      <c r="P40"/>
      <c r="Q40"/>
      <c r="R40"/>
      <c r="S40"/>
      <c r="T40"/>
      <c r="U40"/>
      <c r="V40"/>
    </row>
    <row r="41" spans="1:22" ht="16.5" thickBot="1">
      <c r="A41" s="190"/>
      <c r="B41" s="208"/>
      <c r="C41" s="239" t="s">
        <v>547</v>
      </c>
      <c r="D41" s="230">
        <f>'Calcul des machines'!E53</f>
        <v>69.27785178899083</v>
      </c>
      <c r="E41" s="231">
        <f>IF(E37="heures (h)","",D41/D10)</f>
        <v>1.9793671939711666</v>
      </c>
      <c r="F41" s="230">
        <f>'Calcul des machines'!G53</f>
        <v>69.27785178899083</v>
      </c>
      <c r="G41" s="231">
        <f>IF(G37="heures (h)","",F41/D10)</f>
        <v>1.9793671939711666</v>
      </c>
      <c r="H41" s="248"/>
      <c r="I41" s="190"/>
      <c r="J41" s="208"/>
      <c r="K41" s="239" t="s">
        <v>547</v>
      </c>
      <c r="L41" s="230">
        <f>'Calcul des machines'!L53</f>
        <v>2.5630071428571428</v>
      </c>
      <c r="M41" s="231">
        <f>IF(M37="heures (h)","",L41/L10)</f>
        <v>8.3758403361344533E-2</v>
      </c>
      <c r="N41" s="230">
        <f>'Calcul des machines'!N53</f>
        <v>2.5630071428571428</v>
      </c>
      <c r="O41" s="231">
        <f>IF(O37="heures (h)","",N41/L10)</f>
        <v>8.3758403361344533E-2</v>
      </c>
      <c r="P41"/>
      <c r="Q41"/>
      <c r="R41"/>
      <c r="S41"/>
      <c r="T41"/>
      <c r="U41"/>
      <c r="V41"/>
    </row>
    <row r="42" spans="1:22" ht="16.5" thickBot="1">
      <c r="A42" s="285"/>
      <c r="B42" s="286"/>
      <c r="C42" s="272"/>
      <c r="D42" s="287"/>
      <c r="E42" s="287"/>
      <c r="F42" s="287"/>
      <c r="G42" s="288"/>
      <c r="H42" s="248"/>
      <c r="I42" s="285"/>
      <c r="J42" s="286"/>
      <c r="K42" s="272"/>
      <c r="L42" s="287"/>
      <c r="M42" s="287"/>
      <c r="N42" s="287"/>
      <c r="O42" s="288"/>
      <c r="P42"/>
      <c r="Q42"/>
      <c r="R42"/>
      <c r="S42"/>
      <c r="T42"/>
      <c r="U42"/>
      <c r="V42"/>
    </row>
    <row r="43" spans="1:22" s="246" customFormat="1" ht="15.75">
      <c r="B43" s="281"/>
      <c r="D43" s="253"/>
      <c r="J43" s="281"/>
      <c r="L43" s="253"/>
      <c r="P43"/>
      <c r="Q43"/>
      <c r="R43"/>
      <c r="S43"/>
      <c r="T43"/>
      <c r="U43"/>
      <c r="V43"/>
    </row>
    <row r="44" spans="1:22" s="246" customFormat="1" ht="15.75">
      <c r="A44" s="293" t="s">
        <v>577</v>
      </c>
      <c r="B44" s="208"/>
      <c r="C44" s="6"/>
      <c r="D44" s="10"/>
      <c r="E44" s="6"/>
      <c r="F44" s="6"/>
      <c r="G44" s="6"/>
      <c r="H44" s="293" t="s">
        <v>577</v>
      </c>
      <c r="I44" s="6"/>
      <c r="J44" s="208"/>
      <c r="K44" s="6"/>
      <c r="L44" s="10"/>
      <c r="M44" s="6"/>
      <c r="N44" s="6"/>
      <c r="O44" s="6"/>
      <c r="P44"/>
      <c r="Q44"/>
      <c r="R44"/>
      <c r="S44"/>
      <c r="T44"/>
      <c r="U44"/>
      <c r="V44"/>
    </row>
    <row r="45" spans="1:22" s="246" customFormat="1" ht="16.5" thickBot="1">
      <c r="B45" s="281"/>
      <c r="D45" s="253"/>
      <c r="J45" s="281"/>
      <c r="L45" s="253"/>
      <c r="P45"/>
      <c r="Q45"/>
      <c r="R45"/>
      <c r="S45"/>
      <c r="T45"/>
      <c r="U45"/>
      <c r="V45"/>
    </row>
    <row r="46" spans="1:22" ht="18">
      <c r="A46" s="266" t="s">
        <v>578</v>
      </c>
      <c r="B46" s="289"/>
      <c r="C46" s="249"/>
      <c r="D46" s="268"/>
      <c r="E46" s="249"/>
      <c r="F46" s="249"/>
      <c r="G46" s="191"/>
      <c r="H46" s="246"/>
      <c r="I46" s="266" t="s">
        <v>579</v>
      </c>
      <c r="J46" s="289"/>
      <c r="K46" s="249"/>
      <c r="L46" s="268"/>
      <c r="M46" s="249"/>
      <c r="N46" s="249"/>
      <c r="O46" s="191"/>
      <c r="P46"/>
      <c r="Q46"/>
      <c r="R46"/>
      <c r="S46"/>
      <c r="T46"/>
      <c r="U46"/>
      <c r="V46"/>
    </row>
    <row r="47" spans="1:22" ht="15.75">
      <c r="A47" s="283">
        <f>'Calcul des machines'!B75</f>
        <v>0</v>
      </c>
      <c r="B47" s="201"/>
      <c r="C47" s="202"/>
      <c r="D47" s="203"/>
      <c r="E47" s="204"/>
      <c r="G47" s="189"/>
      <c r="H47" s="246"/>
      <c r="I47" s="283">
        <f>'Calcul des machines'!I75</f>
        <v>0</v>
      </c>
      <c r="J47" s="201"/>
      <c r="K47" s="202"/>
      <c r="L47" s="203"/>
      <c r="M47" s="204"/>
      <c r="O47" s="189"/>
      <c r="P47"/>
      <c r="Q47"/>
      <c r="R47"/>
      <c r="S47"/>
      <c r="T47"/>
      <c r="U47"/>
      <c r="V47"/>
    </row>
    <row r="48" spans="1:22" ht="15.75">
      <c r="A48" s="284"/>
      <c r="B48" s="199" t="str">
        <f>'Calcul des machines'!B76</f>
        <v>Citerne 15 000 l, avec rampe d'épandage à patins, 15 m</v>
      </c>
      <c r="C48" s="186"/>
      <c r="D48" s="205"/>
      <c r="E48" s="119"/>
      <c r="G48" s="189"/>
      <c r="H48" s="246"/>
      <c r="I48" s="284"/>
      <c r="J48" s="199" t="str">
        <f>'Calcul des machines'!I76</f>
        <v>Citerne 12 000 l, avec rampe d'épandage à tuyaux souples, 12 m</v>
      </c>
      <c r="K48" s="186"/>
      <c r="L48" s="205"/>
      <c r="M48" s="119"/>
      <c r="O48" s="189"/>
      <c r="P48"/>
      <c r="Q48"/>
      <c r="R48"/>
      <c r="S48"/>
      <c r="T48"/>
      <c r="U48"/>
      <c r="V48"/>
    </row>
    <row r="49" spans="1:22" ht="16.5" thickBot="1">
      <c r="A49" s="190"/>
      <c r="B49" s="208"/>
      <c r="D49" s="10"/>
      <c r="E49" s="118">
        <f>IF('Calcul des machines'!D75&gt;0,1,0)</f>
        <v>1</v>
      </c>
      <c r="G49" s="189"/>
      <c r="H49" s="246"/>
      <c r="I49" s="190"/>
      <c r="J49" s="208"/>
      <c r="L49" s="10"/>
      <c r="M49" s="118">
        <f>IF('Calcul des machines'!L75&gt;0,1,0)</f>
        <v>1</v>
      </c>
      <c r="O49" s="189"/>
      <c r="P49"/>
      <c r="Q49"/>
      <c r="R49"/>
      <c r="S49"/>
      <c r="T49"/>
      <c r="U49"/>
      <c r="V49"/>
    </row>
    <row r="50" spans="1:22" ht="15.75">
      <c r="A50" s="190"/>
      <c r="B50" s="208"/>
      <c r="D50" s="210" t="s">
        <v>410</v>
      </c>
      <c r="E50" s="191"/>
      <c r="F50" s="257" t="str">
        <f>F13</f>
        <v>Variante personnelle</v>
      </c>
      <c r="G50" s="258"/>
      <c r="H50" s="246"/>
      <c r="I50" s="190"/>
      <c r="J50" s="208"/>
      <c r="L50" s="210" t="str">
        <f>L$13</f>
        <v>Valeur indicative Agroscope</v>
      </c>
      <c r="M50" s="249"/>
      <c r="N50" s="257" t="str">
        <f>N$13</f>
        <v>Variante personnelle</v>
      </c>
      <c r="O50" s="258"/>
      <c r="P50"/>
      <c r="Q50"/>
      <c r="R50"/>
      <c r="S50"/>
      <c r="T50"/>
      <c r="U50"/>
      <c r="V50"/>
    </row>
    <row r="51" spans="1:22" ht="15.75">
      <c r="A51" s="190"/>
      <c r="B51" s="208"/>
      <c r="C51" s="187" t="str">
        <f>C$37</f>
        <v>Fr. par unité de travail en:</v>
      </c>
      <c r="D51" s="211" t="str">
        <f>D$14</f>
        <v>Heure</v>
      </c>
      <c r="E51" s="188" t="str">
        <f>E$14</f>
        <v>m3</v>
      </c>
      <c r="F51" s="211" t="str">
        <f>F$14</f>
        <v>Heure</v>
      </c>
      <c r="G51" s="212" t="str">
        <f>G$14</f>
        <v>m3</v>
      </c>
      <c r="H51" s="253"/>
      <c r="I51" s="190"/>
      <c r="J51" s="208"/>
      <c r="K51" s="187" t="str">
        <f>K$37</f>
        <v>Fr. par unité de travail en:</v>
      </c>
      <c r="L51" s="211" t="str">
        <f>L$14</f>
        <v>Heure</v>
      </c>
      <c r="M51" s="188" t="str">
        <f>M$14</f>
        <v>m3</v>
      </c>
      <c r="N51" s="211" t="str">
        <f>N$14</f>
        <v>Heure</v>
      </c>
      <c r="O51" s="212" t="str">
        <f>O$14</f>
        <v>m3</v>
      </c>
      <c r="P51"/>
      <c r="Q51"/>
      <c r="R51"/>
      <c r="S51"/>
      <c r="T51"/>
      <c r="U51"/>
      <c r="V51"/>
    </row>
    <row r="52" spans="1:22" ht="15.75">
      <c r="A52" s="190"/>
      <c r="B52" s="208"/>
      <c r="C52" s="187" t="str">
        <f>C$38</f>
        <v>Coûts fixes</v>
      </c>
      <c r="D52" s="213"/>
      <c r="E52" s="213">
        <f>'Calcul des machines'!E111*'Calcul des machines'!E87</f>
        <v>2.0327199999999999</v>
      </c>
      <c r="F52" s="213"/>
      <c r="G52" s="217">
        <f>'Calcul des machines'!G111*'Calcul des machines'!E87</f>
        <v>2.0327199999999999</v>
      </c>
      <c r="H52" s="248"/>
      <c r="I52" s="190"/>
      <c r="J52" s="208"/>
      <c r="K52" s="187" t="str">
        <f>K$38</f>
        <v>Coûts fixes</v>
      </c>
      <c r="L52" s="213"/>
      <c r="M52" s="213">
        <f>'Calcul des machines'!L111*'Calcul des machines'!L87</f>
        <v>1.3706074074074075</v>
      </c>
      <c r="N52" s="213"/>
      <c r="O52" s="217">
        <f>'Calcul des machines'!N111*'Calcul des machines'!L87</f>
        <v>1.3706074074074075</v>
      </c>
      <c r="P52"/>
      <c r="Q52"/>
      <c r="R52"/>
      <c r="S52"/>
      <c r="T52"/>
      <c r="U52"/>
      <c r="V52"/>
    </row>
    <row r="53" spans="1:22" ht="15.75">
      <c r="A53" s="190"/>
      <c r="B53" s="208"/>
      <c r="C53" s="187" t="str">
        <f>C$39</f>
        <v>Coûts variables</v>
      </c>
      <c r="D53" s="217"/>
      <c r="E53" s="213">
        <f>'Calcul des machines'!E116*'Calcul des machines'!E87</f>
        <v>0.60133333333333339</v>
      </c>
      <c r="F53" s="217"/>
      <c r="G53" s="217">
        <f>'Calcul des machines'!G116*'Calcul des machines'!E87</f>
        <v>0.60133333333333339</v>
      </c>
      <c r="H53" s="248"/>
      <c r="I53" s="190"/>
      <c r="J53" s="208"/>
      <c r="K53" s="187" t="str">
        <f>K$39</f>
        <v>Coûts variables</v>
      </c>
      <c r="L53" s="217"/>
      <c r="M53" s="213">
        <f>'Calcul des machines'!L116*'Calcul des machines'!L87</f>
        <v>0.44000000000000006</v>
      </c>
      <c r="N53" s="217"/>
      <c r="O53" s="217">
        <f>'Calcul des machines'!N116*'Calcul des machines'!L87</f>
        <v>0.44000000000000006</v>
      </c>
      <c r="P53"/>
      <c r="Q53"/>
      <c r="R53"/>
      <c r="S53"/>
      <c r="T53"/>
      <c r="U53"/>
      <c r="V53"/>
    </row>
    <row r="54" spans="1:22" ht="15.75">
      <c r="A54" s="190"/>
      <c r="B54" s="208"/>
      <c r="C54" s="187" t="str">
        <f>C$40</f>
        <v>Tarif d'indemnisation net</v>
      </c>
      <c r="D54" s="218"/>
      <c r="E54" s="215">
        <f>SUM(E52:E53)</f>
        <v>2.6340533333333331</v>
      </c>
      <c r="F54" s="218"/>
      <c r="G54" s="290">
        <f>SUM(G52:G53)</f>
        <v>2.6340533333333331</v>
      </c>
      <c r="H54" s="248"/>
      <c r="I54" s="190"/>
      <c r="J54" s="208"/>
      <c r="K54" s="187" t="str">
        <f>K$40</f>
        <v>Tarif d'indemnisation net</v>
      </c>
      <c r="L54" s="218"/>
      <c r="M54" s="215">
        <f>SUM(M52:M53)</f>
        <v>1.8106074074074074</v>
      </c>
      <c r="N54" s="218"/>
      <c r="O54" s="290">
        <f>SUM(O52:O53)</f>
        <v>1.8106074074074074</v>
      </c>
      <c r="P54"/>
      <c r="Q54"/>
      <c r="R54"/>
      <c r="S54"/>
      <c r="T54"/>
      <c r="U54"/>
      <c r="V54"/>
    </row>
    <row r="55" spans="1:22" ht="16.5" thickBot="1">
      <c r="A55" s="190"/>
      <c r="B55" s="208"/>
      <c r="C55" s="187" t="str">
        <f>C$41</f>
        <v>Tarif d'indemnisation, suppléments compris</v>
      </c>
      <c r="D55" s="216">
        <f>IF(E51="heures (h)",0,E55*D10)</f>
        <v>101.41105333333333</v>
      </c>
      <c r="E55" s="216">
        <f>IF(ISERROR(VLOOKUP('Calcul des machines'!D75,Spez!$I$4:$I$25,1,0)),IF(E49=0,0,'Calcul des machines'!E119*'Calcul des machines'!E87),IF(E49=0,0,'Calcul des machines'!E119))</f>
        <v>2.8974586666666666</v>
      </c>
      <c r="F55" s="216">
        <f>IF(G51="heures (h)",0,G55*D10)</f>
        <v>101.41105333333333</v>
      </c>
      <c r="G55" s="291">
        <f>IF(ISERROR(VLOOKUP('Calcul des machines'!D75,Spez!$I$4:$I$25,1,0)),IF(E49=0,0,'Calcul des machines'!G119*'Calcul des machines'!E87),IF(E49=0,0,'Calcul des machines'!G119))</f>
        <v>2.8974586666666666</v>
      </c>
      <c r="H55" s="248"/>
      <c r="I55" s="190"/>
      <c r="J55" s="208"/>
      <c r="K55" s="187" t="str">
        <f>K$41</f>
        <v>Tarif d'indemnisation, suppléments compris</v>
      </c>
      <c r="L55" s="216">
        <f>IF(M51="heures (h)",0,M55*L$10)</f>
        <v>60.945045333333347</v>
      </c>
      <c r="M55" s="216">
        <f>IF(ISERROR(VLOOKUP('Calcul des machines'!L75,Spez!$I$4:$I$25,1,0)),IF(M49=0,0,'Calcul des machines'!L119*'Calcul des machines'!L87),IF(M49=0,0,'Calcul des machines'!L119))</f>
        <v>1.9916681481481484</v>
      </c>
      <c r="N55" s="216">
        <f>IF(O51="heures (h)",0,O55*L10)</f>
        <v>60.945045333333347</v>
      </c>
      <c r="O55" s="291">
        <f>IF(ISERROR(VLOOKUP('Calcul des machines'!L75,Spez!$I$4:$I$25,1,0)),IF(M49=0,0,'Calcul des machines'!N119*'Calcul des machines'!L87),IF(M49=0,0,'Calcul des machines'!N119))</f>
        <v>1.9916681481481484</v>
      </c>
      <c r="P55"/>
      <c r="Q55"/>
      <c r="R55"/>
      <c r="S55"/>
      <c r="T55"/>
      <c r="U55"/>
      <c r="V55"/>
    </row>
    <row r="56" spans="1:22" ht="17.25" thickTop="1" thickBot="1">
      <c r="A56" s="285"/>
      <c r="B56" s="286"/>
      <c r="C56" s="272"/>
      <c r="D56" s="287"/>
      <c r="E56" s="287"/>
      <c r="F56" s="287"/>
      <c r="G56" s="288"/>
      <c r="H56" s="248"/>
      <c r="I56" s="285"/>
      <c r="J56" s="286"/>
      <c r="K56" s="272"/>
      <c r="L56" s="287"/>
      <c r="M56" s="287"/>
      <c r="N56" s="287"/>
      <c r="O56" s="288"/>
      <c r="P56"/>
      <c r="Q56"/>
      <c r="R56"/>
      <c r="S56"/>
      <c r="T56"/>
      <c r="U56"/>
      <c r="V56"/>
    </row>
    <row r="57" spans="1:22" s="246" customFormat="1" ht="16.5" thickBot="1">
      <c r="B57" s="281"/>
      <c r="D57" s="253"/>
      <c r="J57" s="281"/>
      <c r="L57" s="253"/>
      <c r="P57"/>
      <c r="Q57"/>
      <c r="R57"/>
      <c r="S57"/>
      <c r="T57"/>
      <c r="U57"/>
      <c r="V57"/>
    </row>
    <row r="58" spans="1:22" ht="18">
      <c r="A58" s="266" t="s">
        <v>580</v>
      </c>
      <c r="B58" s="289"/>
      <c r="C58" s="249"/>
      <c r="D58" s="268"/>
      <c r="E58" s="249"/>
      <c r="F58" s="249"/>
      <c r="G58" s="870" t="e">
        <f>'Calcul des machines'!B133</f>
        <v>#N/A</v>
      </c>
      <c r="H58" s="246"/>
      <c r="I58" s="266" t="s">
        <v>581</v>
      </c>
      <c r="J58" s="289"/>
      <c r="K58" s="249"/>
      <c r="L58" s="268"/>
      <c r="M58" s="249"/>
      <c r="N58" s="249"/>
      <c r="O58" s="870" t="e">
        <f>'Calcul des machines'!I133</f>
        <v>#N/A</v>
      </c>
      <c r="P58"/>
      <c r="Q58"/>
      <c r="R58"/>
      <c r="S58"/>
      <c r="T58"/>
      <c r="U58"/>
      <c r="V58"/>
    </row>
    <row r="59" spans="1:22" ht="15.75">
      <c r="A59" s="283">
        <f>'Calcul des machines'!B135</f>
        <v>0</v>
      </c>
      <c r="B59" s="201"/>
      <c r="C59" s="202"/>
      <c r="D59" s="203"/>
      <c r="E59" s="204"/>
      <c r="G59" s="189"/>
      <c r="H59" s="246"/>
      <c r="I59" s="283">
        <f>'Calcul des machines'!I135</f>
        <v>0</v>
      </c>
      <c r="J59" s="201"/>
      <c r="K59" s="202"/>
      <c r="L59" s="203"/>
      <c r="M59" s="204"/>
      <c r="O59" s="189"/>
      <c r="P59"/>
      <c r="Q59"/>
      <c r="R59"/>
      <c r="S59"/>
      <c r="T59"/>
      <c r="U59"/>
      <c r="V59"/>
    </row>
    <row r="60" spans="1:22" ht="15.75">
      <c r="A60" s="284"/>
      <c r="B60" s="199" t="e">
        <f>'Calcul des machines'!B136</f>
        <v>#N/A</v>
      </c>
      <c r="C60" s="186"/>
      <c r="D60" s="205"/>
      <c r="E60" s="119"/>
      <c r="G60" s="189"/>
      <c r="H60" s="246"/>
      <c r="I60" s="284"/>
      <c r="J60" s="199" t="e">
        <f>'Calcul des machines'!I136</f>
        <v>#N/A</v>
      </c>
      <c r="K60" s="186"/>
      <c r="L60" s="205"/>
      <c r="M60" s="119"/>
      <c r="O60" s="189"/>
      <c r="P60"/>
      <c r="Q60"/>
      <c r="R60"/>
      <c r="S60"/>
      <c r="T60"/>
      <c r="U60"/>
      <c r="V60"/>
    </row>
    <row r="61" spans="1:22" ht="16.5" thickBot="1">
      <c r="A61" s="190"/>
      <c r="B61" s="208"/>
      <c r="D61" s="10"/>
      <c r="E61" s="118">
        <f>IF('Calcul des machines'!D135&gt;0,1,0)</f>
        <v>0</v>
      </c>
      <c r="G61" s="189"/>
      <c r="H61" s="246"/>
      <c r="I61" s="190"/>
      <c r="J61" s="208"/>
      <c r="L61" s="10"/>
      <c r="M61" s="118">
        <f>IF('Calcul des machines'!L135&gt;0,1,0)</f>
        <v>0</v>
      </c>
      <c r="O61" s="189"/>
      <c r="P61"/>
      <c r="Q61"/>
      <c r="R61"/>
      <c r="S61"/>
      <c r="T61"/>
      <c r="U61"/>
      <c r="V61"/>
    </row>
    <row r="62" spans="1:22" ht="15.75">
      <c r="A62" s="190"/>
      <c r="B62" s="208"/>
      <c r="D62" s="210" t="s">
        <v>410</v>
      </c>
      <c r="E62" s="191"/>
      <c r="F62" s="257" t="str">
        <f>F13</f>
        <v>Variante personnelle</v>
      </c>
      <c r="G62" s="258"/>
      <c r="H62" s="246"/>
      <c r="I62" s="190"/>
      <c r="J62" s="208"/>
      <c r="L62" s="210" t="str">
        <f>L$13</f>
        <v>Valeur indicative Agroscope</v>
      </c>
      <c r="M62" s="249"/>
      <c r="N62" s="257" t="str">
        <f>N$13</f>
        <v>Variante personnelle</v>
      </c>
      <c r="O62" s="258"/>
      <c r="P62"/>
      <c r="Q62"/>
      <c r="R62"/>
      <c r="S62"/>
      <c r="T62"/>
      <c r="U62"/>
      <c r="V62"/>
    </row>
    <row r="63" spans="1:22" ht="15.75">
      <c r="A63" s="190"/>
      <c r="B63" s="208"/>
      <c r="C63" s="187" t="str">
        <f>C$37</f>
        <v>Fr. par unité de travail en:</v>
      </c>
      <c r="D63" s="211" t="str">
        <f>D$14</f>
        <v>Heure</v>
      </c>
      <c r="E63" s="188" t="str">
        <f>E$14</f>
        <v>m3</v>
      </c>
      <c r="F63" s="211" t="str">
        <f>F$14</f>
        <v>Heure</v>
      </c>
      <c r="G63" s="212" t="str">
        <f>G$14</f>
        <v>m3</v>
      </c>
      <c r="H63" s="253"/>
      <c r="I63" s="190"/>
      <c r="J63" s="208"/>
      <c r="K63" s="187" t="str">
        <f>K$37</f>
        <v>Fr. par unité de travail en:</v>
      </c>
      <c r="L63" s="211" t="str">
        <f>L$14</f>
        <v>Heure</v>
      </c>
      <c r="M63" s="188" t="str">
        <f>M$14</f>
        <v>m3</v>
      </c>
      <c r="N63" s="211" t="str">
        <f>N$14</f>
        <v>Heure</v>
      </c>
      <c r="O63" s="212" t="str">
        <f>O$14</f>
        <v>m3</v>
      </c>
      <c r="P63"/>
      <c r="Q63"/>
      <c r="R63"/>
      <c r="S63"/>
      <c r="T63"/>
      <c r="U63"/>
      <c r="V63"/>
    </row>
    <row r="64" spans="1:22" ht="15.75">
      <c r="A64" s="190"/>
      <c r="B64" s="208"/>
      <c r="C64" s="187" t="str">
        <f>C$38</f>
        <v>Coûts fixes</v>
      </c>
      <c r="D64" s="213"/>
      <c r="E64" s="213" t="e">
        <f>'Calcul des machines'!E171*'Calcul des machines'!E147</f>
        <v>#N/A</v>
      </c>
      <c r="F64" s="213"/>
      <c r="G64" s="217" t="e">
        <f>'Calcul des machines'!G171*'Calcul des machines'!E147</f>
        <v>#N/A</v>
      </c>
      <c r="H64" s="248"/>
      <c r="I64" s="190"/>
      <c r="J64" s="208"/>
      <c r="K64" s="187" t="str">
        <f>K$38</f>
        <v>Coûts fixes</v>
      </c>
      <c r="L64" s="213"/>
      <c r="M64" s="213" t="e">
        <f>'Calcul des machines'!L171*'Calcul des machines'!L147</f>
        <v>#N/A</v>
      </c>
      <c r="N64" s="213"/>
      <c r="O64" s="217" t="e">
        <f>'Calcul des machines'!N171*'Calcul des machines'!L147</f>
        <v>#N/A</v>
      </c>
      <c r="P64"/>
      <c r="Q64"/>
      <c r="R64"/>
      <c r="S64"/>
      <c r="T64"/>
      <c r="U64"/>
      <c r="V64"/>
    </row>
    <row r="65" spans="1:22" ht="15.75">
      <c r="A65" s="190"/>
      <c r="B65" s="208"/>
      <c r="C65" s="187" t="str">
        <f>C$39</f>
        <v>Coûts variables</v>
      </c>
      <c r="D65" s="217"/>
      <c r="E65" s="213" t="e">
        <f>'Calcul des machines'!E176*'Calcul des machines'!E147</f>
        <v>#N/A</v>
      </c>
      <c r="F65" s="217"/>
      <c r="G65" s="217" t="e">
        <f>'Calcul des machines'!G176*'Calcul des machines'!E147</f>
        <v>#N/A</v>
      </c>
      <c r="H65" s="248"/>
      <c r="I65" s="190"/>
      <c r="J65" s="208"/>
      <c r="K65" s="187" t="str">
        <f>K$39</f>
        <v>Coûts variables</v>
      </c>
      <c r="L65" s="217"/>
      <c r="M65" s="213" t="e">
        <f>'Calcul des machines'!L176*'Calcul des machines'!L147</f>
        <v>#N/A</v>
      </c>
      <c r="N65" s="217"/>
      <c r="O65" s="217" t="e">
        <f>'Calcul des machines'!N176*'Calcul des machines'!L147</f>
        <v>#N/A</v>
      </c>
      <c r="P65"/>
      <c r="Q65"/>
      <c r="R65"/>
      <c r="S65"/>
      <c r="T65"/>
      <c r="U65"/>
      <c r="V65"/>
    </row>
    <row r="66" spans="1:22" ht="15.75">
      <c r="A66" s="190"/>
      <c r="B66" s="208"/>
      <c r="C66" s="187" t="str">
        <f>C$40</f>
        <v>Tarif d'indemnisation net</v>
      </c>
      <c r="D66" s="218"/>
      <c r="E66" s="215" t="e">
        <f>SUM(E64:E65)</f>
        <v>#N/A</v>
      </c>
      <c r="F66" s="218"/>
      <c r="G66" s="290" t="e">
        <f>SUM(G64:G65)</f>
        <v>#N/A</v>
      </c>
      <c r="H66" s="248"/>
      <c r="I66" s="190"/>
      <c r="J66" s="208"/>
      <c r="K66" s="187" t="str">
        <f>K$40</f>
        <v>Tarif d'indemnisation net</v>
      </c>
      <c r="L66" s="218"/>
      <c r="M66" s="215" t="e">
        <f>SUM(M64:M65)</f>
        <v>#N/A</v>
      </c>
      <c r="N66" s="218"/>
      <c r="O66" s="290" t="e">
        <f>SUM(O64:O65)</f>
        <v>#N/A</v>
      </c>
      <c r="P66"/>
      <c r="Q66"/>
      <c r="R66"/>
      <c r="S66"/>
      <c r="T66"/>
      <c r="U66"/>
      <c r="V66"/>
    </row>
    <row r="67" spans="1:22" ht="16.5" thickBot="1">
      <c r="A67" s="190"/>
      <c r="B67" s="208"/>
      <c r="C67" s="187" t="str">
        <f>C$41</f>
        <v>Tarif d'indemnisation, suppléments compris</v>
      </c>
      <c r="D67" s="216">
        <f>IF(E63="heures (h)",0,E67*D$10)</f>
        <v>0</v>
      </c>
      <c r="E67" s="216">
        <f>IF(ISERROR(VLOOKUP('Calcul des machines'!D135,Spez!$I$4:$I$25,1,0)),IF(E61=0,0,'Calcul des machines'!E179*'Calcul des machines'!E147),IF(E61=0,0,'Calcul des machines'!E179))</f>
        <v>0</v>
      </c>
      <c r="F67" s="216">
        <f>IF(G63="heures (h)",0,G67*D$10)</f>
        <v>0</v>
      </c>
      <c r="G67" s="291">
        <f>IF(ISERROR(VLOOKUP('Calcul des machines'!D135,Spez!$I$4:$I$25,1,0)),IF(E61=0,0,'Calcul des machines'!G179*'Calcul des machines'!E147),IF(E61=0,0,'Calcul des machines'!G179))</f>
        <v>0</v>
      </c>
      <c r="H67" s="248"/>
      <c r="I67" s="190"/>
      <c r="J67" s="208"/>
      <c r="K67" s="187" t="str">
        <f>K$41</f>
        <v>Tarif d'indemnisation, suppléments compris</v>
      </c>
      <c r="L67" s="216">
        <f>IF(M63="heures (h)",0,M67*L$10)</f>
        <v>0</v>
      </c>
      <c r="M67" s="216">
        <f>IF(ISERROR(VLOOKUP('Calcul des machines'!L135,Spez!$I$4:$I$25,1,0)),IF(M61=0,0,'Calcul des machines'!L179*'Calcul des machines'!L147),IF(M61=0,0,'Calcul des machines'!L179))</f>
        <v>0</v>
      </c>
      <c r="N67" s="216">
        <f>IF(O63="heures (h)",0,O67*L$10)</f>
        <v>0</v>
      </c>
      <c r="O67" s="291">
        <f>IF(ISERROR(VLOOKUP('Calcul des machines'!L135,Spez!$I$4:$I$25,1,0)),IF(M61=0,0,'Calcul des machines'!N179*'Calcul des machines'!L147),IF(M61=0,0,'Calcul des machines'!N179))</f>
        <v>0</v>
      </c>
      <c r="P67"/>
      <c r="Q67"/>
      <c r="R67"/>
      <c r="S67"/>
      <c r="T67"/>
      <c r="U67"/>
      <c r="V67"/>
    </row>
    <row r="68" spans="1:22" ht="17.25" thickTop="1" thickBot="1">
      <c r="A68" s="285"/>
      <c r="B68" s="286"/>
      <c r="C68" s="272"/>
      <c r="D68" s="287"/>
      <c r="E68" s="287"/>
      <c r="F68" s="287"/>
      <c r="G68" s="288"/>
      <c r="H68" s="248"/>
      <c r="I68" s="285"/>
      <c r="J68" s="286"/>
      <c r="K68" s="272"/>
      <c r="L68" s="287"/>
      <c r="M68" s="287"/>
      <c r="N68" s="287"/>
      <c r="O68" s="288"/>
      <c r="P68"/>
      <c r="Q68"/>
      <c r="R68"/>
      <c r="S68"/>
      <c r="T68"/>
      <c r="U68"/>
      <c r="V68"/>
    </row>
    <row r="69" spans="1:22" s="246" customFormat="1" ht="16.5" thickBot="1">
      <c r="B69" s="281"/>
      <c r="C69" s="276"/>
      <c r="D69" s="248"/>
      <c r="E69" s="248"/>
      <c r="F69" s="248"/>
      <c r="G69" s="248"/>
      <c r="H69" s="248"/>
      <c r="J69" s="281"/>
      <c r="K69" s="276"/>
      <c r="L69" s="248"/>
      <c r="M69" s="248"/>
      <c r="N69" s="248"/>
      <c r="O69" s="248"/>
      <c r="P69"/>
      <c r="Q69"/>
      <c r="R69"/>
      <c r="S69"/>
      <c r="T69"/>
      <c r="U69"/>
      <c r="V69"/>
    </row>
    <row r="70" spans="1:22" ht="18">
      <c r="A70" s="266" t="s">
        <v>582</v>
      </c>
      <c r="B70" s="289"/>
      <c r="C70" s="249"/>
      <c r="D70" s="268"/>
      <c r="E70" s="249"/>
      <c r="F70" s="249"/>
      <c r="G70" s="870" t="e">
        <f>'Calcul des machines'!B193</f>
        <v>#N/A</v>
      </c>
      <c r="H70" s="246"/>
      <c r="I70" s="266" t="s">
        <v>583</v>
      </c>
      <c r="J70" s="289"/>
      <c r="K70" s="249"/>
      <c r="L70" s="268"/>
      <c r="M70" s="249"/>
      <c r="N70" s="249"/>
      <c r="O70" s="870" t="e">
        <f>'Calcul des machines'!I193</f>
        <v>#N/A</v>
      </c>
      <c r="P70"/>
      <c r="Q70"/>
      <c r="R70"/>
      <c r="S70"/>
      <c r="T70"/>
      <c r="U70"/>
      <c r="V70"/>
    </row>
    <row r="71" spans="1:22" ht="15.75">
      <c r="A71" s="283">
        <f>'Calcul des machines'!B195</f>
        <v>0</v>
      </c>
      <c r="B71" s="201"/>
      <c r="C71" s="202"/>
      <c r="D71" s="203"/>
      <c r="E71" s="204"/>
      <c r="G71" s="189"/>
      <c r="H71" s="246"/>
      <c r="I71" s="283">
        <f>'Calcul des machines'!I195</f>
        <v>0</v>
      </c>
      <c r="J71" s="201"/>
      <c r="K71" s="202"/>
      <c r="L71" s="203"/>
      <c r="M71" s="204"/>
      <c r="O71" s="189"/>
      <c r="P71"/>
      <c r="Q71"/>
      <c r="R71"/>
      <c r="S71"/>
      <c r="T71"/>
      <c r="U71"/>
      <c r="V71"/>
    </row>
    <row r="72" spans="1:22" ht="15.75">
      <c r="A72" s="284"/>
      <c r="B72" s="199" t="e">
        <f>'Calcul des machines'!B196</f>
        <v>#N/A</v>
      </c>
      <c r="C72" s="186"/>
      <c r="D72" s="205"/>
      <c r="E72" s="118"/>
      <c r="G72" s="189"/>
      <c r="H72" s="246"/>
      <c r="I72" s="284"/>
      <c r="J72" s="199" t="e">
        <f>'Calcul des machines'!I196</f>
        <v>#N/A</v>
      </c>
      <c r="K72" s="186"/>
      <c r="L72" s="205"/>
      <c r="M72" s="118"/>
      <c r="O72" s="189"/>
      <c r="P72"/>
      <c r="Q72"/>
      <c r="R72"/>
      <c r="S72"/>
      <c r="T72"/>
      <c r="U72"/>
      <c r="V72"/>
    </row>
    <row r="73" spans="1:22" ht="16.5" thickBot="1">
      <c r="A73" s="190"/>
      <c r="B73" s="208"/>
      <c r="D73" s="10"/>
      <c r="E73" s="118">
        <f>IF('Calcul des machines'!D195&gt;0,1,0)</f>
        <v>0</v>
      </c>
      <c r="G73" s="189"/>
      <c r="H73" s="246"/>
      <c r="I73" s="190"/>
      <c r="J73" s="208"/>
      <c r="L73" s="10"/>
      <c r="M73" s="118">
        <f>IF('Calcul des machines'!L195&gt;0,1,0)</f>
        <v>0</v>
      </c>
      <c r="O73" s="189"/>
      <c r="P73"/>
      <c r="Q73"/>
      <c r="R73"/>
      <c r="S73"/>
      <c r="T73"/>
      <c r="U73"/>
      <c r="V73"/>
    </row>
    <row r="74" spans="1:22" ht="15.75">
      <c r="A74" s="190"/>
      <c r="B74" s="208"/>
      <c r="D74" s="210" t="s">
        <v>410</v>
      </c>
      <c r="E74" s="191"/>
      <c r="F74" s="257" t="str">
        <f>F13</f>
        <v>Variante personnelle</v>
      </c>
      <c r="G74" s="258"/>
      <c r="H74" s="246"/>
      <c r="I74" s="190"/>
      <c r="J74" s="208"/>
      <c r="L74" s="210" t="str">
        <f>L$13</f>
        <v>Valeur indicative Agroscope</v>
      </c>
      <c r="M74" s="249"/>
      <c r="N74" s="257" t="str">
        <f>N$13</f>
        <v>Variante personnelle</v>
      </c>
      <c r="O74" s="258"/>
      <c r="P74"/>
      <c r="Q74"/>
      <c r="R74"/>
      <c r="S74"/>
      <c r="T74"/>
      <c r="U74"/>
      <c r="V74"/>
    </row>
    <row r="75" spans="1:22" ht="15.75">
      <c r="A75" s="190"/>
      <c r="B75" s="208"/>
      <c r="C75" s="187" t="str">
        <f>C$37</f>
        <v>Fr. par unité de travail en:</v>
      </c>
      <c r="D75" s="211" t="str">
        <f>D$14</f>
        <v>Heure</v>
      </c>
      <c r="E75" s="188" t="str">
        <f>E$14</f>
        <v>m3</v>
      </c>
      <c r="F75" s="211" t="str">
        <f>F$14</f>
        <v>Heure</v>
      </c>
      <c r="G75" s="212" t="str">
        <f>G$14</f>
        <v>m3</v>
      </c>
      <c r="H75" s="253"/>
      <c r="I75" s="190"/>
      <c r="J75" s="208"/>
      <c r="K75" s="187" t="str">
        <f>K$37</f>
        <v>Fr. par unité de travail en:</v>
      </c>
      <c r="L75" s="211" t="str">
        <f>L$14</f>
        <v>Heure</v>
      </c>
      <c r="M75" s="188" t="str">
        <f>M$14</f>
        <v>m3</v>
      </c>
      <c r="N75" s="211" t="str">
        <f>N$14</f>
        <v>Heure</v>
      </c>
      <c r="O75" s="212" t="str">
        <f>O$14</f>
        <v>m3</v>
      </c>
      <c r="P75"/>
      <c r="Q75"/>
      <c r="R75"/>
      <c r="S75"/>
      <c r="T75"/>
      <c r="U75"/>
      <c r="V75"/>
    </row>
    <row r="76" spans="1:22" ht="15.75">
      <c r="A76" s="190"/>
      <c r="B76" s="208"/>
      <c r="C76" s="187" t="str">
        <f>C$38</f>
        <v>Coûts fixes</v>
      </c>
      <c r="D76" s="213"/>
      <c r="E76" s="213" t="e">
        <f>'Calcul des machines'!E231*'Calcul des machines'!E207</f>
        <v>#N/A</v>
      </c>
      <c r="F76" s="213"/>
      <c r="G76" s="217" t="e">
        <f>'Calcul des machines'!G231*'Calcul des machines'!E207</f>
        <v>#N/A</v>
      </c>
      <c r="H76" s="248"/>
      <c r="I76" s="190"/>
      <c r="J76" s="208"/>
      <c r="K76" s="187" t="str">
        <f>K$38</f>
        <v>Coûts fixes</v>
      </c>
      <c r="L76" s="213"/>
      <c r="M76" s="213" t="e">
        <f>'Calcul des machines'!L231*'Calcul des machines'!L207</f>
        <v>#N/A</v>
      </c>
      <c r="N76" s="213"/>
      <c r="O76" s="217" t="e">
        <f>'Calcul des machines'!N231*'Calcul des machines'!L207</f>
        <v>#N/A</v>
      </c>
      <c r="P76"/>
      <c r="Q76"/>
      <c r="R76"/>
      <c r="S76"/>
      <c r="T76"/>
      <c r="U76"/>
      <c r="V76"/>
    </row>
    <row r="77" spans="1:22" ht="15.75">
      <c r="A77" s="190"/>
      <c r="B77" s="208"/>
      <c r="C77" s="187" t="str">
        <f>C$39</f>
        <v>Coûts variables</v>
      </c>
      <c r="D77" s="217"/>
      <c r="E77" s="213" t="e">
        <f>'Calcul des machines'!E236*'Calcul des machines'!E207</f>
        <v>#N/A</v>
      </c>
      <c r="F77" s="217"/>
      <c r="G77" s="217" t="e">
        <f>'Calcul des machines'!G236*'Calcul des machines'!E207</f>
        <v>#N/A</v>
      </c>
      <c r="H77" s="248"/>
      <c r="I77" s="190"/>
      <c r="J77" s="208"/>
      <c r="K77" s="187" t="str">
        <f>K$39</f>
        <v>Coûts variables</v>
      </c>
      <c r="L77" s="217"/>
      <c r="M77" s="213" t="e">
        <f>'Calcul des machines'!L236*'Calcul des machines'!L207</f>
        <v>#N/A</v>
      </c>
      <c r="N77" s="217"/>
      <c r="O77" s="217" t="e">
        <f>'Calcul des machines'!N236*'Calcul des machines'!L207</f>
        <v>#N/A</v>
      </c>
      <c r="P77"/>
      <c r="Q77"/>
      <c r="R77"/>
      <c r="S77"/>
      <c r="T77"/>
      <c r="U77"/>
      <c r="V77"/>
    </row>
    <row r="78" spans="1:22" ht="15.75">
      <c r="A78" s="190"/>
      <c r="B78" s="208"/>
      <c r="C78" s="187" t="str">
        <f>C$40</f>
        <v>Tarif d'indemnisation net</v>
      </c>
      <c r="D78" s="218"/>
      <c r="E78" s="215" t="e">
        <f>SUM(E76:E77)</f>
        <v>#N/A</v>
      </c>
      <c r="F78" s="218"/>
      <c r="G78" s="290" t="e">
        <f>SUM(G76:G77)</f>
        <v>#N/A</v>
      </c>
      <c r="H78" s="248"/>
      <c r="I78" s="190"/>
      <c r="J78" s="208"/>
      <c r="K78" s="187" t="str">
        <f>K$40</f>
        <v>Tarif d'indemnisation net</v>
      </c>
      <c r="L78" s="218"/>
      <c r="M78" s="215" t="e">
        <f>SUM(M76:M77)</f>
        <v>#N/A</v>
      </c>
      <c r="N78" s="218"/>
      <c r="O78" s="290" t="e">
        <f>SUM(O76:O77)</f>
        <v>#N/A</v>
      </c>
      <c r="P78"/>
      <c r="Q78"/>
      <c r="R78"/>
      <c r="S78"/>
      <c r="T78"/>
      <c r="U78"/>
      <c r="V78"/>
    </row>
    <row r="79" spans="1:22" ht="16.5" thickBot="1">
      <c r="A79" s="190"/>
      <c r="B79" s="208"/>
      <c r="C79" s="187" t="str">
        <f>C$41</f>
        <v>Tarif d'indemnisation, suppléments compris</v>
      </c>
      <c r="D79" s="216">
        <f>IF(E75="heures (h)",0,E79*D$10)</f>
        <v>0</v>
      </c>
      <c r="E79" s="216">
        <f>IF(ISERROR(VLOOKUP('Calcul des machines'!D195,Spez!$I$4:$I$25,1,0)),IF(E73=0,0,'Calcul des machines'!E239*'Calcul des machines'!E207),IF(E73=0,0,'Calcul des machines'!E239))</f>
        <v>0</v>
      </c>
      <c r="F79" s="216">
        <f>IF(G75="heures (h)",0,G79*D$10)</f>
        <v>0</v>
      </c>
      <c r="G79" s="291">
        <f>IF(ISERROR(VLOOKUP('Calcul des machines'!D195,Spez!$I$4:$I$25,1,0)),IF(E73=0,0,'Calcul des machines'!G239*'Calcul des machines'!E207),IF(E73=0,0,'Calcul des machines'!G239))</f>
        <v>0</v>
      </c>
      <c r="H79" s="248"/>
      <c r="I79" s="190"/>
      <c r="J79" s="208"/>
      <c r="K79" s="187" t="str">
        <f>K$41</f>
        <v>Tarif d'indemnisation, suppléments compris</v>
      </c>
      <c r="L79" s="216">
        <f>IF(M75="heures (h)",0,M79*L$10)</f>
        <v>0</v>
      </c>
      <c r="M79" s="216">
        <f>IF(ISERROR(VLOOKUP('Calcul des machines'!L195,Spez!$I$4:$I$25,1,0)),IF(M73=0,0,'Calcul des machines'!L239*'Calcul des machines'!L207),IF(M73=0,0,'Calcul des machines'!L239))</f>
        <v>0</v>
      </c>
      <c r="N79" s="216">
        <f>IF(O75="heures (h)",0,O79*L$10)</f>
        <v>0</v>
      </c>
      <c r="O79" s="291">
        <f>IF(ISERROR(VLOOKUP('Calcul des machines'!L195,Spez!$I$4:$I$25,1,0)),IF(M73=0,0,'Calcul des machines'!N239*'Calcul des machines'!L207),IF(M73=0,0,'Calcul des machines'!N239))</f>
        <v>0</v>
      </c>
      <c r="P79"/>
      <c r="Q79"/>
      <c r="R79"/>
      <c r="S79"/>
      <c r="T79"/>
      <c r="U79"/>
      <c r="V79"/>
    </row>
    <row r="80" spans="1:22" ht="14.25" thickTop="1" thickBot="1">
      <c r="A80" s="285"/>
      <c r="B80" s="238"/>
      <c r="C80" s="238"/>
      <c r="D80" s="238"/>
      <c r="E80" s="238"/>
      <c r="F80" s="238"/>
      <c r="G80" s="245"/>
      <c r="H80" s="246"/>
      <c r="I80" s="285"/>
      <c r="J80" s="238"/>
      <c r="K80" s="238"/>
      <c r="L80" s="238"/>
      <c r="M80" s="238"/>
      <c r="N80" s="238"/>
      <c r="O80" s="245"/>
      <c r="P80"/>
      <c r="Q80"/>
      <c r="R80"/>
      <c r="S80"/>
      <c r="T80"/>
      <c r="U80"/>
      <c r="V80"/>
    </row>
    <row r="81" spans="1:22" s="246" customFormat="1">
      <c r="P81"/>
      <c r="Q81"/>
      <c r="R81"/>
      <c r="S81"/>
      <c r="T81"/>
      <c r="U81"/>
      <c r="V81"/>
    </row>
    <row r="82" spans="1:22">
      <c r="P82"/>
      <c r="Q82"/>
      <c r="R82"/>
      <c r="S82"/>
      <c r="T82"/>
      <c r="U82"/>
      <c r="V82"/>
    </row>
    <row r="83" spans="1:22">
      <c r="P83"/>
      <c r="Q83"/>
      <c r="R83"/>
      <c r="S83"/>
      <c r="T83"/>
      <c r="U83"/>
      <c r="V83"/>
    </row>
    <row r="84" spans="1:22">
      <c r="P84"/>
      <c r="Q84"/>
      <c r="R84"/>
      <c r="S84"/>
      <c r="T84"/>
      <c r="U84"/>
      <c r="V84"/>
    </row>
    <row r="85" spans="1:22">
      <c r="P85"/>
      <c r="Q85"/>
      <c r="R85"/>
      <c r="S85"/>
      <c r="T85"/>
      <c r="U85"/>
      <c r="V85"/>
    </row>
    <row r="86" spans="1:22" ht="26.25">
      <c r="B86" s="227"/>
      <c r="J86" s="227"/>
      <c r="P86"/>
      <c r="Q86"/>
      <c r="R86"/>
      <c r="S86"/>
      <c r="T86"/>
      <c r="U86"/>
      <c r="V86"/>
    </row>
    <row r="87" spans="1:22">
      <c r="P87"/>
      <c r="Q87"/>
      <c r="R87"/>
      <c r="S87"/>
      <c r="T87"/>
      <c r="U87"/>
      <c r="V87"/>
    </row>
    <row r="88" spans="1:22">
      <c r="P88"/>
      <c r="Q88"/>
      <c r="R88"/>
      <c r="S88"/>
      <c r="T88"/>
      <c r="U88"/>
      <c r="V88"/>
    </row>
    <row r="89" spans="1:22">
      <c r="P89"/>
      <c r="Q89"/>
      <c r="R89"/>
      <c r="S89"/>
      <c r="T89"/>
      <c r="U89"/>
      <c r="V89"/>
    </row>
    <row r="90" spans="1:22">
      <c r="P90"/>
      <c r="Q90"/>
      <c r="R90"/>
      <c r="S90"/>
      <c r="T90"/>
      <c r="U90"/>
      <c r="V90"/>
    </row>
    <row r="91" spans="1:22">
      <c r="P91"/>
      <c r="Q91"/>
      <c r="R91"/>
      <c r="S91"/>
      <c r="T91"/>
      <c r="U91"/>
      <c r="V91"/>
    </row>
    <row r="92" spans="1:22">
      <c r="A92"/>
      <c r="B92"/>
      <c r="C92"/>
      <c r="D92"/>
      <c r="E92"/>
      <c r="F92"/>
      <c r="G92"/>
      <c r="H92"/>
      <c r="I92"/>
      <c r="J92"/>
      <c r="K92"/>
      <c r="L92"/>
      <c r="M92"/>
      <c r="N92"/>
      <c r="O92"/>
      <c r="P92"/>
      <c r="Q92"/>
      <c r="R92"/>
      <c r="S92"/>
      <c r="T92"/>
      <c r="U92"/>
      <c r="V92"/>
    </row>
    <row r="93" spans="1:22">
      <c r="A93"/>
      <c r="B93"/>
      <c r="C93"/>
      <c r="D93"/>
      <c r="E93"/>
      <c r="F93"/>
      <c r="G93"/>
      <c r="H93"/>
      <c r="I93"/>
      <c r="J93"/>
      <c r="K93"/>
      <c r="L93"/>
      <c r="M93"/>
      <c r="N93"/>
      <c r="O93"/>
      <c r="P93"/>
      <c r="Q93"/>
      <c r="R93"/>
      <c r="S93"/>
      <c r="T93"/>
      <c r="U93"/>
      <c r="V93"/>
    </row>
    <row r="94" spans="1:22">
      <c r="A94"/>
      <c r="B94"/>
      <c r="C94"/>
      <c r="D94"/>
      <c r="E94"/>
      <c r="F94"/>
      <c r="G94"/>
      <c r="H94"/>
      <c r="I94"/>
      <c r="J94"/>
      <c r="K94"/>
      <c r="L94"/>
      <c r="M94"/>
      <c r="N94"/>
      <c r="O94"/>
      <c r="P94"/>
      <c r="Q94"/>
      <c r="R94"/>
      <c r="S94"/>
      <c r="T94"/>
      <c r="U94"/>
      <c r="V94"/>
    </row>
    <row r="95" spans="1:22">
      <c r="A95"/>
      <c r="B95"/>
      <c r="C95"/>
      <c r="D95"/>
      <c r="E95"/>
      <c r="F95"/>
      <c r="G95"/>
      <c r="H95"/>
      <c r="I95"/>
      <c r="J95"/>
      <c r="K95"/>
      <c r="L95"/>
      <c r="M95"/>
      <c r="N95"/>
      <c r="O95"/>
      <c r="P95"/>
      <c r="Q95"/>
      <c r="R95"/>
      <c r="S95"/>
      <c r="T95"/>
      <c r="U95"/>
      <c r="V95"/>
    </row>
    <row r="96" spans="1:22">
      <c r="A96"/>
      <c r="B96"/>
      <c r="C96"/>
      <c r="D96"/>
      <c r="E96"/>
      <c r="F96"/>
      <c r="G96"/>
      <c r="H96"/>
      <c r="I96"/>
      <c r="J96"/>
      <c r="K96"/>
      <c r="L96"/>
      <c r="M96"/>
      <c r="N96"/>
      <c r="O96"/>
      <c r="P96"/>
      <c r="Q96"/>
      <c r="R96"/>
      <c r="S96"/>
      <c r="T96"/>
      <c r="U96"/>
      <c r="V96"/>
    </row>
    <row r="97" spans="1:22">
      <c r="A97"/>
      <c r="B97"/>
      <c r="C97"/>
      <c r="D97"/>
      <c r="E97"/>
      <c r="F97"/>
      <c r="G97"/>
      <c r="H97"/>
      <c r="I97"/>
      <c r="J97"/>
      <c r="K97"/>
      <c r="L97"/>
      <c r="M97"/>
      <c r="N97"/>
      <c r="O97"/>
      <c r="P97"/>
      <c r="Q97"/>
      <c r="R97"/>
      <c r="S97"/>
      <c r="T97"/>
      <c r="U97"/>
      <c r="V97"/>
    </row>
    <row r="98" spans="1:22">
      <c r="A98"/>
      <c r="B98"/>
      <c r="C98"/>
      <c r="D98"/>
      <c r="E98"/>
      <c r="F98"/>
      <c r="G98"/>
      <c r="H98"/>
      <c r="I98"/>
      <c r="J98"/>
      <c r="K98"/>
      <c r="L98"/>
      <c r="M98"/>
      <c r="N98"/>
      <c r="O98"/>
      <c r="P98"/>
      <c r="Q98"/>
      <c r="R98"/>
      <c r="S98"/>
      <c r="T98"/>
      <c r="U98"/>
      <c r="V98"/>
    </row>
    <row r="99" spans="1:22">
      <c r="A99"/>
      <c r="B99"/>
      <c r="C99"/>
      <c r="D99"/>
      <c r="E99"/>
      <c r="F99"/>
      <c r="G99"/>
      <c r="H99"/>
      <c r="I99"/>
      <c r="J99"/>
      <c r="K99"/>
      <c r="L99"/>
      <c r="M99"/>
      <c r="N99"/>
      <c r="O99"/>
      <c r="P99"/>
      <c r="Q99"/>
      <c r="R99"/>
      <c r="S99"/>
      <c r="T99"/>
      <c r="U99"/>
      <c r="V99"/>
    </row>
    <row r="100" spans="1:22">
      <c r="A100"/>
      <c r="B100"/>
      <c r="C100"/>
      <c r="D100"/>
      <c r="E100"/>
      <c r="F100"/>
      <c r="G100"/>
      <c r="H100"/>
      <c r="I100"/>
      <c r="J100"/>
      <c r="K100"/>
      <c r="L100"/>
      <c r="M100"/>
      <c r="N100"/>
      <c r="O100"/>
      <c r="P100"/>
      <c r="Q100"/>
      <c r="R100"/>
      <c r="S100"/>
      <c r="T100"/>
      <c r="U100"/>
      <c r="V100"/>
    </row>
    <row r="101" spans="1:22">
      <c r="A101"/>
      <c r="B101"/>
      <c r="C101"/>
      <c r="D101"/>
      <c r="E101"/>
      <c r="F101"/>
      <c r="G101"/>
      <c r="H101"/>
      <c r="I101"/>
      <c r="J101"/>
      <c r="K101"/>
      <c r="L101"/>
      <c r="M101"/>
      <c r="N101"/>
      <c r="O101"/>
      <c r="P101"/>
      <c r="Q101"/>
      <c r="R101"/>
      <c r="S101"/>
      <c r="T101"/>
      <c r="U101"/>
      <c r="V101"/>
    </row>
    <row r="102" spans="1:22">
      <c r="A102"/>
      <c r="B102"/>
      <c r="C102"/>
      <c r="D102"/>
      <c r="E102"/>
      <c r="F102"/>
      <c r="G102"/>
      <c r="H102"/>
      <c r="I102"/>
      <c r="J102"/>
      <c r="K102"/>
      <c r="L102"/>
      <c r="M102"/>
      <c r="N102"/>
      <c r="O102"/>
      <c r="P102"/>
      <c r="Q102"/>
      <c r="R102"/>
      <c r="S102"/>
      <c r="T102"/>
      <c r="U102"/>
      <c r="V102"/>
    </row>
    <row r="103" spans="1:22">
      <c r="A103"/>
      <c r="B103"/>
      <c r="C103"/>
      <c r="D103"/>
      <c r="E103"/>
      <c r="F103"/>
      <c r="G103"/>
      <c r="H103"/>
      <c r="I103"/>
      <c r="J103"/>
      <c r="K103"/>
      <c r="L103"/>
      <c r="M103"/>
      <c r="N103"/>
      <c r="O103"/>
      <c r="P103"/>
      <c r="Q103"/>
      <c r="R103"/>
      <c r="S103"/>
      <c r="T103"/>
      <c r="U103"/>
      <c r="V103"/>
    </row>
    <row r="104" spans="1:22">
      <c r="A104"/>
      <c r="B104"/>
      <c r="C104"/>
      <c r="D104"/>
      <c r="E104"/>
      <c r="F104"/>
      <c r="G104"/>
      <c r="H104"/>
      <c r="I104"/>
      <c r="J104"/>
      <c r="K104"/>
      <c r="L104"/>
      <c r="M104"/>
      <c r="N104"/>
      <c r="O104"/>
      <c r="P104"/>
      <c r="Q104"/>
      <c r="R104"/>
      <c r="S104"/>
      <c r="T104"/>
      <c r="U104"/>
      <c r="V104"/>
    </row>
    <row r="105" spans="1:22">
      <c r="A105"/>
      <c r="B105"/>
      <c r="C105"/>
      <c r="D105"/>
      <c r="E105"/>
      <c r="F105"/>
      <c r="G105"/>
      <c r="H105"/>
      <c r="I105"/>
      <c r="J105"/>
      <c r="K105"/>
      <c r="L105"/>
      <c r="M105"/>
      <c r="N105"/>
      <c r="O105"/>
      <c r="P105"/>
      <c r="Q105"/>
      <c r="R105"/>
      <c r="S105"/>
      <c r="T105"/>
      <c r="U105"/>
      <c r="V105"/>
    </row>
    <row r="106" spans="1:22">
      <c r="A106"/>
      <c r="B106"/>
      <c r="C106"/>
      <c r="D106"/>
      <c r="E106"/>
      <c r="F106"/>
      <c r="G106"/>
      <c r="H106"/>
      <c r="I106"/>
      <c r="J106"/>
      <c r="K106"/>
      <c r="L106"/>
      <c r="M106"/>
      <c r="N106"/>
      <c r="O106"/>
      <c r="P106"/>
      <c r="Q106"/>
      <c r="R106"/>
      <c r="S106"/>
      <c r="T106"/>
      <c r="U106"/>
      <c r="V106"/>
    </row>
    <row r="107" spans="1:22">
      <c r="A107"/>
      <c r="B107"/>
      <c r="C107"/>
      <c r="D107"/>
      <c r="E107"/>
      <c r="F107"/>
      <c r="G107"/>
      <c r="H107"/>
      <c r="I107"/>
      <c r="J107"/>
      <c r="K107"/>
      <c r="L107"/>
      <c r="M107"/>
      <c r="N107"/>
      <c r="O107"/>
      <c r="P107"/>
      <c r="Q107"/>
      <c r="R107"/>
      <c r="S107"/>
      <c r="T107"/>
      <c r="U107"/>
      <c r="V107"/>
    </row>
    <row r="108" spans="1:22">
      <c r="A108"/>
      <c r="B108"/>
      <c r="C108"/>
      <c r="D108"/>
      <c r="E108"/>
      <c r="F108"/>
      <c r="G108"/>
      <c r="H108"/>
      <c r="I108"/>
      <c r="J108"/>
      <c r="K108"/>
      <c r="L108"/>
      <c r="M108"/>
      <c r="N108"/>
      <c r="O108"/>
      <c r="P108"/>
      <c r="Q108"/>
      <c r="R108"/>
      <c r="S108"/>
      <c r="T108"/>
      <c r="U108"/>
      <c r="V108"/>
    </row>
    <row r="109" spans="1:22">
      <c r="A109"/>
      <c r="B109"/>
      <c r="C109"/>
      <c r="D109"/>
      <c r="E109"/>
      <c r="F109"/>
      <c r="G109"/>
      <c r="H109"/>
      <c r="I109"/>
      <c r="J109"/>
      <c r="K109"/>
      <c r="L109"/>
      <c r="M109"/>
      <c r="N109"/>
      <c r="O109"/>
      <c r="P109"/>
      <c r="Q109"/>
      <c r="R109"/>
      <c r="S109"/>
      <c r="T109"/>
      <c r="U109"/>
      <c r="V109"/>
    </row>
    <row r="110" spans="1:22">
      <c r="A110"/>
      <c r="B110"/>
      <c r="C110"/>
      <c r="D110"/>
      <c r="E110"/>
      <c r="F110"/>
      <c r="G110"/>
      <c r="H110"/>
      <c r="I110"/>
      <c r="J110"/>
      <c r="K110"/>
      <c r="L110"/>
      <c r="M110"/>
      <c r="N110"/>
      <c r="O110"/>
      <c r="P110"/>
      <c r="Q110"/>
      <c r="R110"/>
      <c r="S110"/>
      <c r="T110"/>
      <c r="U110"/>
      <c r="V110"/>
    </row>
    <row r="111" spans="1:22">
      <c r="A111"/>
      <c r="B111"/>
      <c r="C111"/>
      <c r="D111"/>
      <c r="E111"/>
      <c r="F111"/>
      <c r="G111"/>
      <c r="H111"/>
      <c r="I111"/>
      <c r="J111"/>
      <c r="K111"/>
      <c r="L111"/>
      <c r="M111"/>
      <c r="N111"/>
      <c r="O111"/>
      <c r="P111"/>
      <c r="Q111"/>
      <c r="R111"/>
      <c r="S111"/>
      <c r="T111"/>
      <c r="U111"/>
      <c r="V111"/>
    </row>
    <row r="112" spans="1:22">
      <c r="A112"/>
      <c r="B112"/>
      <c r="C112"/>
      <c r="D112"/>
      <c r="E112"/>
      <c r="F112"/>
      <c r="G112"/>
      <c r="H112"/>
      <c r="I112"/>
      <c r="J112"/>
      <c r="K112"/>
      <c r="L112"/>
      <c r="M112"/>
      <c r="N112"/>
      <c r="O112"/>
      <c r="P112"/>
      <c r="Q112"/>
      <c r="R112"/>
      <c r="S112"/>
      <c r="T112"/>
      <c r="U112"/>
      <c r="V112"/>
    </row>
    <row r="113" spans="1:22">
      <c r="A113"/>
      <c r="B113"/>
      <c r="C113"/>
      <c r="D113"/>
      <c r="E113"/>
      <c r="F113"/>
      <c r="G113"/>
      <c r="H113"/>
      <c r="I113"/>
      <c r="J113"/>
      <c r="K113"/>
      <c r="L113"/>
      <c r="M113"/>
      <c r="N113"/>
      <c r="O113"/>
      <c r="P113"/>
      <c r="Q113"/>
      <c r="R113"/>
      <c r="S113"/>
      <c r="T113"/>
      <c r="U113"/>
      <c r="V113"/>
    </row>
    <row r="114" spans="1:22">
      <c r="A114"/>
      <c r="B114"/>
      <c r="C114"/>
      <c r="D114"/>
      <c r="E114"/>
      <c r="F114"/>
      <c r="G114"/>
      <c r="H114"/>
      <c r="I114"/>
      <c r="J114"/>
      <c r="K114"/>
      <c r="L114"/>
      <c r="M114"/>
      <c r="N114"/>
      <c r="O114"/>
      <c r="P114"/>
      <c r="Q114"/>
      <c r="R114"/>
      <c r="S114"/>
      <c r="T114"/>
      <c r="U114"/>
      <c r="V114"/>
    </row>
    <row r="115" spans="1:22">
      <c r="A115"/>
      <c r="B115"/>
      <c r="C115"/>
      <c r="D115"/>
      <c r="E115"/>
      <c r="F115"/>
      <c r="G115"/>
      <c r="H115"/>
      <c r="I115"/>
      <c r="J115"/>
      <c r="K115"/>
      <c r="L115"/>
      <c r="M115"/>
      <c r="N115"/>
      <c r="O115"/>
      <c r="P115"/>
      <c r="Q115"/>
      <c r="R115"/>
      <c r="S115"/>
      <c r="T115"/>
      <c r="U115"/>
      <c r="V115"/>
    </row>
    <row r="116" spans="1:22">
      <c r="A116"/>
      <c r="B116"/>
      <c r="C116"/>
      <c r="D116"/>
      <c r="E116"/>
      <c r="F116"/>
      <c r="G116"/>
      <c r="H116"/>
      <c r="I116"/>
      <c r="J116"/>
      <c r="K116"/>
      <c r="L116"/>
      <c r="M116"/>
      <c r="N116"/>
      <c r="O116"/>
      <c r="P116"/>
      <c r="Q116"/>
      <c r="R116"/>
      <c r="S116"/>
      <c r="T116"/>
      <c r="U116"/>
      <c r="V116"/>
    </row>
    <row r="117" spans="1:22">
      <c r="A117"/>
      <c r="B117"/>
      <c r="C117"/>
      <c r="D117"/>
      <c r="E117"/>
      <c r="F117"/>
      <c r="G117"/>
      <c r="H117"/>
      <c r="I117"/>
      <c r="J117"/>
      <c r="K117"/>
      <c r="L117"/>
      <c r="M117"/>
      <c r="N117"/>
      <c r="O117"/>
      <c r="P117"/>
      <c r="Q117"/>
      <c r="R117"/>
      <c r="S117"/>
      <c r="T117"/>
      <c r="U117"/>
      <c r="V117"/>
    </row>
    <row r="118" spans="1:22">
      <c r="A118"/>
      <c r="B118"/>
      <c r="C118"/>
      <c r="D118"/>
      <c r="E118"/>
      <c r="F118"/>
      <c r="G118"/>
      <c r="H118"/>
      <c r="I118"/>
      <c r="J118"/>
      <c r="K118"/>
      <c r="L118"/>
      <c r="M118"/>
      <c r="N118"/>
      <c r="O118"/>
      <c r="P118"/>
      <c r="Q118"/>
      <c r="R118"/>
      <c r="S118"/>
      <c r="T118"/>
      <c r="U118"/>
      <c r="V118"/>
    </row>
    <row r="119" spans="1:22">
      <c r="A119"/>
      <c r="B119"/>
      <c r="C119"/>
      <c r="D119"/>
      <c r="E119"/>
      <c r="F119"/>
      <c r="G119"/>
      <c r="H119"/>
      <c r="I119"/>
      <c r="J119"/>
      <c r="K119"/>
      <c r="L119"/>
      <c r="M119"/>
      <c r="N119"/>
      <c r="O119"/>
      <c r="P119"/>
      <c r="Q119"/>
      <c r="R119"/>
      <c r="S119"/>
      <c r="T119"/>
      <c r="U119"/>
      <c r="V119"/>
    </row>
    <row r="120" spans="1:22">
      <c r="A120"/>
      <c r="B120"/>
      <c r="C120"/>
      <c r="D120"/>
      <c r="E120"/>
      <c r="F120"/>
      <c r="G120"/>
      <c r="H120"/>
      <c r="I120"/>
      <c r="J120"/>
      <c r="K120"/>
      <c r="L120"/>
      <c r="M120"/>
      <c r="N120"/>
      <c r="O120"/>
      <c r="P120"/>
      <c r="Q120"/>
      <c r="R120"/>
      <c r="S120"/>
      <c r="T120"/>
      <c r="U120"/>
      <c r="V120"/>
    </row>
    <row r="121" spans="1:22">
      <c r="A121"/>
      <c r="B121"/>
      <c r="C121"/>
      <c r="D121"/>
      <c r="E121"/>
      <c r="F121"/>
      <c r="G121"/>
      <c r="H121"/>
      <c r="I121"/>
      <c r="J121"/>
      <c r="K121"/>
      <c r="L121"/>
      <c r="M121"/>
      <c r="N121"/>
      <c r="O121"/>
      <c r="P121"/>
      <c r="Q121"/>
      <c r="R121"/>
      <c r="S121"/>
      <c r="T121"/>
      <c r="U121"/>
      <c r="V121"/>
    </row>
    <row r="122" spans="1:22">
      <c r="A122"/>
      <c r="B122"/>
      <c r="C122"/>
      <c r="D122"/>
      <c r="E122"/>
      <c r="F122"/>
      <c r="G122"/>
      <c r="H122"/>
      <c r="I122"/>
      <c r="J122"/>
      <c r="K122"/>
      <c r="L122"/>
      <c r="M122"/>
      <c r="N122"/>
      <c r="O122"/>
      <c r="P122"/>
      <c r="Q122"/>
      <c r="R122"/>
      <c r="S122"/>
      <c r="T122"/>
      <c r="U122"/>
      <c r="V122"/>
    </row>
    <row r="123" spans="1:22">
      <c r="A123"/>
      <c r="B123"/>
      <c r="C123"/>
      <c r="D123"/>
      <c r="E123"/>
      <c r="F123"/>
      <c r="G123"/>
      <c r="H123"/>
      <c r="I123"/>
      <c r="J123"/>
      <c r="K123"/>
      <c r="L123"/>
      <c r="M123"/>
      <c r="N123"/>
      <c r="O123"/>
      <c r="P123"/>
      <c r="Q123"/>
      <c r="R123"/>
      <c r="S123"/>
      <c r="T123"/>
      <c r="U123"/>
      <c r="V123"/>
    </row>
    <row r="124" spans="1:22">
      <c r="A124"/>
      <c r="B124"/>
      <c r="C124"/>
      <c r="D124"/>
      <c r="E124"/>
      <c r="F124"/>
      <c r="G124"/>
      <c r="H124"/>
      <c r="I124"/>
      <c r="J124"/>
      <c r="K124"/>
      <c r="L124"/>
      <c r="M124"/>
      <c r="N124"/>
      <c r="O124"/>
      <c r="P124"/>
      <c r="Q124"/>
      <c r="R124"/>
      <c r="S124"/>
      <c r="T124"/>
      <c r="U124"/>
      <c r="V124"/>
    </row>
    <row r="125" spans="1:22">
      <c r="A125"/>
      <c r="B125"/>
      <c r="C125"/>
      <c r="D125"/>
      <c r="E125"/>
      <c r="F125"/>
      <c r="G125"/>
      <c r="H125"/>
      <c r="I125"/>
      <c r="J125"/>
      <c r="K125"/>
      <c r="L125"/>
      <c r="M125"/>
      <c r="N125"/>
      <c r="O125"/>
      <c r="P125"/>
      <c r="Q125"/>
      <c r="R125"/>
      <c r="S125"/>
      <c r="T125"/>
      <c r="U125"/>
      <c r="V125"/>
    </row>
    <row r="126" spans="1:22">
      <c r="A126"/>
      <c r="B126"/>
      <c r="C126"/>
      <c r="D126"/>
      <c r="E126"/>
      <c r="F126"/>
      <c r="G126"/>
      <c r="H126"/>
      <c r="I126"/>
      <c r="J126"/>
      <c r="K126"/>
      <c r="L126"/>
      <c r="M126"/>
      <c r="N126"/>
      <c r="O126"/>
      <c r="P126"/>
      <c r="Q126"/>
      <c r="R126"/>
      <c r="S126"/>
      <c r="T126"/>
      <c r="U126"/>
      <c r="V126"/>
    </row>
    <row r="127" spans="1:22">
      <c r="H127"/>
      <c r="I127"/>
      <c r="L127"/>
      <c r="M127"/>
      <c r="N127"/>
      <c r="O127"/>
      <c r="P127"/>
    </row>
    <row r="128" spans="1:22">
      <c r="H128"/>
      <c r="I128"/>
      <c r="L128"/>
      <c r="M128"/>
      <c r="N128"/>
      <c r="O128"/>
      <c r="P128"/>
    </row>
    <row r="129" spans="8:16">
      <c r="H129"/>
      <c r="I129"/>
      <c r="L129"/>
      <c r="M129"/>
      <c r="N129"/>
      <c r="O129"/>
      <c r="P129"/>
    </row>
    <row r="130" spans="8:16">
      <c r="H130"/>
      <c r="I130"/>
      <c r="L130"/>
      <c r="M130"/>
      <c r="N130"/>
      <c r="O130"/>
      <c r="P130"/>
    </row>
    <row r="131" spans="8:16">
      <c r="H131"/>
      <c r="I131"/>
      <c r="L131"/>
      <c r="M131"/>
      <c r="N131"/>
      <c r="O131"/>
      <c r="P131"/>
    </row>
    <row r="132" spans="8:16">
      <c r="H132"/>
      <c r="I132"/>
      <c r="L132"/>
      <c r="M132"/>
      <c r="N132"/>
      <c r="O132"/>
      <c r="P132"/>
    </row>
    <row r="133" spans="8:16">
      <c r="H133"/>
      <c r="I133"/>
      <c r="L133"/>
      <c r="M133"/>
      <c r="N133"/>
      <c r="O133"/>
      <c r="P133"/>
    </row>
    <row r="134" spans="8:16">
      <c r="H134"/>
      <c r="I134"/>
      <c r="L134"/>
      <c r="M134"/>
      <c r="N134"/>
      <c r="O134"/>
      <c r="P134"/>
    </row>
    <row r="135" spans="8:16">
      <c r="H135"/>
      <c r="I135"/>
      <c r="L135"/>
      <c r="M135"/>
      <c r="N135"/>
      <c r="O135"/>
      <c r="P135"/>
    </row>
    <row r="136" spans="8:16">
      <c r="H136"/>
      <c r="I136"/>
      <c r="L136"/>
      <c r="M136"/>
      <c r="N136"/>
      <c r="O136"/>
      <c r="P136"/>
    </row>
    <row r="137" spans="8:16">
      <c r="H137"/>
      <c r="I137"/>
      <c r="L137"/>
      <c r="M137"/>
      <c r="N137"/>
      <c r="O137"/>
      <c r="P137"/>
    </row>
    <row r="138" spans="8:16">
      <c r="H138"/>
      <c r="I138"/>
      <c r="L138"/>
      <c r="M138"/>
      <c r="N138"/>
      <c r="O138"/>
      <c r="P138"/>
    </row>
    <row r="139" spans="8:16">
      <c r="H139"/>
      <c r="I139"/>
      <c r="L139"/>
      <c r="M139"/>
      <c r="N139"/>
      <c r="O139"/>
      <c r="P139"/>
    </row>
    <row r="140" spans="8:16">
      <c r="H140"/>
      <c r="I140"/>
      <c r="L140"/>
      <c r="M140"/>
      <c r="N140"/>
      <c r="O140"/>
      <c r="P140"/>
    </row>
    <row r="141" spans="8:16">
      <c r="H141"/>
      <c r="I141"/>
      <c r="L141"/>
      <c r="M141"/>
      <c r="N141"/>
      <c r="O141"/>
      <c r="P141"/>
    </row>
    <row r="142" spans="8:16">
      <c r="H142"/>
      <c r="I142"/>
      <c r="L142"/>
      <c r="M142"/>
      <c r="N142"/>
      <c r="O142"/>
      <c r="P142"/>
    </row>
    <row r="143" spans="8:16">
      <c r="H143"/>
      <c r="I143"/>
      <c r="L143"/>
      <c r="M143"/>
      <c r="N143"/>
      <c r="O143"/>
      <c r="P143"/>
    </row>
    <row r="144" spans="8:16">
      <c r="H144"/>
      <c r="I144"/>
      <c r="L144"/>
      <c r="M144"/>
      <c r="N144"/>
      <c r="O144"/>
      <c r="P144"/>
    </row>
    <row r="145" spans="8:16">
      <c r="H145"/>
      <c r="I145"/>
      <c r="L145"/>
      <c r="M145"/>
      <c r="N145"/>
      <c r="O145"/>
      <c r="P145"/>
    </row>
    <row r="146" spans="8:16">
      <c r="H146"/>
      <c r="I146"/>
      <c r="L146"/>
      <c r="M146"/>
      <c r="N146"/>
      <c r="O146"/>
      <c r="P146"/>
    </row>
  </sheetData>
  <sheetProtection algorithmName="SHA-512" hashValue="geKg06pxfBYksOGGq8oLqEFyL+TP4kdIqE8HxgTiYKffA3A845qBgLeHX2PKoekH9XLPDUQN4ubSB+MKqJOLxA==" saltValue="nJNQ/XMhIFeLxC6IANbd+A==" spinCount="100000" sheet="1" formatColumns="0" formatRows="0"/>
  <customSheetViews>
    <customSheetView guid="{72D97B72-4F31-4935-B383-181115A2573C}">
      <selection activeCell="D8" sqref="D8"/>
      <rowBreaks count="1" manualBreakCount="1">
        <brk id="43" max="16383" man="1"/>
      </rowBreaks>
      <colBreaks count="1" manualBreakCount="1">
        <brk id="7" max="90" man="1"/>
      </colBreaks>
      <pageMargins left="0.78740157480314965" right="0.78740157480314965" top="0.98425196850393704" bottom="0.88" header="0.51181102362204722" footer="0.51181102362204722"/>
      <pageSetup paperSize="9" scale="86" orientation="portrait"/>
      <headerFooter alignWithMargins="0">
        <oddHeader>&amp;F&amp;RSeite &amp;P</oddHeader>
      </headerFooter>
    </customSheetView>
    <customSheetView guid="{27A951D1-C3FC-484C-B83E-FA121C9E6D3A}">
      <selection activeCell="D8" sqref="D8"/>
      <rowBreaks count="1" manualBreakCount="1">
        <brk id="43" max="16383" man="1"/>
      </rowBreaks>
      <colBreaks count="1" manualBreakCount="1">
        <brk id="7" max="90" man="1"/>
      </colBreaks>
      <pageMargins left="0.78740157480314965" right="0.78740157480314965" top="0.98425196850393704" bottom="0.88" header="0.51181102362204722" footer="0.51181102362204722"/>
      <pageSetup paperSize="9" scale="86" orientation="portrait"/>
      <headerFooter alignWithMargins="0">
        <oddHeader>&amp;F&amp;RSeite &amp;P</oddHeader>
      </headerFooter>
    </customSheetView>
  </customSheetViews>
  <phoneticPr fontId="0" type="noConversion"/>
  <dataValidations xWindow="327" yWindow="447" count="2">
    <dataValidation type="list" allowBlank="1" showInputMessage="1" showErrorMessage="1" prompt="1 = innerhalb Landwirtschaft (Lw)_x000a_2 = ausserhalb Lw (angestellt oder Lohnarbeit)_x000a_3 = ausserhalb Lw (Regie)_x000a_" sqref="L21" xr:uid="{5DDE55BB-8490-4AD7-AAEA-7AE677D46529}">
      <formula1>$A$25:$A$27</formula1>
    </dataValidation>
    <dataValidation type="list" allowBlank="1" showInputMessage="1" showErrorMessage="1" prompt="1 = Service pour un autre agriculteur_x000a_2 = Service en dehors de l'agri. (employé ou travail salarié)_x000a_3 = en dehors de l'agric. (Regie)_x000a_" sqref="D21" xr:uid="{DE16D037-617F-404B-8952-E20F8653FA37}">
      <formula1>$A$25:$A$27</formula1>
    </dataValidation>
  </dataValidations>
  <pageMargins left="0.78740157480314965" right="0.78740157480314965" top="0.98425196850393704" bottom="0.88" header="0.51181102362204722" footer="0.51181102362204722"/>
  <pageSetup paperSize="9" scale="86" orientation="portrait"/>
  <headerFooter alignWithMargins="0">
    <oddHeader>&amp;F&amp;RSeite &amp;P</oddHeader>
  </headerFooter>
  <rowBreaks count="1" manualBreakCount="1">
    <brk id="43" max="16383" man="1"/>
  </rowBreaks>
  <colBreaks count="1" manualBreakCount="1">
    <brk id="7" max="90" man="1"/>
  </col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FF0000"/>
  </sheetPr>
  <dimension ref="A1:AH1003"/>
  <sheetViews>
    <sheetView topLeftCell="A5" zoomScale="70" zoomScaleNormal="70" workbookViewId="0">
      <pane xSplit="3" ySplit="11" topLeftCell="D16" activePane="bottomRight" state="frozen"/>
      <selection activeCell="A5" sqref="A5"/>
      <selection pane="topRight" activeCell="D5" sqref="D5"/>
      <selection pane="bottomLeft" activeCell="A16" sqref="A16"/>
      <selection pane="bottomRight" activeCell="J10" sqref="J10"/>
    </sheetView>
  </sheetViews>
  <sheetFormatPr baseColWidth="10" defaultColWidth="11.42578125" defaultRowHeight="12" customHeight="1"/>
  <cols>
    <col min="1" max="1" width="7.85546875" style="871" customWidth="1"/>
    <col min="2" max="2" width="1.7109375" style="137" customWidth="1"/>
    <col min="3" max="3" width="63.28515625" style="127" customWidth="1"/>
    <col min="4" max="4" width="13.5703125" style="129" customWidth="1"/>
    <col min="5" max="5" width="12" style="129" customWidth="1"/>
    <col min="6" max="6" width="11.140625" style="130" customWidth="1"/>
    <col min="7" max="7" width="19.5703125" style="609" bestFit="1" customWidth="1"/>
    <col min="8" max="8" width="11.28515625" style="135" customWidth="1"/>
    <col min="9" max="9" width="12" style="135" customWidth="1"/>
    <col min="10" max="10" width="12.7109375" style="129" customWidth="1"/>
    <col min="11" max="12" width="8.7109375" style="129" customWidth="1"/>
    <col min="13" max="13" width="18.140625" style="129" customWidth="1"/>
    <col min="14" max="14" width="11.140625" style="872" customWidth="1"/>
    <col min="15" max="15" width="9" style="136" customWidth="1"/>
    <col min="16" max="16" width="9.7109375" style="129" customWidth="1"/>
    <col min="17" max="17" width="10.5703125" style="129" hidden="1" customWidth="1"/>
    <col min="18" max="18" width="11.5703125" style="135" hidden="1" customWidth="1"/>
    <col min="19" max="19" width="9.28515625" style="135" hidden="1" customWidth="1"/>
    <col min="20" max="20" width="10.7109375" style="131" customWidth="1"/>
    <col min="21" max="21" width="13.42578125" style="135" hidden="1" customWidth="1"/>
    <col min="22" max="22" width="11" style="135" customWidth="1"/>
    <col min="23" max="23" width="12.7109375" style="135" bestFit="1" customWidth="1"/>
    <col min="24" max="24" width="11.140625" style="135" hidden="1" customWidth="1"/>
    <col min="25" max="25" width="14.42578125" style="131" customWidth="1"/>
    <col min="26" max="27" width="14.42578125" style="242" customWidth="1"/>
    <col min="28" max="28" width="10.42578125" style="182" hidden="1" customWidth="1"/>
    <col min="29" max="29" width="13.28515625" style="132" hidden="1" customWidth="1"/>
    <col min="30" max="34" width="11.42578125" style="124" hidden="1" customWidth="1"/>
    <col min="35" max="16384" width="11.42578125" style="124"/>
  </cols>
  <sheetData>
    <row r="1" spans="1:34" ht="12" hidden="1" customHeight="1"/>
    <row r="2" spans="1:34" ht="12" hidden="1" customHeight="1">
      <c r="K2" s="128"/>
      <c r="X2" s="128"/>
    </row>
    <row r="3" spans="1:34" s="125" customFormat="1" ht="28.5" hidden="1">
      <c r="A3" s="138"/>
      <c r="B3" s="139"/>
      <c r="C3" s="140" t="s">
        <v>398</v>
      </c>
      <c r="D3" s="130"/>
      <c r="E3" s="130"/>
      <c r="F3" s="130"/>
      <c r="G3" s="609"/>
      <c r="H3" s="127"/>
      <c r="I3" s="127"/>
      <c r="J3" s="130"/>
      <c r="K3" s="130"/>
      <c r="L3" s="130"/>
      <c r="M3" s="130"/>
      <c r="N3" s="141"/>
      <c r="O3" s="142"/>
      <c r="P3" s="130"/>
      <c r="Q3" s="130"/>
      <c r="R3" s="131"/>
      <c r="S3" s="131"/>
      <c r="T3" s="131"/>
      <c r="U3" s="131"/>
      <c r="V3" s="131"/>
      <c r="W3" s="131"/>
      <c r="X3" s="131"/>
      <c r="Y3" s="131"/>
      <c r="Z3" s="242"/>
      <c r="AA3" s="242"/>
      <c r="AB3" s="183"/>
      <c r="AC3" s="133"/>
    </row>
    <row r="4" spans="1:34" ht="15" hidden="1"/>
    <row r="5" spans="1:34" s="126" customFormat="1" ht="8.25" customHeight="1">
      <c r="A5" s="143"/>
      <c r="B5" s="144"/>
      <c r="C5" s="145"/>
      <c r="D5" s="146"/>
      <c r="E5" s="146"/>
      <c r="F5" s="147"/>
      <c r="G5" s="607"/>
      <c r="H5" s="149"/>
      <c r="I5" s="150"/>
      <c r="J5" s="146"/>
      <c r="K5" s="146"/>
      <c r="L5" s="151"/>
      <c r="M5" s="152"/>
      <c r="N5" s="146"/>
      <c r="O5" s="153"/>
      <c r="P5" s="151"/>
      <c r="Q5" s="152"/>
      <c r="R5" s="154"/>
      <c r="S5" s="149"/>
      <c r="T5" s="148"/>
      <c r="U5" s="150"/>
      <c r="V5" s="154"/>
      <c r="W5" s="149"/>
      <c r="X5" s="149"/>
      <c r="Y5" s="155"/>
      <c r="Z5" s="148"/>
      <c r="AA5" s="148"/>
      <c r="AB5" s="184"/>
      <c r="AC5" s="134"/>
    </row>
    <row r="6" spans="1:34" ht="14.45" customHeight="1">
      <c r="C6" s="873" t="s">
        <v>584</v>
      </c>
      <c r="D6" s="157" t="s">
        <v>585</v>
      </c>
      <c r="E6" s="157" t="s">
        <v>586</v>
      </c>
      <c r="F6" s="1007" t="s">
        <v>587</v>
      </c>
      <c r="G6" s="1008"/>
      <c r="H6" s="1008"/>
      <c r="I6" s="1009"/>
      <c r="J6" s="156" t="s">
        <v>588</v>
      </c>
      <c r="K6" s="156" t="s">
        <v>589</v>
      </c>
      <c r="L6" s="1015" t="s">
        <v>590</v>
      </c>
      <c r="M6" s="1016"/>
      <c r="N6" s="158" t="s">
        <v>527</v>
      </c>
      <c r="O6" s="157" t="s">
        <v>591</v>
      </c>
      <c r="P6" s="1017"/>
      <c r="Q6" s="1009"/>
      <c r="R6" s="874" t="s">
        <v>163</v>
      </c>
      <c r="S6" s="875"/>
      <c r="T6" s="876" t="s">
        <v>592</v>
      </c>
      <c r="U6" s="877"/>
      <c r="V6" s="1007" t="s">
        <v>575</v>
      </c>
      <c r="W6" s="1008"/>
      <c r="X6" s="1008"/>
      <c r="Y6" s="1009"/>
      <c r="Z6" s="241"/>
      <c r="AA6" s="241"/>
    </row>
    <row r="7" spans="1:34" ht="15">
      <c r="C7" s="873" t="s">
        <v>593</v>
      </c>
      <c r="D7" s="157" t="s">
        <v>594</v>
      </c>
      <c r="E7" s="878" t="s">
        <v>595</v>
      </c>
      <c r="F7" s="1010"/>
      <c r="G7" s="1008"/>
      <c r="H7" s="1008"/>
      <c r="I7" s="1009"/>
      <c r="J7" s="156" t="s">
        <v>596</v>
      </c>
      <c r="K7" s="156" t="s">
        <v>597</v>
      </c>
      <c r="L7" s="157"/>
      <c r="M7" s="156"/>
      <c r="N7" s="158" t="s">
        <v>598</v>
      </c>
      <c r="O7" s="243" t="s">
        <v>527</v>
      </c>
      <c r="P7" s="879"/>
      <c r="Q7" s="159"/>
      <c r="R7" s="160"/>
      <c r="S7" s="161"/>
      <c r="T7" s="162" t="s">
        <v>599</v>
      </c>
      <c r="U7" s="163"/>
      <c r="V7" s="160" t="s">
        <v>221</v>
      </c>
      <c r="W7" s="161"/>
      <c r="X7" s="161"/>
      <c r="Y7" s="164"/>
      <c r="Z7" s="162"/>
      <c r="AA7" s="162"/>
    </row>
    <row r="8" spans="1:34" ht="15">
      <c r="C8" s="880"/>
      <c r="D8" s="157" t="s">
        <v>600</v>
      </c>
      <c r="E8" s="878" t="s">
        <v>601</v>
      </c>
      <c r="F8" s="881"/>
      <c r="G8" s="882"/>
      <c r="H8" s="160"/>
      <c r="I8" s="883"/>
      <c r="J8" s="165" t="s">
        <v>602</v>
      </c>
      <c r="K8" s="156" t="s">
        <v>603</v>
      </c>
      <c r="L8" s="157" t="s">
        <v>604</v>
      </c>
      <c r="M8" s="156" t="s">
        <v>605</v>
      </c>
      <c r="N8" s="158" t="s">
        <v>606</v>
      </c>
      <c r="O8" s="243" t="s">
        <v>607</v>
      </c>
      <c r="P8" s="156" t="s">
        <v>608</v>
      </c>
      <c r="Q8" s="156" t="s">
        <v>201</v>
      </c>
      <c r="R8" s="166" t="s">
        <v>374</v>
      </c>
      <c r="S8" s="166" t="s">
        <v>373</v>
      </c>
      <c r="T8" s="167" t="s">
        <v>375</v>
      </c>
      <c r="U8" s="166" t="s">
        <v>376</v>
      </c>
      <c r="V8" s="166" t="s">
        <v>609</v>
      </c>
      <c r="W8" s="166" t="s">
        <v>543</v>
      </c>
      <c r="X8" s="166" t="s">
        <v>201</v>
      </c>
      <c r="Y8" s="167" t="s">
        <v>375</v>
      </c>
      <c r="Z8" s="162"/>
      <c r="AA8" s="162"/>
    </row>
    <row r="9" spans="1:34" ht="27" customHeight="1">
      <c r="C9" s="880"/>
      <c r="D9" s="157" t="s">
        <v>602</v>
      </c>
      <c r="E9" s="878"/>
      <c r="F9" s="881"/>
      <c r="G9" s="884"/>
      <c r="H9" s="1011" t="s">
        <v>610</v>
      </c>
      <c r="I9" s="1012"/>
      <c r="J9" s="156" t="s">
        <v>611</v>
      </c>
      <c r="K9" s="156" t="s">
        <v>612</v>
      </c>
      <c r="L9" s="157" t="s">
        <v>613</v>
      </c>
      <c r="M9" s="156" t="s">
        <v>614</v>
      </c>
      <c r="N9" s="158" t="s">
        <v>615</v>
      </c>
      <c r="O9" s="243" t="s">
        <v>616</v>
      </c>
      <c r="P9" s="156" t="s">
        <v>617</v>
      </c>
      <c r="Q9" s="156"/>
      <c r="R9" s="166" t="s">
        <v>377</v>
      </c>
      <c r="S9" s="166" t="s">
        <v>378</v>
      </c>
      <c r="T9" s="167"/>
      <c r="U9" s="166"/>
      <c r="V9" s="166" t="s">
        <v>618</v>
      </c>
      <c r="W9" s="166" t="s">
        <v>619</v>
      </c>
      <c r="X9" s="166"/>
      <c r="Y9" s="156"/>
      <c r="Z9" s="243"/>
      <c r="AA9" s="243"/>
    </row>
    <row r="10" spans="1:34" ht="15">
      <c r="C10" s="880"/>
      <c r="D10" s="157" t="s">
        <v>620</v>
      </c>
      <c r="E10" s="878"/>
      <c r="F10" s="881"/>
      <c r="G10" s="884"/>
      <c r="H10" s="1013" t="s">
        <v>621</v>
      </c>
      <c r="I10" s="1014"/>
      <c r="J10" s="156" t="s">
        <v>622</v>
      </c>
      <c r="K10" s="156" t="s">
        <v>623</v>
      </c>
      <c r="L10" s="157"/>
      <c r="M10" s="156" t="s">
        <v>624</v>
      </c>
      <c r="N10" s="168"/>
      <c r="O10" s="243" t="s">
        <v>625</v>
      </c>
      <c r="P10" s="156"/>
      <c r="Q10" s="156"/>
      <c r="R10" s="166"/>
      <c r="S10" s="166"/>
      <c r="T10" s="167"/>
      <c r="U10" s="166"/>
      <c r="V10" s="166"/>
      <c r="W10" s="166"/>
      <c r="X10" s="166"/>
      <c r="Y10" s="167"/>
      <c r="Z10" s="162"/>
      <c r="AA10" s="162"/>
    </row>
    <row r="11" spans="1:34" ht="15">
      <c r="C11" s="880"/>
      <c r="D11" s="157" t="s">
        <v>622</v>
      </c>
      <c r="E11" s="157"/>
      <c r="F11" s="463" t="s">
        <v>626</v>
      </c>
      <c r="G11" s="884" t="s">
        <v>626</v>
      </c>
      <c r="H11" s="885" t="s">
        <v>176</v>
      </c>
      <c r="I11" s="885" t="s">
        <v>177</v>
      </c>
      <c r="J11" s="169"/>
      <c r="K11" s="156"/>
      <c r="L11" s="157"/>
      <c r="M11" s="156"/>
      <c r="N11" s="168"/>
      <c r="O11" s="156"/>
      <c r="P11" s="156"/>
      <c r="Q11" s="156"/>
      <c r="R11" s="166"/>
      <c r="S11" s="166"/>
      <c r="T11" s="167"/>
      <c r="U11" s="166"/>
      <c r="V11" s="166"/>
      <c r="W11" s="166"/>
      <c r="X11" s="166"/>
      <c r="Y11" s="167"/>
      <c r="Z11" s="162"/>
      <c r="AA11" s="162"/>
    </row>
    <row r="12" spans="1:34" ht="15">
      <c r="C12" s="880"/>
      <c r="D12" s="156"/>
      <c r="E12" s="157" t="s">
        <v>380</v>
      </c>
      <c r="F12" s="463" t="s">
        <v>387</v>
      </c>
      <c r="G12" s="886" t="s">
        <v>387</v>
      </c>
      <c r="H12" s="160" t="s">
        <v>627</v>
      </c>
      <c r="I12" s="160" t="s">
        <v>627</v>
      </c>
      <c r="J12" s="156" t="s">
        <v>522</v>
      </c>
      <c r="K12" s="156" t="s">
        <v>382</v>
      </c>
      <c r="L12" s="157" t="s">
        <v>628</v>
      </c>
      <c r="M12" s="156" t="s">
        <v>522</v>
      </c>
      <c r="N12" s="168"/>
      <c r="O12" s="156"/>
      <c r="P12" s="156" t="s">
        <v>383</v>
      </c>
      <c r="Q12" s="156" t="s">
        <v>384</v>
      </c>
      <c r="R12" s="166" t="s">
        <v>385</v>
      </c>
      <c r="S12" s="166" t="s">
        <v>385</v>
      </c>
      <c r="T12" s="167" t="s">
        <v>385</v>
      </c>
      <c r="U12" s="166" t="s">
        <v>386</v>
      </c>
      <c r="V12" s="166" t="s">
        <v>386</v>
      </c>
      <c r="W12" s="166" t="s">
        <v>386</v>
      </c>
      <c r="X12" s="166" t="s">
        <v>386</v>
      </c>
      <c r="Y12" s="167" t="s">
        <v>386</v>
      </c>
      <c r="Z12" s="162" t="s">
        <v>78</v>
      </c>
      <c r="AA12" s="162" t="s">
        <v>386</v>
      </c>
      <c r="AC12" s="525" t="s">
        <v>629</v>
      </c>
    </row>
    <row r="13" spans="1:34" ht="14.45" customHeight="1">
      <c r="A13" s="170"/>
      <c r="B13" s="171"/>
      <c r="C13" s="887">
        <v>1</v>
      </c>
      <c r="D13" s="172">
        <v>2</v>
      </c>
      <c r="E13" s="172">
        <v>3</v>
      </c>
      <c r="F13" s="172">
        <v>4</v>
      </c>
      <c r="G13" s="608">
        <v>5</v>
      </c>
      <c r="H13" s="173">
        <v>6</v>
      </c>
      <c r="I13" s="173">
        <v>7</v>
      </c>
      <c r="J13" s="172">
        <v>8</v>
      </c>
      <c r="K13" s="172">
        <v>9</v>
      </c>
      <c r="L13" s="172">
        <v>10</v>
      </c>
      <c r="M13" s="172">
        <v>11</v>
      </c>
      <c r="N13" s="172">
        <v>12</v>
      </c>
      <c r="O13" s="172">
        <v>13</v>
      </c>
      <c r="P13" s="172">
        <v>14</v>
      </c>
      <c r="Q13" s="172">
        <v>15</v>
      </c>
      <c r="R13" s="173">
        <v>16</v>
      </c>
      <c r="S13" s="173">
        <v>17</v>
      </c>
      <c r="T13" s="173">
        <v>18</v>
      </c>
      <c r="U13" s="173">
        <v>19</v>
      </c>
      <c r="V13" s="173">
        <v>20</v>
      </c>
      <c r="W13" s="173">
        <v>21</v>
      </c>
      <c r="X13" s="173">
        <v>22</v>
      </c>
      <c r="Y13" s="173">
        <v>23</v>
      </c>
      <c r="Z13" s="161"/>
      <c r="AA13" s="161"/>
      <c r="AB13" s="182" t="s">
        <v>132</v>
      </c>
      <c r="AC13" s="132" t="s">
        <v>379</v>
      </c>
      <c r="AD13" s="124" t="s">
        <v>381</v>
      </c>
      <c r="AE13" s="124" t="s">
        <v>277</v>
      </c>
    </row>
    <row r="14" spans="1:34" ht="14.45" customHeight="1">
      <c r="C14" s="127">
        <v>3</v>
      </c>
      <c r="D14" s="129">
        <v>4</v>
      </c>
      <c r="E14" s="129">
        <v>5</v>
      </c>
      <c r="F14" s="130">
        <v>6</v>
      </c>
      <c r="G14" s="609">
        <v>7</v>
      </c>
      <c r="H14" s="135">
        <v>8</v>
      </c>
      <c r="I14" s="135">
        <v>9</v>
      </c>
      <c r="J14" s="129">
        <v>10</v>
      </c>
      <c r="K14" s="129">
        <v>11</v>
      </c>
      <c r="L14" s="174">
        <v>12</v>
      </c>
      <c r="M14" s="129">
        <v>13</v>
      </c>
      <c r="N14" s="180">
        <v>14</v>
      </c>
      <c r="O14" s="136">
        <v>15</v>
      </c>
      <c r="P14" s="129">
        <v>16</v>
      </c>
      <c r="Q14" s="129">
        <v>17</v>
      </c>
      <c r="R14" s="135">
        <v>18</v>
      </c>
      <c r="S14" s="135">
        <v>19</v>
      </c>
      <c r="T14" s="131">
        <v>20</v>
      </c>
      <c r="U14" s="135">
        <v>21</v>
      </c>
      <c r="V14" s="135">
        <v>22</v>
      </c>
      <c r="W14" s="135">
        <v>23</v>
      </c>
      <c r="X14" s="135">
        <v>24</v>
      </c>
      <c r="Y14" s="131">
        <v>25</v>
      </c>
      <c r="Z14" s="242">
        <v>26</v>
      </c>
      <c r="AA14" s="242">
        <v>27</v>
      </c>
      <c r="AB14" s="183">
        <v>28</v>
      </c>
      <c r="AC14" s="133">
        <v>29</v>
      </c>
      <c r="AD14" s="124">
        <v>30</v>
      </c>
      <c r="AE14" s="124">
        <v>31</v>
      </c>
    </row>
    <row r="15" spans="1:34" ht="15">
      <c r="A15" s="426" t="s">
        <v>402</v>
      </c>
      <c r="B15" s="427"/>
      <c r="C15" s="428" t="s">
        <v>630</v>
      </c>
      <c r="D15" s="389"/>
      <c r="E15" s="389"/>
      <c r="F15" s="390"/>
      <c r="G15" s="610"/>
      <c r="H15" s="391"/>
      <c r="I15" s="391"/>
      <c r="J15" s="392"/>
      <c r="K15" s="392" t="s">
        <v>221</v>
      </c>
      <c r="L15" s="389"/>
      <c r="M15" s="392"/>
      <c r="N15" s="393"/>
      <c r="O15" s="533"/>
      <c r="P15" s="389"/>
      <c r="Q15" s="389"/>
      <c r="R15" s="394"/>
      <c r="S15" s="394"/>
      <c r="T15" s="395"/>
      <c r="U15" s="391"/>
      <c r="V15" s="391"/>
      <c r="W15" s="391"/>
      <c r="X15" s="391"/>
      <c r="Y15" s="396"/>
      <c r="Z15" s="397"/>
      <c r="AA15" s="397"/>
      <c r="AB15" s="398"/>
      <c r="AC15" s="391"/>
      <c r="AD15" s="398"/>
      <c r="AE15" s="398"/>
      <c r="AF15" s="398"/>
      <c r="AG15" s="124" t="s">
        <v>22</v>
      </c>
    </row>
    <row r="16" spans="1:34" ht="15.75">
      <c r="A16" s="624">
        <v>1000</v>
      </c>
      <c r="B16" s="625"/>
      <c r="C16" s="626" t="s">
        <v>631</v>
      </c>
      <c r="D16" s="627"/>
      <c r="E16" s="628"/>
      <c r="F16" s="629"/>
      <c r="G16" s="630"/>
      <c r="H16" s="631"/>
      <c r="I16" s="631"/>
      <c r="J16" s="632"/>
      <c r="K16" s="632"/>
      <c r="L16" s="627"/>
      <c r="M16" s="632"/>
      <c r="N16" s="739" t="s">
        <v>129</v>
      </c>
      <c r="O16" s="741"/>
      <c r="P16" s="742"/>
      <c r="Q16" s="388"/>
      <c r="R16" s="175"/>
      <c r="S16" s="399"/>
      <c r="T16" s="750" t="s">
        <v>129</v>
      </c>
      <c r="U16" s="388"/>
      <c r="V16" s="631"/>
      <c r="W16" s="631"/>
      <c r="X16" s="388"/>
      <c r="Y16" s="760"/>
      <c r="Z16" s="774"/>
      <c r="AA16" s="775"/>
      <c r="AB16" s="810"/>
      <c r="AC16" s="817" t="s">
        <v>129</v>
      </c>
      <c r="AD16" s="810"/>
      <c r="AE16" s="810"/>
      <c r="AF16" s="624">
        <v>1000</v>
      </c>
      <c r="AG16" s="124" t="s">
        <v>23</v>
      </c>
      <c r="AH16" s="124" t="s">
        <v>24</v>
      </c>
    </row>
    <row r="17" spans="1:34" ht="15.75">
      <c r="A17" s="633"/>
      <c r="B17" s="634"/>
      <c r="C17" s="633"/>
      <c r="D17" s="544"/>
      <c r="E17" s="545"/>
      <c r="F17" s="546"/>
      <c r="G17" s="635"/>
      <c r="H17" s="636"/>
      <c r="I17" s="636"/>
      <c r="J17" s="549"/>
      <c r="K17" s="637"/>
      <c r="L17" s="633"/>
      <c r="M17" s="549"/>
      <c r="N17" s="592" t="s">
        <v>129</v>
      </c>
      <c r="O17" s="633"/>
      <c r="P17" s="743"/>
      <c r="Q17" s="429"/>
      <c r="R17" s="430" t="s">
        <v>129</v>
      </c>
      <c r="S17" s="496"/>
      <c r="T17" s="751" t="s">
        <v>129</v>
      </c>
      <c r="U17" s="438"/>
      <c r="V17" s="636"/>
      <c r="W17" s="636"/>
      <c r="X17" s="438"/>
      <c r="Y17" s="761"/>
      <c r="Z17" s="776"/>
      <c r="AA17" s="777"/>
      <c r="AB17" s="633"/>
      <c r="AC17" s="818" t="s">
        <v>129</v>
      </c>
      <c r="AD17" s="633"/>
      <c r="AE17" s="811"/>
      <c r="AF17" s="633"/>
    </row>
    <row r="18" spans="1:34" ht="15.75">
      <c r="A18" s="638">
        <v>1001</v>
      </c>
      <c r="B18" s="639"/>
      <c r="C18" s="639" t="s">
        <v>632</v>
      </c>
      <c r="D18" s="551">
        <v>33</v>
      </c>
      <c r="E18" s="545">
        <v>45000</v>
      </c>
      <c r="F18" s="640">
        <v>27</v>
      </c>
      <c r="G18" s="641" t="s">
        <v>129</v>
      </c>
      <c r="H18" s="642">
        <v>24</v>
      </c>
      <c r="I18" s="642">
        <v>32</v>
      </c>
      <c r="J18" s="549">
        <v>300</v>
      </c>
      <c r="K18" s="554">
        <v>40</v>
      </c>
      <c r="L18" s="562">
        <v>15</v>
      </c>
      <c r="M18" s="549">
        <v>10000</v>
      </c>
      <c r="N18" s="592">
        <v>0.25</v>
      </c>
      <c r="O18" s="594">
        <v>0.85</v>
      </c>
      <c r="P18" s="590">
        <v>48</v>
      </c>
      <c r="Q18" s="431"/>
      <c r="R18" s="430" t="s">
        <v>129</v>
      </c>
      <c r="S18" s="175"/>
      <c r="T18" s="752">
        <v>3982.5</v>
      </c>
      <c r="U18" s="439"/>
      <c r="V18" s="642">
        <v>3.8249999999999997</v>
      </c>
      <c r="W18" s="642">
        <v>7.2468000000000004</v>
      </c>
      <c r="X18" s="439"/>
      <c r="Y18" s="762">
        <v>11.0718</v>
      </c>
      <c r="Z18" s="618">
        <v>26.781480000000006</v>
      </c>
      <c r="AA18" s="619"/>
      <c r="AB18" s="601"/>
      <c r="AC18" s="819">
        <v>540</v>
      </c>
      <c r="AD18" s="601" t="s">
        <v>633</v>
      </c>
      <c r="AE18" s="601">
        <v>1</v>
      </c>
      <c r="AF18" s="638">
        <v>1001</v>
      </c>
    </row>
    <row r="19" spans="1:34" ht="15.75">
      <c r="A19" s="643">
        <v>1002</v>
      </c>
      <c r="B19" s="644"/>
      <c r="C19" s="644" t="s">
        <v>634</v>
      </c>
      <c r="D19" s="551">
        <v>41</v>
      </c>
      <c r="E19" s="545">
        <v>59000</v>
      </c>
      <c r="F19" s="640">
        <v>33</v>
      </c>
      <c r="G19" s="645" t="s">
        <v>129</v>
      </c>
      <c r="H19" s="636">
        <v>30</v>
      </c>
      <c r="I19" s="636">
        <v>39</v>
      </c>
      <c r="J19" s="549">
        <v>300</v>
      </c>
      <c r="K19" s="554">
        <v>40</v>
      </c>
      <c r="L19" s="562">
        <v>15</v>
      </c>
      <c r="M19" s="549">
        <v>10000</v>
      </c>
      <c r="N19" s="592">
        <v>0.25</v>
      </c>
      <c r="O19" s="594">
        <v>0.8</v>
      </c>
      <c r="P19" s="590">
        <v>53</v>
      </c>
      <c r="Q19" s="431">
        <v>0.04</v>
      </c>
      <c r="R19" s="430">
        <v>3203.5</v>
      </c>
      <c r="S19" s="497">
        <v>624</v>
      </c>
      <c r="T19" s="751">
        <v>4932.5</v>
      </c>
      <c r="U19" s="439">
        <v>14.965</v>
      </c>
      <c r="V19" s="636">
        <v>4.7200000000000006</v>
      </c>
      <c r="W19" s="636">
        <v>9.0036000000000005</v>
      </c>
      <c r="X19" s="439">
        <v>1.1200000000000001</v>
      </c>
      <c r="Y19" s="761">
        <v>13.723600000000001</v>
      </c>
      <c r="Z19" s="776">
        <v>33.181793333333339</v>
      </c>
      <c r="AA19" s="777"/>
      <c r="AB19" s="811"/>
      <c r="AC19" s="818">
        <v>568</v>
      </c>
      <c r="AD19" s="811" t="s">
        <v>633</v>
      </c>
      <c r="AE19" s="811">
        <v>1</v>
      </c>
      <c r="AF19" s="643">
        <v>1002</v>
      </c>
      <c r="AG19" s="124">
        <v>1021</v>
      </c>
      <c r="AH19" s="124">
        <v>1022</v>
      </c>
    </row>
    <row r="20" spans="1:34" ht="15.75">
      <c r="A20" s="643">
        <v>1003</v>
      </c>
      <c r="B20" s="644"/>
      <c r="C20" s="644" t="s">
        <v>635</v>
      </c>
      <c r="D20" s="551">
        <v>50</v>
      </c>
      <c r="E20" s="545">
        <v>65000</v>
      </c>
      <c r="F20" s="640">
        <v>34</v>
      </c>
      <c r="G20" s="645" t="s">
        <v>129</v>
      </c>
      <c r="H20" s="636">
        <v>31</v>
      </c>
      <c r="I20" s="636">
        <v>40</v>
      </c>
      <c r="J20" s="549">
        <v>350</v>
      </c>
      <c r="K20" s="554">
        <v>40</v>
      </c>
      <c r="L20" s="562">
        <v>15</v>
      </c>
      <c r="M20" s="549">
        <v>10000</v>
      </c>
      <c r="N20" s="592">
        <v>0.25</v>
      </c>
      <c r="O20" s="594">
        <v>0.7</v>
      </c>
      <c r="P20" s="590">
        <v>60</v>
      </c>
      <c r="Q20" s="431">
        <v>0.04</v>
      </c>
      <c r="R20" s="430">
        <v>4097.5</v>
      </c>
      <c r="S20" s="175">
        <v>689</v>
      </c>
      <c r="T20" s="751">
        <v>5412.5</v>
      </c>
      <c r="U20" s="439">
        <v>18.274999999999999</v>
      </c>
      <c r="V20" s="636">
        <v>4.55</v>
      </c>
      <c r="W20" s="636">
        <v>10.98</v>
      </c>
      <c r="X20" s="439">
        <v>1.1200000000000001</v>
      </c>
      <c r="Y20" s="761">
        <v>15.530000000000001</v>
      </c>
      <c r="Z20" s="776">
        <v>34.093714285714292</v>
      </c>
      <c r="AA20" s="777"/>
      <c r="AB20" s="811"/>
      <c r="AC20" s="818">
        <v>580</v>
      </c>
      <c r="AD20" s="811" t="s">
        <v>633</v>
      </c>
      <c r="AE20" s="811">
        <v>1</v>
      </c>
      <c r="AF20" s="643">
        <v>1003</v>
      </c>
      <c r="AG20" s="124">
        <v>1021</v>
      </c>
      <c r="AH20" s="124">
        <v>1022</v>
      </c>
    </row>
    <row r="21" spans="1:34" ht="15.75">
      <c r="A21" s="643">
        <v>1004</v>
      </c>
      <c r="B21" s="644"/>
      <c r="C21" s="644" t="s">
        <v>636</v>
      </c>
      <c r="D21" s="551">
        <v>60</v>
      </c>
      <c r="E21" s="545">
        <v>84000</v>
      </c>
      <c r="F21" s="640">
        <v>40</v>
      </c>
      <c r="G21" s="645" t="s">
        <v>129</v>
      </c>
      <c r="H21" s="636">
        <v>36</v>
      </c>
      <c r="I21" s="636">
        <v>47</v>
      </c>
      <c r="J21" s="549">
        <v>400</v>
      </c>
      <c r="K21" s="554">
        <v>40</v>
      </c>
      <c r="L21" s="562">
        <v>15</v>
      </c>
      <c r="M21" s="549">
        <v>10000</v>
      </c>
      <c r="N21" s="592">
        <v>0.1</v>
      </c>
      <c r="O21" s="594">
        <v>0.6</v>
      </c>
      <c r="P21" s="590">
        <v>65</v>
      </c>
      <c r="Q21" s="431">
        <v>0.04</v>
      </c>
      <c r="R21" s="430">
        <v>4842.5</v>
      </c>
      <c r="S21" s="497">
        <v>780</v>
      </c>
      <c r="T21" s="751">
        <v>7439.4</v>
      </c>
      <c r="U21" s="439">
        <v>18.149999999999999</v>
      </c>
      <c r="V21" s="636">
        <v>5.04</v>
      </c>
      <c r="W21" s="636">
        <v>13.176</v>
      </c>
      <c r="X21" s="439">
        <v>1.1200000000000001</v>
      </c>
      <c r="Y21" s="761">
        <v>18.216000000000001</v>
      </c>
      <c r="Z21" s="776">
        <v>40.495950000000001</v>
      </c>
      <c r="AA21" s="777"/>
      <c r="AB21" s="811"/>
      <c r="AC21" s="818">
        <v>618</v>
      </c>
      <c r="AD21" s="811" t="s">
        <v>633</v>
      </c>
      <c r="AE21" s="811">
        <v>1</v>
      </c>
      <c r="AF21" s="643">
        <v>1004</v>
      </c>
      <c r="AG21" s="124">
        <v>1021</v>
      </c>
      <c r="AH21" s="124">
        <v>1022</v>
      </c>
    </row>
    <row r="22" spans="1:34" ht="15.75">
      <c r="A22" s="643">
        <v>1005</v>
      </c>
      <c r="B22" s="644"/>
      <c r="C22" s="644" t="s">
        <v>637</v>
      </c>
      <c r="D22" s="551">
        <v>70</v>
      </c>
      <c r="E22" s="545">
        <v>94000</v>
      </c>
      <c r="F22" s="640">
        <v>43</v>
      </c>
      <c r="G22" s="645" t="s">
        <v>129</v>
      </c>
      <c r="H22" s="636">
        <v>39</v>
      </c>
      <c r="I22" s="636">
        <v>49</v>
      </c>
      <c r="J22" s="549">
        <v>450</v>
      </c>
      <c r="K22" s="554">
        <v>40</v>
      </c>
      <c r="L22" s="562">
        <v>15</v>
      </c>
      <c r="M22" s="549">
        <v>10000</v>
      </c>
      <c r="N22" s="592">
        <v>0.1</v>
      </c>
      <c r="O22" s="594">
        <v>0.55000000000000004</v>
      </c>
      <c r="P22" s="590">
        <v>70</v>
      </c>
      <c r="Q22" s="431">
        <v>0.04</v>
      </c>
      <c r="R22" s="430">
        <v>6344.8</v>
      </c>
      <c r="S22" s="175">
        <v>845</v>
      </c>
      <c r="T22" s="751">
        <v>8230.4</v>
      </c>
      <c r="U22" s="439">
        <v>19.884499999999999</v>
      </c>
      <c r="V22" s="636">
        <v>5.1700000000000008</v>
      </c>
      <c r="W22" s="636">
        <v>15.372000000000002</v>
      </c>
      <c r="X22" s="439">
        <v>1.1200000000000001</v>
      </c>
      <c r="Y22" s="761">
        <v>20.542000000000002</v>
      </c>
      <c r="Z22" s="776">
        <v>42.714955555555555</v>
      </c>
      <c r="AA22" s="777"/>
      <c r="AB22" s="811"/>
      <c r="AC22" s="818">
        <v>638</v>
      </c>
      <c r="AD22" s="811" t="s">
        <v>633</v>
      </c>
      <c r="AE22" s="811">
        <v>1</v>
      </c>
      <c r="AF22" s="643">
        <v>1005</v>
      </c>
      <c r="AG22" s="124">
        <v>1021</v>
      </c>
      <c r="AH22" s="124">
        <v>1022</v>
      </c>
    </row>
    <row r="23" spans="1:34" ht="15.75">
      <c r="A23" s="643">
        <v>1006</v>
      </c>
      <c r="B23" s="644"/>
      <c r="C23" s="644" t="s">
        <v>638</v>
      </c>
      <c r="D23" s="551">
        <v>82</v>
      </c>
      <c r="E23" s="545">
        <v>117000</v>
      </c>
      <c r="F23" s="640">
        <v>49</v>
      </c>
      <c r="G23" s="645" t="s">
        <v>129</v>
      </c>
      <c r="H23" s="636">
        <v>44</v>
      </c>
      <c r="I23" s="636">
        <v>56</v>
      </c>
      <c r="J23" s="549">
        <v>500</v>
      </c>
      <c r="K23" s="554">
        <v>40</v>
      </c>
      <c r="L23" s="562">
        <v>15</v>
      </c>
      <c r="M23" s="549">
        <v>10000</v>
      </c>
      <c r="N23" s="592">
        <v>0.1</v>
      </c>
      <c r="O23" s="594">
        <v>0.45</v>
      </c>
      <c r="P23" s="590">
        <v>82</v>
      </c>
      <c r="Q23" s="431">
        <v>0.04</v>
      </c>
      <c r="R23" s="430">
        <v>7498.4</v>
      </c>
      <c r="S23" s="497">
        <v>910</v>
      </c>
      <c r="T23" s="751">
        <v>10057.200000000001</v>
      </c>
      <c r="U23" s="439">
        <v>20.467555555555556</v>
      </c>
      <c r="V23" s="636">
        <v>5.2649999999999997</v>
      </c>
      <c r="W23" s="636">
        <v>18.773884954128441</v>
      </c>
      <c r="X23" s="439">
        <v>1.1200000000000001</v>
      </c>
      <c r="Y23" s="761">
        <v>24.038884954128442</v>
      </c>
      <c r="Z23" s="776">
        <v>48.568613449541289</v>
      </c>
      <c r="AA23" s="777"/>
      <c r="AB23" s="811"/>
      <c r="AC23" s="818">
        <v>684</v>
      </c>
      <c r="AD23" s="811" t="s">
        <v>633</v>
      </c>
      <c r="AE23" s="811">
        <v>1</v>
      </c>
      <c r="AF23" s="643">
        <v>1006</v>
      </c>
      <c r="AG23" s="124">
        <v>1023</v>
      </c>
      <c r="AH23" s="124">
        <v>1024</v>
      </c>
    </row>
    <row r="24" spans="1:34" ht="15.75">
      <c r="A24" s="643">
        <v>1010</v>
      </c>
      <c r="B24" s="644" t="s">
        <v>411</v>
      </c>
      <c r="C24" s="644" t="s">
        <v>639</v>
      </c>
      <c r="D24" s="551">
        <v>97</v>
      </c>
      <c r="E24" s="545">
        <v>160000</v>
      </c>
      <c r="F24" s="640">
        <v>61</v>
      </c>
      <c r="G24" s="645" t="s">
        <v>129</v>
      </c>
      <c r="H24" s="636">
        <v>56</v>
      </c>
      <c r="I24" s="636">
        <v>71</v>
      </c>
      <c r="J24" s="549">
        <v>500</v>
      </c>
      <c r="K24" s="554">
        <v>40</v>
      </c>
      <c r="L24" s="562">
        <v>15</v>
      </c>
      <c r="M24" s="549">
        <v>10000</v>
      </c>
      <c r="N24" s="592">
        <v>0.1</v>
      </c>
      <c r="O24" s="594">
        <v>0.45</v>
      </c>
      <c r="P24" s="590">
        <v>85</v>
      </c>
      <c r="Q24" s="431">
        <v>0.05</v>
      </c>
      <c r="R24" s="430">
        <v>9228.7999999999993</v>
      </c>
      <c r="S24" s="175">
        <v>1066</v>
      </c>
      <c r="T24" s="751">
        <v>13181</v>
      </c>
      <c r="U24" s="439">
        <v>22.325599999999998</v>
      </c>
      <c r="V24" s="636">
        <v>7.2</v>
      </c>
      <c r="W24" s="636">
        <v>22.208132201834864</v>
      </c>
      <c r="X24" s="439">
        <v>1.4000000000000001</v>
      </c>
      <c r="Y24" s="761">
        <v>29.408132201834864</v>
      </c>
      <c r="Z24" s="776">
        <v>61.34714542201835</v>
      </c>
      <c r="AA24" s="777"/>
      <c r="AB24" s="811"/>
      <c r="AC24" s="818">
        <v>770</v>
      </c>
      <c r="AD24" s="811" t="s">
        <v>633</v>
      </c>
      <c r="AE24" s="811">
        <v>1</v>
      </c>
      <c r="AF24" s="643">
        <v>1010</v>
      </c>
      <c r="AG24" s="124">
        <v>1023</v>
      </c>
      <c r="AH24" s="124">
        <v>1024</v>
      </c>
    </row>
    <row r="25" spans="1:34" ht="15.75">
      <c r="A25" s="643">
        <v>1011</v>
      </c>
      <c r="B25" s="644" t="s">
        <v>411</v>
      </c>
      <c r="C25" s="644" t="s">
        <v>640</v>
      </c>
      <c r="D25" s="551">
        <v>115</v>
      </c>
      <c r="E25" s="545">
        <v>191000</v>
      </c>
      <c r="F25" s="640">
        <v>69</v>
      </c>
      <c r="G25" s="645" t="s">
        <v>129</v>
      </c>
      <c r="H25" s="636">
        <v>63</v>
      </c>
      <c r="I25" s="636">
        <v>80</v>
      </c>
      <c r="J25" s="549">
        <v>550</v>
      </c>
      <c r="K25" s="554">
        <v>40</v>
      </c>
      <c r="L25" s="562">
        <v>15</v>
      </c>
      <c r="M25" s="549">
        <v>10000</v>
      </c>
      <c r="N25" s="592">
        <v>0.1</v>
      </c>
      <c r="O25" s="594">
        <v>0.45</v>
      </c>
      <c r="P25" s="590">
        <v>87</v>
      </c>
      <c r="Q25" s="431">
        <v>0.05</v>
      </c>
      <c r="R25" s="430">
        <v>10464.799999999999</v>
      </c>
      <c r="S25" s="497">
        <v>1105</v>
      </c>
      <c r="T25" s="751">
        <v>15430.6</v>
      </c>
      <c r="U25" s="439">
        <v>24.947599999999998</v>
      </c>
      <c r="V25" s="636">
        <v>8.5950000000000006</v>
      </c>
      <c r="W25" s="636">
        <v>26.329228899082569</v>
      </c>
      <c r="X25" s="439">
        <v>1.4000000000000001</v>
      </c>
      <c r="Y25" s="761">
        <v>34.924228899082571</v>
      </c>
      <c r="Z25" s="776">
        <v>69.27785178899083</v>
      </c>
      <c r="AA25" s="777"/>
      <c r="AB25" s="811"/>
      <c r="AC25" s="818">
        <v>832</v>
      </c>
      <c r="AD25" s="811" t="s">
        <v>633</v>
      </c>
      <c r="AE25" s="811">
        <v>1</v>
      </c>
      <c r="AF25" s="643">
        <v>1011</v>
      </c>
      <c r="AG25" s="124">
        <v>1023</v>
      </c>
      <c r="AH25" s="124">
        <v>1024</v>
      </c>
    </row>
    <row r="26" spans="1:34" ht="15.75">
      <c r="A26" s="643">
        <v>1012</v>
      </c>
      <c r="B26" s="644" t="s">
        <v>411</v>
      </c>
      <c r="C26" s="644" t="s">
        <v>641</v>
      </c>
      <c r="D26" s="551">
        <v>137</v>
      </c>
      <c r="E26" s="545">
        <v>234000</v>
      </c>
      <c r="F26" s="640">
        <v>83</v>
      </c>
      <c r="G26" s="645" t="s">
        <v>129</v>
      </c>
      <c r="H26" s="636">
        <v>76</v>
      </c>
      <c r="I26" s="636">
        <v>96</v>
      </c>
      <c r="J26" s="549">
        <v>550</v>
      </c>
      <c r="K26" s="554">
        <v>40</v>
      </c>
      <c r="L26" s="562">
        <v>15</v>
      </c>
      <c r="M26" s="549">
        <v>10000</v>
      </c>
      <c r="N26" s="592">
        <v>0.1</v>
      </c>
      <c r="O26" s="594">
        <v>0.45</v>
      </c>
      <c r="P26" s="590">
        <v>95</v>
      </c>
      <c r="Q26" s="431">
        <v>0.05</v>
      </c>
      <c r="R26" s="430">
        <v>12112.8</v>
      </c>
      <c r="S26" s="175">
        <v>1131</v>
      </c>
      <c r="T26" s="751">
        <v>18629.400000000001</v>
      </c>
      <c r="U26" s="439">
        <v>25.803272727272727</v>
      </c>
      <c r="V26" s="636">
        <v>10.53</v>
      </c>
      <c r="W26" s="636">
        <v>31.366124862385327</v>
      </c>
      <c r="X26" s="439">
        <v>1.4000000000000001</v>
      </c>
      <c r="Y26" s="761">
        <v>41.896124862385328</v>
      </c>
      <c r="Z26" s="776">
        <v>83.344537348623859</v>
      </c>
      <c r="AA26" s="777"/>
      <c r="AB26" s="811"/>
      <c r="AC26" s="818">
        <v>918</v>
      </c>
      <c r="AD26" s="811" t="s">
        <v>633</v>
      </c>
      <c r="AE26" s="811">
        <v>1</v>
      </c>
      <c r="AF26" s="643">
        <v>1012</v>
      </c>
      <c r="AG26" s="124">
        <v>1023</v>
      </c>
      <c r="AH26" s="124">
        <v>1024</v>
      </c>
    </row>
    <row r="27" spans="1:34" ht="15.75">
      <c r="A27" s="643">
        <v>1013</v>
      </c>
      <c r="B27" s="644" t="s">
        <v>411</v>
      </c>
      <c r="C27" s="644" t="s">
        <v>642</v>
      </c>
      <c r="D27" s="551">
        <v>175</v>
      </c>
      <c r="E27" s="545">
        <v>279000</v>
      </c>
      <c r="F27" s="640">
        <v>100</v>
      </c>
      <c r="G27" s="645" t="s">
        <v>129</v>
      </c>
      <c r="H27" s="636">
        <v>93</v>
      </c>
      <c r="I27" s="636">
        <v>116</v>
      </c>
      <c r="J27" s="549">
        <v>600</v>
      </c>
      <c r="K27" s="554">
        <v>40</v>
      </c>
      <c r="L27" s="562">
        <v>15</v>
      </c>
      <c r="M27" s="549">
        <v>10000</v>
      </c>
      <c r="N27" s="592">
        <v>0</v>
      </c>
      <c r="O27" s="594">
        <v>0.45</v>
      </c>
      <c r="P27" s="590">
        <v>105</v>
      </c>
      <c r="Q27" s="431">
        <v>0.05</v>
      </c>
      <c r="R27" s="430">
        <v>14749.6</v>
      </c>
      <c r="S27" s="497">
        <v>1235</v>
      </c>
      <c r="T27" s="751">
        <v>23694</v>
      </c>
      <c r="U27" s="439">
        <v>30.931999999999999</v>
      </c>
      <c r="V27" s="636">
        <v>12.555</v>
      </c>
      <c r="W27" s="636">
        <v>40.066217889908259</v>
      </c>
      <c r="X27" s="439">
        <v>1.4000000000000001</v>
      </c>
      <c r="Y27" s="761">
        <v>52.621217889908259</v>
      </c>
      <c r="Z27" s="776">
        <v>101.3223396788991</v>
      </c>
      <c r="AA27" s="777"/>
      <c r="AB27" s="811"/>
      <c r="AC27" s="818">
        <v>1008</v>
      </c>
      <c r="AD27" s="811" t="s">
        <v>633</v>
      </c>
      <c r="AE27" s="811">
        <v>1</v>
      </c>
      <c r="AF27" s="643">
        <v>1013</v>
      </c>
      <c r="AG27" s="124">
        <v>1023</v>
      </c>
      <c r="AH27" s="124">
        <v>1024</v>
      </c>
    </row>
    <row r="28" spans="1:34" ht="15.75">
      <c r="A28" s="643">
        <v>1014</v>
      </c>
      <c r="B28" s="644" t="s">
        <v>411</v>
      </c>
      <c r="C28" s="644" t="s">
        <v>643</v>
      </c>
      <c r="D28" s="551">
        <v>225</v>
      </c>
      <c r="E28" s="545">
        <v>350000</v>
      </c>
      <c r="F28" s="640">
        <v>130</v>
      </c>
      <c r="G28" s="645" t="s">
        <v>129</v>
      </c>
      <c r="H28" s="636">
        <v>117</v>
      </c>
      <c r="I28" s="636">
        <v>145</v>
      </c>
      <c r="J28" s="549">
        <v>600</v>
      </c>
      <c r="K28" s="554">
        <v>40</v>
      </c>
      <c r="L28" s="562">
        <v>15</v>
      </c>
      <c r="M28" s="549">
        <v>10000</v>
      </c>
      <c r="N28" s="592">
        <v>0</v>
      </c>
      <c r="O28" s="594">
        <v>0.45</v>
      </c>
      <c r="P28" s="590">
        <v>105</v>
      </c>
      <c r="Q28" s="431">
        <v>0.05</v>
      </c>
      <c r="R28" s="430">
        <v>20338.666666666664</v>
      </c>
      <c r="S28" s="175">
        <v>1365</v>
      </c>
      <c r="T28" s="751">
        <v>29208.333333333332</v>
      </c>
      <c r="U28" s="439">
        <v>38.096111111111107</v>
      </c>
      <c r="V28" s="636">
        <v>15.75</v>
      </c>
      <c r="W28" s="636">
        <v>51.513708715596337</v>
      </c>
      <c r="X28" s="439">
        <v>1.4000000000000001</v>
      </c>
      <c r="Y28" s="761">
        <v>67.263708715596337</v>
      </c>
      <c r="Z28" s="776">
        <v>127.53869069826709</v>
      </c>
      <c r="AA28" s="777"/>
      <c r="AB28" s="811"/>
      <c r="AC28" s="818">
        <v>1150</v>
      </c>
      <c r="AD28" s="811" t="s">
        <v>633</v>
      </c>
      <c r="AE28" s="811">
        <v>1</v>
      </c>
      <c r="AF28" s="643">
        <v>1014</v>
      </c>
      <c r="AG28" s="124">
        <v>1023</v>
      </c>
      <c r="AH28" s="124">
        <v>1024</v>
      </c>
    </row>
    <row r="29" spans="1:34" ht="15.75">
      <c r="A29" s="643"/>
      <c r="B29" s="644"/>
      <c r="C29" s="644"/>
      <c r="D29" s="551"/>
      <c r="E29" s="545"/>
      <c r="F29" s="640"/>
      <c r="G29" s="645" t="s">
        <v>129</v>
      </c>
      <c r="H29" s="636"/>
      <c r="I29" s="636"/>
      <c r="J29" s="549"/>
      <c r="K29" s="554"/>
      <c r="L29" s="562"/>
      <c r="M29" s="549"/>
      <c r="N29" s="592"/>
      <c r="O29" s="594" t="s">
        <v>129</v>
      </c>
      <c r="P29" s="590"/>
      <c r="Q29" s="431">
        <v>0.05</v>
      </c>
      <c r="R29" s="430">
        <v>26300</v>
      </c>
      <c r="S29" s="497">
        <v>1365</v>
      </c>
      <c r="T29" s="751" t="s">
        <v>129</v>
      </c>
      <c r="U29" s="439">
        <v>48.258333333333333</v>
      </c>
      <c r="V29" s="636"/>
      <c r="W29" s="636"/>
      <c r="X29" s="439">
        <v>1.4000000000000001</v>
      </c>
      <c r="Y29" s="761" t="s">
        <v>129</v>
      </c>
      <c r="Z29" s="776"/>
      <c r="AA29" s="777"/>
      <c r="AB29" s="811"/>
      <c r="AC29" s="818"/>
      <c r="AD29" s="811"/>
      <c r="AE29" s="811"/>
      <c r="AF29" s="643"/>
      <c r="AG29" s="124">
        <v>1023</v>
      </c>
      <c r="AH29" s="124">
        <v>1024</v>
      </c>
    </row>
    <row r="30" spans="1:34" ht="31.5">
      <c r="A30" s="624">
        <v>1020</v>
      </c>
      <c r="B30" s="625"/>
      <c r="C30" s="626" t="s">
        <v>644</v>
      </c>
      <c r="D30" s="627"/>
      <c r="E30" s="628"/>
      <c r="F30" s="646"/>
      <c r="G30" s="630" t="s">
        <v>129</v>
      </c>
      <c r="H30" s="631"/>
      <c r="I30" s="631"/>
      <c r="J30" s="632"/>
      <c r="K30" s="632"/>
      <c r="L30" s="627"/>
      <c r="M30" s="632"/>
      <c r="N30" s="739" t="s">
        <v>129</v>
      </c>
      <c r="O30" s="744" t="s">
        <v>129</v>
      </c>
      <c r="P30" s="742"/>
      <c r="Q30" s="431"/>
      <c r="R30" s="430"/>
      <c r="S30" s="175"/>
      <c r="T30" s="750" t="s">
        <v>129</v>
      </c>
      <c r="U30" s="439"/>
      <c r="V30" s="631"/>
      <c r="W30" s="631"/>
      <c r="X30" s="439"/>
      <c r="Y30" s="763" t="s">
        <v>129</v>
      </c>
      <c r="Z30" s="774"/>
      <c r="AA30" s="775"/>
      <c r="AB30" s="810"/>
      <c r="AC30" s="817" t="s">
        <v>129</v>
      </c>
      <c r="AD30" s="810"/>
      <c r="AE30" s="810"/>
      <c r="AF30" s="624">
        <v>1020</v>
      </c>
    </row>
    <row r="31" spans="1:34" ht="15.75">
      <c r="A31" s="633"/>
      <c r="B31" s="634"/>
      <c r="C31" s="634"/>
      <c r="D31" s="555"/>
      <c r="E31" s="556"/>
      <c r="F31" s="647"/>
      <c r="G31" s="635" t="s">
        <v>129</v>
      </c>
      <c r="H31" s="636"/>
      <c r="I31" s="636"/>
      <c r="J31" s="549"/>
      <c r="K31" s="637"/>
      <c r="L31" s="635"/>
      <c r="M31" s="549"/>
      <c r="N31" s="592" t="s">
        <v>129</v>
      </c>
      <c r="O31" s="594" t="s">
        <v>129</v>
      </c>
      <c r="P31" s="745"/>
      <c r="Q31" s="429"/>
      <c r="R31" s="430" t="s">
        <v>129</v>
      </c>
      <c r="S31" s="496"/>
      <c r="T31" s="753" t="s">
        <v>129</v>
      </c>
      <c r="U31" s="438"/>
      <c r="V31" s="755"/>
      <c r="W31" s="755"/>
      <c r="X31" s="438"/>
      <c r="Y31" s="761" t="s">
        <v>129</v>
      </c>
      <c r="Z31" s="778"/>
      <c r="AA31" s="777"/>
      <c r="AB31" s="634"/>
      <c r="AC31" s="820" t="s">
        <v>129</v>
      </c>
      <c r="AD31" s="822"/>
      <c r="AE31" s="822"/>
      <c r="AF31" s="633"/>
    </row>
    <row r="32" spans="1:34" ht="31.5">
      <c r="A32" s="643">
        <v>1021</v>
      </c>
      <c r="B32" s="644"/>
      <c r="C32" s="644" t="s">
        <v>645</v>
      </c>
      <c r="D32" s="544" t="s">
        <v>221</v>
      </c>
      <c r="E32" s="545">
        <v>2900</v>
      </c>
      <c r="F32" s="648">
        <v>2.7</v>
      </c>
      <c r="G32" s="645" t="s">
        <v>129</v>
      </c>
      <c r="H32" s="636">
        <v>2.4</v>
      </c>
      <c r="I32" s="636">
        <v>3.3</v>
      </c>
      <c r="J32" s="549">
        <v>150</v>
      </c>
      <c r="K32" s="554" t="s">
        <v>221</v>
      </c>
      <c r="L32" s="562">
        <v>18</v>
      </c>
      <c r="M32" s="549">
        <v>4000</v>
      </c>
      <c r="N32" s="592">
        <v>0</v>
      </c>
      <c r="O32" s="594">
        <v>1.25</v>
      </c>
      <c r="P32" s="590">
        <v>6</v>
      </c>
      <c r="Q32" s="431"/>
      <c r="R32" s="430" t="s">
        <v>129</v>
      </c>
      <c r="S32" s="175"/>
      <c r="T32" s="751">
        <v>235.01111111111112</v>
      </c>
      <c r="U32" s="439"/>
      <c r="V32" s="636">
        <v>0.90625</v>
      </c>
      <c r="W32" s="636"/>
      <c r="X32" s="439"/>
      <c r="Y32" s="761">
        <v>0.90625</v>
      </c>
      <c r="Z32" s="776">
        <v>2.7202898148148154</v>
      </c>
      <c r="AA32" s="777"/>
      <c r="AB32" s="811"/>
      <c r="AC32" s="818">
        <v>5.8</v>
      </c>
      <c r="AD32" s="811" t="s">
        <v>633</v>
      </c>
      <c r="AE32" s="811">
        <v>0</v>
      </c>
      <c r="AF32" s="643">
        <v>1021</v>
      </c>
    </row>
    <row r="33" spans="1:32" ht="31.5">
      <c r="A33" s="643">
        <v>1022</v>
      </c>
      <c r="B33" s="644"/>
      <c r="C33" s="644" t="s">
        <v>646</v>
      </c>
      <c r="D33" s="544" t="s">
        <v>221</v>
      </c>
      <c r="E33" s="545">
        <v>5000</v>
      </c>
      <c r="F33" s="648">
        <v>4.0999999999999996</v>
      </c>
      <c r="G33" s="645" t="s">
        <v>129</v>
      </c>
      <c r="H33" s="636">
        <v>3.5</v>
      </c>
      <c r="I33" s="636">
        <v>5</v>
      </c>
      <c r="J33" s="549">
        <v>150</v>
      </c>
      <c r="K33" s="554" t="s">
        <v>221</v>
      </c>
      <c r="L33" s="562">
        <v>18</v>
      </c>
      <c r="M33" s="549">
        <v>4000</v>
      </c>
      <c r="N33" s="592">
        <v>0</v>
      </c>
      <c r="O33" s="594">
        <v>0.9</v>
      </c>
      <c r="P33" s="590">
        <v>8</v>
      </c>
      <c r="Q33" s="431">
        <v>0.02</v>
      </c>
      <c r="R33" s="430">
        <v>222.01111111111112</v>
      </c>
      <c r="S33" s="497">
        <v>36</v>
      </c>
      <c r="T33" s="751">
        <v>388.77777777777777</v>
      </c>
      <c r="U33" s="439">
        <v>1.798740740740741</v>
      </c>
      <c r="V33" s="636">
        <v>1.125</v>
      </c>
      <c r="W33" s="636"/>
      <c r="X33" s="439">
        <v>0.56000000000000005</v>
      </c>
      <c r="Y33" s="761">
        <v>1.125</v>
      </c>
      <c r="Z33" s="776">
        <v>4.0885370370370371</v>
      </c>
      <c r="AA33" s="777"/>
      <c r="AB33" s="811"/>
      <c r="AC33" s="818">
        <v>10</v>
      </c>
      <c r="AD33" s="811" t="s">
        <v>633</v>
      </c>
      <c r="AE33" s="811">
        <v>0</v>
      </c>
      <c r="AF33" s="643">
        <v>1022</v>
      </c>
    </row>
    <row r="34" spans="1:32" ht="31.5">
      <c r="A34" s="643">
        <v>1023</v>
      </c>
      <c r="B34" s="644"/>
      <c r="C34" s="644" t="s">
        <v>647</v>
      </c>
      <c r="D34" s="544" t="s">
        <v>221</v>
      </c>
      <c r="E34" s="545">
        <v>4000</v>
      </c>
      <c r="F34" s="648">
        <v>3.4</v>
      </c>
      <c r="G34" s="645" t="s">
        <v>129</v>
      </c>
      <c r="H34" s="636">
        <v>2.9</v>
      </c>
      <c r="I34" s="636">
        <v>4.0999999999999996</v>
      </c>
      <c r="J34" s="549">
        <v>150</v>
      </c>
      <c r="K34" s="554" t="s">
        <v>221</v>
      </c>
      <c r="L34" s="562">
        <v>18</v>
      </c>
      <c r="M34" s="549">
        <v>4000</v>
      </c>
      <c r="N34" s="592">
        <v>0</v>
      </c>
      <c r="O34" s="594">
        <v>1</v>
      </c>
      <c r="P34" s="590">
        <v>6</v>
      </c>
      <c r="Q34" s="431">
        <v>0.02</v>
      </c>
      <c r="R34" s="430">
        <v>321.53333333333336</v>
      </c>
      <c r="S34" s="175">
        <v>48</v>
      </c>
      <c r="T34" s="751">
        <v>308.22222222222223</v>
      </c>
      <c r="U34" s="439">
        <v>2.572888888888889</v>
      </c>
      <c r="V34" s="636">
        <v>1</v>
      </c>
      <c r="W34" s="636"/>
      <c r="X34" s="439">
        <v>0.56000000000000005</v>
      </c>
      <c r="Y34" s="761">
        <v>1</v>
      </c>
      <c r="Z34" s="776">
        <v>3.3602962962962963</v>
      </c>
      <c r="AA34" s="777"/>
      <c r="AB34" s="811"/>
      <c r="AC34" s="818">
        <v>8</v>
      </c>
      <c r="AD34" s="811" t="s">
        <v>633</v>
      </c>
      <c r="AE34" s="811">
        <v>0</v>
      </c>
      <c r="AF34" s="643">
        <v>1023</v>
      </c>
    </row>
    <row r="35" spans="1:32" ht="31.5">
      <c r="A35" s="643">
        <v>1024</v>
      </c>
      <c r="B35" s="644"/>
      <c r="C35" s="644" t="s">
        <v>648</v>
      </c>
      <c r="D35" s="544" t="s">
        <v>221</v>
      </c>
      <c r="E35" s="545">
        <v>5100</v>
      </c>
      <c r="F35" s="648">
        <v>4.2</v>
      </c>
      <c r="G35" s="645" t="s">
        <v>129</v>
      </c>
      <c r="H35" s="636">
        <v>3.6</v>
      </c>
      <c r="I35" s="636">
        <v>5.0999999999999996</v>
      </c>
      <c r="J35" s="549">
        <v>150</v>
      </c>
      <c r="K35" s="554" t="s">
        <v>221</v>
      </c>
      <c r="L35" s="562">
        <v>18</v>
      </c>
      <c r="M35" s="549">
        <v>4000</v>
      </c>
      <c r="N35" s="592">
        <v>0</v>
      </c>
      <c r="O35" s="594">
        <v>0.9</v>
      </c>
      <c r="P35" s="590">
        <v>8</v>
      </c>
      <c r="Q35" s="431">
        <v>0.02</v>
      </c>
      <c r="R35" s="430">
        <v>283.25555555555553</v>
      </c>
      <c r="S35" s="497">
        <v>36</v>
      </c>
      <c r="T35" s="751">
        <v>395.43333333333328</v>
      </c>
      <c r="U35" s="439">
        <v>2.2177037037037035</v>
      </c>
      <c r="V35" s="636">
        <v>1.1475</v>
      </c>
      <c r="W35" s="636"/>
      <c r="X35" s="439">
        <v>0.56000000000000005</v>
      </c>
      <c r="Y35" s="761">
        <v>1.1475</v>
      </c>
      <c r="Z35" s="776">
        <v>4.1620944444444445</v>
      </c>
      <c r="AA35" s="777"/>
      <c r="AB35" s="811"/>
      <c r="AC35" s="818">
        <v>10.200000000000001</v>
      </c>
      <c r="AD35" s="811" t="s">
        <v>633</v>
      </c>
      <c r="AE35" s="811">
        <v>0</v>
      </c>
      <c r="AF35" s="643">
        <v>1024</v>
      </c>
    </row>
    <row r="36" spans="1:32" ht="15.75">
      <c r="A36" s="643">
        <v>1025</v>
      </c>
      <c r="B36" s="644"/>
      <c r="C36" s="644" t="s">
        <v>649</v>
      </c>
      <c r="D36" s="544" t="s">
        <v>221</v>
      </c>
      <c r="E36" s="545">
        <v>9500</v>
      </c>
      <c r="F36" s="648">
        <v>2.5</v>
      </c>
      <c r="G36" s="645" t="s">
        <v>129</v>
      </c>
      <c r="H36" s="636">
        <v>2.1</v>
      </c>
      <c r="I36" s="636">
        <v>3</v>
      </c>
      <c r="J36" s="549">
        <v>400</v>
      </c>
      <c r="K36" s="554" t="s">
        <v>221</v>
      </c>
      <c r="L36" s="562">
        <v>18</v>
      </c>
      <c r="M36" s="549">
        <v>10000</v>
      </c>
      <c r="N36" s="592">
        <v>0.1</v>
      </c>
      <c r="O36" s="594">
        <v>0.8</v>
      </c>
      <c r="P36" s="590">
        <v>1</v>
      </c>
      <c r="Q36" s="431">
        <v>0.02</v>
      </c>
      <c r="R36" s="430">
        <v>390.43333333333328</v>
      </c>
      <c r="S36" s="175">
        <v>48</v>
      </c>
      <c r="T36" s="751">
        <v>592.20000000000005</v>
      </c>
      <c r="U36" s="439">
        <v>3.0442222222222219</v>
      </c>
      <c r="V36" s="636">
        <v>0.76</v>
      </c>
      <c r="W36" s="636"/>
      <c r="X36" s="439">
        <v>0.56000000000000005</v>
      </c>
      <c r="Y36" s="761">
        <v>0.76</v>
      </c>
      <c r="Z36" s="776">
        <v>2.46455</v>
      </c>
      <c r="AA36" s="777"/>
      <c r="AB36" s="811"/>
      <c r="AC36" s="818">
        <v>19</v>
      </c>
      <c r="AD36" s="811" t="s">
        <v>633</v>
      </c>
      <c r="AE36" s="811">
        <v>0</v>
      </c>
      <c r="AF36" s="643">
        <v>1025</v>
      </c>
    </row>
    <row r="37" spans="1:32" ht="31.5">
      <c r="A37" s="643">
        <v>1026</v>
      </c>
      <c r="B37" s="644"/>
      <c r="C37" s="644" t="s">
        <v>650</v>
      </c>
      <c r="D37" s="544"/>
      <c r="E37" s="545">
        <v>15500</v>
      </c>
      <c r="F37" s="648">
        <v>5.7</v>
      </c>
      <c r="G37" s="645" t="s">
        <v>129</v>
      </c>
      <c r="H37" s="636">
        <v>4.7</v>
      </c>
      <c r="I37" s="636">
        <v>7.5</v>
      </c>
      <c r="J37" s="549">
        <v>400</v>
      </c>
      <c r="K37" s="554"/>
      <c r="L37" s="562">
        <v>15</v>
      </c>
      <c r="M37" s="549">
        <v>10000</v>
      </c>
      <c r="N37" s="592">
        <v>0.1</v>
      </c>
      <c r="O37" s="594">
        <v>0.2</v>
      </c>
      <c r="P37" s="590">
        <v>0</v>
      </c>
      <c r="Q37" s="431">
        <v>0</v>
      </c>
      <c r="R37" s="430">
        <v>695.04</v>
      </c>
      <c r="S37" s="497">
        <v>6</v>
      </c>
      <c r="T37" s="751">
        <v>1965.8</v>
      </c>
      <c r="U37" s="439">
        <v>1.8030999999999999</v>
      </c>
      <c r="V37" s="636">
        <v>0.31000000000000005</v>
      </c>
      <c r="W37" s="636"/>
      <c r="X37" s="439">
        <v>0</v>
      </c>
      <c r="Y37" s="761">
        <v>0.31000000000000005</v>
      </c>
      <c r="Z37" s="776">
        <v>5.7469500000000018</v>
      </c>
      <c r="AA37" s="777"/>
      <c r="AB37" s="811"/>
      <c r="AC37" s="818">
        <v>887</v>
      </c>
      <c r="AD37" s="811" t="s">
        <v>633</v>
      </c>
      <c r="AE37" s="811">
        <v>0</v>
      </c>
      <c r="AF37" s="643">
        <v>1026</v>
      </c>
    </row>
    <row r="38" spans="1:32" ht="15.75">
      <c r="A38" s="633"/>
      <c r="B38" s="634"/>
      <c r="C38" s="634"/>
      <c r="D38" s="555"/>
      <c r="E38" s="556"/>
      <c r="F38" s="647"/>
      <c r="G38" s="635" t="s">
        <v>129</v>
      </c>
      <c r="H38" s="636"/>
      <c r="I38" s="636"/>
      <c r="J38" s="549"/>
      <c r="K38" s="637"/>
      <c r="L38" s="635"/>
      <c r="M38" s="549"/>
      <c r="N38" s="592" t="s">
        <v>129</v>
      </c>
      <c r="O38" s="594" t="s">
        <v>129</v>
      </c>
      <c r="P38" s="745"/>
      <c r="Q38" s="431"/>
      <c r="R38" s="430" t="s">
        <v>129</v>
      </c>
      <c r="S38" s="175"/>
      <c r="T38" s="753" t="s">
        <v>129</v>
      </c>
      <c r="U38" s="439"/>
      <c r="V38" s="755"/>
      <c r="W38" s="755"/>
      <c r="X38" s="439"/>
      <c r="Y38" s="761" t="s">
        <v>129</v>
      </c>
      <c r="Z38" s="778"/>
      <c r="AA38" s="777"/>
      <c r="AB38" s="634"/>
      <c r="AC38" s="820" t="s">
        <v>129</v>
      </c>
      <c r="AD38" s="822"/>
      <c r="AE38" s="822"/>
      <c r="AF38" s="633"/>
    </row>
    <row r="39" spans="1:32" ht="15.75">
      <c r="A39" s="624">
        <v>1030</v>
      </c>
      <c r="B39" s="625" t="s">
        <v>411</v>
      </c>
      <c r="C39" s="626" t="s">
        <v>651</v>
      </c>
      <c r="D39" s="627"/>
      <c r="E39" s="628"/>
      <c r="F39" s="646"/>
      <c r="G39" s="630" t="s">
        <v>129</v>
      </c>
      <c r="H39" s="631"/>
      <c r="I39" s="631"/>
      <c r="J39" s="632"/>
      <c r="K39" s="632"/>
      <c r="L39" s="627"/>
      <c r="M39" s="632"/>
      <c r="N39" s="739" t="s">
        <v>129</v>
      </c>
      <c r="O39" s="744" t="s">
        <v>129</v>
      </c>
      <c r="P39" s="742"/>
      <c r="Q39" s="429"/>
      <c r="R39" s="430" t="s">
        <v>129</v>
      </c>
      <c r="S39" s="496"/>
      <c r="T39" s="750" t="s">
        <v>129</v>
      </c>
      <c r="U39" s="438"/>
      <c r="V39" s="631"/>
      <c r="W39" s="631"/>
      <c r="X39" s="438"/>
      <c r="Y39" s="763" t="s">
        <v>129</v>
      </c>
      <c r="Z39" s="774"/>
      <c r="AA39" s="775"/>
      <c r="AB39" s="810"/>
      <c r="AC39" s="817" t="s">
        <v>129</v>
      </c>
      <c r="AD39" s="810"/>
      <c r="AE39" s="810"/>
      <c r="AF39" s="624">
        <v>1030</v>
      </c>
    </row>
    <row r="40" spans="1:32" ht="15.75">
      <c r="A40" s="633"/>
      <c r="B40" s="634"/>
      <c r="C40" s="633"/>
      <c r="D40" s="544"/>
      <c r="E40" s="545"/>
      <c r="F40" s="649"/>
      <c r="G40" s="633" t="s">
        <v>129</v>
      </c>
      <c r="H40" s="636"/>
      <c r="I40" s="636"/>
      <c r="J40" s="549"/>
      <c r="K40" s="635"/>
      <c r="L40" s="633"/>
      <c r="M40" s="549"/>
      <c r="N40" s="592" t="s">
        <v>129</v>
      </c>
      <c r="O40" s="594" t="s">
        <v>129</v>
      </c>
      <c r="P40" s="743"/>
      <c r="Q40" s="431"/>
      <c r="R40" s="430" t="s">
        <v>129</v>
      </c>
      <c r="S40" s="175"/>
      <c r="T40" s="751" t="s">
        <v>129</v>
      </c>
      <c r="U40" s="439"/>
      <c r="V40" s="636"/>
      <c r="W40" s="636"/>
      <c r="X40" s="439"/>
      <c r="Y40" s="761" t="s">
        <v>129</v>
      </c>
      <c r="Z40" s="776"/>
      <c r="AA40" s="777"/>
      <c r="AB40" s="633"/>
      <c r="AC40" s="818" t="s">
        <v>129</v>
      </c>
      <c r="AD40" s="811"/>
      <c r="AE40" s="811"/>
      <c r="AF40" s="633"/>
    </row>
    <row r="41" spans="1:32" ht="15.75">
      <c r="A41" s="643">
        <v>1032</v>
      </c>
      <c r="B41" s="644" t="s">
        <v>411</v>
      </c>
      <c r="C41" s="542" t="s">
        <v>652</v>
      </c>
      <c r="D41" s="551">
        <v>90</v>
      </c>
      <c r="E41" s="545">
        <v>343000</v>
      </c>
      <c r="F41" s="640">
        <v>100</v>
      </c>
      <c r="G41" s="645" t="s">
        <v>129</v>
      </c>
      <c r="H41" s="636">
        <v>91</v>
      </c>
      <c r="I41" s="636">
        <v>119</v>
      </c>
      <c r="J41" s="549">
        <v>600</v>
      </c>
      <c r="K41" s="554">
        <v>50</v>
      </c>
      <c r="L41" s="562">
        <v>15</v>
      </c>
      <c r="M41" s="549">
        <v>10000</v>
      </c>
      <c r="N41" s="592">
        <v>0</v>
      </c>
      <c r="O41" s="594">
        <v>0.6</v>
      </c>
      <c r="P41" s="590">
        <v>70</v>
      </c>
      <c r="Q41" s="431">
        <v>0.05</v>
      </c>
      <c r="R41" s="430">
        <v>22793.333333333332</v>
      </c>
      <c r="S41" s="497">
        <v>910</v>
      </c>
      <c r="T41" s="751">
        <v>28139.666666666668</v>
      </c>
      <c r="U41" s="439">
        <v>41.405555555555551</v>
      </c>
      <c r="V41" s="636">
        <v>20.58</v>
      </c>
      <c r="W41" s="636">
        <v>24.705000000000002</v>
      </c>
      <c r="X41" s="439">
        <v>1.4000000000000001</v>
      </c>
      <c r="Y41" s="761">
        <v>45.284999999999997</v>
      </c>
      <c r="Z41" s="776">
        <v>101.4028888888889</v>
      </c>
      <c r="AA41" s="777"/>
      <c r="AB41" s="811"/>
      <c r="AC41" s="818">
        <v>1136</v>
      </c>
      <c r="AD41" s="811" t="s">
        <v>633</v>
      </c>
      <c r="AE41" s="811">
        <v>1</v>
      </c>
      <c r="AF41" s="643">
        <v>1032</v>
      </c>
    </row>
    <row r="42" spans="1:32" ht="15.75">
      <c r="A42" s="633"/>
      <c r="B42" s="634"/>
      <c r="C42" s="633"/>
      <c r="D42" s="544"/>
      <c r="E42" s="545"/>
      <c r="F42" s="546"/>
      <c r="G42" s="633" t="s">
        <v>129</v>
      </c>
      <c r="H42" s="636"/>
      <c r="I42" s="636"/>
      <c r="J42" s="549"/>
      <c r="K42" s="635"/>
      <c r="L42" s="633"/>
      <c r="M42" s="549"/>
      <c r="N42" s="592" t="s">
        <v>129</v>
      </c>
      <c r="O42" s="594" t="s">
        <v>129</v>
      </c>
      <c r="P42" s="743"/>
      <c r="Q42" s="431"/>
      <c r="R42" s="430" t="s">
        <v>129</v>
      </c>
      <c r="S42" s="175"/>
      <c r="T42" s="751" t="s">
        <v>129</v>
      </c>
      <c r="U42" s="439"/>
      <c r="V42" s="636"/>
      <c r="W42" s="636"/>
      <c r="X42" s="439"/>
      <c r="Y42" s="761" t="s">
        <v>129</v>
      </c>
      <c r="Z42" s="776"/>
      <c r="AA42" s="777"/>
      <c r="AB42" s="633"/>
      <c r="AC42" s="818" t="s">
        <v>129</v>
      </c>
      <c r="AD42" s="811"/>
      <c r="AE42" s="811"/>
      <c r="AF42" s="633"/>
    </row>
    <row r="43" spans="1:32" ht="15.75">
      <c r="A43" s="624">
        <v>1040</v>
      </c>
      <c r="B43" s="625"/>
      <c r="C43" s="626" t="s">
        <v>653</v>
      </c>
      <c r="D43" s="627"/>
      <c r="E43" s="628"/>
      <c r="F43" s="629"/>
      <c r="G43" s="630" t="s">
        <v>129</v>
      </c>
      <c r="H43" s="631"/>
      <c r="I43" s="631"/>
      <c r="J43" s="632"/>
      <c r="K43" s="632"/>
      <c r="L43" s="627"/>
      <c r="M43" s="632"/>
      <c r="N43" s="739" t="s">
        <v>129</v>
      </c>
      <c r="O43" s="744" t="s">
        <v>129</v>
      </c>
      <c r="P43" s="742"/>
      <c r="Q43" s="429"/>
      <c r="R43" s="430" t="s">
        <v>129</v>
      </c>
      <c r="S43" s="496"/>
      <c r="T43" s="750" t="s">
        <v>129</v>
      </c>
      <c r="U43" s="438"/>
      <c r="V43" s="631"/>
      <c r="W43" s="631"/>
      <c r="X43" s="438"/>
      <c r="Y43" s="763" t="s">
        <v>129</v>
      </c>
      <c r="Z43" s="774"/>
      <c r="AA43" s="775"/>
      <c r="AB43" s="810"/>
      <c r="AC43" s="817" t="s">
        <v>129</v>
      </c>
      <c r="AD43" s="810"/>
      <c r="AE43" s="810"/>
      <c r="AF43" s="624">
        <v>1040</v>
      </c>
    </row>
    <row r="44" spans="1:32" ht="15.75">
      <c r="A44" s="633"/>
      <c r="B44" s="634"/>
      <c r="C44" s="633"/>
      <c r="D44" s="544"/>
      <c r="E44" s="545"/>
      <c r="F44" s="546"/>
      <c r="G44" s="633" t="s">
        <v>129</v>
      </c>
      <c r="H44" s="636"/>
      <c r="I44" s="636"/>
      <c r="J44" s="549"/>
      <c r="K44" s="635"/>
      <c r="L44" s="633"/>
      <c r="M44" s="549"/>
      <c r="N44" s="592" t="s">
        <v>129</v>
      </c>
      <c r="O44" s="594" t="s">
        <v>129</v>
      </c>
      <c r="P44" s="743"/>
      <c r="Q44" s="431"/>
      <c r="R44" s="430" t="s">
        <v>129</v>
      </c>
      <c r="S44" s="175"/>
      <c r="T44" s="751" t="s">
        <v>129</v>
      </c>
      <c r="U44" s="439"/>
      <c r="V44" s="636"/>
      <c r="W44" s="636"/>
      <c r="X44" s="439"/>
      <c r="Y44" s="761" t="s">
        <v>129</v>
      </c>
      <c r="Z44" s="776"/>
      <c r="AA44" s="777"/>
      <c r="AB44" s="633"/>
      <c r="AC44" s="818" t="s">
        <v>129</v>
      </c>
      <c r="AD44" s="811"/>
      <c r="AE44" s="811"/>
      <c r="AF44" s="633"/>
    </row>
    <row r="45" spans="1:32" ht="15.75">
      <c r="A45" s="643">
        <v>1043</v>
      </c>
      <c r="B45" s="644"/>
      <c r="C45" s="644" t="s">
        <v>654</v>
      </c>
      <c r="D45" s="551">
        <v>30</v>
      </c>
      <c r="E45" s="545">
        <v>47000</v>
      </c>
      <c r="F45" s="640">
        <v>34</v>
      </c>
      <c r="G45" s="645" t="s">
        <v>129</v>
      </c>
      <c r="H45" s="636">
        <v>30</v>
      </c>
      <c r="I45" s="636">
        <v>41</v>
      </c>
      <c r="J45" s="549">
        <v>200</v>
      </c>
      <c r="K45" s="554">
        <v>40</v>
      </c>
      <c r="L45" s="562">
        <v>15</v>
      </c>
      <c r="M45" s="549">
        <v>10000</v>
      </c>
      <c r="N45" s="592">
        <v>0.25</v>
      </c>
      <c r="O45" s="594">
        <v>1.1499999999999999</v>
      </c>
      <c r="P45" s="590">
        <v>24</v>
      </c>
      <c r="Q45" s="431">
        <v>0.05</v>
      </c>
      <c r="R45" s="430">
        <v>3129</v>
      </c>
      <c r="S45" s="497">
        <v>312</v>
      </c>
      <c r="T45" s="751">
        <v>3747.5</v>
      </c>
      <c r="U45" s="439">
        <v>16.152000000000001</v>
      </c>
      <c r="V45" s="636">
        <v>5.4049999999999994</v>
      </c>
      <c r="W45" s="636">
        <v>6.5880000000000001</v>
      </c>
      <c r="X45" s="439">
        <v>1.4000000000000001</v>
      </c>
      <c r="Y45" s="761">
        <v>11.992999999999999</v>
      </c>
      <c r="Z45" s="776">
        <v>33.803550000000001</v>
      </c>
      <c r="AA45" s="777"/>
      <c r="AB45" s="811"/>
      <c r="AC45" s="818">
        <v>544</v>
      </c>
      <c r="AD45" s="811" t="s">
        <v>633</v>
      </c>
      <c r="AE45" s="811">
        <v>1</v>
      </c>
      <c r="AF45" s="643">
        <v>1043</v>
      </c>
    </row>
    <row r="46" spans="1:32" ht="15.75">
      <c r="A46" s="643">
        <v>1044</v>
      </c>
      <c r="B46" s="644"/>
      <c r="C46" s="644" t="s">
        <v>655</v>
      </c>
      <c r="D46" s="551">
        <v>45</v>
      </c>
      <c r="E46" s="545">
        <v>62000</v>
      </c>
      <c r="F46" s="640">
        <v>39</v>
      </c>
      <c r="G46" s="645" t="s">
        <v>129</v>
      </c>
      <c r="H46" s="636">
        <v>35</v>
      </c>
      <c r="I46" s="636">
        <v>46</v>
      </c>
      <c r="J46" s="549">
        <v>250</v>
      </c>
      <c r="K46" s="554">
        <v>40</v>
      </c>
      <c r="L46" s="562">
        <v>15</v>
      </c>
      <c r="M46" s="549">
        <v>10000</v>
      </c>
      <c r="N46" s="592">
        <v>0.25</v>
      </c>
      <c r="O46" s="594">
        <v>1.05</v>
      </c>
      <c r="P46" s="590">
        <v>29</v>
      </c>
      <c r="Q46" s="431">
        <v>0.05</v>
      </c>
      <c r="R46" s="430">
        <v>3874</v>
      </c>
      <c r="S46" s="175">
        <v>377</v>
      </c>
      <c r="T46" s="751">
        <v>4760</v>
      </c>
      <c r="U46" s="439">
        <v>16.309999999999999</v>
      </c>
      <c r="V46" s="636">
        <v>6.5100000000000007</v>
      </c>
      <c r="W46" s="636">
        <v>9.8820000000000014</v>
      </c>
      <c r="X46" s="439">
        <v>1.4000000000000001</v>
      </c>
      <c r="Y46" s="761">
        <v>16.392000000000003</v>
      </c>
      <c r="Z46" s="776">
        <v>38.975200000000008</v>
      </c>
      <c r="AA46" s="777"/>
      <c r="AB46" s="811"/>
      <c r="AC46" s="818">
        <v>574</v>
      </c>
      <c r="AD46" s="811" t="s">
        <v>633</v>
      </c>
      <c r="AE46" s="811">
        <v>1</v>
      </c>
      <c r="AF46" s="643">
        <v>1044</v>
      </c>
    </row>
    <row r="47" spans="1:32" ht="15.75">
      <c r="A47" s="643">
        <v>1045</v>
      </c>
      <c r="B47" s="644"/>
      <c r="C47" s="644" t="s">
        <v>656</v>
      </c>
      <c r="D47" s="551">
        <v>55</v>
      </c>
      <c r="E47" s="545">
        <v>85000</v>
      </c>
      <c r="F47" s="640">
        <v>49</v>
      </c>
      <c r="G47" s="645" t="s">
        <v>129</v>
      </c>
      <c r="H47" s="636">
        <v>44</v>
      </c>
      <c r="I47" s="636">
        <v>59</v>
      </c>
      <c r="J47" s="549">
        <v>250</v>
      </c>
      <c r="K47" s="554">
        <v>40</v>
      </c>
      <c r="L47" s="562">
        <v>15</v>
      </c>
      <c r="M47" s="549">
        <v>10000</v>
      </c>
      <c r="N47" s="592">
        <v>0.25</v>
      </c>
      <c r="O47" s="594">
        <v>0.85</v>
      </c>
      <c r="P47" s="590">
        <v>40</v>
      </c>
      <c r="Q47" s="431">
        <v>0.05</v>
      </c>
      <c r="R47" s="430">
        <v>3427</v>
      </c>
      <c r="S47" s="497">
        <v>520</v>
      </c>
      <c r="T47" s="751">
        <v>6362.5</v>
      </c>
      <c r="U47" s="439">
        <v>17.436</v>
      </c>
      <c r="V47" s="636">
        <v>7.2249999999999996</v>
      </c>
      <c r="W47" s="636">
        <v>12.078000000000001</v>
      </c>
      <c r="X47" s="439">
        <v>1.4000000000000001</v>
      </c>
      <c r="Y47" s="761">
        <v>19.303000000000001</v>
      </c>
      <c r="Z47" s="776">
        <v>49.228300000000004</v>
      </c>
      <c r="AA47" s="777"/>
      <c r="AB47" s="811"/>
      <c r="AC47" s="818">
        <v>620</v>
      </c>
      <c r="AD47" s="811" t="s">
        <v>633</v>
      </c>
      <c r="AE47" s="811">
        <v>1</v>
      </c>
      <c r="AF47" s="643">
        <v>1045</v>
      </c>
    </row>
    <row r="48" spans="1:32" ht="15.75">
      <c r="A48" s="643">
        <v>1046</v>
      </c>
      <c r="B48" s="644"/>
      <c r="C48" s="644" t="s">
        <v>657</v>
      </c>
      <c r="D48" s="551">
        <v>70</v>
      </c>
      <c r="E48" s="545">
        <v>104000</v>
      </c>
      <c r="F48" s="640">
        <v>60</v>
      </c>
      <c r="G48" s="645" t="s">
        <v>129</v>
      </c>
      <c r="H48" s="636">
        <v>53</v>
      </c>
      <c r="I48" s="636">
        <v>71</v>
      </c>
      <c r="J48" s="549">
        <v>250</v>
      </c>
      <c r="K48" s="554">
        <v>40</v>
      </c>
      <c r="L48" s="562">
        <v>15</v>
      </c>
      <c r="M48" s="549">
        <v>10000</v>
      </c>
      <c r="N48" s="592">
        <v>0.25</v>
      </c>
      <c r="O48" s="594">
        <v>0.85</v>
      </c>
      <c r="P48" s="590">
        <v>45</v>
      </c>
      <c r="Q48" s="431">
        <v>0.05</v>
      </c>
      <c r="R48" s="430">
        <v>4619</v>
      </c>
      <c r="S48" s="175">
        <v>585</v>
      </c>
      <c r="T48" s="751">
        <v>7625</v>
      </c>
      <c r="U48" s="439">
        <v>18.86</v>
      </c>
      <c r="V48" s="636">
        <v>8.84</v>
      </c>
      <c r="W48" s="636">
        <v>15.372000000000002</v>
      </c>
      <c r="X48" s="439">
        <v>1.4000000000000001</v>
      </c>
      <c r="Y48" s="761">
        <v>24.212000000000003</v>
      </c>
      <c r="Z48" s="776">
        <v>60.183200000000006</v>
      </c>
      <c r="AA48" s="777"/>
      <c r="AB48" s="811"/>
      <c r="AC48" s="818">
        <v>658</v>
      </c>
      <c r="AD48" s="811" t="s">
        <v>633</v>
      </c>
      <c r="AE48" s="811">
        <v>1</v>
      </c>
      <c r="AF48" s="643">
        <v>1046</v>
      </c>
    </row>
    <row r="49" spans="1:34" ht="15.75">
      <c r="A49" s="633"/>
      <c r="B49" s="634"/>
      <c r="C49" s="634"/>
      <c r="D49" s="555"/>
      <c r="E49" s="556"/>
      <c r="F49" s="647"/>
      <c r="G49" s="635" t="s">
        <v>129</v>
      </c>
      <c r="H49" s="636"/>
      <c r="I49" s="636"/>
      <c r="J49" s="549"/>
      <c r="K49" s="637"/>
      <c r="L49" s="635"/>
      <c r="M49" s="549"/>
      <c r="N49" s="592" t="s">
        <v>129</v>
      </c>
      <c r="O49" s="594" t="s">
        <v>129</v>
      </c>
      <c r="P49" s="745"/>
      <c r="Q49" s="431">
        <v>0.05</v>
      </c>
      <c r="R49" s="430">
        <v>5811</v>
      </c>
      <c r="S49" s="175"/>
      <c r="T49" s="753" t="s">
        <v>129</v>
      </c>
      <c r="U49" s="439">
        <v>23.49</v>
      </c>
      <c r="V49" s="755"/>
      <c r="W49" s="755"/>
      <c r="X49" s="439">
        <v>1.4000000000000001</v>
      </c>
      <c r="Y49" s="761" t="s">
        <v>129</v>
      </c>
      <c r="Z49" s="778"/>
      <c r="AA49" s="777"/>
      <c r="AB49" s="634"/>
      <c r="AC49" s="820" t="s">
        <v>129</v>
      </c>
      <c r="AD49" s="822"/>
      <c r="AE49" s="822"/>
      <c r="AF49" s="633"/>
    </row>
    <row r="50" spans="1:34" ht="15.75">
      <c r="A50" s="624">
        <v>1050</v>
      </c>
      <c r="B50" s="625"/>
      <c r="C50" s="650" t="s">
        <v>658</v>
      </c>
      <c r="D50" s="651"/>
      <c r="E50" s="628"/>
      <c r="F50" s="646"/>
      <c r="G50" s="630" t="s">
        <v>129</v>
      </c>
      <c r="H50" s="631"/>
      <c r="I50" s="631"/>
      <c r="J50" s="632"/>
      <c r="K50" s="632"/>
      <c r="L50" s="627"/>
      <c r="M50" s="632"/>
      <c r="N50" s="739" t="s">
        <v>129</v>
      </c>
      <c r="O50" s="744" t="s">
        <v>129</v>
      </c>
      <c r="P50" s="742"/>
      <c r="Q50" s="431"/>
      <c r="R50" s="430" t="s">
        <v>129</v>
      </c>
      <c r="S50" s="496"/>
      <c r="T50" s="750" t="s">
        <v>129</v>
      </c>
      <c r="U50" s="439"/>
      <c r="V50" s="631"/>
      <c r="W50" s="631"/>
      <c r="X50" s="439"/>
      <c r="Y50" s="763" t="s">
        <v>129</v>
      </c>
      <c r="Z50" s="774"/>
      <c r="AA50" s="775"/>
      <c r="AB50" s="810"/>
      <c r="AC50" s="817" t="s">
        <v>129</v>
      </c>
      <c r="AD50" s="810"/>
      <c r="AE50" s="810"/>
      <c r="AF50" s="624">
        <v>1050</v>
      </c>
    </row>
    <row r="51" spans="1:34" ht="15.75">
      <c r="A51" s="633"/>
      <c r="B51" s="634"/>
      <c r="C51" s="634"/>
      <c r="D51" s="555"/>
      <c r="E51" s="556"/>
      <c r="F51" s="647"/>
      <c r="G51" s="635" t="s">
        <v>129</v>
      </c>
      <c r="H51" s="636"/>
      <c r="I51" s="636"/>
      <c r="J51" s="549"/>
      <c r="K51" s="637"/>
      <c r="L51" s="635"/>
      <c r="M51" s="549"/>
      <c r="N51" s="592" t="s">
        <v>129</v>
      </c>
      <c r="O51" s="594" t="s">
        <v>129</v>
      </c>
      <c r="P51" s="745"/>
      <c r="Q51" s="429"/>
      <c r="R51" s="430" t="s">
        <v>129</v>
      </c>
      <c r="S51" s="175"/>
      <c r="T51" s="753" t="s">
        <v>129</v>
      </c>
      <c r="U51" s="438"/>
      <c r="V51" s="755"/>
      <c r="W51" s="755"/>
      <c r="X51" s="438"/>
      <c r="Y51" s="761" t="s">
        <v>129</v>
      </c>
      <c r="Z51" s="778"/>
      <c r="AA51" s="777"/>
      <c r="AB51" s="634"/>
      <c r="AC51" s="820" t="s">
        <v>129</v>
      </c>
      <c r="AD51" s="822"/>
      <c r="AE51" s="822"/>
      <c r="AF51" s="633"/>
    </row>
    <row r="52" spans="1:34" ht="15.75">
      <c r="A52" s="643">
        <v>1051</v>
      </c>
      <c r="B52" s="644"/>
      <c r="C52" s="644" t="s">
        <v>659</v>
      </c>
      <c r="D52" s="551">
        <v>40</v>
      </c>
      <c r="E52" s="545">
        <v>59000</v>
      </c>
      <c r="F52" s="640">
        <v>47</v>
      </c>
      <c r="G52" s="645" t="s">
        <v>129</v>
      </c>
      <c r="H52" s="636">
        <v>41</v>
      </c>
      <c r="I52" s="636">
        <v>57</v>
      </c>
      <c r="J52" s="549">
        <v>200</v>
      </c>
      <c r="K52" s="554">
        <v>40</v>
      </c>
      <c r="L52" s="562">
        <v>12</v>
      </c>
      <c r="M52" s="549">
        <v>8000</v>
      </c>
      <c r="N52" s="592">
        <v>0.25</v>
      </c>
      <c r="O52" s="594">
        <v>1</v>
      </c>
      <c r="P52" s="590">
        <v>30</v>
      </c>
      <c r="Q52" s="431"/>
      <c r="R52" s="430" t="s">
        <v>129</v>
      </c>
      <c r="S52" s="497">
        <v>390</v>
      </c>
      <c r="T52" s="751">
        <v>5325</v>
      </c>
      <c r="U52" s="439"/>
      <c r="V52" s="636">
        <v>7.375</v>
      </c>
      <c r="W52" s="636">
        <v>8.7840000000000007</v>
      </c>
      <c r="X52" s="439"/>
      <c r="Y52" s="761">
        <v>16.158999999999999</v>
      </c>
      <c r="Z52" s="776">
        <v>47.062400000000004</v>
      </c>
      <c r="AA52" s="777"/>
      <c r="AB52" s="811"/>
      <c r="AC52" s="818">
        <v>568</v>
      </c>
      <c r="AD52" s="811" t="s">
        <v>633</v>
      </c>
      <c r="AE52" s="811">
        <v>1</v>
      </c>
      <c r="AF52" s="643">
        <v>1051</v>
      </c>
    </row>
    <row r="53" spans="1:34" ht="15.75">
      <c r="A53" s="643">
        <v>1052</v>
      </c>
      <c r="B53" s="644"/>
      <c r="C53" s="644" t="s">
        <v>660</v>
      </c>
      <c r="D53" s="551">
        <v>50</v>
      </c>
      <c r="E53" s="545">
        <v>73000</v>
      </c>
      <c r="F53" s="640">
        <v>58</v>
      </c>
      <c r="G53" s="645" t="s">
        <v>129</v>
      </c>
      <c r="H53" s="636">
        <v>51</v>
      </c>
      <c r="I53" s="636">
        <v>70</v>
      </c>
      <c r="J53" s="549">
        <v>200</v>
      </c>
      <c r="K53" s="554">
        <v>40</v>
      </c>
      <c r="L53" s="562">
        <v>12</v>
      </c>
      <c r="M53" s="549">
        <v>8000</v>
      </c>
      <c r="N53" s="592">
        <v>0.25</v>
      </c>
      <c r="O53" s="594">
        <v>1.05</v>
      </c>
      <c r="P53" s="590">
        <v>33</v>
      </c>
      <c r="Q53" s="431">
        <v>0.05</v>
      </c>
      <c r="R53" s="430">
        <v>3828</v>
      </c>
      <c r="S53" s="175">
        <v>429</v>
      </c>
      <c r="T53" s="751">
        <v>6420</v>
      </c>
      <c r="U53" s="439">
        <v>18.724</v>
      </c>
      <c r="V53" s="636">
        <v>9.5812500000000007</v>
      </c>
      <c r="W53" s="636">
        <v>10.98</v>
      </c>
      <c r="X53" s="439">
        <v>1.4000000000000001</v>
      </c>
      <c r="Y53" s="761">
        <v>20.561250000000001</v>
      </c>
      <c r="Z53" s="776">
        <v>57.927375000000005</v>
      </c>
      <c r="AA53" s="777"/>
      <c r="AB53" s="811"/>
      <c r="AC53" s="818">
        <v>596</v>
      </c>
      <c r="AD53" s="811" t="s">
        <v>633</v>
      </c>
      <c r="AE53" s="811">
        <v>1</v>
      </c>
      <c r="AF53" s="643">
        <v>1052</v>
      </c>
    </row>
    <row r="54" spans="1:34" ht="15.75">
      <c r="A54" s="643">
        <v>1053</v>
      </c>
      <c r="B54" s="644"/>
      <c r="C54" s="644" t="s">
        <v>661</v>
      </c>
      <c r="D54" s="551">
        <v>65</v>
      </c>
      <c r="E54" s="545">
        <v>76000</v>
      </c>
      <c r="F54" s="640">
        <v>63</v>
      </c>
      <c r="G54" s="645" t="s">
        <v>129</v>
      </c>
      <c r="H54" s="636">
        <v>56</v>
      </c>
      <c r="I54" s="636">
        <v>76</v>
      </c>
      <c r="J54" s="549">
        <v>200</v>
      </c>
      <c r="K54" s="554">
        <v>40</v>
      </c>
      <c r="L54" s="562">
        <v>12</v>
      </c>
      <c r="M54" s="549">
        <v>8000</v>
      </c>
      <c r="N54" s="592">
        <v>0.25</v>
      </c>
      <c r="O54" s="594">
        <v>1.05</v>
      </c>
      <c r="P54" s="590">
        <v>36</v>
      </c>
      <c r="Q54" s="431">
        <v>0.05</v>
      </c>
      <c r="R54" s="430">
        <v>4437</v>
      </c>
      <c r="S54" s="497">
        <v>468</v>
      </c>
      <c r="T54" s="751">
        <v>6690</v>
      </c>
      <c r="U54" s="439">
        <v>21.696000000000002</v>
      </c>
      <c r="V54" s="636">
        <v>9.9749999999999996</v>
      </c>
      <c r="W54" s="636">
        <v>14.274000000000001</v>
      </c>
      <c r="X54" s="439">
        <v>1.4000000000000001</v>
      </c>
      <c r="Y54" s="761">
        <v>24.249000000000002</v>
      </c>
      <c r="Z54" s="776">
        <v>63.468900000000012</v>
      </c>
      <c r="AA54" s="777"/>
      <c r="AB54" s="811"/>
      <c r="AC54" s="818">
        <v>602</v>
      </c>
      <c r="AD54" s="811" t="s">
        <v>633</v>
      </c>
      <c r="AE54" s="811">
        <v>1</v>
      </c>
      <c r="AF54" s="643">
        <v>1053</v>
      </c>
    </row>
    <row r="55" spans="1:34" ht="15.75">
      <c r="A55" s="643">
        <v>1058</v>
      </c>
      <c r="B55" s="644"/>
      <c r="C55" s="644" t="s">
        <v>662</v>
      </c>
      <c r="D55" s="551">
        <v>4</v>
      </c>
      <c r="E55" s="545">
        <v>8400</v>
      </c>
      <c r="F55" s="640">
        <v>21</v>
      </c>
      <c r="G55" s="652" t="s">
        <v>129</v>
      </c>
      <c r="H55" s="636">
        <v>18</v>
      </c>
      <c r="I55" s="636">
        <v>25</v>
      </c>
      <c r="J55" s="549">
        <v>75</v>
      </c>
      <c r="K55" s="554">
        <v>70</v>
      </c>
      <c r="L55" s="562">
        <v>12</v>
      </c>
      <c r="M55" s="549">
        <v>2500</v>
      </c>
      <c r="N55" s="592">
        <v>0.25</v>
      </c>
      <c r="O55" s="594">
        <v>1.75</v>
      </c>
      <c r="P55" s="590">
        <v>11</v>
      </c>
      <c r="Q55" s="431">
        <v>0.05</v>
      </c>
      <c r="R55" s="430">
        <v>6264</v>
      </c>
      <c r="S55" s="175">
        <v>143</v>
      </c>
      <c r="T55" s="751">
        <v>795</v>
      </c>
      <c r="U55" s="439">
        <v>29.352</v>
      </c>
      <c r="V55" s="636">
        <v>5.88</v>
      </c>
      <c r="W55" s="636">
        <v>2.4500000000000002</v>
      </c>
      <c r="X55" s="439">
        <v>1.4000000000000001</v>
      </c>
      <c r="Y55" s="761">
        <v>8.33</v>
      </c>
      <c r="Z55" s="776">
        <v>20.823</v>
      </c>
      <c r="AA55" s="779"/>
      <c r="AB55" s="811">
        <v>4</v>
      </c>
      <c r="AC55" s="818">
        <v>16.8</v>
      </c>
      <c r="AD55" s="811" t="s">
        <v>633</v>
      </c>
      <c r="AE55" s="811">
        <v>2</v>
      </c>
      <c r="AF55" s="643">
        <v>1058</v>
      </c>
    </row>
    <row r="56" spans="1:34" ht="15.75">
      <c r="A56" s="643">
        <v>1059</v>
      </c>
      <c r="B56" s="644"/>
      <c r="C56" s="644" t="s">
        <v>663</v>
      </c>
      <c r="D56" s="551">
        <v>15</v>
      </c>
      <c r="E56" s="545">
        <v>34000</v>
      </c>
      <c r="F56" s="640">
        <v>37</v>
      </c>
      <c r="G56" s="652" t="s">
        <v>129</v>
      </c>
      <c r="H56" s="636">
        <v>33</v>
      </c>
      <c r="I56" s="636">
        <v>44</v>
      </c>
      <c r="J56" s="549">
        <v>150</v>
      </c>
      <c r="K56" s="554">
        <v>70</v>
      </c>
      <c r="L56" s="562">
        <v>12</v>
      </c>
      <c r="M56" s="549">
        <v>4000</v>
      </c>
      <c r="N56" s="592">
        <v>0.25</v>
      </c>
      <c r="O56" s="594">
        <v>1.1499999999999999</v>
      </c>
      <c r="P56" s="590">
        <v>15</v>
      </c>
      <c r="Q56" s="431">
        <v>0.05</v>
      </c>
      <c r="R56" s="430">
        <v>7308</v>
      </c>
      <c r="S56" s="497">
        <v>195</v>
      </c>
      <c r="T56" s="751">
        <v>2775</v>
      </c>
      <c r="U56" s="439">
        <v>28.87</v>
      </c>
      <c r="V56" s="636">
        <v>9.7749999999999986</v>
      </c>
      <c r="W56" s="548">
        <v>5.7645</v>
      </c>
      <c r="X56" s="439">
        <v>1.4000000000000001</v>
      </c>
      <c r="Y56" s="761">
        <v>15.539499999999999</v>
      </c>
      <c r="Z56" s="776">
        <v>37.443449999999999</v>
      </c>
      <c r="AA56" s="779"/>
      <c r="AB56" s="811"/>
      <c r="AC56" s="818">
        <v>68</v>
      </c>
      <c r="AD56" s="811" t="s">
        <v>633</v>
      </c>
      <c r="AE56" s="811">
        <v>1</v>
      </c>
      <c r="AF56" s="643">
        <v>1059</v>
      </c>
    </row>
    <row r="57" spans="1:34" ht="31.5">
      <c r="A57" s="643">
        <v>1060</v>
      </c>
      <c r="B57" s="644"/>
      <c r="C57" s="644" t="s">
        <v>664</v>
      </c>
      <c r="D57" s="551">
        <v>25</v>
      </c>
      <c r="E57" s="545">
        <v>52000</v>
      </c>
      <c r="F57" s="640">
        <v>43</v>
      </c>
      <c r="G57" s="652" t="s">
        <v>129</v>
      </c>
      <c r="H57" s="636">
        <v>38</v>
      </c>
      <c r="I57" s="636">
        <v>50</v>
      </c>
      <c r="J57" s="549">
        <v>200</v>
      </c>
      <c r="K57" s="554">
        <v>60</v>
      </c>
      <c r="L57" s="562">
        <v>12</v>
      </c>
      <c r="M57" s="549">
        <v>6000</v>
      </c>
      <c r="N57" s="592">
        <v>0.25</v>
      </c>
      <c r="O57" s="594">
        <v>1.1499999999999999</v>
      </c>
      <c r="P57" s="590">
        <v>16</v>
      </c>
      <c r="Q57" s="431">
        <v>0.05</v>
      </c>
      <c r="R57" s="430">
        <v>9831</v>
      </c>
      <c r="S57" s="175">
        <v>208</v>
      </c>
      <c r="T57" s="751">
        <v>4140</v>
      </c>
      <c r="U57" s="439">
        <v>37.923333333333332</v>
      </c>
      <c r="V57" s="636">
        <v>9.966666666666665</v>
      </c>
      <c r="W57" s="636">
        <v>8.2349999999999994</v>
      </c>
      <c r="X57" s="439">
        <v>1.4000000000000001</v>
      </c>
      <c r="Y57" s="761">
        <v>18.201666666666664</v>
      </c>
      <c r="Z57" s="776">
        <v>42.791833333333336</v>
      </c>
      <c r="AA57" s="779"/>
      <c r="AB57" s="811"/>
      <c r="AC57" s="818">
        <v>104</v>
      </c>
      <c r="AD57" s="811" t="s">
        <v>633</v>
      </c>
      <c r="AE57" s="811">
        <v>1</v>
      </c>
      <c r="AF57" s="643">
        <v>1060</v>
      </c>
    </row>
    <row r="58" spans="1:34" ht="31.5">
      <c r="A58" s="643">
        <v>1061</v>
      </c>
      <c r="B58" s="644"/>
      <c r="C58" s="644" t="s">
        <v>665</v>
      </c>
      <c r="D58" s="551">
        <v>44</v>
      </c>
      <c r="E58" s="545">
        <v>82000</v>
      </c>
      <c r="F58" s="640">
        <v>59</v>
      </c>
      <c r="G58" s="652" t="s">
        <v>129</v>
      </c>
      <c r="H58" s="636">
        <v>52</v>
      </c>
      <c r="I58" s="636">
        <v>71</v>
      </c>
      <c r="J58" s="549">
        <v>200</v>
      </c>
      <c r="K58" s="554">
        <v>40</v>
      </c>
      <c r="L58" s="562">
        <v>12</v>
      </c>
      <c r="M58" s="549">
        <v>8000</v>
      </c>
      <c r="N58" s="592">
        <v>0.25</v>
      </c>
      <c r="O58" s="594">
        <v>1.1499999999999999</v>
      </c>
      <c r="P58" s="590">
        <v>19</v>
      </c>
      <c r="Q58" s="431">
        <v>0.05</v>
      </c>
      <c r="R58" s="430">
        <v>4611</v>
      </c>
      <c r="S58" s="497">
        <v>247</v>
      </c>
      <c r="T58" s="751">
        <v>6435</v>
      </c>
      <c r="U58" s="439">
        <v>27.41</v>
      </c>
      <c r="V58" s="636">
        <v>11.7875</v>
      </c>
      <c r="W58" s="636">
        <v>9.6624000000000017</v>
      </c>
      <c r="X58" s="439">
        <v>1.4000000000000001</v>
      </c>
      <c r="Y58" s="761">
        <v>21.4499</v>
      </c>
      <c r="Z58" s="776">
        <v>58.987389999999998</v>
      </c>
      <c r="AA58" s="780"/>
      <c r="AB58" s="811"/>
      <c r="AC58" s="818">
        <v>164</v>
      </c>
      <c r="AD58" s="811" t="s">
        <v>633</v>
      </c>
      <c r="AE58" s="811">
        <v>1</v>
      </c>
      <c r="AF58" s="643">
        <v>1061</v>
      </c>
    </row>
    <row r="59" spans="1:34" ht="31.5">
      <c r="A59" s="643">
        <v>1062</v>
      </c>
      <c r="B59" s="644"/>
      <c r="C59" s="542" t="s">
        <v>666</v>
      </c>
      <c r="D59" s="559">
        <v>40</v>
      </c>
      <c r="E59" s="545">
        <v>129000</v>
      </c>
      <c r="F59" s="546">
        <v>70</v>
      </c>
      <c r="G59" s="653">
        <v>165</v>
      </c>
      <c r="H59" s="654">
        <v>140</v>
      </c>
      <c r="I59" s="654">
        <v>200</v>
      </c>
      <c r="J59" s="561">
        <v>120</v>
      </c>
      <c r="K59" s="554">
        <v>40</v>
      </c>
      <c r="L59" s="562">
        <v>10</v>
      </c>
      <c r="M59" s="561">
        <v>4000</v>
      </c>
      <c r="N59" s="592">
        <v>0.25</v>
      </c>
      <c r="O59" s="594">
        <v>0.5</v>
      </c>
      <c r="P59" s="590">
        <v>45</v>
      </c>
      <c r="Q59" s="431">
        <v>0.05</v>
      </c>
      <c r="R59" s="430">
        <v>5655</v>
      </c>
      <c r="S59" s="175"/>
      <c r="T59" s="751">
        <v>11602.5</v>
      </c>
      <c r="U59" s="439">
        <v>33.274999999999999</v>
      </c>
      <c r="V59" s="654">
        <v>16.125</v>
      </c>
      <c r="W59" s="654">
        <v>37.332000000000001</v>
      </c>
      <c r="X59" s="439">
        <v>1.4000000000000001</v>
      </c>
      <c r="Y59" s="764">
        <v>53.457000000000001</v>
      </c>
      <c r="Z59" s="776">
        <v>66.063580000000002</v>
      </c>
      <c r="AA59" s="780">
        <v>165.15895</v>
      </c>
      <c r="AB59" s="812">
        <v>68</v>
      </c>
      <c r="AC59" s="818">
        <v>258</v>
      </c>
      <c r="AD59" s="811" t="s">
        <v>667</v>
      </c>
      <c r="AE59" s="811">
        <v>1</v>
      </c>
      <c r="AF59" s="643">
        <v>1062</v>
      </c>
    </row>
    <row r="60" spans="1:34" ht="15.75">
      <c r="A60" s="633"/>
      <c r="B60" s="634"/>
      <c r="C60" s="634"/>
      <c r="D60" s="555"/>
      <c r="E60" s="556"/>
      <c r="F60" s="557"/>
      <c r="G60" s="635" t="s">
        <v>129</v>
      </c>
      <c r="H60" s="636"/>
      <c r="I60" s="636"/>
      <c r="J60" s="549"/>
      <c r="K60" s="637"/>
      <c r="L60" s="635"/>
      <c r="M60" s="549"/>
      <c r="N60" s="592" t="s">
        <v>129</v>
      </c>
      <c r="O60" s="594" t="s">
        <v>129</v>
      </c>
      <c r="P60" s="745"/>
      <c r="Q60" s="431">
        <v>0.05</v>
      </c>
      <c r="R60" s="430">
        <v>783</v>
      </c>
      <c r="S60" s="496"/>
      <c r="T60" s="753" t="s">
        <v>129</v>
      </c>
      <c r="U60" s="439">
        <v>12.88</v>
      </c>
      <c r="V60" s="755"/>
      <c r="W60" s="755"/>
      <c r="X60" s="439">
        <v>1.4000000000000001</v>
      </c>
      <c r="Y60" s="761" t="s">
        <v>129</v>
      </c>
      <c r="Z60" s="778"/>
      <c r="AA60" s="777"/>
      <c r="AB60" s="634"/>
      <c r="AC60" s="820" t="s">
        <v>129</v>
      </c>
      <c r="AD60" s="822"/>
      <c r="AE60" s="822"/>
      <c r="AF60" s="633"/>
    </row>
    <row r="61" spans="1:34" ht="15.75">
      <c r="A61" s="624">
        <v>1070</v>
      </c>
      <c r="B61" s="625"/>
      <c r="C61" s="626" t="s">
        <v>668</v>
      </c>
      <c r="D61" s="627"/>
      <c r="E61" s="628"/>
      <c r="F61" s="629"/>
      <c r="G61" s="630" t="s">
        <v>129</v>
      </c>
      <c r="H61" s="631"/>
      <c r="I61" s="631"/>
      <c r="J61" s="632"/>
      <c r="K61" s="632"/>
      <c r="L61" s="627"/>
      <c r="M61" s="632"/>
      <c r="N61" s="739" t="s">
        <v>129</v>
      </c>
      <c r="O61" s="744" t="s">
        <v>129</v>
      </c>
      <c r="P61" s="742"/>
      <c r="Q61" s="431">
        <v>0.05</v>
      </c>
      <c r="R61" s="430">
        <v>2436</v>
      </c>
      <c r="S61" s="175"/>
      <c r="T61" s="750" t="s">
        <v>129</v>
      </c>
      <c r="U61" s="439">
        <v>18.113333333333333</v>
      </c>
      <c r="V61" s="631"/>
      <c r="W61" s="631"/>
      <c r="X61" s="439">
        <v>1.4000000000000001</v>
      </c>
      <c r="Y61" s="763" t="s">
        <v>129</v>
      </c>
      <c r="Z61" s="774"/>
      <c r="AA61" s="775"/>
      <c r="AB61" s="810"/>
      <c r="AC61" s="817" t="s">
        <v>129</v>
      </c>
      <c r="AD61" s="810"/>
      <c r="AE61" s="810"/>
      <c r="AF61" s="624">
        <v>1070</v>
      </c>
    </row>
    <row r="62" spans="1:34" ht="15.75">
      <c r="A62" s="633"/>
      <c r="B62" s="634"/>
      <c r="C62" s="633"/>
      <c r="D62" s="544"/>
      <c r="E62" s="545"/>
      <c r="F62" s="546"/>
      <c r="G62" s="633" t="s">
        <v>129</v>
      </c>
      <c r="H62" s="636"/>
      <c r="I62" s="636"/>
      <c r="J62" s="549"/>
      <c r="K62" s="635"/>
      <c r="L62" s="633"/>
      <c r="M62" s="549"/>
      <c r="N62" s="592" t="s">
        <v>129</v>
      </c>
      <c r="O62" s="594" t="s">
        <v>129</v>
      </c>
      <c r="P62" s="743"/>
      <c r="Q62" s="431">
        <v>0.05</v>
      </c>
      <c r="R62" s="430">
        <v>4524</v>
      </c>
      <c r="S62" s="497">
        <v>351</v>
      </c>
      <c r="T62" s="751" t="s">
        <v>129</v>
      </c>
      <c r="U62" s="439">
        <v>24.34</v>
      </c>
      <c r="V62" s="636"/>
      <c r="W62" s="636"/>
      <c r="X62" s="439">
        <v>1.4000000000000001</v>
      </c>
      <c r="Y62" s="761" t="s">
        <v>129</v>
      </c>
      <c r="Z62" s="776"/>
      <c r="AA62" s="777"/>
      <c r="AB62" s="633"/>
      <c r="AC62" s="818" t="s">
        <v>129</v>
      </c>
      <c r="AD62" s="811"/>
      <c r="AE62" s="811"/>
      <c r="AF62" s="633"/>
    </row>
    <row r="63" spans="1:34" ht="15.75">
      <c r="A63" s="643">
        <v>1071</v>
      </c>
      <c r="B63" s="644"/>
      <c r="C63" s="644" t="s">
        <v>669</v>
      </c>
      <c r="D63" s="551">
        <v>30</v>
      </c>
      <c r="E63" s="545">
        <v>82000</v>
      </c>
      <c r="F63" s="640">
        <v>51</v>
      </c>
      <c r="G63" s="645" t="s">
        <v>129</v>
      </c>
      <c r="H63" s="636">
        <v>44</v>
      </c>
      <c r="I63" s="636">
        <v>62</v>
      </c>
      <c r="J63" s="549">
        <v>200</v>
      </c>
      <c r="K63" s="554">
        <v>40</v>
      </c>
      <c r="L63" s="562">
        <v>15</v>
      </c>
      <c r="M63" s="549">
        <v>8000</v>
      </c>
      <c r="N63" s="592">
        <v>0.25</v>
      </c>
      <c r="O63" s="594">
        <v>0.95</v>
      </c>
      <c r="P63" s="590">
        <v>27</v>
      </c>
      <c r="Q63" s="431">
        <v>0.05</v>
      </c>
      <c r="R63" s="430">
        <v>6612</v>
      </c>
      <c r="S63" s="175">
        <v>377</v>
      </c>
      <c r="T63" s="751">
        <v>5980</v>
      </c>
      <c r="U63" s="439">
        <v>35.244999999999997</v>
      </c>
      <c r="V63" s="636">
        <v>9.7374999999999989</v>
      </c>
      <c r="W63" s="636">
        <v>6.5880000000000001</v>
      </c>
      <c r="X63" s="439">
        <v>1.4000000000000001</v>
      </c>
      <c r="Y63" s="761">
        <v>16.325499999999998</v>
      </c>
      <c r="Z63" s="776">
        <v>50.848050000000001</v>
      </c>
      <c r="AA63" s="777"/>
      <c r="AB63" s="811"/>
      <c r="AC63" s="818">
        <v>614</v>
      </c>
      <c r="AD63" s="811" t="s">
        <v>633</v>
      </c>
      <c r="AE63" s="811">
        <v>1</v>
      </c>
      <c r="AF63" s="643">
        <v>1071</v>
      </c>
      <c r="AG63" s="124">
        <v>1090</v>
      </c>
      <c r="AH63" s="124">
        <v>1090</v>
      </c>
    </row>
    <row r="64" spans="1:34" ht="15.75">
      <c r="A64" s="643">
        <v>1072</v>
      </c>
      <c r="B64" s="644"/>
      <c r="C64" s="644" t="s">
        <v>670</v>
      </c>
      <c r="D64" s="551">
        <v>35</v>
      </c>
      <c r="E64" s="545">
        <v>106000</v>
      </c>
      <c r="F64" s="640">
        <v>52</v>
      </c>
      <c r="G64" s="645" t="s">
        <v>129</v>
      </c>
      <c r="H64" s="636">
        <v>46</v>
      </c>
      <c r="I64" s="636">
        <v>63</v>
      </c>
      <c r="J64" s="549">
        <v>250</v>
      </c>
      <c r="K64" s="554">
        <v>40</v>
      </c>
      <c r="L64" s="562">
        <v>15</v>
      </c>
      <c r="M64" s="549">
        <v>8000</v>
      </c>
      <c r="N64" s="592">
        <v>0.25</v>
      </c>
      <c r="O64" s="594">
        <v>0.75</v>
      </c>
      <c r="P64" s="590">
        <v>29</v>
      </c>
      <c r="Q64" s="431"/>
      <c r="R64" s="430" t="s">
        <v>129</v>
      </c>
      <c r="S64" s="497">
        <v>377</v>
      </c>
      <c r="T64" s="751">
        <v>7510</v>
      </c>
      <c r="U64" s="439"/>
      <c r="V64" s="636">
        <v>9.9375</v>
      </c>
      <c r="W64" s="636">
        <v>7.6860000000000008</v>
      </c>
      <c r="X64" s="439"/>
      <c r="Y64" s="761">
        <v>17.6235</v>
      </c>
      <c r="Z64" s="776">
        <v>52.429850000000002</v>
      </c>
      <c r="AA64" s="777"/>
      <c r="AB64" s="811"/>
      <c r="AC64" s="818">
        <v>662</v>
      </c>
      <c r="AD64" s="811" t="s">
        <v>633</v>
      </c>
      <c r="AE64" s="811">
        <v>1</v>
      </c>
      <c r="AF64" s="643">
        <v>1072</v>
      </c>
      <c r="AG64" s="124">
        <v>1090</v>
      </c>
      <c r="AH64" s="124">
        <v>1090</v>
      </c>
    </row>
    <row r="65" spans="1:34" ht="15.75">
      <c r="A65" s="643">
        <v>1073</v>
      </c>
      <c r="B65" s="644"/>
      <c r="C65" s="644" t="s">
        <v>671</v>
      </c>
      <c r="D65" s="551">
        <v>45</v>
      </c>
      <c r="E65" s="545">
        <v>118000</v>
      </c>
      <c r="F65" s="640">
        <v>53</v>
      </c>
      <c r="G65" s="645" t="s">
        <v>129</v>
      </c>
      <c r="H65" s="636">
        <v>47</v>
      </c>
      <c r="I65" s="636">
        <v>63</v>
      </c>
      <c r="J65" s="549">
        <v>300</v>
      </c>
      <c r="K65" s="554">
        <v>40</v>
      </c>
      <c r="L65" s="562">
        <v>15</v>
      </c>
      <c r="M65" s="549">
        <v>10000</v>
      </c>
      <c r="N65" s="592">
        <v>0.25</v>
      </c>
      <c r="O65" s="594">
        <v>0.9</v>
      </c>
      <c r="P65" s="590">
        <v>29</v>
      </c>
      <c r="Q65" s="429"/>
      <c r="R65" s="430" t="s">
        <v>129</v>
      </c>
      <c r="S65" s="175">
        <v>429</v>
      </c>
      <c r="T65" s="751">
        <v>8260</v>
      </c>
      <c r="U65" s="438"/>
      <c r="V65" s="636">
        <v>10.620000000000001</v>
      </c>
      <c r="W65" s="636">
        <v>9.8820000000000014</v>
      </c>
      <c r="X65" s="438"/>
      <c r="Y65" s="761">
        <v>20.502000000000002</v>
      </c>
      <c r="Z65" s="776">
        <v>52.838866666666682</v>
      </c>
      <c r="AA65" s="777"/>
      <c r="AB65" s="811"/>
      <c r="AC65" s="818">
        <v>686</v>
      </c>
      <c r="AD65" s="811" t="s">
        <v>633</v>
      </c>
      <c r="AE65" s="811">
        <v>1</v>
      </c>
      <c r="AF65" s="643">
        <v>1073</v>
      </c>
      <c r="AG65" s="124">
        <v>1090</v>
      </c>
      <c r="AH65" s="124">
        <v>1090</v>
      </c>
    </row>
    <row r="66" spans="1:34" ht="15.75">
      <c r="A66" s="643">
        <v>1074</v>
      </c>
      <c r="B66" s="644"/>
      <c r="C66" s="644" t="s">
        <v>672</v>
      </c>
      <c r="D66" s="551">
        <v>55</v>
      </c>
      <c r="E66" s="545">
        <v>155000</v>
      </c>
      <c r="F66" s="640">
        <v>62</v>
      </c>
      <c r="G66" s="645" t="s">
        <v>129</v>
      </c>
      <c r="H66" s="636">
        <v>55</v>
      </c>
      <c r="I66" s="636">
        <v>73</v>
      </c>
      <c r="J66" s="549">
        <v>350</v>
      </c>
      <c r="K66" s="554">
        <v>40</v>
      </c>
      <c r="L66" s="562">
        <v>15</v>
      </c>
      <c r="M66" s="549">
        <v>10000</v>
      </c>
      <c r="N66" s="592">
        <v>0.25</v>
      </c>
      <c r="O66" s="594">
        <v>0.9</v>
      </c>
      <c r="P66" s="590">
        <v>33</v>
      </c>
      <c r="Q66" s="431"/>
      <c r="R66" s="430" t="s">
        <v>129</v>
      </c>
      <c r="S66" s="497">
        <v>455</v>
      </c>
      <c r="T66" s="751">
        <v>10632.5</v>
      </c>
      <c r="U66" s="439"/>
      <c r="V66" s="636">
        <v>13.950000000000001</v>
      </c>
      <c r="W66" s="636">
        <v>12.078000000000001</v>
      </c>
      <c r="X66" s="439"/>
      <c r="Y66" s="761">
        <v>26.028000000000002</v>
      </c>
      <c r="Z66" s="776">
        <v>62.047228571428583</v>
      </c>
      <c r="AA66" s="777"/>
      <c r="AB66" s="811"/>
      <c r="AC66" s="818">
        <v>760</v>
      </c>
      <c r="AD66" s="811" t="s">
        <v>633</v>
      </c>
      <c r="AE66" s="811">
        <v>1</v>
      </c>
      <c r="AF66" s="643">
        <v>1074</v>
      </c>
      <c r="AG66" s="124">
        <v>1090</v>
      </c>
      <c r="AH66" s="124">
        <v>1090</v>
      </c>
    </row>
    <row r="67" spans="1:34" ht="15.75">
      <c r="A67" s="643">
        <v>1075</v>
      </c>
      <c r="B67" s="644"/>
      <c r="C67" s="644" t="s">
        <v>673</v>
      </c>
      <c r="D67" s="551">
        <v>70</v>
      </c>
      <c r="E67" s="545">
        <v>159000</v>
      </c>
      <c r="F67" s="640">
        <v>67</v>
      </c>
      <c r="G67" s="645" t="s">
        <v>129</v>
      </c>
      <c r="H67" s="636">
        <v>60</v>
      </c>
      <c r="I67" s="636">
        <v>78</v>
      </c>
      <c r="J67" s="549">
        <v>400</v>
      </c>
      <c r="K67" s="554">
        <v>40</v>
      </c>
      <c r="L67" s="562">
        <v>15</v>
      </c>
      <c r="M67" s="549">
        <v>10000</v>
      </c>
      <c r="N67" s="592">
        <v>0.1</v>
      </c>
      <c r="O67" s="594">
        <v>0.9</v>
      </c>
      <c r="P67" s="590">
        <v>35</v>
      </c>
      <c r="Q67" s="431">
        <v>0.05</v>
      </c>
      <c r="R67" s="430">
        <v>5140.5</v>
      </c>
      <c r="S67" s="175"/>
      <c r="T67" s="751">
        <v>12359.4</v>
      </c>
      <c r="U67" s="439">
        <v>30.817499999999999</v>
      </c>
      <c r="V67" s="636">
        <v>14.31</v>
      </c>
      <c r="W67" s="636">
        <v>15.372000000000002</v>
      </c>
      <c r="X67" s="439">
        <v>1.4000000000000001</v>
      </c>
      <c r="Y67" s="761">
        <v>29.682000000000002</v>
      </c>
      <c r="Z67" s="776">
        <v>66.638550000000009</v>
      </c>
      <c r="AA67" s="777"/>
      <c r="AB67" s="811"/>
      <c r="AC67" s="818">
        <v>768</v>
      </c>
      <c r="AD67" s="811" t="s">
        <v>633</v>
      </c>
      <c r="AE67" s="811">
        <v>1</v>
      </c>
      <c r="AF67" s="643">
        <v>1075</v>
      </c>
      <c r="AG67" s="124">
        <v>1090</v>
      </c>
      <c r="AH67" s="124">
        <v>1090</v>
      </c>
    </row>
    <row r="68" spans="1:34" ht="15.75">
      <c r="A68" s="643"/>
      <c r="B68" s="644"/>
      <c r="C68" s="643"/>
      <c r="D68" s="555"/>
      <c r="E68" s="545"/>
      <c r="F68" s="649"/>
      <c r="G68" s="645" t="s">
        <v>129</v>
      </c>
      <c r="H68" s="636"/>
      <c r="I68" s="636"/>
      <c r="J68" s="549"/>
      <c r="K68" s="554"/>
      <c r="L68" s="562"/>
      <c r="M68" s="549"/>
      <c r="N68" s="592" t="s">
        <v>129</v>
      </c>
      <c r="O68" s="594" t="s">
        <v>129</v>
      </c>
      <c r="P68" s="590"/>
      <c r="Q68" s="431">
        <v>0.05</v>
      </c>
      <c r="R68" s="430">
        <v>6258</v>
      </c>
      <c r="S68" s="496"/>
      <c r="T68" s="751" t="s">
        <v>129</v>
      </c>
      <c r="U68" s="439">
        <v>29.364000000000001</v>
      </c>
      <c r="V68" s="636"/>
      <c r="W68" s="636"/>
      <c r="X68" s="439">
        <v>1.4000000000000001</v>
      </c>
      <c r="Y68" s="761" t="s">
        <v>129</v>
      </c>
      <c r="Z68" s="776"/>
      <c r="AA68" s="781"/>
      <c r="AB68" s="811"/>
      <c r="AC68" s="818" t="s">
        <v>129</v>
      </c>
      <c r="AD68" s="811"/>
      <c r="AE68" s="811"/>
      <c r="AF68" s="643"/>
    </row>
    <row r="69" spans="1:34" ht="15.75">
      <c r="A69" s="624">
        <v>1080</v>
      </c>
      <c r="B69" s="625" t="s">
        <v>411</v>
      </c>
      <c r="C69" s="626" t="s">
        <v>674</v>
      </c>
      <c r="D69" s="627"/>
      <c r="E69" s="628"/>
      <c r="F69" s="646"/>
      <c r="G69" s="630" t="s">
        <v>129</v>
      </c>
      <c r="H69" s="631"/>
      <c r="I69" s="631"/>
      <c r="J69" s="632"/>
      <c r="K69" s="632"/>
      <c r="L69" s="627"/>
      <c r="M69" s="632"/>
      <c r="N69" s="739" t="s">
        <v>129</v>
      </c>
      <c r="O69" s="744" t="s">
        <v>129</v>
      </c>
      <c r="P69" s="742"/>
      <c r="Q69" s="431">
        <v>0.05</v>
      </c>
      <c r="R69" s="430">
        <v>7375.5</v>
      </c>
      <c r="S69" s="175"/>
      <c r="T69" s="750" t="s">
        <v>129</v>
      </c>
      <c r="U69" s="439">
        <v>28.295000000000002</v>
      </c>
      <c r="V69" s="631"/>
      <c r="W69" s="631"/>
      <c r="X69" s="439">
        <v>1.4000000000000001</v>
      </c>
      <c r="Y69" s="763" t="s">
        <v>129</v>
      </c>
      <c r="Z69" s="774"/>
      <c r="AA69" s="775"/>
      <c r="AB69" s="810"/>
      <c r="AC69" s="817" t="s">
        <v>129</v>
      </c>
      <c r="AD69" s="810"/>
      <c r="AE69" s="810"/>
      <c r="AF69" s="624">
        <v>1080</v>
      </c>
    </row>
    <row r="70" spans="1:34" ht="15.75">
      <c r="A70" s="633"/>
      <c r="B70" s="634"/>
      <c r="C70" s="633"/>
      <c r="D70" s="544"/>
      <c r="E70" s="545"/>
      <c r="F70" s="649"/>
      <c r="G70" s="633" t="s">
        <v>129</v>
      </c>
      <c r="H70" s="636"/>
      <c r="I70" s="636"/>
      <c r="J70" s="549"/>
      <c r="K70" s="635"/>
      <c r="L70" s="633"/>
      <c r="M70" s="549"/>
      <c r="N70" s="592" t="s">
        <v>129</v>
      </c>
      <c r="O70" s="594" t="s">
        <v>129</v>
      </c>
      <c r="P70" s="743"/>
      <c r="Q70" s="431">
        <v>0.05</v>
      </c>
      <c r="R70" s="430">
        <v>8865.5</v>
      </c>
      <c r="S70" s="175">
        <v>806</v>
      </c>
      <c r="T70" s="751" t="s">
        <v>129</v>
      </c>
      <c r="U70" s="439">
        <v>28.795714285714286</v>
      </c>
      <c r="V70" s="636"/>
      <c r="W70" s="636"/>
      <c r="X70" s="439">
        <v>1.4000000000000001</v>
      </c>
      <c r="Y70" s="761" t="s">
        <v>129</v>
      </c>
      <c r="Z70" s="776"/>
      <c r="AA70" s="777"/>
      <c r="AB70" s="633"/>
      <c r="AC70" s="818" t="s">
        <v>129</v>
      </c>
      <c r="AD70" s="811"/>
      <c r="AE70" s="811"/>
      <c r="AF70" s="633"/>
    </row>
    <row r="71" spans="1:34" ht="31.5">
      <c r="A71" s="643">
        <v>1084</v>
      </c>
      <c r="B71" s="644" t="s">
        <v>411</v>
      </c>
      <c r="C71" s="644" t="s">
        <v>675</v>
      </c>
      <c r="D71" s="551">
        <v>40</v>
      </c>
      <c r="E71" s="545">
        <v>79000</v>
      </c>
      <c r="F71" s="640">
        <v>54</v>
      </c>
      <c r="G71" s="645" t="s">
        <v>129</v>
      </c>
      <c r="H71" s="636">
        <v>47</v>
      </c>
      <c r="I71" s="636">
        <v>66</v>
      </c>
      <c r="J71" s="549">
        <v>200</v>
      </c>
      <c r="K71" s="554">
        <v>40</v>
      </c>
      <c r="L71" s="562">
        <v>15</v>
      </c>
      <c r="M71" s="549">
        <v>10000</v>
      </c>
      <c r="N71" s="592">
        <v>0.25</v>
      </c>
      <c r="O71" s="594">
        <v>1.1499999999999999</v>
      </c>
      <c r="P71" s="590">
        <v>62</v>
      </c>
      <c r="Q71" s="431">
        <v>0.05</v>
      </c>
      <c r="R71" s="430">
        <v>12442.4</v>
      </c>
      <c r="S71" s="497">
        <v>832</v>
      </c>
      <c r="T71" s="751">
        <v>6287.5</v>
      </c>
      <c r="U71" s="439">
        <v>34.3735</v>
      </c>
      <c r="V71" s="636">
        <v>9.0849999999999991</v>
      </c>
      <c r="W71" s="636">
        <v>8.7840000000000007</v>
      </c>
      <c r="X71" s="439">
        <v>1.4000000000000001</v>
      </c>
      <c r="Y71" s="761">
        <v>17.869</v>
      </c>
      <c r="Z71" s="776">
        <v>54.237150000000007</v>
      </c>
      <c r="AA71" s="777"/>
      <c r="AB71" s="811"/>
      <c r="AC71" s="818">
        <v>578</v>
      </c>
      <c r="AD71" s="811" t="s">
        <v>633</v>
      </c>
      <c r="AE71" s="811">
        <v>1</v>
      </c>
      <c r="AF71" s="643">
        <v>1084</v>
      </c>
      <c r="AG71" s="124">
        <v>1090</v>
      </c>
      <c r="AH71" s="124">
        <v>1090</v>
      </c>
    </row>
    <row r="72" spans="1:34" ht="31.5">
      <c r="A72" s="643">
        <v>1085</v>
      </c>
      <c r="B72" s="644" t="s">
        <v>411</v>
      </c>
      <c r="C72" s="644" t="s">
        <v>676</v>
      </c>
      <c r="D72" s="551">
        <v>50</v>
      </c>
      <c r="E72" s="545">
        <v>108000</v>
      </c>
      <c r="F72" s="640">
        <v>59</v>
      </c>
      <c r="G72" s="645" t="s">
        <v>129</v>
      </c>
      <c r="H72" s="636">
        <v>52</v>
      </c>
      <c r="I72" s="636">
        <v>71</v>
      </c>
      <c r="J72" s="549">
        <v>250</v>
      </c>
      <c r="K72" s="554">
        <v>40</v>
      </c>
      <c r="L72" s="562">
        <v>15</v>
      </c>
      <c r="M72" s="549">
        <v>10000</v>
      </c>
      <c r="N72" s="592">
        <v>0.25</v>
      </c>
      <c r="O72" s="594">
        <v>0.95</v>
      </c>
      <c r="P72" s="590">
        <v>64</v>
      </c>
      <c r="Q72" s="431"/>
      <c r="R72" s="430" t="s">
        <v>129</v>
      </c>
      <c r="S72" s="175">
        <v>884</v>
      </c>
      <c r="T72" s="751">
        <v>8130</v>
      </c>
      <c r="U72" s="439"/>
      <c r="V72" s="636">
        <v>10.26</v>
      </c>
      <c r="W72" s="636">
        <v>10.98</v>
      </c>
      <c r="X72" s="439"/>
      <c r="Y72" s="761">
        <v>21.240000000000002</v>
      </c>
      <c r="Z72" s="776">
        <v>59.13600000000001</v>
      </c>
      <c r="AA72" s="777"/>
      <c r="AB72" s="811"/>
      <c r="AC72" s="818">
        <v>636</v>
      </c>
      <c r="AD72" s="811" t="s">
        <v>633</v>
      </c>
      <c r="AE72" s="811">
        <v>1</v>
      </c>
      <c r="AF72" s="643">
        <v>1085</v>
      </c>
      <c r="AG72" s="124">
        <v>1090</v>
      </c>
      <c r="AH72" s="124">
        <v>1090</v>
      </c>
    </row>
    <row r="73" spans="1:34" ht="31.5">
      <c r="A73" s="643">
        <v>1086</v>
      </c>
      <c r="B73" s="644" t="s">
        <v>411</v>
      </c>
      <c r="C73" s="644" t="s">
        <v>677</v>
      </c>
      <c r="D73" s="551">
        <v>55</v>
      </c>
      <c r="E73" s="545">
        <v>125000</v>
      </c>
      <c r="F73" s="640">
        <v>58</v>
      </c>
      <c r="G73" s="645" t="s">
        <v>129</v>
      </c>
      <c r="H73" s="636">
        <v>51</v>
      </c>
      <c r="I73" s="636">
        <v>70</v>
      </c>
      <c r="J73" s="549">
        <v>300</v>
      </c>
      <c r="K73" s="554">
        <v>40</v>
      </c>
      <c r="L73" s="562">
        <v>15</v>
      </c>
      <c r="M73" s="549">
        <v>10000</v>
      </c>
      <c r="N73" s="592">
        <v>0.25</v>
      </c>
      <c r="O73" s="594">
        <v>0.8</v>
      </c>
      <c r="P73" s="590">
        <v>68</v>
      </c>
      <c r="Q73" s="429"/>
      <c r="R73" s="430" t="s">
        <v>129</v>
      </c>
      <c r="S73" s="497">
        <v>923</v>
      </c>
      <c r="T73" s="751">
        <v>9252.5</v>
      </c>
      <c r="U73" s="438"/>
      <c r="V73" s="636">
        <v>10</v>
      </c>
      <c r="W73" s="636">
        <v>12.078000000000001</v>
      </c>
      <c r="X73" s="438"/>
      <c r="Y73" s="761">
        <v>22.078000000000003</v>
      </c>
      <c r="Z73" s="776">
        <v>58.211633333333346</v>
      </c>
      <c r="AA73" s="777"/>
      <c r="AB73" s="811"/>
      <c r="AC73" s="818">
        <v>670</v>
      </c>
      <c r="AD73" s="811" t="s">
        <v>633</v>
      </c>
      <c r="AE73" s="811">
        <v>1</v>
      </c>
      <c r="AF73" s="643">
        <v>1086</v>
      </c>
      <c r="AG73" s="124">
        <v>1090</v>
      </c>
      <c r="AH73" s="124">
        <v>1090</v>
      </c>
    </row>
    <row r="74" spans="1:34" ht="31.5">
      <c r="A74" s="643">
        <v>1087</v>
      </c>
      <c r="B74" s="644" t="s">
        <v>411</v>
      </c>
      <c r="C74" s="644" t="s">
        <v>678</v>
      </c>
      <c r="D74" s="551">
        <v>80</v>
      </c>
      <c r="E74" s="545">
        <v>163000</v>
      </c>
      <c r="F74" s="640">
        <v>76</v>
      </c>
      <c r="G74" s="645" t="s">
        <v>129</v>
      </c>
      <c r="H74" s="636">
        <v>68</v>
      </c>
      <c r="I74" s="636">
        <v>91</v>
      </c>
      <c r="J74" s="549">
        <v>300</v>
      </c>
      <c r="K74" s="554">
        <v>40</v>
      </c>
      <c r="L74" s="562">
        <v>15</v>
      </c>
      <c r="M74" s="549">
        <v>10000</v>
      </c>
      <c r="N74" s="592">
        <v>0.25</v>
      </c>
      <c r="O74" s="594">
        <v>0.8</v>
      </c>
      <c r="P74" s="590">
        <v>71</v>
      </c>
      <c r="Q74" s="431"/>
      <c r="R74" s="430" t="s">
        <v>129</v>
      </c>
      <c r="S74" s="175">
        <v>30</v>
      </c>
      <c r="T74" s="751">
        <v>11672.5</v>
      </c>
      <c r="U74" s="439"/>
      <c r="V74" s="636">
        <v>13.040000000000001</v>
      </c>
      <c r="W74" s="636">
        <v>17.568000000000001</v>
      </c>
      <c r="X74" s="439"/>
      <c r="Y74" s="761">
        <v>30.608000000000004</v>
      </c>
      <c r="Z74" s="776">
        <v>76.467966666666669</v>
      </c>
      <c r="AA74" s="777"/>
      <c r="AB74" s="811"/>
      <c r="AC74" s="818">
        <v>746</v>
      </c>
      <c r="AD74" s="811" t="s">
        <v>633</v>
      </c>
      <c r="AE74" s="811">
        <v>1</v>
      </c>
      <c r="AF74" s="643">
        <v>1087</v>
      </c>
      <c r="AG74" s="124">
        <v>1090</v>
      </c>
      <c r="AH74" s="124">
        <v>1090</v>
      </c>
    </row>
    <row r="75" spans="1:34" ht="31.5">
      <c r="A75" s="643">
        <v>1090</v>
      </c>
      <c r="B75" s="644" t="s">
        <v>411</v>
      </c>
      <c r="C75" s="644" t="s">
        <v>679</v>
      </c>
      <c r="D75" s="544" t="s">
        <v>221</v>
      </c>
      <c r="E75" s="545">
        <v>2200</v>
      </c>
      <c r="F75" s="648">
        <v>2.2999999999999998</v>
      </c>
      <c r="G75" s="645" t="s">
        <v>129</v>
      </c>
      <c r="H75" s="636">
        <v>2</v>
      </c>
      <c r="I75" s="636">
        <v>2.7</v>
      </c>
      <c r="J75" s="549">
        <v>150</v>
      </c>
      <c r="K75" s="554" t="s">
        <v>221</v>
      </c>
      <c r="L75" s="562">
        <v>18</v>
      </c>
      <c r="M75" s="549">
        <v>4000</v>
      </c>
      <c r="N75" s="592">
        <v>0</v>
      </c>
      <c r="O75" s="594">
        <v>1.55</v>
      </c>
      <c r="P75" s="590">
        <v>5</v>
      </c>
      <c r="Q75" s="431">
        <v>0.05</v>
      </c>
      <c r="R75" s="430">
        <v>3650.5</v>
      </c>
      <c r="S75" s="175"/>
      <c r="T75" s="751">
        <v>181.42222222222225</v>
      </c>
      <c r="U75" s="439">
        <v>36.69</v>
      </c>
      <c r="V75" s="636">
        <v>0.85250000000000015</v>
      </c>
      <c r="W75" s="636"/>
      <c r="X75" s="439">
        <v>1.4000000000000001</v>
      </c>
      <c r="Y75" s="761">
        <v>0.85250000000000015</v>
      </c>
      <c r="Z75" s="776">
        <v>2.2681796296296302</v>
      </c>
      <c r="AA75" s="777"/>
      <c r="AB75" s="811"/>
      <c r="AC75" s="818">
        <v>4.4000000000000004</v>
      </c>
      <c r="AD75" s="811" t="s">
        <v>633</v>
      </c>
      <c r="AE75" s="811">
        <v>0</v>
      </c>
      <c r="AF75" s="643">
        <v>1090</v>
      </c>
      <c r="AG75" s="124">
        <v>1090</v>
      </c>
      <c r="AH75" s="124">
        <v>1090</v>
      </c>
    </row>
    <row r="76" spans="1:34" ht="15.75">
      <c r="A76" s="633"/>
      <c r="B76" s="634"/>
      <c r="C76" s="633"/>
      <c r="D76" s="551"/>
      <c r="E76" s="545"/>
      <c r="F76" s="640"/>
      <c r="G76" s="633" t="s">
        <v>129</v>
      </c>
      <c r="H76" s="636"/>
      <c r="I76" s="636"/>
      <c r="J76" s="549"/>
      <c r="K76" s="635"/>
      <c r="L76" s="633"/>
      <c r="M76" s="549"/>
      <c r="N76" s="592" t="s">
        <v>129</v>
      </c>
      <c r="O76" s="594" t="s">
        <v>129</v>
      </c>
      <c r="P76" s="743"/>
      <c r="Q76" s="431">
        <v>0.05</v>
      </c>
      <c r="R76" s="430">
        <v>4395.5</v>
      </c>
      <c r="S76" s="496"/>
      <c r="T76" s="751" t="s">
        <v>129</v>
      </c>
      <c r="U76" s="439">
        <v>36.505714285714284</v>
      </c>
      <c r="V76" s="636"/>
      <c r="W76" s="636"/>
      <c r="X76" s="439">
        <v>1.4000000000000001</v>
      </c>
      <c r="Y76" s="761" t="s">
        <v>129</v>
      </c>
      <c r="Z76" s="776"/>
      <c r="AA76" s="777"/>
      <c r="AB76" s="633"/>
      <c r="AC76" s="818" t="s">
        <v>129</v>
      </c>
      <c r="AD76" s="811"/>
      <c r="AE76" s="811"/>
      <c r="AF76" s="633"/>
    </row>
    <row r="77" spans="1:34" ht="15.75">
      <c r="A77" s="624">
        <v>1100</v>
      </c>
      <c r="B77" s="625"/>
      <c r="C77" s="626" t="s">
        <v>680</v>
      </c>
      <c r="D77" s="627"/>
      <c r="E77" s="628"/>
      <c r="F77" s="646"/>
      <c r="G77" s="630" t="s">
        <v>129</v>
      </c>
      <c r="H77" s="631"/>
      <c r="I77" s="631"/>
      <c r="J77" s="632"/>
      <c r="K77" s="632"/>
      <c r="L77" s="627"/>
      <c r="M77" s="632"/>
      <c r="N77" s="739" t="s">
        <v>129</v>
      </c>
      <c r="O77" s="744" t="s">
        <v>129</v>
      </c>
      <c r="P77" s="742"/>
      <c r="Q77" s="431">
        <v>0.05</v>
      </c>
      <c r="R77" s="430">
        <v>4991.5</v>
      </c>
      <c r="S77" s="175"/>
      <c r="T77" s="750" t="s">
        <v>129</v>
      </c>
      <c r="U77" s="439">
        <v>35.227499999999999</v>
      </c>
      <c r="V77" s="631"/>
      <c r="W77" s="631"/>
      <c r="X77" s="439">
        <v>1.4000000000000001</v>
      </c>
      <c r="Y77" s="763" t="s">
        <v>129</v>
      </c>
      <c r="Z77" s="774"/>
      <c r="AA77" s="775"/>
      <c r="AB77" s="810"/>
      <c r="AC77" s="817" t="s">
        <v>129</v>
      </c>
      <c r="AD77" s="810"/>
      <c r="AE77" s="810"/>
      <c r="AF77" s="624">
        <v>1100</v>
      </c>
    </row>
    <row r="78" spans="1:34" ht="15.75">
      <c r="A78" s="633"/>
      <c r="B78" s="634"/>
      <c r="C78" s="633"/>
      <c r="D78" s="544"/>
      <c r="E78" s="545"/>
      <c r="F78" s="649"/>
      <c r="G78" s="633" t="s">
        <v>129</v>
      </c>
      <c r="H78" s="636"/>
      <c r="I78" s="636"/>
      <c r="J78" s="549"/>
      <c r="K78" s="635"/>
      <c r="L78" s="633"/>
      <c r="M78" s="549"/>
      <c r="N78" s="592" t="s">
        <v>129</v>
      </c>
      <c r="O78" s="594" t="s">
        <v>129</v>
      </c>
      <c r="P78" s="743"/>
      <c r="Q78" s="431">
        <v>0.05</v>
      </c>
      <c r="R78" s="430">
        <v>5662</v>
      </c>
      <c r="S78" s="497">
        <v>286</v>
      </c>
      <c r="T78" s="751" t="s">
        <v>129</v>
      </c>
      <c r="U78" s="439">
        <v>38.82</v>
      </c>
      <c r="V78" s="636"/>
      <c r="W78" s="636"/>
      <c r="X78" s="439">
        <v>1.4000000000000001</v>
      </c>
      <c r="Y78" s="761" t="s">
        <v>129</v>
      </c>
      <c r="Z78" s="776"/>
      <c r="AA78" s="777"/>
      <c r="AB78" s="633"/>
      <c r="AC78" s="818" t="s">
        <v>129</v>
      </c>
      <c r="AD78" s="811"/>
      <c r="AE78" s="811"/>
      <c r="AF78" s="633"/>
    </row>
    <row r="79" spans="1:34" ht="31.5">
      <c r="A79" s="643">
        <v>1101</v>
      </c>
      <c r="B79" s="644"/>
      <c r="C79" s="644" t="s">
        <v>681</v>
      </c>
      <c r="D79" s="551">
        <v>20</v>
      </c>
      <c r="E79" s="545">
        <v>52000</v>
      </c>
      <c r="F79" s="640">
        <v>35</v>
      </c>
      <c r="G79" s="645" t="s">
        <v>129</v>
      </c>
      <c r="H79" s="636">
        <v>31</v>
      </c>
      <c r="I79" s="636">
        <v>42</v>
      </c>
      <c r="J79" s="549">
        <v>250</v>
      </c>
      <c r="K79" s="554">
        <v>40</v>
      </c>
      <c r="L79" s="562">
        <v>12</v>
      </c>
      <c r="M79" s="549">
        <v>7000</v>
      </c>
      <c r="N79" s="592">
        <v>0.25</v>
      </c>
      <c r="O79" s="594">
        <v>1.2</v>
      </c>
      <c r="P79" s="590">
        <v>22</v>
      </c>
      <c r="Q79" s="431">
        <v>0.05</v>
      </c>
      <c r="R79" s="430">
        <v>6854</v>
      </c>
      <c r="S79" s="175">
        <v>416</v>
      </c>
      <c r="T79" s="751">
        <v>4680</v>
      </c>
      <c r="U79" s="439">
        <v>36.072000000000003</v>
      </c>
      <c r="V79" s="636">
        <v>8.9142857142857146</v>
      </c>
      <c r="W79" s="636">
        <v>4.3920000000000003</v>
      </c>
      <c r="X79" s="439">
        <v>1.4000000000000001</v>
      </c>
      <c r="Y79" s="761">
        <v>13.306285714285714</v>
      </c>
      <c r="Z79" s="776">
        <v>35.228914285714289</v>
      </c>
      <c r="AA79" s="777"/>
      <c r="AB79" s="811"/>
      <c r="AC79" s="818">
        <v>554</v>
      </c>
      <c r="AD79" s="811" t="s">
        <v>633</v>
      </c>
      <c r="AE79" s="811">
        <v>1</v>
      </c>
      <c r="AF79" s="643">
        <v>1101</v>
      </c>
    </row>
    <row r="80" spans="1:34" ht="31.5">
      <c r="A80" s="643">
        <v>1102</v>
      </c>
      <c r="B80" s="644"/>
      <c r="C80" s="644" t="s">
        <v>682</v>
      </c>
      <c r="D80" s="551">
        <v>44</v>
      </c>
      <c r="E80" s="545">
        <v>78000</v>
      </c>
      <c r="F80" s="640">
        <v>54</v>
      </c>
      <c r="G80" s="645" t="s">
        <v>129</v>
      </c>
      <c r="H80" s="636">
        <v>48</v>
      </c>
      <c r="I80" s="636">
        <v>64</v>
      </c>
      <c r="J80" s="549">
        <v>250</v>
      </c>
      <c r="K80" s="554">
        <v>40</v>
      </c>
      <c r="L80" s="562">
        <v>12</v>
      </c>
      <c r="M80" s="549">
        <v>7000</v>
      </c>
      <c r="N80" s="592">
        <v>0.25</v>
      </c>
      <c r="O80" s="594">
        <v>1.1000000000000001</v>
      </c>
      <c r="P80" s="590">
        <v>32</v>
      </c>
      <c r="Q80" s="431">
        <v>0.05</v>
      </c>
      <c r="R80" s="430">
        <v>8269.5</v>
      </c>
      <c r="S80" s="497">
        <v>624</v>
      </c>
      <c r="T80" s="751">
        <v>6780</v>
      </c>
      <c r="U80" s="439">
        <v>35.104999999999997</v>
      </c>
      <c r="V80" s="636">
        <v>12.257142857142858</v>
      </c>
      <c r="W80" s="636">
        <v>9.6624000000000017</v>
      </c>
      <c r="X80" s="439">
        <v>1.4000000000000001</v>
      </c>
      <c r="Y80" s="761">
        <v>21.919542857142858</v>
      </c>
      <c r="Z80" s="776">
        <v>53.943497142857154</v>
      </c>
      <c r="AA80" s="777"/>
      <c r="AB80" s="811"/>
      <c r="AC80" s="818">
        <v>606</v>
      </c>
      <c r="AD80" s="811" t="s">
        <v>633</v>
      </c>
      <c r="AE80" s="811">
        <v>1</v>
      </c>
      <c r="AF80" s="643">
        <v>1102</v>
      </c>
    </row>
    <row r="81" spans="1:32" ht="15.75">
      <c r="A81" s="643">
        <v>1103</v>
      </c>
      <c r="B81" s="644"/>
      <c r="C81" s="644" t="s">
        <v>683</v>
      </c>
      <c r="D81" s="551">
        <v>50</v>
      </c>
      <c r="E81" s="545">
        <v>104000</v>
      </c>
      <c r="F81" s="640">
        <v>50</v>
      </c>
      <c r="G81" s="645" t="s">
        <v>129</v>
      </c>
      <c r="H81" s="636">
        <v>45</v>
      </c>
      <c r="I81" s="636">
        <v>60</v>
      </c>
      <c r="J81" s="549">
        <v>300</v>
      </c>
      <c r="K81" s="554">
        <v>40</v>
      </c>
      <c r="L81" s="562">
        <v>15</v>
      </c>
      <c r="M81" s="549">
        <v>10000</v>
      </c>
      <c r="N81" s="592">
        <v>0.25</v>
      </c>
      <c r="O81" s="594">
        <v>0.9</v>
      </c>
      <c r="P81" s="590">
        <v>48</v>
      </c>
      <c r="Q81" s="431">
        <v>0.05</v>
      </c>
      <c r="R81" s="430">
        <v>9461.5</v>
      </c>
      <c r="S81" s="175">
        <v>767</v>
      </c>
      <c r="T81" s="751">
        <v>7670</v>
      </c>
      <c r="U81" s="439">
        <v>39.335000000000001</v>
      </c>
      <c r="V81" s="636">
        <v>9.3600000000000012</v>
      </c>
      <c r="W81" s="636">
        <v>10.98</v>
      </c>
      <c r="X81" s="439">
        <v>1.4000000000000001</v>
      </c>
      <c r="Y81" s="761">
        <v>20.340000000000003</v>
      </c>
      <c r="Z81" s="776">
        <v>50.497333333333337</v>
      </c>
      <c r="AA81" s="777"/>
      <c r="AB81" s="811"/>
      <c r="AC81" s="818">
        <v>658</v>
      </c>
      <c r="AD81" s="811" t="s">
        <v>633</v>
      </c>
      <c r="AE81" s="811">
        <v>1</v>
      </c>
      <c r="AF81" s="643">
        <v>1103</v>
      </c>
    </row>
    <row r="82" spans="1:32" ht="15.75">
      <c r="A82" s="643">
        <v>1104</v>
      </c>
      <c r="B82" s="644"/>
      <c r="C82" s="644" t="s">
        <v>684</v>
      </c>
      <c r="D82" s="551">
        <v>75</v>
      </c>
      <c r="E82" s="545">
        <v>123000</v>
      </c>
      <c r="F82" s="640">
        <v>58</v>
      </c>
      <c r="G82" s="645" t="s">
        <v>129</v>
      </c>
      <c r="H82" s="636">
        <v>52</v>
      </c>
      <c r="I82" s="636">
        <v>67</v>
      </c>
      <c r="J82" s="549">
        <v>400</v>
      </c>
      <c r="K82" s="554">
        <v>40</v>
      </c>
      <c r="L82" s="562">
        <v>15</v>
      </c>
      <c r="M82" s="549">
        <v>10000</v>
      </c>
      <c r="N82" s="592">
        <v>0.1</v>
      </c>
      <c r="O82" s="594">
        <v>0.85</v>
      </c>
      <c r="P82" s="590">
        <v>59</v>
      </c>
      <c r="Q82" s="431">
        <v>0.02</v>
      </c>
      <c r="R82" s="430">
        <v>199.04444444444445</v>
      </c>
      <c r="S82" s="497">
        <v>819</v>
      </c>
      <c r="T82" s="751">
        <v>10141.799999999999</v>
      </c>
      <c r="U82" s="439">
        <v>1.5949629629629629</v>
      </c>
      <c r="V82" s="636">
        <v>10.455</v>
      </c>
      <c r="W82" s="636">
        <v>16.47</v>
      </c>
      <c r="X82" s="439">
        <v>0.56000000000000005</v>
      </c>
      <c r="Y82" s="761">
        <v>26.924999999999997</v>
      </c>
      <c r="Z82" s="776">
        <v>57.507450000000006</v>
      </c>
      <c r="AA82" s="777"/>
      <c r="AB82" s="811"/>
      <c r="AC82" s="818">
        <v>696</v>
      </c>
      <c r="AD82" s="811" t="s">
        <v>633</v>
      </c>
      <c r="AE82" s="811">
        <v>1</v>
      </c>
      <c r="AF82" s="643">
        <v>1104</v>
      </c>
    </row>
    <row r="83" spans="1:32" ht="15.75">
      <c r="A83" s="643">
        <v>1106</v>
      </c>
      <c r="B83" s="644"/>
      <c r="C83" s="644" t="s">
        <v>685</v>
      </c>
      <c r="D83" s="551">
        <v>90</v>
      </c>
      <c r="E83" s="545">
        <v>149000</v>
      </c>
      <c r="F83" s="640">
        <v>62</v>
      </c>
      <c r="G83" s="645" t="s">
        <v>129</v>
      </c>
      <c r="H83" s="636">
        <v>57</v>
      </c>
      <c r="I83" s="636">
        <v>71</v>
      </c>
      <c r="J83" s="549">
        <v>500</v>
      </c>
      <c r="K83" s="554">
        <v>40</v>
      </c>
      <c r="L83" s="562">
        <v>15</v>
      </c>
      <c r="M83" s="549">
        <v>10000</v>
      </c>
      <c r="N83" s="592">
        <v>0.1</v>
      </c>
      <c r="O83" s="594">
        <v>0.85</v>
      </c>
      <c r="P83" s="590">
        <v>63</v>
      </c>
      <c r="Q83" s="431"/>
      <c r="R83" s="430" t="s">
        <v>129</v>
      </c>
      <c r="S83" s="175">
        <v>150</v>
      </c>
      <c r="T83" s="751">
        <v>12063.4</v>
      </c>
      <c r="U83" s="439"/>
      <c r="V83" s="636">
        <v>12.664999999999999</v>
      </c>
      <c r="W83" s="636">
        <v>19.764000000000003</v>
      </c>
      <c r="X83" s="439"/>
      <c r="Y83" s="761">
        <v>32.429000000000002</v>
      </c>
      <c r="Z83" s="776">
        <v>62.211380000000013</v>
      </c>
      <c r="AA83" s="777"/>
      <c r="AB83" s="811"/>
      <c r="AC83" s="818">
        <v>748</v>
      </c>
      <c r="AD83" s="811" t="s">
        <v>633</v>
      </c>
      <c r="AE83" s="811">
        <v>1</v>
      </c>
      <c r="AF83" s="643">
        <v>1106</v>
      </c>
    </row>
    <row r="84" spans="1:32" ht="15.75">
      <c r="A84" s="643">
        <v>1105</v>
      </c>
      <c r="B84" s="644"/>
      <c r="C84" s="644" t="s">
        <v>442</v>
      </c>
      <c r="D84" s="551">
        <v>15</v>
      </c>
      <c r="E84" s="545">
        <v>25000</v>
      </c>
      <c r="F84" s="640">
        <v>19</v>
      </c>
      <c r="G84" s="645"/>
      <c r="H84" s="636">
        <v>17</v>
      </c>
      <c r="I84" s="636">
        <v>22</v>
      </c>
      <c r="J84" s="549">
        <v>200</v>
      </c>
      <c r="K84" s="554">
        <v>40</v>
      </c>
      <c r="L84" s="562">
        <v>15</v>
      </c>
      <c r="M84" s="549">
        <v>6000</v>
      </c>
      <c r="N84" s="592">
        <v>0.25</v>
      </c>
      <c r="O84" s="594">
        <v>0.95</v>
      </c>
      <c r="P84" s="590">
        <v>25</v>
      </c>
      <c r="Q84" s="429"/>
      <c r="R84" s="430" t="s">
        <v>129</v>
      </c>
      <c r="S84" s="175"/>
      <c r="T84" s="751">
        <v>1937.5</v>
      </c>
      <c r="U84" s="438"/>
      <c r="V84" s="636">
        <v>3.9583333333333335</v>
      </c>
      <c r="W84" s="636">
        <v>3.294</v>
      </c>
      <c r="X84" s="438"/>
      <c r="Y84" s="761">
        <v>7.2523333333333335</v>
      </c>
      <c r="Z84" s="776">
        <v>18.633816666666668</v>
      </c>
      <c r="AA84" s="777"/>
      <c r="AB84" s="811"/>
      <c r="AC84" s="818">
        <v>50</v>
      </c>
      <c r="AD84" s="811" t="s">
        <v>633</v>
      </c>
      <c r="AE84" s="811">
        <v>2</v>
      </c>
      <c r="AF84" s="643">
        <v>1105</v>
      </c>
    </row>
    <row r="85" spans="1:32" ht="15.75">
      <c r="A85" s="643"/>
      <c r="B85" s="644"/>
      <c r="C85" s="644"/>
      <c r="D85" s="551"/>
      <c r="E85" s="545"/>
      <c r="F85" s="640"/>
      <c r="G85" s="645"/>
      <c r="H85" s="636"/>
      <c r="I85" s="636"/>
      <c r="J85" s="549"/>
      <c r="K85" s="554"/>
      <c r="L85" s="562"/>
      <c r="M85" s="549"/>
      <c r="N85" s="592"/>
      <c r="O85" s="594"/>
      <c r="P85" s="590"/>
      <c r="Q85" s="431"/>
      <c r="R85" s="430" t="s">
        <v>129</v>
      </c>
      <c r="S85" s="496"/>
      <c r="T85" s="751"/>
      <c r="U85" s="439"/>
      <c r="V85" s="636"/>
      <c r="W85" s="636"/>
      <c r="X85" s="439"/>
      <c r="Y85" s="761"/>
      <c r="Z85" s="776"/>
      <c r="AA85" s="777"/>
      <c r="AB85" s="811"/>
      <c r="AC85" s="818"/>
      <c r="AD85" s="811"/>
      <c r="AE85" s="811"/>
      <c r="AF85" s="643"/>
    </row>
    <row r="86" spans="1:32" ht="15.75">
      <c r="A86" s="624">
        <v>1110</v>
      </c>
      <c r="B86" s="625"/>
      <c r="C86" s="626" t="s">
        <v>686</v>
      </c>
      <c r="D86" s="627"/>
      <c r="E86" s="628"/>
      <c r="F86" s="646"/>
      <c r="G86" s="630" t="s">
        <v>129</v>
      </c>
      <c r="H86" s="631"/>
      <c r="I86" s="631"/>
      <c r="J86" s="632"/>
      <c r="K86" s="632"/>
      <c r="L86" s="627"/>
      <c r="M86" s="632"/>
      <c r="N86" s="739" t="s">
        <v>129</v>
      </c>
      <c r="O86" s="744" t="s">
        <v>129</v>
      </c>
      <c r="P86" s="742"/>
      <c r="Q86" s="431">
        <v>0.05</v>
      </c>
      <c r="R86" s="430">
        <v>4089</v>
      </c>
      <c r="S86" s="175"/>
      <c r="T86" s="750" t="s">
        <v>129</v>
      </c>
      <c r="U86" s="439">
        <v>18.052</v>
      </c>
      <c r="V86" s="631"/>
      <c r="W86" s="631"/>
      <c r="X86" s="439">
        <v>1.4000000000000001</v>
      </c>
      <c r="Y86" s="763" t="s">
        <v>129</v>
      </c>
      <c r="Z86" s="774"/>
      <c r="AA86" s="775"/>
      <c r="AB86" s="810"/>
      <c r="AC86" s="817" t="s">
        <v>129</v>
      </c>
      <c r="AD86" s="810"/>
      <c r="AE86" s="810"/>
      <c r="AF86" s="624">
        <v>1110</v>
      </c>
    </row>
    <row r="87" spans="1:32" ht="15.75">
      <c r="A87" s="633"/>
      <c r="B87" s="634"/>
      <c r="C87" s="633"/>
      <c r="D87" s="544"/>
      <c r="E87" s="545"/>
      <c r="F87" s="649"/>
      <c r="G87" s="633" t="s">
        <v>129</v>
      </c>
      <c r="H87" s="636"/>
      <c r="I87" s="636"/>
      <c r="J87" s="549"/>
      <c r="K87" s="635"/>
      <c r="L87" s="633"/>
      <c r="M87" s="549"/>
      <c r="N87" s="592" t="s">
        <v>129</v>
      </c>
      <c r="O87" s="594" t="s">
        <v>129</v>
      </c>
      <c r="P87" s="743"/>
      <c r="Q87" s="431">
        <v>0.05</v>
      </c>
      <c r="R87" s="430">
        <v>6612</v>
      </c>
      <c r="S87" s="497">
        <v>195</v>
      </c>
      <c r="T87" s="751" t="s">
        <v>129</v>
      </c>
      <c r="U87" s="439">
        <v>28.975999999999999</v>
      </c>
      <c r="V87" s="636"/>
      <c r="W87" s="636"/>
      <c r="X87" s="439">
        <v>1.4000000000000001</v>
      </c>
      <c r="Y87" s="761" t="s">
        <v>129</v>
      </c>
      <c r="Z87" s="776"/>
      <c r="AA87" s="777"/>
      <c r="AB87" s="633"/>
      <c r="AC87" s="818" t="s">
        <v>129</v>
      </c>
      <c r="AD87" s="811"/>
      <c r="AE87" s="811"/>
      <c r="AF87" s="633"/>
    </row>
    <row r="88" spans="1:32" ht="31.5">
      <c r="A88" s="633">
        <v>1111</v>
      </c>
      <c r="B88" s="634"/>
      <c r="C88" s="542" t="s">
        <v>687</v>
      </c>
      <c r="D88" s="544">
        <v>13</v>
      </c>
      <c r="E88" s="545">
        <v>68000</v>
      </c>
      <c r="F88" s="640">
        <v>34</v>
      </c>
      <c r="G88" s="645" t="s">
        <v>129</v>
      </c>
      <c r="H88" s="636">
        <v>29</v>
      </c>
      <c r="I88" s="636">
        <v>42</v>
      </c>
      <c r="J88" s="549">
        <v>250</v>
      </c>
      <c r="K88" s="554">
        <v>100</v>
      </c>
      <c r="L88" s="562">
        <v>12</v>
      </c>
      <c r="M88" s="549">
        <v>7000</v>
      </c>
      <c r="N88" s="592">
        <v>0.25</v>
      </c>
      <c r="O88" s="594">
        <v>0.45</v>
      </c>
      <c r="P88" s="743">
        <v>11</v>
      </c>
      <c r="Q88" s="431">
        <v>0.05</v>
      </c>
      <c r="R88" s="430">
        <v>5438.5</v>
      </c>
      <c r="S88" s="175">
        <v>221</v>
      </c>
      <c r="T88" s="751">
        <v>5715</v>
      </c>
      <c r="U88" s="439">
        <v>22.614999999999998</v>
      </c>
      <c r="V88" s="636">
        <v>4.371428571428571</v>
      </c>
      <c r="W88" s="636">
        <v>3.7699999999999996</v>
      </c>
      <c r="X88" s="439">
        <v>1.4000000000000001</v>
      </c>
      <c r="Y88" s="761">
        <v>8.1414285714285697</v>
      </c>
      <c r="Z88" s="776">
        <v>34.101571428571425</v>
      </c>
      <c r="AA88" s="777"/>
      <c r="AB88" s="633">
        <v>13</v>
      </c>
      <c r="AC88" s="818">
        <v>586</v>
      </c>
      <c r="AD88" s="811" t="s">
        <v>633</v>
      </c>
      <c r="AE88" s="811">
        <v>5</v>
      </c>
      <c r="AF88" s="633">
        <v>1111</v>
      </c>
    </row>
    <row r="89" spans="1:32" ht="31.5">
      <c r="A89" s="643">
        <v>1112</v>
      </c>
      <c r="B89" s="644"/>
      <c r="C89" s="542" t="s">
        <v>688</v>
      </c>
      <c r="D89" s="551">
        <v>18</v>
      </c>
      <c r="E89" s="545">
        <v>74000</v>
      </c>
      <c r="F89" s="640">
        <v>38</v>
      </c>
      <c r="G89" s="645" t="s">
        <v>129</v>
      </c>
      <c r="H89" s="636">
        <v>33</v>
      </c>
      <c r="I89" s="636">
        <v>47</v>
      </c>
      <c r="J89" s="549">
        <v>250</v>
      </c>
      <c r="K89" s="554">
        <v>100</v>
      </c>
      <c r="L89" s="562">
        <v>12</v>
      </c>
      <c r="M89" s="549">
        <v>7000</v>
      </c>
      <c r="N89" s="592">
        <v>0.25</v>
      </c>
      <c r="O89" s="594">
        <v>0.45</v>
      </c>
      <c r="P89" s="590">
        <v>13</v>
      </c>
      <c r="Q89" s="431">
        <v>0.05</v>
      </c>
      <c r="R89" s="430">
        <v>8120.5</v>
      </c>
      <c r="S89" s="497">
        <v>221</v>
      </c>
      <c r="T89" s="751">
        <v>6195</v>
      </c>
      <c r="U89" s="439">
        <v>27.724285714285713</v>
      </c>
      <c r="V89" s="636">
        <v>4.7571428571428571</v>
      </c>
      <c r="W89" s="636">
        <v>5.22</v>
      </c>
      <c r="X89" s="439">
        <v>1.4000000000000001</v>
      </c>
      <c r="Y89" s="761">
        <v>9.9771428571428569</v>
      </c>
      <c r="Z89" s="776">
        <v>38.232857142857149</v>
      </c>
      <c r="AA89" s="777"/>
      <c r="AB89" s="811">
        <v>15</v>
      </c>
      <c r="AC89" s="818">
        <v>598</v>
      </c>
      <c r="AD89" s="811" t="s">
        <v>633</v>
      </c>
      <c r="AE89" s="811">
        <v>5</v>
      </c>
      <c r="AF89" s="643">
        <v>1112</v>
      </c>
    </row>
    <row r="90" spans="1:32" ht="31.5">
      <c r="A90" s="643">
        <v>1113</v>
      </c>
      <c r="B90" s="644"/>
      <c r="C90" s="542" t="s">
        <v>689</v>
      </c>
      <c r="D90" s="551">
        <v>25</v>
      </c>
      <c r="E90" s="545">
        <v>105000</v>
      </c>
      <c r="F90" s="640">
        <v>52</v>
      </c>
      <c r="G90" s="645" t="s">
        <v>129</v>
      </c>
      <c r="H90" s="636">
        <v>45</v>
      </c>
      <c r="I90" s="636">
        <v>65</v>
      </c>
      <c r="J90" s="549">
        <v>250</v>
      </c>
      <c r="K90" s="554">
        <v>100</v>
      </c>
      <c r="L90" s="562">
        <v>12</v>
      </c>
      <c r="M90" s="549">
        <v>7000</v>
      </c>
      <c r="N90" s="592">
        <v>0.25</v>
      </c>
      <c r="O90" s="594">
        <v>0.4</v>
      </c>
      <c r="P90" s="590">
        <v>15</v>
      </c>
      <c r="Q90" s="431">
        <v>0.05</v>
      </c>
      <c r="R90" s="430">
        <v>2011.5</v>
      </c>
      <c r="S90" s="175">
        <v>260</v>
      </c>
      <c r="T90" s="751">
        <v>8550</v>
      </c>
      <c r="U90" s="439">
        <v>11.202500000000001</v>
      </c>
      <c r="V90" s="636">
        <v>6</v>
      </c>
      <c r="W90" s="636">
        <v>7.2499999999999991</v>
      </c>
      <c r="X90" s="439">
        <v>1.4000000000000001</v>
      </c>
      <c r="Y90" s="761">
        <v>13.25</v>
      </c>
      <c r="Z90" s="776">
        <v>52.195000000000007</v>
      </c>
      <c r="AA90" s="777"/>
      <c r="AB90" s="811">
        <v>25</v>
      </c>
      <c r="AC90" s="818">
        <v>660</v>
      </c>
      <c r="AD90" s="811" t="s">
        <v>633</v>
      </c>
      <c r="AE90" s="811">
        <v>5</v>
      </c>
      <c r="AF90" s="643">
        <v>1113</v>
      </c>
    </row>
    <row r="91" spans="1:32" ht="31.5">
      <c r="A91" s="643">
        <v>1114</v>
      </c>
      <c r="B91" s="644"/>
      <c r="C91" s="542" t="s">
        <v>690</v>
      </c>
      <c r="D91" s="551">
        <v>58</v>
      </c>
      <c r="E91" s="545">
        <v>137000</v>
      </c>
      <c r="F91" s="640">
        <v>67</v>
      </c>
      <c r="G91" s="645" t="s">
        <v>129</v>
      </c>
      <c r="H91" s="636">
        <v>58</v>
      </c>
      <c r="I91" s="636">
        <v>81</v>
      </c>
      <c r="J91" s="549">
        <v>300</v>
      </c>
      <c r="K91" s="554">
        <v>100</v>
      </c>
      <c r="L91" s="562">
        <v>12</v>
      </c>
      <c r="M91" s="549">
        <v>10000</v>
      </c>
      <c r="N91" s="592">
        <v>0.25</v>
      </c>
      <c r="O91" s="594">
        <v>0.4</v>
      </c>
      <c r="P91" s="590">
        <v>51</v>
      </c>
      <c r="Q91" s="431"/>
      <c r="R91" s="430" t="s">
        <v>129</v>
      </c>
      <c r="S91" s="497">
        <v>325</v>
      </c>
      <c r="T91" s="751">
        <v>11490</v>
      </c>
      <c r="U91" s="439"/>
      <c r="V91" s="636">
        <v>5.48</v>
      </c>
      <c r="W91" s="636">
        <v>16.82</v>
      </c>
      <c r="X91" s="439"/>
      <c r="Y91" s="761">
        <v>22.3</v>
      </c>
      <c r="Z91" s="776">
        <v>66.66</v>
      </c>
      <c r="AA91" s="777"/>
      <c r="AB91" s="811">
        <v>58</v>
      </c>
      <c r="AC91" s="818">
        <v>724</v>
      </c>
      <c r="AD91" s="811" t="s">
        <v>633</v>
      </c>
      <c r="AE91" s="811">
        <v>5</v>
      </c>
      <c r="AF91" s="643">
        <v>1114</v>
      </c>
    </row>
    <row r="92" spans="1:32" ht="31.5">
      <c r="A92" s="643">
        <v>1115</v>
      </c>
      <c r="B92" s="644"/>
      <c r="C92" s="542" t="s">
        <v>691</v>
      </c>
      <c r="D92" s="551">
        <v>20</v>
      </c>
      <c r="E92" s="545">
        <v>91000</v>
      </c>
      <c r="F92" s="640">
        <v>45</v>
      </c>
      <c r="G92" s="645" t="s">
        <v>129</v>
      </c>
      <c r="H92" s="636">
        <v>38</v>
      </c>
      <c r="I92" s="636">
        <v>55</v>
      </c>
      <c r="J92" s="549">
        <v>250</v>
      </c>
      <c r="K92" s="554">
        <v>100</v>
      </c>
      <c r="L92" s="562">
        <v>12</v>
      </c>
      <c r="M92" s="549">
        <v>7000</v>
      </c>
      <c r="N92" s="592">
        <v>0.25</v>
      </c>
      <c r="O92" s="594">
        <v>0.4</v>
      </c>
      <c r="P92" s="590">
        <v>7</v>
      </c>
      <c r="Q92" s="429"/>
      <c r="R92" s="430" t="s">
        <v>129</v>
      </c>
      <c r="S92" s="175">
        <v>117</v>
      </c>
      <c r="T92" s="751">
        <v>7380</v>
      </c>
      <c r="U92" s="438"/>
      <c r="V92" s="636">
        <v>5.2</v>
      </c>
      <c r="W92" s="636">
        <v>5.8</v>
      </c>
      <c r="X92" s="438"/>
      <c r="Y92" s="761">
        <v>11</v>
      </c>
      <c r="Z92" s="776">
        <v>44.572000000000003</v>
      </c>
      <c r="AA92" s="777"/>
      <c r="AB92" s="811">
        <v>20</v>
      </c>
      <c r="AC92" s="818">
        <v>632</v>
      </c>
      <c r="AD92" s="811" t="s">
        <v>633</v>
      </c>
      <c r="AE92" s="811">
        <v>5</v>
      </c>
      <c r="AF92" s="643">
        <v>1115</v>
      </c>
    </row>
    <row r="93" spans="1:32" ht="31.5">
      <c r="A93" s="643">
        <v>1119</v>
      </c>
      <c r="B93" s="644"/>
      <c r="C93" s="542" t="s">
        <v>692</v>
      </c>
      <c r="D93" s="551">
        <v>15</v>
      </c>
      <c r="E93" s="545">
        <v>32000</v>
      </c>
      <c r="F93" s="640">
        <v>23</v>
      </c>
      <c r="G93" s="645" t="s">
        <v>129</v>
      </c>
      <c r="H93" s="636">
        <v>20</v>
      </c>
      <c r="I93" s="636">
        <v>28</v>
      </c>
      <c r="J93" s="549">
        <v>200</v>
      </c>
      <c r="K93" s="554">
        <v>100</v>
      </c>
      <c r="L93" s="562">
        <v>15</v>
      </c>
      <c r="M93" s="549">
        <v>6000</v>
      </c>
      <c r="N93" s="592">
        <v>0.25</v>
      </c>
      <c r="O93" s="594">
        <v>0.6</v>
      </c>
      <c r="P93" s="590">
        <v>25</v>
      </c>
      <c r="Q93" s="431"/>
      <c r="R93" s="430" t="s">
        <v>129</v>
      </c>
      <c r="S93" s="497">
        <v>156</v>
      </c>
      <c r="T93" s="751">
        <v>2625</v>
      </c>
      <c r="U93" s="439"/>
      <c r="V93" s="636">
        <v>3.1999999999999997</v>
      </c>
      <c r="W93" s="636">
        <v>4.3499999999999996</v>
      </c>
      <c r="X93" s="439"/>
      <c r="Y93" s="761">
        <v>7.5499999999999989</v>
      </c>
      <c r="Z93" s="776">
        <v>22.7425</v>
      </c>
      <c r="AA93" s="777"/>
      <c r="AB93" s="811"/>
      <c r="AC93" s="818">
        <v>514</v>
      </c>
      <c r="AD93" s="811" t="s">
        <v>633</v>
      </c>
      <c r="AE93" s="811">
        <v>5</v>
      </c>
      <c r="AF93" s="643">
        <v>1119</v>
      </c>
    </row>
    <row r="94" spans="1:32" ht="15.75">
      <c r="A94" s="643"/>
      <c r="B94" s="644"/>
      <c r="C94" s="644"/>
      <c r="D94" s="551"/>
      <c r="E94" s="545"/>
      <c r="F94" s="552"/>
      <c r="G94" s="645"/>
      <c r="H94" s="636"/>
      <c r="I94" s="636"/>
      <c r="J94" s="549"/>
      <c r="K94" s="554"/>
      <c r="L94" s="562"/>
      <c r="M94" s="549"/>
      <c r="N94" s="592"/>
      <c r="O94" s="594"/>
      <c r="P94" s="590"/>
      <c r="Q94" s="431">
        <v>0.5</v>
      </c>
      <c r="R94" s="430">
        <v>774.3</v>
      </c>
      <c r="S94" s="175">
        <v>234</v>
      </c>
      <c r="T94" s="751"/>
      <c r="U94" s="440">
        <v>41.083999999999996</v>
      </c>
      <c r="V94" s="636"/>
      <c r="W94" s="636"/>
      <c r="X94" s="440">
        <v>14</v>
      </c>
      <c r="Y94" s="761"/>
      <c r="Z94" s="776"/>
      <c r="AA94" s="781"/>
      <c r="AB94" s="811"/>
      <c r="AC94" s="818"/>
      <c r="AD94" s="811"/>
      <c r="AE94" s="811"/>
      <c r="AF94" s="643"/>
    </row>
    <row r="95" spans="1:32" ht="31.5">
      <c r="A95" s="624">
        <v>1120</v>
      </c>
      <c r="B95" s="625"/>
      <c r="C95" s="626" t="s">
        <v>693</v>
      </c>
      <c r="D95" s="627"/>
      <c r="E95" s="628"/>
      <c r="F95" s="629"/>
      <c r="G95" s="630" t="s">
        <v>129</v>
      </c>
      <c r="H95" s="631"/>
      <c r="I95" s="631"/>
      <c r="J95" s="632"/>
      <c r="K95" s="632"/>
      <c r="L95" s="627"/>
      <c r="M95" s="632"/>
      <c r="N95" s="739" t="s">
        <v>129</v>
      </c>
      <c r="O95" s="744" t="s">
        <v>129</v>
      </c>
      <c r="P95" s="742"/>
      <c r="Q95" s="431">
        <v>0.5</v>
      </c>
      <c r="R95" s="430">
        <v>1348.5</v>
      </c>
      <c r="S95" s="497">
        <v>234</v>
      </c>
      <c r="T95" s="750" t="s">
        <v>129</v>
      </c>
      <c r="U95" s="440">
        <v>46.985714285714288</v>
      </c>
      <c r="V95" s="631"/>
      <c r="W95" s="631"/>
      <c r="X95" s="440">
        <v>14</v>
      </c>
      <c r="Y95" s="763" t="s">
        <v>129</v>
      </c>
      <c r="Z95" s="774"/>
      <c r="AA95" s="775"/>
      <c r="AB95" s="810"/>
      <c r="AC95" s="817" t="s">
        <v>129</v>
      </c>
      <c r="AD95" s="810"/>
      <c r="AE95" s="810"/>
      <c r="AF95" s="624">
        <v>1120</v>
      </c>
    </row>
    <row r="96" spans="1:32" ht="15.75">
      <c r="A96" s="633"/>
      <c r="B96" s="634"/>
      <c r="C96" s="633"/>
      <c r="D96" s="544"/>
      <c r="E96" s="545"/>
      <c r="F96" s="546"/>
      <c r="G96" s="633" t="s">
        <v>129</v>
      </c>
      <c r="H96" s="636"/>
      <c r="I96" s="636"/>
      <c r="J96" s="549"/>
      <c r="K96" s="635"/>
      <c r="L96" s="633"/>
      <c r="M96" s="549"/>
      <c r="N96" s="592" t="s">
        <v>129</v>
      </c>
      <c r="O96" s="594" t="s">
        <v>129</v>
      </c>
      <c r="P96" s="743"/>
      <c r="Q96" s="431">
        <v>0.5</v>
      </c>
      <c r="R96" s="430">
        <v>1827</v>
      </c>
      <c r="S96" s="175">
        <v>117</v>
      </c>
      <c r="T96" s="751" t="s">
        <v>129</v>
      </c>
      <c r="U96" s="440">
        <v>53.35</v>
      </c>
      <c r="V96" s="636"/>
      <c r="W96" s="636"/>
      <c r="X96" s="440">
        <v>14</v>
      </c>
      <c r="Y96" s="761" t="s">
        <v>129</v>
      </c>
      <c r="Z96" s="776"/>
      <c r="AA96" s="777"/>
      <c r="AB96" s="633"/>
      <c r="AC96" s="818" t="s">
        <v>129</v>
      </c>
      <c r="AD96" s="811"/>
      <c r="AE96" s="811"/>
      <c r="AF96" s="633"/>
    </row>
    <row r="97" spans="1:32" ht="31.5">
      <c r="A97" s="643">
        <v>1121</v>
      </c>
      <c r="B97" s="644"/>
      <c r="C97" s="644" t="s">
        <v>694</v>
      </c>
      <c r="D97" s="559">
        <v>33</v>
      </c>
      <c r="E97" s="545">
        <v>12500</v>
      </c>
      <c r="F97" s="546">
        <v>33</v>
      </c>
      <c r="G97" s="653">
        <v>99</v>
      </c>
      <c r="H97" s="654">
        <v>89</v>
      </c>
      <c r="I97" s="654">
        <v>116</v>
      </c>
      <c r="J97" s="561">
        <v>25</v>
      </c>
      <c r="K97" s="554">
        <v>60</v>
      </c>
      <c r="L97" s="562">
        <v>12</v>
      </c>
      <c r="M97" s="561">
        <v>700</v>
      </c>
      <c r="N97" s="592">
        <v>0.25</v>
      </c>
      <c r="O97" s="594">
        <v>1.85</v>
      </c>
      <c r="P97" s="590">
        <v>15</v>
      </c>
      <c r="Q97" s="431">
        <v>0.25</v>
      </c>
      <c r="R97" s="430">
        <v>2871</v>
      </c>
      <c r="S97" s="497">
        <v>130</v>
      </c>
      <c r="T97" s="751">
        <v>1162.5</v>
      </c>
      <c r="U97" s="440">
        <v>59.036363636363639</v>
      </c>
      <c r="V97" s="654">
        <v>33.035714285714285</v>
      </c>
      <c r="W97" s="654">
        <v>10.5</v>
      </c>
      <c r="X97" s="440">
        <v>7</v>
      </c>
      <c r="Y97" s="764">
        <v>43.535714285714285</v>
      </c>
      <c r="Z97" s="776">
        <v>32.682964285714284</v>
      </c>
      <c r="AA97" s="778">
        <v>99.039285714285711</v>
      </c>
      <c r="AB97" s="812">
        <v>6.6</v>
      </c>
      <c r="AC97" s="818">
        <v>25</v>
      </c>
      <c r="AD97" s="811" t="s">
        <v>667</v>
      </c>
      <c r="AE97" s="811">
        <v>2</v>
      </c>
      <c r="AF97" s="643">
        <v>1121</v>
      </c>
    </row>
    <row r="98" spans="1:32" ht="31.5">
      <c r="A98" s="643">
        <v>1122</v>
      </c>
      <c r="B98" s="644"/>
      <c r="C98" s="644" t="s">
        <v>695</v>
      </c>
      <c r="D98" s="559">
        <v>50</v>
      </c>
      <c r="E98" s="545">
        <v>22000</v>
      </c>
      <c r="F98" s="546">
        <v>56</v>
      </c>
      <c r="G98" s="653">
        <v>115</v>
      </c>
      <c r="H98" s="654">
        <v>101</v>
      </c>
      <c r="I98" s="654">
        <v>133</v>
      </c>
      <c r="J98" s="561">
        <v>35</v>
      </c>
      <c r="K98" s="554">
        <v>60</v>
      </c>
      <c r="L98" s="562">
        <v>12</v>
      </c>
      <c r="M98" s="561">
        <v>1000</v>
      </c>
      <c r="N98" s="592">
        <v>0.25</v>
      </c>
      <c r="O98" s="594">
        <v>1.7</v>
      </c>
      <c r="P98" s="590">
        <v>17</v>
      </c>
      <c r="Q98" s="431">
        <v>0.25</v>
      </c>
      <c r="R98" s="430">
        <v>3393</v>
      </c>
      <c r="T98" s="751">
        <v>1905</v>
      </c>
      <c r="U98" s="440">
        <v>55.085714285714289</v>
      </c>
      <c r="V98" s="654">
        <v>37.4</v>
      </c>
      <c r="W98" s="654">
        <v>10.5</v>
      </c>
      <c r="X98" s="440">
        <v>7</v>
      </c>
      <c r="Y98" s="764">
        <v>47.9</v>
      </c>
      <c r="Z98" s="776">
        <v>56.280714285714296</v>
      </c>
      <c r="AA98" s="778">
        <v>112.56142857142858</v>
      </c>
      <c r="AB98" s="812">
        <v>10</v>
      </c>
      <c r="AC98" s="818">
        <v>44</v>
      </c>
      <c r="AD98" s="811" t="s">
        <v>667</v>
      </c>
      <c r="AE98" s="811">
        <v>2</v>
      </c>
      <c r="AF98" s="643">
        <v>1122</v>
      </c>
    </row>
    <row r="99" spans="1:32" ht="31.5">
      <c r="A99" s="643">
        <v>1123</v>
      </c>
      <c r="B99" s="644" t="s">
        <v>411</v>
      </c>
      <c r="C99" s="644" t="s">
        <v>696</v>
      </c>
      <c r="D99" s="559">
        <v>50</v>
      </c>
      <c r="E99" s="545">
        <v>25000</v>
      </c>
      <c r="F99" s="546">
        <v>57</v>
      </c>
      <c r="G99" s="653">
        <v>115</v>
      </c>
      <c r="H99" s="654">
        <v>102</v>
      </c>
      <c r="I99" s="654">
        <v>134</v>
      </c>
      <c r="J99" s="561">
        <v>40</v>
      </c>
      <c r="K99" s="554">
        <v>60</v>
      </c>
      <c r="L99" s="562">
        <v>12</v>
      </c>
      <c r="M99" s="561">
        <v>1000</v>
      </c>
      <c r="N99" s="592">
        <v>0.25</v>
      </c>
      <c r="O99" s="594">
        <v>1.6</v>
      </c>
      <c r="P99" s="590">
        <v>17</v>
      </c>
      <c r="Q99" s="431">
        <v>0.05</v>
      </c>
      <c r="R99" s="430">
        <v>626.4</v>
      </c>
      <c r="S99" s="496"/>
      <c r="T99" s="751">
        <v>2130</v>
      </c>
      <c r="U99" s="439">
        <v>7.8579999999999997</v>
      </c>
      <c r="V99" s="654">
        <v>40</v>
      </c>
      <c r="W99" s="654">
        <v>10.5</v>
      </c>
      <c r="X99" s="439">
        <v>1.4000000000000001</v>
      </c>
      <c r="Y99" s="764">
        <v>50.5</v>
      </c>
      <c r="Z99" s="776">
        <v>57.062500000000007</v>
      </c>
      <c r="AA99" s="778">
        <v>114.12500000000001</v>
      </c>
      <c r="AB99" s="812">
        <v>10</v>
      </c>
      <c r="AC99" s="818">
        <v>50</v>
      </c>
      <c r="AD99" s="811" t="s">
        <v>667</v>
      </c>
      <c r="AE99" s="811">
        <v>2</v>
      </c>
      <c r="AF99" s="643">
        <v>1123</v>
      </c>
    </row>
    <row r="100" spans="1:32" ht="47.25">
      <c r="A100" s="643">
        <v>1130</v>
      </c>
      <c r="B100" s="644" t="s">
        <v>411</v>
      </c>
      <c r="C100" s="644" t="s">
        <v>697</v>
      </c>
      <c r="D100" s="559">
        <v>80</v>
      </c>
      <c r="E100" s="545">
        <v>36000</v>
      </c>
      <c r="F100" s="546">
        <v>88</v>
      </c>
      <c r="G100" s="653">
        <v>110</v>
      </c>
      <c r="H100" s="654">
        <v>98</v>
      </c>
      <c r="I100" s="654">
        <v>130</v>
      </c>
      <c r="J100" s="561">
        <v>55</v>
      </c>
      <c r="K100" s="554">
        <v>60</v>
      </c>
      <c r="L100" s="562">
        <v>12</v>
      </c>
      <c r="M100" s="561">
        <v>1300</v>
      </c>
      <c r="N100" s="592">
        <v>0.25</v>
      </c>
      <c r="O100" s="594">
        <v>1.35</v>
      </c>
      <c r="P100" s="590">
        <v>20</v>
      </c>
      <c r="Q100" s="431">
        <v>0.05</v>
      </c>
      <c r="R100" s="430">
        <v>704.7</v>
      </c>
      <c r="S100" s="124"/>
      <c r="T100" s="751">
        <v>3000</v>
      </c>
      <c r="U100" s="439">
        <v>7.5726666666666675</v>
      </c>
      <c r="V100" s="654">
        <v>37.384615384615387</v>
      </c>
      <c r="W100" s="654">
        <v>7.875</v>
      </c>
      <c r="X100" s="439">
        <v>1.4000000000000001</v>
      </c>
      <c r="Y100" s="764">
        <v>45.259615384615387</v>
      </c>
      <c r="Z100" s="776">
        <v>87.828461538461539</v>
      </c>
      <c r="AA100" s="778">
        <v>109.78557692307693</v>
      </c>
      <c r="AB100" s="812">
        <v>12</v>
      </c>
      <c r="AC100" s="818">
        <v>72</v>
      </c>
      <c r="AD100" s="811" t="s">
        <v>667</v>
      </c>
      <c r="AE100" s="811">
        <v>2</v>
      </c>
      <c r="AF100" s="643">
        <v>1130</v>
      </c>
    </row>
    <row r="101" spans="1:32" ht="47.25">
      <c r="A101" s="643">
        <v>1131</v>
      </c>
      <c r="B101" s="644" t="s">
        <v>411</v>
      </c>
      <c r="C101" s="644" t="s">
        <v>698</v>
      </c>
      <c r="D101" s="559">
        <v>100</v>
      </c>
      <c r="E101" s="545">
        <v>44000</v>
      </c>
      <c r="F101" s="546">
        <v>110</v>
      </c>
      <c r="G101" s="653">
        <v>110</v>
      </c>
      <c r="H101" s="654">
        <v>97</v>
      </c>
      <c r="I101" s="654">
        <v>128</v>
      </c>
      <c r="J101" s="561">
        <v>70</v>
      </c>
      <c r="K101" s="554">
        <v>60</v>
      </c>
      <c r="L101" s="562">
        <v>12</v>
      </c>
      <c r="M101" s="561">
        <v>1800</v>
      </c>
      <c r="N101" s="592">
        <v>0.25</v>
      </c>
      <c r="O101" s="594">
        <v>1.45</v>
      </c>
      <c r="P101" s="590">
        <v>25</v>
      </c>
      <c r="Q101" s="431">
        <v>0.05</v>
      </c>
      <c r="R101" s="430">
        <v>974</v>
      </c>
      <c r="S101" s="497">
        <v>6</v>
      </c>
      <c r="T101" s="751">
        <v>3675</v>
      </c>
      <c r="U101" s="439">
        <v>7.4950000000000001</v>
      </c>
      <c r="V101" s="654">
        <v>35.444444444444443</v>
      </c>
      <c r="W101" s="654">
        <v>10.5</v>
      </c>
      <c r="X101" s="439">
        <v>1.4000000000000001</v>
      </c>
      <c r="Y101" s="764">
        <v>45.944444444444443</v>
      </c>
      <c r="Z101" s="776">
        <v>108.28888888888889</v>
      </c>
      <c r="AA101" s="778">
        <v>108.28888888888889</v>
      </c>
      <c r="AB101" s="812">
        <v>20</v>
      </c>
      <c r="AC101" s="818">
        <v>88</v>
      </c>
      <c r="AD101" s="811" t="s">
        <v>667</v>
      </c>
      <c r="AE101" s="811">
        <v>2</v>
      </c>
      <c r="AF101" s="643">
        <v>1131</v>
      </c>
    </row>
    <row r="102" spans="1:32" ht="31.5">
      <c r="A102" s="643">
        <v>1124</v>
      </c>
      <c r="B102" s="644"/>
      <c r="C102" s="644" t="s">
        <v>699</v>
      </c>
      <c r="D102" s="551">
        <v>5</v>
      </c>
      <c r="E102" s="545">
        <v>8200</v>
      </c>
      <c r="F102" s="648">
        <v>17</v>
      </c>
      <c r="G102" s="655" t="s">
        <v>129</v>
      </c>
      <c r="H102" s="636">
        <v>16</v>
      </c>
      <c r="I102" s="636">
        <v>20</v>
      </c>
      <c r="J102" s="549">
        <v>100</v>
      </c>
      <c r="K102" s="554">
        <v>80</v>
      </c>
      <c r="L102" s="562">
        <v>12</v>
      </c>
      <c r="M102" s="549">
        <v>2500</v>
      </c>
      <c r="N102" s="592">
        <v>0.25</v>
      </c>
      <c r="O102" s="594">
        <v>1.45</v>
      </c>
      <c r="P102" s="590">
        <v>9</v>
      </c>
      <c r="Q102" s="431">
        <v>0.05</v>
      </c>
      <c r="R102" s="430">
        <v>1412.3</v>
      </c>
      <c r="S102" s="175">
        <v>6</v>
      </c>
      <c r="T102" s="751">
        <v>760</v>
      </c>
      <c r="U102" s="439">
        <v>7.7851999999999997</v>
      </c>
      <c r="V102" s="636">
        <v>4.7559999999999993</v>
      </c>
      <c r="W102" s="636">
        <v>3.5</v>
      </c>
      <c r="X102" s="439">
        <v>1.4000000000000001</v>
      </c>
      <c r="Y102" s="761">
        <v>8.2560000000000002</v>
      </c>
      <c r="Z102" s="776">
        <v>17.441600000000001</v>
      </c>
      <c r="AA102" s="782"/>
      <c r="AB102" s="811">
        <v>5</v>
      </c>
      <c r="AC102" s="818">
        <v>26.4</v>
      </c>
      <c r="AD102" s="811" t="s">
        <v>633</v>
      </c>
      <c r="AE102" s="811">
        <v>2</v>
      </c>
      <c r="AF102" s="643">
        <v>1124</v>
      </c>
    </row>
    <row r="103" spans="1:32" ht="15.75">
      <c r="A103" s="643">
        <v>1125</v>
      </c>
      <c r="B103" s="644"/>
      <c r="C103" s="644" t="s">
        <v>700</v>
      </c>
      <c r="D103" s="551">
        <v>6</v>
      </c>
      <c r="E103" s="545">
        <v>8200</v>
      </c>
      <c r="F103" s="648">
        <v>15</v>
      </c>
      <c r="G103" s="655" t="s">
        <v>129</v>
      </c>
      <c r="H103" s="636">
        <v>13</v>
      </c>
      <c r="I103" s="636">
        <v>17</v>
      </c>
      <c r="J103" s="549">
        <v>150</v>
      </c>
      <c r="K103" s="554">
        <v>60</v>
      </c>
      <c r="L103" s="562">
        <v>12</v>
      </c>
      <c r="M103" s="549">
        <v>4000</v>
      </c>
      <c r="N103" s="592">
        <v>0.25</v>
      </c>
      <c r="O103" s="594">
        <v>1.75</v>
      </c>
      <c r="P103" s="590">
        <v>12</v>
      </c>
      <c r="Q103" s="431">
        <v>0.05</v>
      </c>
      <c r="R103" s="430">
        <v>643.79999999999995</v>
      </c>
      <c r="S103" s="497">
        <v>6</v>
      </c>
      <c r="T103" s="751">
        <v>1015</v>
      </c>
      <c r="U103" s="439">
        <v>6.6966666666666663</v>
      </c>
      <c r="V103" s="636">
        <v>3.5874999999999995</v>
      </c>
      <c r="W103" s="636">
        <v>3.15</v>
      </c>
      <c r="X103" s="439">
        <v>1.4000000000000001</v>
      </c>
      <c r="Y103" s="761">
        <v>6.7374999999999989</v>
      </c>
      <c r="Z103" s="776">
        <v>14.854583333333334</v>
      </c>
      <c r="AA103" s="777"/>
      <c r="AB103" s="811">
        <v>6</v>
      </c>
      <c r="AC103" s="818">
        <v>236.4</v>
      </c>
      <c r="AD103" s="811" t="s">
        <v>633</v>
      </c>
      <c r="AE103" s="811">
        <v>2</v>
      </c>
      <c r="AF103" s="643">
        <v>1125</v>
      </c>
    </row>
    <row r="104" spans="1:32" ht="15.75">
      <c r="A104" s="643">
        <v>1126</v>
      </c>
      <c r="B104" s="644"/>
      <c r="C104" s="644" t="s">
        <v>701</v>
      </c>
      <c r="D104" s="551">
        <v>8</v>
      </c>
      <c r="E104" s="545">
        <v>25000</v>
      </c>
      <c r="F104" s="648">
        <v>28</v>
      </c>
      <c r="G104" s="655" t="s">
        <v>129</v>
      </c>
      <c r="H104" s="636">
        <v>25</v>
      </c>
      <c r="I104" s="636">
        <v>33</v>
      </c>
      <c r="J104" s="549">
        <v>200</v>
      </c>
      <c r="K104" s="554">
        <v>60</v>
      </c>
      <c r="L104" s="562">
        <v>12</v>
      </c>
      <c r="M104" s="549">
        <v>4000</v>
      </c>
      <c r="N104" s="592">
        <v>0.1</v>
      </c>
      <c r="O104" s="594">
        <v>1.25</v>
      </c>
      <c r="P104" s="590">
        <v>18</v>
      </c>
      <c r="Q104" s="431">
        <v>0.05</v>
      </c>
      <c r="R104" s="430">
        <v>635.1</v>
      </c>
      <c r="S104" s="175">
        <v>6</v>
      </c>
      <c r="T104" s="751">
        <v>2655</v>
      </c>
      <c r="U104" s="439">
        <v>5.3980000000000006</v>
      </c>
      <c r="V104" s="636">
        <v>7.8125</v>
      </c>
      <c r="W104" s="636">
        <v>4.2</v>
      </c>
      <c r="X104" s="439">
        <v>1.4000000000000001</v>
      </c>
      <c r="Y104" s="761">
        <v>12.012499999999999</v>
      </c>
      <c r="Z104" s="776">
        <v>27.816250000000004</v>
      </c>
      <c r="AA104" s="777"/>
      <c r="AB104" s="811">
        <v>8</v>
      </c>
      <c r="AC104" s="818">
        <v>270</v>
      </c>
      <c r="AD104" s="811" t="s">
        <v>633</v>
      </c>
      <c r="AE104" s="811">
        <v>2</v>
      </c>
      <c r="AF104" s="643">
        <v>1126</v>
      </c>
    </row>
    <row r="105" spans="1:32" ht="31.5">
      <c r="A105" s="643">
        <v>1127</v>
      </c>
      <c r="B105" s="644"/>
      <c r="C105" s="644" t="s">
        <v>702</v>
      </c>
      <c r="D105" s="551">
        <v>10</v>
      </c>
      <c r="E105" s="545">
        <v>16000</v>
      </c>
      <c r="F105" s="648">
        <v>20</v>
      </c>
      <c r="G105" s="655" t="s">
        <v>129</v>
      </c>
      <c r="H105" s="636">
        <v>19</v>
      </c>
      <c r="I105" s="636">
        <v>23</v>
      </c>
      <c r="J105" s="549">
        <v>250</v>
      </c>
      <c r="K105" s="554">
        <v>60</v>
      </c>
      <c r="L105" s="562">
        <v>12</v>
      </c>
      <c r="M105" s="549">
        <v>4000</v>
      </c>
      <c r="N105" s="592">
        <v>0.1</v>
      </c>
      <c r="O105" s="594">
        <v>1.4</v>
      </c>
      <c r="P105" s="590">
        <v>18</v>
      </c>
      <c r="Q105" s="429"/>
      <c r="R105" s="430" t="s">
        <v>129</v>
      </c>
      <c r="S105" s="497">
        <v>24</v>
      </c>
      <c r="T105" s="751">
        <v>1875.6</v>
      </c>
      <c r="U105" s="438"/>
      <c r="V105" s="636">
        <v>5.6</v>
      </c>
      <c r="W105" s="636">
        <v>5.25</v>
      </c>
      <c r="X105" s="438"/>
      <c r="Y105" s="761">
        <v>10.85</v>
      </c>
      <c r="Z105" s="776">
        <v>20.187640000000002</v>
      </c>
      <c r="AA105" s="777"/>
      <c r="AB105" s="811">
        <v>10</v>
      </c>
      <c r="AC105" s="818">
        <v>252</v>
      </c>
      <c r="AD105" s="811" t="s">
        <v>633</v>
      </c>
      <c r="AE105" s="811">
        <v>2</v>
      </c>
      <c r="AF105" s="643">
        <v>1127</v>
      </c>
    </row>
    <row r="106" spans="1:32" ht="31.5">
      <c r="A106" s="643">
        <v>1128</v>
      </c>
      <c r="B106" s="644"/>
      <c r="C106" s="644" t="s">
        <v>703</v>
      </c>
      <c r="D106" s="551">
        <v>10</v>
      </c>
      <c r="E106" s="545">
        <v>18000</v>
      </c>
      <c r="F106" s="648">
        <v>24</v>
      </c>
      <c r="G106" s="655" t="s">
        <v>129</v>
      </c>
      <c r="H106" s="636">
        <v>21</v>
      </c>
      <c r="I106" s="636">
        <v>28</v>
      </c>
      <c r="J106" s="549">
        <v>120</v>
      </c>
      <c r="K106" s="554">
        <v>60</v>
      </c>
      <c r="L106" s="562">
        <v>12</v>
      </c>
      <c r="M106" s="549">
        <v>4000</v>
      </c>
      <c r="N106" s="592">
        <v>0.25</v>
      </c>
      <c r="O106" s="594">
        <v>0.85</v>
      </c>
      <c r="P106" s="590">
        <v>9</v>
      </c>
      <c r="Q106" s="429"/>
      <c r="R106" s="430" t="s">
        <v>129</v>
      </c>
      <c r="S106" s="175">
        <v>24</v>
      </c>
      <c r="T106" s="751">
        <v>1485</v>
      </c>
      <c r="U106" s="438"/>
      <c r="V106" s="636">
        <v>3.8249999999999997</v>
      </c>
      <c r="W106" s="636">
        <v>5.25</v>
      </c>
      <c r="X106" s="438"/>
      <c r="Y106" s="761">
        <v>9.0749999999999993</v>
      </c>
      <c r="Z106" s="776">
        <v>23.595000000000002</v>
      </c>
      <c r="AA106" s="777"/>
      <c r="AB106" s="811">
        <v>10</v>
      </c>
      <c r="AC106" s="818">
        <v>36</v>
      </c>
      <c r="AD106" s="811" t="s">
        <v>633</v>
      </c>
      <c r="AE106" s="811">
        <v>2</v>
      </c>
      <c r="AF106" s="643">
        <v>1128</v>
      </c>
    </row>
    <row r="107" spans="1:32" ht="31.5">
      <c r="A107" s="643">
        <v>1129</v>
      </c>
      <c r="B107" s="644"/>
      <c r="C107" s="644" t="s">
        <v>704</v>
      </c>
      <c r="D107" s="551">
        <v>12</v>
      </c>
      <c r="E107" s="545">
        <v>9500</v>
      </c>
      <c r="F107" s="648">
        <v>18</v>
      </c>
      <c r="G107" s="655" t="s">
        <v>129</v>
      </c>
      <c r="H107" s="636">
        <v>16</v>
      </c>
      <c r="I107" s="636">
        <v>20</v>
      </c>
      <c r="J107" s="549">
        <v>150</v>
      </c>
      <c r="K107" s="554">
        <v>60</v>
      </c>
      <c r="L107" s="562">
        <v>12</v>
      </c>
      <c r="M107" s="549">
        <v>4000</v>
      </c>
      <c r="N107" s="592">
        <v>0.25</v>
      </c>
      <c r="O107" s="594">
        <v>1.65</v>
      </c>
      <c r="P107" s="590">
        <v>10</v>
      </c>
      <c r="Q107" s="432"/>
      <c r="R107" s="430" t="s">
        <v>129</v>
      </c>
      <c r="S107" s="497">
        <v>18</v>
      </c>
      <c r="T107" s="751">
        <v>862.5</v>
      </c>
      <c r="U107" s="432"/>
      <c r="V107" s="636">
        <v>3.9187499999999997</v>
      </c>
      <c r="W107" s="636">
        <v>6.3</v>
      </c>
      <c r="X107" s="432"/>
      <c r="Y107" s="761">
        <v>10.21875</v>
      </c>
      <c r="Z107" s="776">
        <v>17.565625000000001</v>
      </c>
      <c r="AA107" s="777"/>
      <c r="AB107" s="811">
        <v>12</v>
      </c>
      <c r="AC107" s="818">
        <v>19</v>
      </c>
      <c r="AD107" s="811" t="s">
        <v>633</v>
      </c>
      <c r="AE107" s="811">
        <v>2</v>
      </c>
      <c r="AF107" s="643">
        <v>1129</v>
      </c>
    </row>
    <row r="108" spans="1:32" ht="15.75">
      <c r="A108" s="643"/>
      <c r="B108" s="644"/>
      <c r="C108" s="644"/>
      <c r="D108" s="562"/>
      <c r="E108" s="545"/>
      <c r="F108" s="656"/>
      <c r="G108" s="645" t="s">
        <v>129</v>
      </c>
      <c r="H108" s="657"/>
      <c r="I108" s="657"/>
      <c r="J108" s="554"/>
      <c r="K108" s="554"/>
      <c r="L108" s="562"/>
      <c r="M108" s="554"/>
      <c r="N108" s="592" t="s">
        <v>129</v>
      </c>
      <c r="O108" s="594" t="s">
        <v>129</v>
      </c>
      <c r="P108" s="590"/>
      <c r="Q108" s="431">
        <v>0.1</v>
      </c>
      <c r="R108" s="430">
        <v>127.05</v>
      </c>
      <c r="S108" s="175">
        <v>12</v>
      </c>
      <c r="T108" s="751" t="s">
        <v>129</v>
      </c>
      <c r="U108" s="439">
        <v>2.7230000000000003</v>
      </c>
      <c r="V108" s="657"/>
      <c r="W108" s="657"/>
      <c r="X108" s="439">
        <v>2.8000000000000003</v>
      </c>
      <c r="Y108" s="761" t="s">
        <v>129</v>
      </c>
      <c r="Z108" s="783"/>
      <c r="AA108" s="781"/>
      <c r="AB108" s="811"/>
      <c r="AC108" s="818" t="s">
        <v>129</v>
      </c>
      <c r="AD108" s="811"/>
      <c r="AE108" s="602"/>
      <c r="AF108" s="643"/>
    </row>
    <row r="109" spans="1:32" ht="15.75">
      <c r="A109" s="624">
        <v>1140</v>
      </c>
      <c r="B109" s="625"/>
      <c r="C109" s="626" t="s">
        <v>705</v>
      </c>
      <c r="D109" s="627"/>
      <c r="E109" s="628"/>
      <c r="F109" s="646"/>
      <c r="G109" s="630" t="s">
        <v>129</v>
      </c>
      <c r="H109" s="631"/>
      <c r="I109" s="631"/>
      <c r="J109" s="632"/>
      <c r="K109" s="632"/>
      <c r="L109" s="627"/>
      <c r="M109" s="632"/>
      <c r="N109" s="739" t="s">
        <v>129</v>
      </c>
      <c r="O109" s="744" t="s">
        <v>129</v>
      </c>
      <c r="P109" s="742"/>
      <c r="Q109" s="431">
        <v>0.1</v>
      </c>
      <c r="R109" s="430">
        <v>211.75</v>
      </c>
      <c r="S109" s="497">
        <v>42</v>
      </c>
      <c r="T109" s="750" t="s">
        <v>129</v>
      </c>
      <c r="U109" s="439">
        <v>3.7041666666666666</v>
      </c>
      <c r="V109" s="631"/>
      <c r="W109" s="631"/>
      <c r="X109" s="439">
        <v>2.8000000000000003</v>
      </c>
      <c r="Y109" s="763" t="s">
        <v>129</v>
      </c>
      <c r="Z109" s="774"/>
      <c r="AA109" s="775"/>
      <c r="AB109" s="810"/>
      <c r="AC109" s="817" t="s">
        <v>129</v>
      </c>
      <c r="AD109" s="810"/>
      <c r="AE109" s="810"/>
      <c r="AF109" s="624">
        <v>1140</v>
      </c>
    </row>
    <row r="110" spans="1:32" ht="15.75">
      <c r="A110" s="633"/>
      <c r="B110" s="634"/>
      <c r="C110" s="633"/>
      <c r="D110" s="637"/>
      <c r="E110" s="545"/>
      <c r="F110" s="658"/>
      <c r="G110" s="633" t="s">
        <v>129</v>
      </c>
      <c r="H110" s="635"/>
      <c r="I110" s="635"/>
      <c r="J110" s="637"/>
      <c r="K110" s="635"/>
      <c r="L110" s="633"/>
      <c r="M110" s="637"/>
      <c r="N110" s="592" t="s">
        <v>129</v>
      </c>
      <c r="O110" s="594" t="s">
        <v>129</v>
      </c>
      <c r="P110" s="743"/>
      <c r="Q110" s="431">
        <v>0.1</v>
      </c>
      <c r="R110" s="430">
        <v>254.1</v>
      </c>
      <c r="S110" s="175"/>
      <c r="T110" s="751" t="s">
        <v>129</v>
      </c>
      <c r="U110" s="439">
        <v>3.79</v>
      </c>
      <c r="V110" s="633"/>
      <c r="W110" s="633"/>
      <c r="X110" s="439">
        <v>2.8000000000000003</v>
      </c>
      <c r="Y110" s="761" t="s">
        <v>129</v>
      </c>
      <c r="Z110" s="633"/>
      <c r="AA110" s="634"/>
      <c r="AB110" s="633"/>
      <c r="AC110" s="818" t="s">
        <v>129</v>
      </c>
      <c r="AD110" s="811"/>
      <c r="AE110" s="633"/>
      <c r="AF110" s="633"/>
    </row>
    <row r="111" spans="1:32" ht="15.75">
      <c r="A111" s="643">
        <v>1141</v>
      </c>
      <c r="B111" s="644" t="s">
        <v>411</v>
      </c>
      <c r="C111" s="644" t="s">
        <v>706</v>
      </c>
      <c r="D111" s="551">
        <v>2</v>
      </c>
      <c r="E111" s="545">
        <v>900</v>
      </c>
      <c r="F111" s="648">
        <v>12.5</v>
      </c>
      <c r="G111" s="652">
        <v>16</v>
      </c>
      <c r="H111" s="636">
        <v>12</v>
      </c>
      <c r="I111" s="636">
        <v>14</v>
      </c>
      <c r="J111" s="549">
        <v>50</v>
      </c>
      <c r="K111" s="554">
        <v>80</v>
      </c>
      <c r="L111" s="562">
        <v>10</v>
      </c>
      <c r="M111" s="549">
        <v>1500</v>
      </c>
      <c r="N111" s="592">
        <v>0</v>
      </c>
      <c r="O111" s="594">
        <v>6.3</v>
      </c>
      <c r="P111" s="590">
        <v>1</v>
      </c>
      <c r="Q111" s="431">
        <v>0.1</v>
      </c>
      <c r="R111" s="430">
        <v>290.39999999999998</v>
      </c>
      <c r="S111" s="496"/>
      <c r="T111" s="751">
        <v>106.89999999999999</v>
      </c>
      <c r="U111" s="439">
        <v>5.0366666666666662</v>
      </c>
      <c r="V111" s="636">
        <v>5.5741333333333332</v>
      </c>
      <c r="W111" s="636">
        <v>3.865333333333334</v>
      </c>
      <c r="X111" s="439">
        <v>2.8000000000000003</v>
      </c>
      <c r="Y111" s="761">
        <v>9.439466666666668</v>
      </c>
      <c r="Z111" s="776">
        <v>12.735213333333336</v>
      </c>
      <c r="AA111" s="782">
        <v>15.919016666666669</v>
      </c>
      <c r="AB111" s="812">
        <v>2</v>
      </c>
      <c r="AC111" s="818">
        <v>1.8</v>
      </c>
      <c r="AD111" s="811" t="s">
        <v>633</v>
      </c>
      <c r="AE111" s="811">
        <v>3</v>
      </c>
      <c r="AF111" s="643">
        <v>1141</v>
      </c>
    </row>
    <row r="112" spans="1:32" ht="15.75">
      <c r="A112" s="643">
        <v>1142</v>
      </c>
      <c r="B112" s="644" t="s">
        <v>411</v>
      </c>
      <c r="C112" s="644" t="s">
        <v>707</v>
      </c>
      <c r="D112" s="551">
        <v>4</v>
      </c>
      <c r="E112" s="545">
        <v>1650</v>
      </c>
      <c r="F112" s="648">
        <v>20</v>
      </c>
      <c r="G112" s="652">
        <v>12.5</v>
      </c>
      <c r="H112" s="636">
        <v>19</v>
      </c>
      <c r="I112" s="636">
        <v>21</v>
      </c>
      <c r="J112" s="549">
        <v>60</v>
      </c>
      <c r="K112" s="554">
        <v>80</v>
      </c>
      <c r="L112" s="562">
        <v>10</v>
      </c>
      <c r="M112" s="549">
        <v>1500</v>
      </c>
      <c r="N112" s="592">
        <v>0</v>
      </c>
      <c r="O112" s="594">
        <v>3.9</v>
      </c>
      <c r="P112" s="590">
        <v>1</v>
      </c>
      <c r="Q112" s="431">
        <v>0.1</v>
      </c>
      <c r="R112" s="430">
        <v>169.4</v>
      </c>
      <c r="S112" s="175"/>
      <c r="T112" s="751">
        <v>190.15</v>
      </c>
      <c r="U112" s="439">
        <v>3.3366666666666669</v>
      </c>
      <c r="V112" s="636">
        <v>7.3176000000000005</v>
      </c>
      <c r="W112" s="636">
        <v>7.7306666666666679</v>
      </c>
      <c r="X112" s="439">
        <v>2.8000000000000003</v>
      </c>
      <c r="Y112" s="761">
        <v>15.048266666666668</v>
      </c>
      <c r="Z112" s="776">
        <v>20.03917666666667</v>
      </c>
      <c r="AA112" s="782">
        <v>12.524485416666668</v>
      </c>
      <c r="AB112" s="812">
        <v>4</v>
      </c>
      <c r="AC112" s="818">
        <v>3.3000000000000003</v>
      </c>
      <c r="AD112" s="811" t="s">
        <v>633</v>
      </c>
      <c r="AE112" s="811">
        <v>3</v>
      </c>
      <c r="AF112" s="643">
        <v>1142</v>
      </c>
    </row>
    <row r="113" spans="1:32" ht="15.75">
      <c r="A113" s="643">
        <v>1143</v>
      </c>
      <c r="B113" s="644" t="s">
        <v>411</v>
      </c>
      <c r="C113" s="644" t="s">
        <v>708</v>
      </c>
      <c r="D113" s="551">
        <v>5</v>
      </c>
      <c r="E113" s="545">
        <v>1900</v>
      </c>
      <c r="F113" s="648">
        <v>23</v>
      </c>
      <c r="G113" s="652">
        <v>11.5</v>
      </c>
      <c r="H113" s="636">
        <v>22</v>
      </c>
      <c r="I113" s="636">
        <v>24</v>
      </c>
      <c r="J113" s="549">
        <v>70</v>
      </c>
      <c r="K113" s="554">
        <v>80</v>
      </c>
      <c r="L113" s="562">
        <v>10</v>
      </c>
      <c r="M113" s="549">
        <v>1500</v>
      </c>
      <c r="N113" s="592">
        <v>0</v>
      </c>
      <c r="O113" s="594">
        <v>3.5</v>
      </c>
      <c r="P113" s="590">
        <v>1</v>
      </c>
      <c r="Q113" s="431">
        <v>0.1</v>
      </c>
      <c r="R113" s="430">
        <v>242</v>
      </c>
      <c r="S113" s="497">
        <v>195</v>
      </c>
      <c r="T113" s="751">
        <v>217.9</v>
      </c>
      <c r="U113" s="439">
        <v>2.74</v>
      </c>
      <c r="V113" s="636">
        <v>7.9655333333333331</v>
      </c>
      <c r="W113" s="636">
        <v>9.663333333333334</v>
      </c>
      <c r="X113" s="439">
        <v>2.8000000000000003</v>
      </c>
      <c r="Y113" s="761">
        <v>17.628866666666667</v>
      </c>
      <c r="Z113" s="776">
        <v>22.815896190476195</v>
      </c>
      <c r="AA113" s="782">
        <v>11.407948095238098</v>
      </c>
      <c r="AB113" s="812">
        <v>5</v>
      </c>
      <c r="AC113" s="818">
        <v>3.8000000000000003</v>
      </c>
      <c r="AD113" s="811" t="s">
        <v>633</v>
      </c>
      <c r="AE113" s="811">
        <v>3</v>
      </c>
      <c r="AF113" s="643">
        <v>1143</v>
      </c>
    </row>
    <row r="114" spans="1:32" ht="15.75">
      <c r="A114" s="643">
        <v>1144</v>
      </c>
      <c r="B114" s="634"/>
      <c r="C114" s="644" t="s">
        <v>709</v>
      </c>
      <c r="D114" s="612">
        <v>2</v>
      </c>
      <c r="E114" s="545">
        <v>2400</v>
      </c>
      <c r="F114" s="648">
        <v>21.5</v>
      </c>
      <c r="G114" s="652">
        <v>13.5</v>
      </c>
      <c r="H114" s="636">
        <v>20</v>
      </c>
      <c r="I114" s="636">
        <v>23</v>
      </c>
      <c r="J114" s="549">
        <v>60</v>
      </c>
      <c r="K114" s="554">
        <v>80</v>
      </c>
      <c r="L114" s="562">
        <v>10</v>
      </c>
      <c r="M114" s="549">
        <v>1500</v>
      </c>
      <c r="N114" s="592">
        <v>0</v>
      </c>
      <c r="O114" s="594">
        <v>2.6</v>
      </c>
      <c r="P114" s="590">
        <v>1</v>
      </c>
      <c r="Q114" s="431">
        <v>0.2</v>
      </c>
      <c r="R114" s="430">
        <v>133.1</v>
      </c>
      <c r="S114" s="175">
        <v>195</v>
      </c>
      <c r="T114" s="751">
        <v>273.40000000000003</v>
      </c>
      <c r="U114" s="439">
        <v>3.1259999999999994</v>
      </c>
      <c r="V114" s="636">
        <v>7.1875999999999998</v>
      </c>
      <c r="W114" s="636">
        <v>7.7306666666666679</v>
      </c>
      <c r="X114" s="439">
        <v>5.6000000000000005</v>
      </c>
      <c r="Y114" s="761">
        <v>14.918266666666668</v>
      </c>
      <c r="Z114" s="776">
        <v>21.42242666666667</v>
      </c>
      <c r="AA114" s="782">
        <v>13.389016666666668</v>
      </c>
      <c r="AB114" s="812">
        <v>4</v>
      </c>
      <c r="AC114" s="818">
        <v>4.8</v>
      </c>
      <c r="AD114" s="811" t="s">
        <v>633</v>
      </c>
      <c r="AE114" s="811">
        <v>3</v>
      </c>
      <c r="AF114" s="643">
        <v>1144</v>
      </c>
    </row>
    <row r="115" spans="1:32" ht="15.75">
      <c r="A115" s="643">
        <v>1145</v>
      </c>
      <c r="B115" s="634"/>
      <c r="C115" s="644" t="s">
        <v>710</v>
      </c>
      <c r="D115" s="551">
        <v>2</v>
      </c>
      <c r="E115" s="545">
        <v>1350</v>
      </c>
      <c r="F115" s="648">
        <v>12.5</v>
      </c>
      <c r="G115" s="652">
        <v>18</v>
      </c>
      <c r="H115" s="636">
        <v>12</v>
      </c>
      <c r="I115" s="636">
        <v>14</v>
      </c>
      <c r="J115" s="549">
        <v>60</v>
      </c>
      <c r="K115" s="554">
        <v>70</v>
      </c>
      <c r="L115" s="562">
        <v>10</v>
      </c>
      <c r="M115" s="549">
        <v>1000</v>
      </c>
      <c r="N115" s="592">
        <v>0</v>
      </c>
      <c r="O115" s="594">
        <v>3.85</v>
      </c>
      <c r="P115" s="590">
        <v>4</v>
      </c>
      <c r="Q115" s="431">
        <v>0.1</v>
      </c>
      <c r="R115" s="430">
        <v>114.76666666666667</v>
      </c>
      <c r="S115" s="497">
        <v>741</v>
      </c>
      <c r="T115" s="751">
        <v>177.85</v>
      </c>
      <c r="U115" s="439">
        <v>3.274166666666666</v>
      </c>
      <c r="V115" s="636">
        <v>5.1975000000000007</v>
      </c>
      <c r="W115" s="636">
        <v>3.3821666666666674</v>
      </c>
      <c r="X115" s="439">
        <v>2.8000000000000003</v>
      </c>
      <c r="Y115" s="761">
        <v>8.5796666666666681</v>
      </c>
      <c r="Z115" s="776">
        <v>12.698216666666671</v>
      </c>
      <c r="AA115" s="782">
        <v>18.140309523809528</v>
      </c>
      <c r="AB115" s="633"/>
      <c r="AC115" s="818">
        <v>2.7</v>
      </c>
      <c r="AD115" s="811" t="s">
        <v>633</v>
      </c>
      <c r="AE115" s="811">
        <v>3</v>
      </c>
      <c r="AF115" s="643">
        <v>1145</v>
      </c>
    </row>
    <row r="116" spans="1:32" ht="31.5">
      <c r="A116" s="643">
        <v>1146</v>
      </c>
      <c r="B116" s="634"/>
      <c r="C116" s="644" t="s">
        <v>711</v>
      </c>
      <c r="D116" s="551">
        <v>3</v>
      </c>
      <c r="E116" s="545">
        <v>1800</v>
      </c>
      <c r="F116" s="649">
        <v>15</v>
      </c>
      <c r="G116" s="652">
        <v>11</v>
      </c>
      <c r="H116" s="636">
        <v>15</v>
      </c>
      <c r="I116" s="636">
        <v>16</v>
      </c>
      <c r="J116" s="549">
        <v>100</v>
      </c>
      <c r="K116" s="554">
        <v>90</v>
      </c>
      <c r="L116" s="562">
        <v>10</v>
      </c>
      <c r="M116" s="549">
        <v>1500</v>
      </c>
      <c r="N116" s="592">
        <v>0</v>
      </c>
      <c r="O116" s="594">
        <v>4.1500000000000004</v>
      </c>
      <c r="P116" s="590">
        <v>4</v>
      </c>
      <c r="Q116" s="431">
        <v>0.1</v>
      </c>
      <c r="R116" s="430">
        <v>408.8</v>
      </c>
      <c r="S116" s="175">
        <v>715</v>
      </c>
      <c r="T116" s="751">
        <v>227.79999999999998</v>
      </c>
      <c r="U116" s="439">
        <v>2.6480000000000001</v>
      </c>
      <c r="V116" s="636">
        <v>4.9800000000000004</v>
      </c>
      <c r="W116" s="636">
        <v>6.5227500000000012</v>
      </c>
      <c r="X116" s="439">
        <v>2.8000000000000003</v>
      </c>
      <c r="Y116" s="761">
        <v>11.502750000000002</v>
      </c>
      <c r="Z116" s="776">
        <v>15.158825000000004</v>
      </c>
      <c r="AA116" s="782">
        <v>11.228759259259261</v>
      </c>
      <c r="AB116" s="633"/>
      <c r="AC116" s="818">
        <v>3.6</v>
      </c>
      <c r="AD116" s="811" t="s">
        <v>633</v>
      </c>
      <c r="AE116" s="811">
        <v>3</v>
      </c>
      <c r="AF116" s="643">
        <v>1146</v>
      </c>
    </row>
    <row r="117" spans="1:32" ht="15.75">
      <c r="A117" s="643">
        <v>1147</v>
      </c>
      <c r="B117" s="634"/>
      <c r="C117" s="644" t="s">
        <v>712</v>
      </c>
      <c r="D117" s="551">
        <v>2</v>
      </c>
      <c r="E117" s="545">
        <v>1200</v>
      </c>
      <c r="F117" s="649">
        <v>16.5</v>
      </c>
      <c r="G117" s="635" t="s">
        <v>129</v>
      </c>
      <c r="H117" s="636">
        <v>16</v>
      </c>
      <c r="I117" s="636">
        <v>18</v>
      </c>
      <c r="J117" s="549">
        <v>50</v>
      </c>
      <c r="K117" s="554">
        <v>90</v>
      </c>
      <c r="L117" s="562">
        <v>10</v>
      </c>
      <c r="M117" s="549">
        <v>800</v>
      </c>
      <c r="N117" s="592">
        <v>0</v>
      </c>
      <c r="O117" s="594">
        <v>5.05</v>
      </c>
      <c r="P117" s="590">
        <v>3</v>
      </c>
      <c r="Q117" s="431"/>
      <c r="R117" s="430" t="s">
        <v>129</v>
      </c>
      <c r="S117" s="497">
        <v>1053</v>
      </c>
      <c r="T117" s="751">
        <v>154.20000000000002</v>
      </c>
      <c r="U117" s="439"/>
      <c r="V117" s="636">
        <v>7.5749999999999993</v>
      </c>
      <c r="W117" s="636">
        <v>4.3485000000000005</v>
      </c>
      <c r="X117" s="439"/>
      <c r="Y117" s="761">
        <v>11.923500000000001</v>
      </c>
      <c r="Z117" s="776">
        <v>16.50825</v>
      </c>
      <c r="AA117" s="777"/>
      <c r="AB117" s="633"/>
      <c r="AC117" s="818">
        <v>2.4</v>
      </c>
      <c r="AD117" s="811" t="s">
        <v>633</v>
      </c>
      <c r="AE117" s="811">
        <v>3</v>
      </c>
      <c r="AF117" s="643">
        <v>1147</v>
      </c>
    </row>
    <row r="118" spans="1:32" ht="15.75">
      <c r="A118" s="643">
        <v>1148</v>
      </c>
      <c r="B118" s="634"/>
      <c r="C118" s="644" t="s">
        <v>713</v>
      </c>
      <c r="D118" s="551">
        <v>3</v>
      </c>
      <c r="E118" s="545">
        <v>950</v>
      </c>
      <c r="F118" s="649">
        <v>14.5</v>
      </c>
      <c r="G118" s="633" t="s">
        <v>129</v>
      </c>
      <c r="H118" s="636">
        <v>14</v>
      </c>
      <c r="I118" s="636">
        <v>15</v>
      </c>
      <c r="J118" s="549">
        <v>40</v>
      </c>
      <c r="K118" s="554">
        <v>90</v>
      </c>
      <c r="L118" s="562">
        <v>12</v>
      </c>
      <c r="M118" s="549">
        <v>800</v>
      </c>
      <c r="N118" s="592">
        <v>0</v>
      </c>
      <c r="O118" s="594">
        <v>3.45</v>
      </c>
      <c r="P118" s="590">
        <v>2</v>
      </c>
      <c r="Q118" s="429"/>
      <c r="R118" s="430" t="s">
        <v>129</v>
      </c>
      <c r="S118" s="175"/>
      <c r="T118" s="751">
        <v>103.61666666666667</v>
      </c>
      <c r="U118" s="438"/>
      <c r="V118" s="636">
        <v>4.0968749999999998</v>
      </c>
      <c r="W118" s="636">
        <v>6.5227500000000012</v>
      </c>
      <c r="X118" s="438"/>
      <c r="Y118" s="761">
        <v>10.619625000000001</v>
      </c>
      <c r="Z118" s="776">
        <v>14.531045833333337</v>
      </c>
      <c r="AA118" s="777"/>
      <c r="AB118" s="633"/>
      <c r="AC118" s="818">
        <v>1.9000000000000001</v>
      </c>
      <c r="AD118" s="811" t="s">
        <v>633</v>
      </c>
      <c r="AE118" s="811">
        <v>3</v>
      </c>
      <c r="AF118" s="643">
        <v>1148</v>
      </c>
    </row>
    <row r="119" spans="1:32" ht="15.75">
      <c r="A119" s="643">
        <v>1149</v>
      </c>
      <c r="B119" s="634"/>
      <c r="C119" s="644" t="s">
        <v>714</v>
      </c>
      <c r="D119" s="551">
        <v>4</v>
      </c>
      <c r="E119" s="545">
        <v>2500</v>
      </c>
      <c r="F119" s="649">
        <v>16</v>
      </c>
      <c r="G119" s="652">
        <v>8.9</v>
      </c>
      <c r="H119" s="636">
        <v>15.6</v>
      </c>
      <c r="I119" s="636">
        <v>16.899999999999999</v>
      </c>
      <c r="J119" s="549">
        <v>175</v>
      </c>
      <c r="K119" s="554">
        <v>90</v>
      </c>
      <c r="L119" s="562">
        <v>8</v>
      </c>
      <c r="M119" s="549">
        <v>4000</v>
      </c>
      <c r="N119" s="592">
        <v>0</v>
      </c>
      <c r="O119" s="594">
        <v>5.9</v>
      </c>
      <c r="P119" s="590">
        <v>7</v>
      </c>
      <c r="Q119" s="431"/>
      <c r="R119" s="430" t="s">
        <v>129</v>
      </c>
      <c r="S119" s="498"/>
      <c r="T119" s="751">
        <v>389</v>
      </c>
      <c r="U119" s="439"/>
      <c r="V119" s="636">
        <v>3.6875</v>
      </c>
      <c r="W119" s="636">
        <v>8.697000000000001</v>
      </c>
      <c r="X119" s="439"/>
      <c r="Y119" s="761">
        <v>12.384500000000001</v>
      </c>
      <c r="Z119" s="776">
        <v>16.068092857142858</v>
      </c>
      <c r="AA119" s="782">
        <v>8.9267182539682537</v>
      </c>
      <c r="AB119" s="633"/>
      <c r="AC119" s="818">
        <v>5</v>
      </c>
      <c r="AD119" s="811" t="s">
        <v>633</v>
      </c>
      <c r="AE119" s="811">
        <v>3</v>
      </c>
      <c r="AF119" s="643">
        <v>1149</v>
      </c>
    </row>
    <row r="120" spans="1:32" ht="15.75">
      <c r="A120" s="633"/>
      <c r="B120" s="634"/>
      <c r="C120" s="633"/>
      <c r="D120" s="551"/>
      <c r="E120" s="545"/>
      <c r="F120" s="640"/>
      <c r="G120" s="633" t="s">
        <v>129</v>
      </c>
      <c r="H120" s="636"/>
      <c r="I120" s="636"/>
      <c r="J120" s="549"/>
      <c r="K120" s="635"/>
      <c r="L120" s="633"/>
      <c r="M120" s="549"/>
      <c r="N120" s="592" t="s">
        <v>129</v>
      </c>
      <c r="O120" s="594" t="s">
        <v>129</v>
      </c>
      <c r="P120" s="743"/>
      <c r="Q120" s="433">
        <v>0.01</v>
      </c>
      <c r="R120" s="430">
        <v>1261.5</v>
      </c>
      <c r="S120" s="175"/>
      <c r="T120" s="751" t="s">
        <v>129</v>
      </c>
      <c r="U120" s="439">
        <v>14.036666666666667</v>
      </c>
      <c r="V120" s="636"/>
      <c r="W120" s="636"/>
      <c r="X120" s="439">
        <v>0.28000000000000003</v>
      </c>
      <c r="Y120" s="761" t="s">
        <v>129</v>
      </c>
      <c r="Z120" s="776"/>
      <c r="AA120" s="777"/>
      <c r="AB120" s="633"/>
      <c r="AC120" s="818" t="s">
        <v>129</v>
      </c>
      <c r="AD120" s="811"/>
      <c r="AE120" s="811"/>
      <c r="AF120" s="633"/>
    </row>
    <row r="121" spans="1:32" ht="15.75">
      <c r="A121" s="624">
        <v>1160</v>
      </c>
      <c r="B121" s="625"/>
      <c r="C121" s="626" t="s">
        <v>715</v>
      </c>
      <c r="D121" s="627"/>
      <c r="E121" s="628"/>
      <c r="F121" s="646"/>
      <c r="G121" s="630" t="s">
        <v>129</v>
      </c>
      <c r="H121" s="631"/>
      <c r="I121" s="631"/>
      <c r="J121" s="632"/>
      <c r="K121" s="632"/>
      <c r="L121" s="627"/>
      <c r="M121" s="632"/>
      <c r="N121" s="739" t="s">
        <v>129</v>
      </c>
      <c r="O121" s="744" t="s">
        <v>129</v>
      </c>
      <c r="P121" s="742"/>
      <c r="Q121" s="433">
        <v>0.01</v>
      </c>
      <c r="R121" s="430">
        <v>1957.5</v>
      </c>
      <c r="S121" s="496"/>
      <c r="T121" s="750" t="s">
        <v>129</v>
      </c>
      <c r="U121" s="439">
        <v>18.783333333333335</v>
      </c>
      <c r="V121" s="631"/>
      <c r="W121" s="631"/>
      <c r="X121" s="439">
        <v>0.28000000000000003</v>
      </c>
      <c r="Y121" s="763" t="s">
        <v>129</v>
      </c>
      <c r="Z121" s="774"/>
      <c r="AA121" s="775"/>
      <c r="AB121" s="810"/>
      <c r="AC121" s="817" t="s">
        <v>129</v>
      </c>
      <c r="AD121" s="810"/>
      <c r="AE121" s="810"/>
      <c r="AF121" s="624">
        <v>1160</v>
      </c>
    </row>
    <row r="122" spans="1:32" ht="15.75">
      <c r="A122" s="633"/>
      <c r="B122" s="634"/>
      <c r="C122" s="633"/>
      <c r="D122" s="544"/>
      <c r="E122" s="545"/>
      <c r="F122" s="649"/>
      <c r="G122" s="633" t="s">
        <v>129</v>
      </c>
      <c r="H122" s="636"/>
      <c r="I122" s="636"/>
      <c r="J122" s="549"/>
      <c r="K122" s="635"/>
      <c r="L122" s="633"/>
      <c r="M122" s="549"/>
      <c r="N122" s="592" t="s">
        <v>129</v>
      </c>
      <c r="O122" s="594" t="s">
        <v>129</v>
      </c>
      <c r="P122" s="743"/>
      <c r="Q122" s="433">
        <v>1E-3</v>
      </c>
      <c r="R122" s="430">
        <v>3993.4</v>
      </c>
      <c r="S122" s="175"/>
      <c r="T122" s="751" t="s">
        <v>129</v>
      </c>
      <c r="U122" s="441">
        <v>0.46788571428571424</v>
      </c>
      <c r="V122" s="636"/>
      <c r="W122" s="636"/>
      <c r="X122" s="441">
        <v>2.8000000000000001E-2</v>
      </c>
      <c r="Y122" s="761" t="s">
        <v>129</v>
      </c>
      <c r="Z122" s="776"/>
      <c r="AA122" s="777"/>
      <c r="AB122" s="633"/>
      <c r="AC122" s="818" t="s">
        <v>129</v>
      </c>
      <c r="AD122" s="811"/>
      <c r="AE122" s="811"/>
      <c r="AF122" s="633"/>
    </row>
    <row r="123" spans="1:32" ht="31.5">
      <c r="A123" s="643">
        <v>1161</v>
      </c>
      <c r="B123" s="644"/>
      <c r="C123" s="644" t="s">
        <v>716</v>
      </c>
      <c r="D123" s="563"/>
      <c r="E123" s="545">
        <v>17500</v>
      </c>
      <c r="F123" s="648">
        <v>25</v>
      </c>
      <c r="G123" s="660" t="s">
        <v>129</v>
      </c>
      <c r="H123" s="636">
        <v>22</v>
      </c>
      <c r="I123" s="636">
        <v>30</v>
      </c>
      <c r="J123" s="549">
        <v>150</v>
      </c>
      <c r="K123" s="554">
        <v>60</v>
      </c>
      <c r="L123" s="562">
        <v>12</v>
      </c>
      <c r="M123" s="549">
        <v>4000</v>
      </c>
      <c r="N123" s="592">
        <v>0.25</v>
      </c>
      <c r="O123" s="594">
        <v>0.85</v>
      </c>
      <c r="P123" s="590">
        <v>15</v>
      </c>
      <c r="Q123" s="433">
        <v>1E-3</v>
      </c>
      <c r="R123" s="430">
        <v>5162.2</v>
      </c>
      <c r="S123" s="497">
        <v>144</v>
      </c>
      <c r="T123" s="751">
        <v>2097.5</v>
      </c>
      <c r="U123" s="441">
        <v>0.55094285714285718</v>
      </c>
      <c r="V123" s="636">
        <v>3.71875</v>
      </c>
      <c r="W123" s="636">
        <v>5.25</v>
      </c>
      <c r="X123" s="441">
        <v>2.8000000000000001E-2</v>
      </c>
      <c r="Y123" s="761">
        <v>8.96875</v>
      </c>
      <c r="Z123" s="776">
        <v>25.247291666666669</v>
      </c>
      <c r="AA123" s="784"/>
      <c r="AB123" s="812">
        <v>10</v>
      </c>
      <c r="AC123" s="818">
        <v>595</v>
      </c>
      <c r="AD123" s="811" t="s">
        <v>633</v>
      </c>
      <c r="AE123" s="811">
        <v>2</v>
      </c>
      <c r="AF123" s="643">
        <v>1161</v>
      </c>
    </row>
    <row r="124" spans="1:32" ht="31.5">
      <c r="A124" s="643">
        <v>1162</v>
      </c>
      <c r="B124" s="644"/>
      <c r="C124" s="644" t="s">
        <v>717</v>
      </c>
      <c r="D124" s="563"/>
      <c r="E124" s="545">
        <v>27000</v>
      </c>
      <c r="F124" s="648">
        <v>32</v>
      </c>
      <c r="G124" s="660" t="s">
        <v>129</v>
      </c>
      <c r="H124" s="636">
        <v>28</v>
      </c>
      <c r="I124" s="636">
        <v>39</v>
      </c>
      <c r="J124" s="549">
        <v>150</v>
      </c>
      <c r="K124" s="554">
        <v>60</v>
      </c>
      <c r="L124" s="562">
        <v>12</v>
      </c>
      <c r="M124" s="549">
        <v>4000</v>
      </c>
      <c r="N124" s="592">
        <v>0.25</v>
      </c>
      <c r="O124" s="594">
        <v>0.8</v>
      </c>
      <c r="P124" s="590">
        <v>15</v>
      </c>
      <c r="Q124" s="433">
        <v>1E-3</v>
      </c>
      <c r="R124" s="430">
        <v>6331</v>
      </c>
      <c r="S124" s="175">
        <v>144</v>
      </c>
      <c r="T124" s="751">
        <v>2810</v>
      </c>
      <c r="U124" s="441">
        <v>0.66400000000000003</v>
      </c>
      <c r="V124" s="636">
        <v>5.4</v>
      </c>
      <c r="W124" s="636">
        <v>4.7250000000000005</v>
      </c>
      <c r="X124" s="441">
        <v>2.8000000000000001E-2</v>
      </c>
      <c r="Y124" s="761">
        <v>10.125</v>
      </c>
      <c r="Z124" s="776">
        <v>31.744166666666672</v>
      </c>
      <c r="AA124" s="784"/>
      <c r="AB124" s="812">
        <v>15</v>
      </c>
      <c r="AC124" s="818">
        <v>614</v>
      </c>
      <c r="AD124" s="811" t="s">
        <v>633</v>
      </c>
      <c r="AE124" s="811">
        <v>2</v>
      </c>
      <c r="AF124" s="643">
        <v>1162</v>
      </c>
    </row>
    <row r="125" spans="1:32" ht="31.5">
      <c r="A125" s="643">
        <v>1163</v>
      </c>
      <c r="B125" s="644"/>
      <c r="C125" s="644" t="s">
        <v>718</v>
      </c>
      <c r="D125" s="563">
        <v>60</v>
      </c>
      <c r="E125" s="545">
        <v>44000</v>
      </c>
      <c r="F125" s="546">
        <v>46</v>
      </c>
      <c r="G125" s="661">
        <v>0.75</v>
      </c>
      <c r="H125" s="662">
        <v>0.7</v>
      </c>
      <c r="I125" s="662">
        <v>0.9</v>
      </c>
      <c r="J125" s="564">
        <v>14000</v>
      </c>
      <c r="K125" s="554">
        <v>15</v>
      </c>
      <c r="L125" s="562">
        <v>12</v>
      </c>
      <c r="M125" s="564">
        <v>250000</v>
      </c>
      <c r="N125" s="592">
        <v>0.1</v>
      </c>
      <c r="O125" s="594">
        <v>0.55000000000000004</v>
      </c>
      <c r="P125" s="590">
        <v>57</v>
      </c>
      <c r="Q125" s="431"/>
      <c r="R125" s="430" t="s">
        <v>129</v>
      </c>
      <c r="S125" s="497">
        <v>144</v>
      </c>
      <c r="T125" s="751">
        <v>5925.4</v>
      </c>
      <c r="U125" s="439"/>
      <c r="V125" s="662">
        <v>9.6799999999999997E-2</v>
      </c>
      <c r="W125" s="662">
        <v>0.17156250000000001</v>
      </c>
      <c r="X125" s="439"/>
      <c r="Y125" s="765">
        <v>0.2683625</v>
      </c>
      <c r="Z125" s="776">
        <v>45.645953571428578</v>
      </c>
      <c r="AA125" s="784">
        <v>0.76076589285714291</v>
      </c>
      <c r="AB125" s="812">
        <v>125</v>
      </c>
      <c r="AC125" s="818">
        <v>1348</v>
      </c>
      <c r="AD125" s="811" t="s">
        <v>719</v>
      </c>
      <c r="AE125" s="811">
        <v>1</v>
      </c>
      <c r="AF125" s="643">
        <v>1163</v>
      </c>
    </row>
    <row r="126" spans="1:32" ht="15.75">
      <c r="A126" s="643">
        <v>1164</v>
      </c>
      <c r="B126" s="644"/>
      <c r="C126" s="644" t="s">
        <v>720</v>
      </c>
      <c r="D126" s="563">
        <v>60</v>
      </c>
      <c r="E126" s="545">
        <v>58000</v>
      </c>
      <c r="F126" s="546">
        <v>54</v>
      </c>
      <c r="G126" s="661">
        <v>0.9</v>
      </c>
      <c r="H126" s="662">
        <v>0.8</v>
      </c>
      <c r="I126" s="662">
        <v>1.1000000000000001</v>
      </c>
      <c r="J126" s="564">
        <v>14000</v>
      </c>
      <c r="K126" s="554">
        <v>15</v>
      </c>
      <c r="L126" s="562">
        <v>12</v>
      </c>
      <c r="M126" s="564">
        <v>250000</v>
      </c>
      <c r="N126" s="592">
        <v>0.1</v>
      </c>
      <c r="O126" s="594">
        <v>0.5</v>
      </c>
      <c r="P126" s="590">
        <v>55</v>
      </c>
      <c r="Q126" s="431"/>
      <c r="R126" s="430" t="s">
        <v>129</v>
      </c>
      <c r="S126" s="499">
        <v>72</v>
      </c>
      <c r="T126" s="751">
        <v>7107.8</v>
      </c>
      <c r="U126" s="439"/>
      <c r="V126" s="662">
        <v>0.11600000000000001</v>
      </c>
      <c r="W126" s="662">
        <v>0.19214999999999999</v>
      </c>
      <c r="X126" s="439"/>
      <c r="Y126" s="765">
        <v>0.30814999999999998</v>
      </c>
      <c r="Z126" s="776">
        <v>53.8461</v>
      </c>
      <c r="AA126" s="784">
        <v>0.89743499999999998</v>
      </c>
      <c r="AB126" s="812">
        <v>140</v>
      </c>
      <c r="AC126" s="818">
        <v>1376</v>
      </c>
      <c r="AD126" s="811" t="s">
        <v>719</v>
      </c>
      <c r="AE126" s="811">
        <v>1</v>
      </c>
      <c r="AF126" s="643">
        <v>1164</v>
      </c>
    </row>
    <row r="127" spans="1:32" ht="31.5">
      <c r="A127" s="643">
        <v>1165</v>
      </c>
      <c r="B127" s="644"/>
      <c r="C127" s="644" t="s">
        <v>721</v>
      </c>
      <c r="D127" s="563">
        <v>50</v>
      </c>
      <c r="E127" s="545">
        <v>72000</v>
      </c>
      <c r="F127" s="546">
        <v>62</v>
      </c>
      <c r="G127" s="661">
        <v>1.2</v>
      </c>
      <c r="H127" s="662">
        <v>1.1000000000000001</v>
      </c>
      <c r="I127" s="662">
        <v>1.5</v>
      </c>
      <c r="J127" s="564">
        <v>14000</v>
      </c>
      <c r="K127" s="554">
        <v>30</v>
      </c>
      <c r="L127" s="562">
        <v>12</v>
      </c>
      <c r="M127" s="564">
        <v>200000</v>
      </c>
      <c r="N127" s="592">
        <v>0.1</v>
      </c>
      <c r="O127" s="594">
        <v>0.65</v>
      </c>
      <c r="P127" s="590">
        <v>81</v>
      </c>
      <c r="Q127" s="431"/>
      <c r="R127" s="430" t="s">
        <v>129</v>
      </c>
      <c r="S127" s="497">
        <v>66</v>
      </c>
      <c r="T127" s="751">
        <v>8710.2000000000007</v>
      </c>
      <c r="U127" s="439"/>
      <c r="V127" s="662">
        <v>0.23399999999999999</v>
      </c>
      <c r="W127" s="662">
        <v>0.27669600000000005</v>
      </c>
      <c r="X127" s="439"/>
      <c r="Y127" s="765">
        <v>0.51069600000000004</v>
      </c>
      <c r="Z127" s="776">
        <v>62.306922857142865</v>
      </c>
      <c r="AA127" s="784">
        <v>1.2461384571428573</v>
      </c>
      <c r="AB127" s="812">
        <v>84</v>
      </c>
      <c r="AC127" s="818">
        <v>1404</v>
      </c>
      <c r="AD127" s="811" t="s">
        <v>719</v>
      </c>
      <c r="AE127" s="811">
        <v>1</v>
      </c>
      <c r="AF127" s="643">
        <v>1165</v>
      </c>
    </row>
    <row r="128" spans="1:32" ht="15.75">
      <c r="A128" s="643"/>
      <c r="B128" s="644"/>
      <c r="C128" s="643"/>
      <c r="D128" s="555"/>
      <c r="E128" s="545"/>
      <c r="F128" s="546"/>
      <c r="G128" s="645" t="s">
        <v>129</v>
      </c>
      <c r="H128" s="636"/>
      <c r="I128" s="636"/>
      <c r="J128" s="549"/>
      <c r="K128" s="554"/>
      <c r="L128" s="562"/>
      <c r="M128" s="549"/>
      <c r="N128" s="592" t="s">
        <v>129</v>
      </c>
      <c r="O128" s="594" t="s">
        <v>129</v>
      </c>
      <c r="P128" s="590"/>
      <c r="Q128" s="429"/>
      <c r="R128" s="430" t="s">
        <v>129</v>
      </c>
      <c r="S128" s="499">
        <v>78</v>
      </c>
      <c r="T128" s="751" t="s">
        <v>129</v>
      </c>
      <c r="U128" s="438"/>
      <c r="V128" s="636"/>
      <c r="W128" s="636"/>
      <c r="X128" s="438"/>
      <c r="Y128" s="761" t="s">
        <v>129</v>
      </c>
      <c r="Z128" s="776"/>
      <c r="AA128" s="781"/>
      <c r="AB128" s="811"/>
      <c r="AC128" s="818" t="s">
        <v>129</v>
      </c>
      <c r="AD128" s="811"/>
      <c r="AE128" s="811"/>
      <c r="AF128" s="643"/>
    </row>
    <row r="129" spans="1:32" ht="31.5">
      <c r="A129" s="663"/>
      <c r="B129" s="664"/>
      <c r="C129" s="665" t="s">
        <v>722</v>
      </c>
      <c r="D129" s="666"/>
      <c r="E129" s="667"/>
      <c r="F129" s="668"/>
      <c r="G129" s="669" t="s">
        <v>129</v>
      </c>
      <c r="H129" s="670"/>
      <c r="I129" s="670"/>
      <c r="J129" s="671"/>
      <c r="K129" s="672"/>
      <c r="L129" s="737"/>
      <c r="M129" s="671"/>
      <c r="N129" s="740" t="s">
        <v>129</v>
      </c>
      <c r="O129" s="746" t="s">
        <v>129</v>
      </c>
      <c r="P129" s="747"/>
      <c r="Q129" s="431"/>
      <c r="R129" s="430" t="s">
        <v>129</v>
      </c>
      <c r="S129" s="500">
        <v>66</v>
      </c>
      <c r="T129" s="754" t="s">
        <v>129</v>
      </c>
      <c r="U129" s="439"/>
      <c r="V129" s="670"/>
      <c r="W129" s="670"/>
      <c r="X129" s="439"/>
      <c r="Y129" s="766" t="s">
        <v>129</v>
      </c>
      <c r="Z129" s="785"/>
      <c r="AA129" s="786"/>
      <c r="AB129" s="813"/>
      <c r="AC129" s="821" t="s">
        <v>129</v>
      </c>
      <c r="AD129" s="813"/>
      <c r="AE129" s="813"/>
      <c r="AF129" s="663"/>
    </row>
    <row r="130" spans="1:32" ht="15.75">
      <c r="A130" s="633"/>
      <c r="B130" s="634"/>
      <c r="C130" s="633"/>
      <c r="D130" s="544"/>
      <c r="E130" s="545"/>
      <c r="F130" s="546"/>
      <c r="G130" s="633" t="s">
        <v>129</v>
      </c>
      <c r="H130" s="636"/>
      <c r="I130" s="636"/>
      <c r="J130" s="549"/>
      <c r="K130" s="635"/>
      <c r="L130" s="633"/>
      <c r="M130" s="549"/>
      <c r="N130" s="592" t="s">
        <v>129</v>
      </c>
      <c r="O130" s="594" t="s">
        <v>129</v>
      </c>
      <c r="P130" s="743"/>
      <c r="Q130" s="431">
        <v>0.05</v>
      </c>
      <c r="R130" s="430">
        <v>894</v>
      </c>
      <c r="S130" s="499">
        <v>84</v>
      </c>
      <c r="T130" s="751" t="s">
        <v>129</v>
      </c>
      <c r="U130" s="439">
        <v>10.86</v>
      </c>
      <c r="V130" s="636"/>
      <c r="W130" s="636"/>
      <c r="X130" s="439">
        <v>1.4000000000000001</v>
      </c>
      <c r="Y130" s="761" t="s">
        <v>129</v>
      </c>
      <c r="Z130" s="776"/>
      <c r="AA130" s="777"/>
      <c r="AB130" s="633"/>
      <c r="AC130" s="818" t="s">
        <v>129</v>
      </c>
      <c r="AD130" s="811"/>
      <c r="AE130" s="811"/>
      <c r="AF130" s="633"/>
    </row>
    <row r="131" spans="1:32" ht="15.75">
      <c r="A131" s="624">
        <v>2010</v>
      </c>
      <c r="B131" s="625"/>
      <c r="C131" s="626" t="s">
        <v>723</v>
      </c>
      <c r="D131" s="627"/>
      <c r="E131" s="628"/>
      <c r="F131" s="629"/>
      <c r="G131" s="630" t="s">
        <v>129</v>
      </c>
      <c r="H131" s="631"/>
      <c r="I131" s="631"/>
      <c r="J131" s="632"/>
      <c r="K131" s="632"/>
      <c r="L131" s="627"/>
      <c r="M131" s="632"/>
      <c r="N131" s="739" t="s">
        <v>129</v>
      </c>
      <c r="O131" s="744" t="s">
        <v>129</v>
      </c>
      <c r="P131" s="742"/>
      <c r="Q131" s="431">
        <v>0.05</v>
      </c>
      <c r="R131" s="430">
        <v>1005.75</v>
      </c>
      <c r="S131" s="500">
        <v>66</v>
      </c>
      <c r="T131" s="750" t="s">
        <v>129</v>
      </c>
      <c r="U131" s="439">
        <v>10.00625</v>
      </c>
      <c r="V131" s="631"/>
      <c r="W131" s="631"/>
      <c r="X131" s="439">
        <v>1.4000000000000001</v>
      </c>
      <c r="Y131" s="763" t="s">
        <v>129</v>
      </c>
      <c r="Z131" s="774"/>
      <c r="AA131" s="775"/>
      <c r="AB131" s="810"/>
      <c r="AC131" s="817" t="s">
        <v>129</v>
      </c>
      <c r="AD131" s="810"/>
      <c r="AE131" s="810"/>
      <c r="AF131" s="624">
        <v>2010</v>
      </c>
    </row>
    <row r="132" spans="1:32" ht="15.75">
      <c r="A132" s="633"/>
      <c r="B132" s="634"/>
      <c r="C132" s="633"/>
      <c r="D132" s="544"/>
      <c r="E132" s="545"/>
      <c r="F132" s="546"/>
      <c r="G132" s="633" t="s">
        <v>129</v>
      </c>
      <c r="H132" s="636"/>
      <c r="I132" s="636"/>
      <c r="J132" s="549"/>
      <c r="K132" s="635"/>
      <c r="L132" s="633"/>
      <c r="M132" s="549"/>
      <c r="N132" s="592" t="s">
        <v>129</v>
      </c>
      <c r="O132" s="594" t="s">
        <v>129</v>
      </c>
      <c r="P132" s="743"/>
      <c r="Q132" s="431">
        <v>0.05</v>
      </c>
      <c r="R132" s="430">
        <v>1229.25</v>
      </c>
      <c r="S132" s="175">
        <v>132</v>
      </c>
      <c r="T132" s="751" t="s">
        <v>129</v>
      </c>
      <c r="U132" s="439">
        <v>10.216071428571428</v>
      </c>
      <c r="V132" s="636"/>
      <c r="W132" s="636"/>
      <c r="X132" s="439">
        <v>1.4000000000000001</v>
      </c>
      <c r="Y132" s="761" t="s">
        <v>129</v>
      </c>
      <c r="Z132" s="776"/>
      <c r="AA132" s="777"/>
      <c r="AB132" s="633"/>
      <c r="AC132" s="818" t="s">
        <v>129</v>
      </c>
      <c r="AD132" s="811"/>
      <c r="AE132" s="811"/>
      <c r="AF132" s="633"/>
    </row>
    <row r="133" spans="1:32" ht="31.5">
      <c r="A133" s="643">
        <v>2011</v>
      </c>
      <c r="B133" s="644"/>
      <c r="C133" s="644" t="s">
        <v>724</v>
      </c>
      <c r="D133" s="544" t="s">
        <v>221</v>
      </c>
      <c r="E133" s="545">
        <v>9300</v>
      </c>
      <c r="F133" s="648">
        <v>12</v>
      </c>
      <c r="G133" s="645" t="s">
        <v>129</v>
      </c>
      <c r="H133" s="636">
        <v>10.5</v>
      </c>
      <c r="I133" s="636">
        <v>15</v>
      </c>
      <c r="J133" s="549">
        <v>100</v>
      </c>
      <c r="K133" s="554" t="s">
        <v>221</v>
      </c>
      <c r="L133" s="562">
        <v>15</v>
      </c>
      <c r="M133" s="549">
        <v>5000</v>
      </c>
      <c r="N133" s="592">
        <v>0.25</v>
      </c>
      <c r="O133" s="594">
        <v>1.85</v>
      </c>
      <c r="P133" s="590">
        <v>24</v>
      </c>
      <c r="Q133" s="431">
        <v>0.05</v>
      </c>
      <c r="R133" s="430">
        <v>137.82499999999999</v>
      </c>
      <c r="S133" s="500">
        <v>66</v>
      </c>
      <c r="T133" s="751">
        <v>749.25</v>
      </c>
      <c r="U133" s="439">
        <v>2.2552499999999998</v>
      </c>
      <c r="V133" s="636">
        <v>3.4410000000000003</v>
      </c>
      <c r="W133" s="636"/>
      <c r="X133" s="439">
        <v>1.4000000000000001</v>
      </c>
      <c r="Y133" s="761">
        <v>3.4410000000000003</v>
      </c>
      <c r="Z133" s="776">
        <v>12.026850000000001</v>
      </c>
      <c r="AA133" s="777"/>
      <c r="AB133" s="811"/>
      <c r="AC133" s="818">
        <v>18.600000000000001</v>
      </c>
      <c r="AD133" s="811" t="s">
        <v>633</v>
      </c>
      <c r="AE133" s="811">
        <v>0</v>
      </c>
      <c r="AF133" s="643">
        <v>2011</v>
      </c>
    </row>
    <row r="134" spans="1:32" ht="31.5">
      <c r="A134" s="643">
        <v>2012</v>
      </c>
      <c r="B134" s="644"/>
      <c r="C134" s="644" t="s">
        <v>725</v>
      </c>
      <c r="D134" s="544" t="s">
        <v>221</v>
      </c>
      <c r="E134" s="545">
        <v>12000</v>
      </c>
      <c r="F134" s="648">
        <v>13</v>
      </c>
      <c r="G134" s="645" t="s">
        <v>129</v>
      </c>
      <c r="H134" s="636">
        <v>11</v>
      </c>
      <c r="I134" s="636">
        <v>15.5</v>
      </c>
      <c r="J134" s="549">
        <v>120</v>
      </c>
      <c r="K134" s="554" t="s">
        <v>221</v>
      </c>
      <c r="L134" s="562">
        <v>15</v>
      </c>
      <c r="M134" s="549">
        <v>5000</v>
      </c>
      <c r="N134" s="592">
        <v>0.25</v>
      </c>
      <c r="O134" s="594">
        <v>1.65</v>
      </c>
      <c r="P134" s="590">
        <v>24</v>
      </c>
      <c r="Q134" s="431">
        <v>0.02</v>
      </c>
      <c r="R134" s="430">
        <v>111.75</v>
      </c>
      <c r="S134" s="499"/>
      <c r="T134" s="751">
        <v>918</v>
      </c>
      <c r="U134" s="439">
        <v>3.1958333333333333</v>
      </c>
      <c r="V134" s="636">
        <v>3.9599999999999995</v>
      </c>
      <c r="W134" s="636"/>
      <c r="X134" s="439">
        <v>0.56000000000000005</v>
      </c>
      <c r="Y134" s="761">
        <v>3.9599999999999995</v>
      </c>
      <c r="Z134" s="776">
        <v>12.771000000000001</v>
      </c>
      <c r="AA134" s="777"/>
      <c r="AB134" s="811"/>
      <c r="AC134" s="818">
        <v>24</v>
      </c>
      <c r="AD134" s="811" t="s">
        <v>633</v>
      </c>
      <c r="AE134" s="811">
        <v>0</v>
      </c>
      <c r="AF134" s="643">
        <v>2012</v>
      </c>
    </row>
    <row r="135" spans="1:32" ht="15.75">
      <c r="A135" s="643">
        <v>2013</v>
      </c>
      <c r="B135" s="644"/>
      <c r="C135" s="644" t="s">
        <v>726</v>
      </c>
      <c r="D135" s="544" t="s">
        <v>221</v>
      </c>
      <c r="E135" s="545">
        <v>14000</v>
      </c>
      <c r="F135" s="648">
        <v>13</v>
      </c>
      <c r="G135" s="645" t="s">
        <v>129</v>
      </c>
      <c r="H135" s="636">
        <v>11.5</v>
      </c>
      <c r="I135" s="636">
        <v>15.5</v>
      </c>
      <c r="J135" s="549">
        <v>140</v>
      </c>
      <c r="K135" s="554" t="s">
        <v>221</v>
      </c>
      <c r="L135" s="562">
        <v>15</v>
      </c>
      <c r="M135" s="549">
        <v>5000</v>
      </c>
      <c r="N135" s="592">
        <v>0.25</v>
      </c>
      <c r="O135" s="594">
        <v>1.55</v>
      </c>
      <c r="P135" s="590">
        <v>24</v>
      </c>
      <c r="Q135" s="431">
        <v>0.05</v>
      </c>
      <c r="R135" s="430">
        <v>145.27500000000001</v>
      </c>
      <c r="S135" s="496"/>
      <c r="T135" s="751">
        <v>1043</v>
      </c>
      <c r="U135" s="439">
        <v>2.4017500000000003</v>
      </c>
      <c r="V135" s="636">
        <v>4.34</v>
      </c>
      <c r="W135" s="636"/>
      <c r="X135" s="439">
        <v>1.4000000000000001</v>
      </c>
      <c r="Y135" s="761">
        <v>4.34</v>
      </c>
      <c r="Z135" s="776">
        <v>12.968999999999999</v>
      </c>
      <c r="AA135" s="777"/>
      <c r="AB135" s="811"/>
      <c r="AC135" s="818">
        <v>28</v>
      </c>
      <c r="AD135" s="811" t="s">
        <v>633</v>
      </c>
      <c r="AE135" s="811">
        <v>0</v>
      </c>
      <c r="AF135" s="643">
        <v>2013</v>
      </c>
    </row>
    <row r="136" spans="1:32" ht="15.75">
      <c r="A136" s="643">
        <v>2014</v>
      </c>
      <c r="B136" s="644"/>
      <c r="C136" s="644" t="s">
        <v>727</v>
      </c>
      <c r="D136" s="551"/>
      <c r="E136" s="545">
        <v>1800</v>
      </c>
      <c r="F136" s="648">
        <v>3.1</v>
      </c>
      <c r="G136" s="659" t="s">
        <v>129</v>
      </c>
      <c r="H136" s="636">
        <v>2.6</v>
      </c>
      <c r="I136" s="636">
        <v>3.8</v>
      </c>
      <c r="J136" s="549">
        <v>100</v>
      </c>
      <c r="K136" s="554"/>
      <c r="L136" s="562">
        <v>15</v>
      </c>
      <c r="M136" s="549">
        <v>5000</v>
      </c>
      <c r="N136" s="592">
        <v>0.25</v>
      </c>
      <c r="O136" s="594">
        <v>2.25</v>
      </c>
      <c r="P136" s="590">
        <v>12</v>
      </c>
      <c r="Q136" s="431">
        <v>0.05</v>
      </c>
      <c r="R136" s="430">
        <v>491.7</v>
      </c>
      <c r="S136" s="499"/>
      <c r="T136" s="751">
        <v>196.5</v>
      </c>
      <c r="U136" s="439">
        <v>5.8190000000000008</v>
      </c>
      <c r="V136" s="636">
        <v>0.80999999999999994</v>
      </c>
      <c r="W136" s="636"/>
      <c r="X136" s="439">
        <v>1.4000000000000001</v>
      </c>
      <c r="Y136" s="761">
        <v>0.80999999999999994</v>
      </c>
      <c r="Z136" s="776">
        <v>3.0525000000000002</v>
      </c>
      <c r="AA136" s="782"/>
      <c r="AB136" s="811"/>
      <c r="AC136" s="818">
        <v>3.6</v>
      </c>
      <c r="AD136" s="811" t="s">
        <v>633</v>
      </c>
      <c r="AE136" s="811">
        <v>0</v>
      </c>
      <c r="AF136" s="643">
        <v>2014</v>
      </c>
    </row>
    <row r="137" spans="1:32" ht="15.75">
      <c r="A137" s="643">
        <v>2015</v>
      </c>
      <c r="B137" s="644"/>
      <c r="C137" s="644" t="s">
        <v>728</v>
      </c>
      <c r="D137" s="544" t="s">
        <v>221</v>
      </c>
      <c r="E137" s="545">
        <v>2900</v>
      </c>
      <c r="F137" s="648">
        <v>5.9</v>
      </c>
      <c r="G137" s="645" t="s">
        <v>129</v>
      </c>
      <c r="H137" s="636">
        <v>4.9000000000000004</v>
      </c>
      <c r="I137" s="636">
        <v>7.4</v>
      </c>
      <c r="J137" s="549">
        <v>60</v>
      </c>
      <c r="K137" s="554" t="s">
        <v>221</v>
      </c>
      <c r="L137" s="562">
        <v>15</v>
      </c>
      <c r="M137" s="549">
        <v>4000</v>
      </c>
      <c r="N137" s="592">
        <v>0.25</v>
      </c>
      <c r="O137" s="594">
        <v>1.4</v>
      </c>
      <c r="P137" s="590">
        <v>11</v>
      </c>
      <c r="Q137" s="431">
        <v>0.05</v>
      </c>
      <c r="R137" s="430">
        <v>365.05</v>
      </c>
      <c r="S137" s="497">
        <v>66</v>
      </c>
      <c r="T137" s="751">
        <v>258.25</v>
      </c>
      <c r="U137" s="439">
        <v>4.7285000000000004</v>
      </c>
      <c r="V137" s="636">
        <v>1.0149999999999999</v>
      </c>
      <c r="W137" s="636"/>
      <c r="X137" s="439">
        <v>1.4000000000000001</v>
      </c>
      <c r="Y137" s="761">
        <v>1.0149999999999999</v>
      </c>
      <c r="Z137" s="776">
        <v>5.8510833333333334</v>
      </c>
      <c r="AA137" s="777"/>
      <c r="AB137" s="811"/>
      <c r="AC137" s="818">
        <v>5.8</v>
      </c>
      <c r="AD137" s="811" t="s">
        <v>633</v>
      </c>
      <c r="AE137" s="811">
        <v>0</v>
      </c>
      <c r="AF137" s="643">
        <v>2015</v>
      </c>
    </row>
    <row r="138" spans="1:32" ht="15.75">
      <c r="A138" s="643">
        <v>2016</v>
      </c>
      <c r="B138" s="644"/>
      <c r="C138" s="644" t="s">
        <v>729</v>
      </c>
      <c r="D138" s="551"/>
      <c r="E138" s="545">
        <v>2400</v>
      </c>
      <c r="F138" s="648">
        <v>3.6</v>
      </c>
      <c r="G138" s="659" t="s">
        <v>129</v>
      </c>
      <c r="H138" s="636">
        <v>3.1</v>
      </c>
      <c r="I138" s="636">
        <v>4.5</v>
      </c>
      <c r="J138" s="549">
        <v>100</v>
      </c>
      <c r="K138" s="554"/>
      <c r="L138" s="562">
        <v>15</v>
      </c>
      <c r="M138" s="549">
        <v>5000</v>
      </c>
      <c r="N138" s="592">
        <v>0.25</v>
      </c>
      <c r="O138" s="594">
        <v>1.8</v>
      </c>
      <c r="P138" s="590">
        <v>13</v>
      </c>
      <c r="Q138" s="431">
        <v>0.05</v>
      </c>
      <c r="R138" s="430">
        <v>89.4</v>
      </c>
      <c r="S138" s="175">
        <v>66</v>
      </c>
      <c r="T138" s="751">
        <v>241</v>
      </c>
      <c r="U138" s="439">
        <v>2.8133333333333335</v>
      </c>
      <c r="V138" s="636">
        <v>0.86399999999999999</v>
      </c>
      <c r="W138" s="636"/>
      <c r="X138" s="439">
        <v>1.4000000000000001</v>
      </c>
      <c r="Y138" s="761">
        <v>0.86399999999999999</v>
      </c>
      <c r="Z138" s="776">
        <v>3.6014000000000004</v>
      </c>
      <c r="AA138" s="782"/>
      <c r="AB138" s="811"/>
      <c r="AC138" s="818">
        <v>4.8</v>
      </c>
      <c r="AD138" s="811" t="s">
        <v>633</v>
      </c>
      <c r="AE138" s="811">
        <v>0</v>
      </c>
      <c r="AF138" s="643">
        <v>2016</v>
      </c>
    </row>
    <row r="139" spans="1:32" ht="15.75">
      <c r="A139" s="643">
        <v>2017</v>
      </c>
      <c r="B139" s="644"/>
      <c r="C139" s="644" t="s">
        <v>730</v>
      </c>
      <c r="D139" s="551"/>
      <c r="E139" s="545">
        <v>5000</v>
      </c>
      <c r="F139" s="648">
        <v>7.1</v>
      </c>
      <c r="G139" s="659" t="s">
        <v>129</v>
      </c>
      <c r="H139" s="636">
        <v>6.3</v>
      </c>
      <c r="I139" s="636">
        <v>8.6</v>
      </c>
      <c r="J139" s="549">
        <v>100</v>
      </c>
      <c r="K139" s="554"/>
      <c r="L139" s="562">
        <v>15</v>
      </c>
      <c r="M139" s="549">
        <v>5000</v>
      </c>
      <c r="N139" s="592">
        <v>0.25</v>
      </c>
      <c r="O139" s="594">
        <v>2.6</v>
      </c>
      <c r="P139" s="590">
        <v>11</v>
      </c>
      <c r="Q139" s="431">
        <v>0.02</v>
      </c>
      <c r="R139" s="430">
        <v>298</v>
      </c>
      <c r="S139" s="497">
        <v>90</v>
      </c>
      <c r="T139" s="751">
        <v>389.5</v>
      </c>
      <c r="U139" s="439">
        <v>7.666666666666667</v>
      </c>
      <c r="V139" s="636">
        <v>2.6</v>
      </c>
      <c r="W139" s="636"/>
      <c r="X139" s="439">
        <v>0.56000000000000005</v>
      </c>
      <c r="Y139" s="761">
        <v>2.6</v>
      </c>
      <c r="Z139" s="776">
        <v>7.1445000000000007</v>
      </c>
      <c r="AA139" s="782"/>
      <c r="AB139" s="811"/>
      <c r="AC139" s="818">
        <v>10</v>
      </c>
      <c r="AD139" s="811" t="s">
        <v>633</v>
      </c>
      <c r="AE139" s="811">
        <v>0</v>
      </c>
      <c r="AF139" s="643">
        <v>2017</v>
      </c>
    </row>
    <row r="140" spans="1:32" ht="15.75">
      <c r="A140" s="643">
        <v>2018</v>
      </c>
      <c r="B140" s="644"/>
      <c r="C140" s="644" t="s">
        <v>731</v>
      </c>
      <c r="D140" s="551"/>
      <c r="E140" s="545">
        <v>4700</v>
      </c>
      <c r="F140" s="648">
        <v>7.1</v>
      </c>
      <c r="G140" s="659" t="s">
        <v>129</v>
      </c>
      <c r="H140" s="636">
        <v>6.2</v>
      </c>
      <c r="I140" s="636">
        <v>8.5</v>
      </c>
      <c r="J140" s="549">
        <v>100</v>
      </c>
      <c r="K140" s="554"/>
      <c r="L140" s="562">
        <v>15</v>
      </c>
      <c r="M140" s="549">
        <v>5000</v>
      </c>
      <c r="N140" s="592">
        <v>0.25</v>
      </c>
      <c r="O140" s="594">
        <v>2.7</v>
      </c>
      <c r="P140" s="590">
        <v>14</v>
      </c>
      <c r="Q140" s="431">
        <v>0.05</v>
      </c>
      <c r="R140" s="430">
        <v>122.925</v>
      </c>
      <c r="S140" s="175">
        <v>66</v>
      </c>
      <c r="T140" s="751">
        <v>391.75</v>
      </c>
      <c r="U140" s="439">
        <v>3.3870833333333339</v>
      </c>
      <c r="V140" s="636">
        <v>2.5379999999999998</v>
      </c>
      <c r="W140" s="636"/>
      <c r="X140" s="439">
        <v>1.4000000000000001</v>
      </c>
      <c r="Y140" s="761">
        <v>2.5379999999999998</v>
      </c>
      <c r="Z140" s="776">
        <v>7.1010500000000008</v>
      </c>
      <c r="AA140" s="782"/>
      <c r="AB140" s="811"/>
      <c r="AC140" s="818">
        <v>9.4</v>
      </c>
      <c r="AD140" s="811" t="s">
        <v>633</v>
      </c>
      <c r="AE140" s="811">
        <v>0</v>
      </c>
      <c r="AF140" s="643">
        <v>2018</v>
      </c>
    </row>
    <row r="141" spans="1:32" ht="15.75">
      <c r="A141" s="643">
        <v>2019</v>
      </c>
      <c r="B141" s="644"/>
      <c r="C141" s="644" t="s">
        <v>732</v>
      </c>
      <c r="D141" s="551"/>
      <c r="E141" s="545">
        <v>1100</v>
      </c>
      <c r="F141" s="648">
        <v>3</v>
      </c>
      <c r="G141" s="659" t="s">
        <v>129</v>
      </c>
      <c r="H141" s="636">
        <v>2.5</v>
      </c>
      <c r="I141" s="636">
        <v>3.9</v>
      </c>
      <c r="J141" s="549">
        <v>60</v>
      </c>
      <c r="K141" s="554"/>
      <c r="L141" s="562">
        <v>15</v>
      </c>
      <c r="M141" s="549">
        <v>5000</v>
      </c>
      <c r="N141" s="592">
        <v>0.25</v>
      </c>
      <c r="O141" s="594">
        <v>1.55</v>
      </c>
      <c r="P141" s="590">
        <v>11</v>
      </c>
      <c r="Q141" s="431"/>
      <c r="R141" s="430" t="s">
        <v>129</v>
      </c>
      <c r="S141" s="497">
        <v>120</v>
      </c>
      <c r="T141" s="751">
        <v>145.75</v>
      </c>
      <c r="U141" s="439"/>
      <c r="V141" s="636">
        <v>0.34100000000000003</v>
      </c>
      <c r="W141" s="636"/>
      <c r="X141" s="439"/>
      <c r="Y141" s="761">
        <v>0.34100000000000003</v>
      </c>
      <c r="Z141" s="776">
        <v>3.0471833333333338</v>
      </c>
      <c r="AA141" s="782"/>
      <c r="AB141" s="811"/>
      <c r="AC141" s="818">
        <v>2.2000000000000002</v>
      </c>
      <c r="AD141" s="811" t="s">
        <v>633</v>
      </c>
      <c r="AE141" s="811">
        <v>0</v>
      </c>
      <c r="AF141" s="643">
        <v>2019</v>
      </c>
    </row>
    <row r="142" spans="1:32" ht="15.75">
      <c r="A142" s="643">
        <v>2020</v>
      </c>
      <c r="B142" s="644"/>
      <c r="C142" s="644" t="s">
        <v>733</v>
      </c>
      <c r="D142" s="544" t="s">
        <v>221</v>
      </c>
      <c r="E142" s="545">
        <v>3300</v>
      </c>
      <c r="F142" s="648">
        <v>7.8</v>
      </c>
      <c r="G142" s="645" t="s">
        <v>129</v>
      </c>
      <c r="H142" s="636">
        <v>6.5</v>
      </c>
      <c r="I142" s="636">
        <v>10</v>
      </c>
      <c r="J142" s="549">
        <v>60</v>
      </c>
      <c r="K142" s="554" t="s">
        <v>221</v>
      </c>
      <c r="L142" s="562">
        <v>15</v>
      </c>
      <c r="M142" s="549">
        <v>4000</v>
      </c>
      <c r="N142" s="592">
        <v>0.25</v>
      </c>
      <c r="O142" s="594">
        <v>1.35</v>
      </c>
      <c r="P142" s="590">
        <v>22</v>
      </c>
      <c r="Q142" s="429"/>
      <c r="R142" s="430" t="s">
        <v>129</v>
      </c>
      <c r="S142" s="175">
        <v>72</v>
      </c>
      <c r="T142" s="751">
        <v>360.25</v>
      </c>
      <c r="U142" s="438"/>
      <c r="V142" s="636">
        <v>1.11375</v>
      </c>
      <c r="W142" s="636"/>
      <c r="X142" s="438"/>
      <c r="Y142" s="761">
        <v>1.11375</v>
      </c>
      <c r="Z142" s="776">
        <v>7.8297083333333335</v>
      </c>
      <c r="AA142" s="777"/>
      <c r="AB142" s="811"/>
      <c r="AC142" s="818">
        <v>6.6000000000000005</v>
      </c>
      <c r="AD142" s="811" t="s">
        <v>633</v>
      </c>
      <c r="AE142" s="811">
        <v>0</v>
      </c>
      <c r="AF142" s="643">
        <v>2020</v>
      </c>
    </row>
    <row r="143" spans="1:32" ht="15.75">
      <c r="A143" s="643">
        <v>2021</v>
      </c>
      <c r="B143" s="644"/>
      <c r="C143" s="644" t="s">
        <v>734</v>
      </c>
      <c r="D143" s="551"/>
      <c r="E143" s="545">
        <v>1750</v>
      </c>
      <c r="F143" s="648">
        <v>4.3</v>
      </c>
      <c r="G143" s="659" t="s">
        <v>129</v>
      </c>
      <c r="H143" s="636">
        <v>3.6</v>
      </c>
      <c r="I143" s="636">
        <v>5.4</v>
      </c>
      <c r="J143" s="549">
        <v>60</v>
      </c>
      <c r="K143" s="554"/>
      <c r="L143" s="562">
        <v>15</v>
      </c>
      <c r="M143" s="549">
        <v>5000</v>
      </c>
      <c r="N143" s="592">
        <v>0.25</v>
      </c>
      <c r="O143" s="594">
        <v>2.2999999999999998</v>
      </c>
      <c r="P143" s="590">
        <v>11</v>
      </c>
      <c r="Q143" s="431"/>
      <c r="R143" s="430" t="s">
        <v>129</v>
      </c>
      <c r="S143" s="497">
        <v>72</v>
      </c>
      <c r="T143" s="751">
        <v>186.375</v>
      </c>
      <c r="U143" s="439"/>
      <c r="V143" s="636">
        <v>0.80499999999999994</v>
      </c>
      <c r="W143" s="636"/>
      <c r="X143" s="439"/>
      <c r="Y143" s="761">
        <v>0.80499999999999994</v>
      </c>
      <c r="Z143" s="776">
        <v>4.3023750000000005</v>
      </c>
      <c r="AA143" s="782"/>
      <c r="AB143" s="811"/>
      <c r="AC143" s="818">
        <v>3.5</v>
      </c>
      <c r="AD143" s="811" t="s">
        <v>633</v>
      </c>
      <c r="AE143" s="811">
        <v>0</v>
      </c>
      <c r="AF143" s="643">
        <v>2021</v>
      </c>
    </row>
    <row r="144" spans="1:32" ht="15.75">
      <c r="A144" s="633"/>
      <c r="B144" s="634"/>
      <c r="C144" s="633"/>
      <c r="D144" s="551"/>
      <c r="E144" s="545"/>
      <c r="F144" s="649"/>
      <c r="G144" s="659" t="s">
        <v>129</v>
      </c>
      <c r="H144" s="636"/>
      <c r="I144" s="636"/>
      <c r="J144" s="549"/>
      <c r="K144" s="635"/>
      <c r="L144" s="633"/>
      <c r="M144" s="549"/>
      <c r="N144" s="592" t="s">
        <v>129</v>
      </c>
      <c r="O144" s="594" t="s">
        <v>129</v>
      </c>
      <c r="P144" s="743"/>
      <c r="Q144" s="431">
        <v>0.02</v>
      </c>
      <c r="R144" s="430">
        <v>108.02500000000001</v>
      </c>
      <c r="S144" s="175">
        <v>72</v>
      </c>
      <c r="T144" s="751" t="s">
        <v>129</v>
      </c>
      <c r="U144" s="439">
        <v>3.1320833333333336</v>
      </c>
      <c r="V144" s="636"/>
      <c r="W144" s="636"/>
      <c r="X144" s="439">
        <v>0.56000000000000005</v>
      </c>
      <c r="Y144" s="761" t="s">
        <v>129</v>
      </c>
      <c r="Z144" s="776"/>
      <c r="AA144" s="782"/>
      <c r="AB144" s="633"/>
      <c r="AC144" s="818" t="s">
        <v>129</v>
      </c>
      <c r="AD144" s="811"/>
      <c r="AE144" s="811"/>
      <c r="AF144" s="633"/>
    </row>
    <row r="145" spans="1:32" ht="15.75">
      <c r="A145" s="624">
        <v>2030</v>
      </c>
      <c r="B145" s="625"/>
      <c r="C145" s="626" t="s">
        <v>735</v>
      </c>
      <c r="D145" s="627"/>
      <c r="E145" s="628"/>
      <c r="F145" s="646"/>
      <c r="G145" s="630" t="s">
        <v>129</v>
      </c>
      <c r="H145" s="631"/>
      <c r="I145" s="631"/>
      <c r="J145" s="632"/>
      <c r="K145" s="632"/>
      <c r="L145" s="627"/>
      <c r="M145" s="632"/>
      <c r="N145" s="739" t="s">
        <v>129</v>
      </c>
      <c r="O145" s="744" t="s">
        <v>129</v>
      </c>
      <c r="P145" s="742"/>
      <c r="Q145" s="431">
        <v>0.02</v>
      </c>
      <c r="R145" s="430">
        <v>216.05</v>
      </c>
      <c r="S145" s="497">
        <v>114</v>
      </c>
      <c r="T145" s="750" t="s">
        <v>129</v>
      </c>
      <c r="U145" s="439">
        <v>4.9808333333333339</v>
      </c>
      <c r="V145" s="631"/>
      <c r="W145" s="631"/>
      <c r="X145" s="439">
        <v>0.56000000000000005</v>
      </c>
      <c r="Y145" s="763" t="s">
        <v>129</v>
      </c>
      <c r="Z145" s="774"/>
      <c r="AA145" s="775"/>
      <c r="AB145" s="810"/>
      <c r="AC145" s="817" t="s">
        <v>129</v>
      </c>
      <c r="AD145" s="810"/>
      <c r="AE145" s="810"/>
      <c r="AF145" s="624">
        <v>2030</v>
      </c>
    </row>
    <row r="146" spans="1:32" ht="15.75">
      <c r="A146" s="633"/>
      <c r="B146" s="634"/>
      <c r="C146" s="633"/>
      <c r="D146" s="551"/>
      <c r="E146" s="545"/>
      <c r="F146" s="649"/>
      <c r="G146" s="659" t="s">
        <v>129</v>
      </c>
      <c r="H146" s="636"/>
      <c r="I146" s="636"/>
      <c r="J146" s="549"/>
      <c r="K146" s="635"/>
      <c r="L146" s="633"/>
      <c r="M146" s="549"/>
      <c r="N146" s="592" t="s">
        <v>129</v>
      </c>
      <c r="O146" s="594" t="s">
        <v>129</v>
      </c>
      <c r="P146" s="743"/>
      <c r="Q146" s="431">
        <v>0.05</v>
      </c>
      <c r="R146" s="430">
        <v>707.75</v>
      </c>
      <c r="S146" s="175"/>
      <c r="T146" s="751" t="s">
        <v>129</v>
      </c>
      <c r="U146" s="439">
        <v>11.09</v>
      </c>
      <c r="V146" s="636"/>
      <c r="W146" s="636"/>
      <c r="X146" s="439">
        <v>1.4000000000000001</v>
      </c>
      <c r="Y146" s="761" t="s">
        <v>129</v>
      </c>
      <c r="Z146" s="776"/>
      <c r="AA146" s="782"/>
      <c r="AB146" s="633"/>
      <c r="AC146" s="818" t="s">
        <v>129</v>
      </c>
      <c r="AD146" s="811"/>
      <c r="AE146" s="811"/>
      <c r="AF146" s="633"/>
    </row>
    <row r="147" spans="1:32" ht="15.75">
      <c r="A147" s="643">
        <v>2031</v>
      </c>
      <c r="B147" s="644"/>
      <c r="C147" s="644" t="s">
        <v>736</v>
      </c>
      <c r="D147" s="544" t="s">
        <v>221</v>
      </c>
      <c r="E147" s="545">
        <v>500</v>
      </c>
      <c r="F147" s="648">
        <v>2.8</v>
      </c>
      <c r="G147" s="645" t="s">
        <v>129</v>
      </c>
      <c r="H147" s="636">
        <v>2.4</v>
      </c>
      <c r="I147" s="636">
        <v>3.5</v>
      </c>
      <c r="J147" s="549">
        <v>60</v>
      </c>
      <c r="K147" s="554" t="s">
        <v>221</v>
      </c>
      <c r="L147" s="562">
        <v>15</v>
      </c>
      <c r="M147" s="549">
        <v>4000</v>
      </c>
      <c r="N147" s="592">
        <v>0.25</v>
      </c>
      <c r="O147" s="594">
        <v>6.1</v>
      </c>
      <c r="P147" s="590">
        <v>11</v>
      </c>
      <c r="Q147" s="433">
        <v>0.01</v>
      </c>
      <c r="R147" s="430">
        <v>171.35</v>
      </c>
      <c r="S147" s="496"/>
      <c r="T147" s="751">
        <v>108.25</v>
      </c>
      <c r="U147" s="439">
        <v>2.5295000000000001</v>
      </c>
      <c r="V147" s="636">
        <v>0.76249999999999996</v>
      </c>
      <c r="W147" s="636"/>
      <c r="X147" s="439">
        <v>0.28000000000000003</v>
      </c>
      <c r="Y147" s="761">
        <v>0.76249999999999996</v>
      </c>
      <c r="Z147" s="776">
        <v>2.8233333333333333</v>
      </c>
      <c r="AA147" s="777"/>
      <c r="AB147" s="811"/>
      <c r="AC147" s="818">
        <v>1</v>
      </c>
      <c r="AD147" s="811" t="s">
        <v>633</v>
      </c>
      <c r="AE147" s="811">
        <v>0</v>
      </c>
      <c r="AF147" s="643">
        <v>2031</v>
      </c>
    </row>
    <row r="148" spans="1:32" ht="15.75">
      <c r="A148" s="643">
        <v>2032</v>
      </c>
      <c r="B148" s="644"/>
      <c r="C148" s="644" t="s">
        <v>737</v>
      </c>
      <c r="D148" s="565"/>
      <c r="E148" s="545">
        <v>5600</v>
      </c>
      <c r="F148" s="648">
        <v>10.1</v>
      </c>
      <c r="G148" s="673" t="s">
        <v>129</v>
      </c>
      <c r="H148" s="636">
        <v>8.5</v>
      </c>
      <c r="I148" s="636">
        <v>12.7</v>
      </c>
      <c r="J148" s="549">
        <v>60</v>
      </c>
      <c r="K148" s="554" t="s">
        <v>221</v>
      </c>
      <c r="L148" s="562">
        <v>15</v>
      </c>
      <c r="M148" s="549">
        <v>4000</v>
      </c>
      <c r="N148" s="592">
        <v>0.25</v>
      </c>
      <c r="O148" s="594">
        <v>1.45</v>
      </c>
      <c r="P148" s="590">
        <v>11</v>
      </c>
      <c r="Q148" s="431">
        <v>0.02</v>
      </c>
      <c r="R148" s="430">
        <v>217.5</v>
      </c>
      <c r="S148" s="499"/>
      <c r="T148" s="751">
        <v>427</v>
      </c>
      <c r="U148" s="439">
        <v>3.0208333333333335</v>
      </c>
      <c r="V148" s="636">
        <v>2.0299999999999998</v>
      </c>
      <c r="W148" s="636"/>
      <c r="X148" s="439">
        <v>0.56000000000000005</v>
      </c>
      <c r="Y148" s="761">
        <v>2.0299999999999998</v>
      </c>
      <c r="Z148" s="776">
        <v>10.061333333333334</v>
      </c>
      <c r="AA148" s="787"/>
      <c r="AB148" s="811"/>
      <c r="AC148" s="818">
        <v>11.200000000000001</v>
      </c>
      <c r="AD148" s="811" t="s">
        <v>633</v>
      </c>
      <c r="AE148" s="811">
        <v>0</v>
      </c>
      <c r="AF148" s="643">
        <v>2032</v>
      </c>
    </row>
    <row r="149" spans="1:32" ht="15.75">
      <c r="A149" s="643">
        <v>2033</v>
      </c>
      <c r="B149" s="644"/>
      <c r="C149" s="644" t="s">
        <v>738</v>
      </c>
      <c r="D149" s="544" t="s">
        <v>221</v>
      </c>
      <c r="E149" s="545">
        <v>14500</v>
      </c>
      <c r="F149" s="648">
        <v>19.5</v>
      </c>
      <c r="G149" s="645" t="s">
        <v>129</v>
      </c>
      <c r="H149" s="636">
        <v>16.5</v>
      </c>
      <c r="I149" s="636">
        <v>24.5</v>
      </c>
      <c r="J149" s="549">
        <v>75</v>
      </c>
      <c r="K149" s="554" t="s">
        <v>221</v>
      </c>
      <c r="L149" s="562">
        <v>15</v>
      </c>
      <c r="M149" s="549">
        <v>4000</v>
      </c>
      <c r="N149" s="592">
        <v>0.25</v>
      </c>
      <c r="O149" s="594">
        <v>1.2</v>
      </c>
      <c r="P149" s="590">
        <v>15</v>
      </c>
      <c r="Q149" s="431">
        <v>0.05</v>
      </c>
      <c r="R149" s="430">
        <v>791.7</v>
      </c>
      <c r="S149" s="497">
        <v>144</v>
      </c>
      <c r="T149" s="751">
        <v>1011.25</v>
      </c>
      <c r="U149" s="439">
        <v>7.4491666666666676</v>
      </c>
      <c r="V149" s="636">
        <v>4.3499999999999996</v>
      </c>
      <c r="W149" s="636"/>
      <c r="X149" s="439">
        <v>1.4000000000000001</v>
      </c>
      <c r="Y149" s="761">
        <v>4.3499999999999996</v>
      </c>
      <c r="Z149" s="776">
        <v>19.616666666666667</v>
      </c>
      <c r="AA149" s="777"/>
      <c r="AB149" s="811"/>
      <c r="AC149" s="818">
        <v>29</v>
      </c>
      <c r="AD149" s="811" t="s">
        <v>633</v>
      </c>
      <c r="AE149" s="811">
        <v>0</v>
      </c>
      <c r="AF149" s="643">
        <v>2033</v>
      </c>
    </row>
    <row r="150" spans="1:32" ht="15.75">
      <c r="A150" s="643">
        <v>2034</v>
      </c>
      <c r="B150" s="644"/>
      <c r="C150" s="644" t="s">
        <v>739</v>
      </c>
      <c r="D150" s="544" t="s">
        <v>221</v>
      </c>
      <c r="E150" s="545">
        <v>3100</v>
      </c>
      <c r="F150" s="648">
        <v>4</v>
      </c>
      <c r="G150" s="645" t="s">
        <v>129</v>
      </c>
      <c r="H150" s="636">
        <v>3.4</v>
      </c>
      <c r="I150" s="636">
        <v>5</v>
      </c>
      <c r="J150" s="549">
        <v>100</v>
      </c>
      <c r="K150" s="554" t="s">
        <v>221</v>
      </c>
      <c r="L150" s="562">
        <v>15</v>
      </c>
      <c r="M150" s="549">
        <v>4000</v>
      </c>
      <c r="N150" s="592">
        <v>0.25</v>
      </c>
      <c r="O150" s="594">
        <v>1.2</v>
      </c>
      <c r="P150" s="590">
        <v>11</v>
      </c>
      <c r="Q150" s="431">
        <v>0.05</v>
      </c>
      <c r="R150" s="430">
        <v>530.70000000000005</v>
      </c>
      <c r="S150" s="175">
        <v>144</v>
      </c>
      <c r="T150" s="751">
        <v>270.75</v>
      </c>
      <c r="U150" s="439">
        <v>5.2241666666666671</v>
      </c>
      <c r="V150" s="636">
        <v>0.92999999999999994</v>
      </c>
      <c r="W150" s="636"/>
      <c r="X150" s="439">
        <v>1.4000000000000001</v>
      </c>
      <c r="Y150" s="761">
        <v>0.92999999999999994</v>
      </c>
      <c r="Z150" s="776">
        <v>4.0012500000000006</v>
      </c>
      <c r="AA150" s="777"/>
      <c r="AB150" s="811"/>
      <c r="AC150" s="818">
        <v>6.2</v>
      </c>
      <c r="AD150" s="811" t="s">
        <v>633</v>
      </c>
      <c r="AE150" s="811">
        <v>0</v>
      </c>
      <c r="AF150" s="643">
        <v>2034</v>
      </c>
    </row>
    <row r="151" spans="1:32" ht="15.75">
      <c r="A151" s="643">
        <v>2035</v>
      </c>
      <c r="B151" s="644"/>
      <c r="C151" s="644" t="s">
        <v>740</v>
      </c>
      <c r="D151" s="544" t="s">
        <v>221</v>
      </c>
      <c r="E151" s="545">
        <v>9100</v>
      </c>
      <c r="F151" s="648">
        <v>10.7</v>
      </c>
      <c r="G151" s="645" t="s">
        <v>129</v>
      </c>
      <c r="H151" s="636">
        <v>9.1999999999999993</v>
      </c>
      <c r="I151" s="636">
        <v>13.2</v>
      </c>
      <c r="J151" s="549">
        <v>120</v>
      </c>
      <c r="K151" s="554" t="s">
        <v>221</v>
      </c>
      <c r="L151" s="562">
        <v>12</v>
      </c>
      <c r="M151" s="549">
        <v>4000</v>
      </c>
      <c r="N151" s="592">
        <v>0.25</v>
      </c>
      <c r="O151" s="594">
        <v>1.25</v>
      </c>
      <c r="P151" s="590">
        <v>20</v>
      </c>
      <c r="Q151" s="431">
        <v>0.05</v>
      </c>
      <c r="R151" s="430">
        <v>1000.5</v>
      </c>
      <c r="S151" s="497">
        <v>138</v>
      </c>
      <c r="T151" s="751">
        <v>822.5</v>
      </c>
      <c r="U151" s="439">
        <v>7.3833333333333337</v>
      </c>
      <c r="V151" s="636">
        <v>2.84375</v>
      </c>
      <c r="W151" s="636"/>
      <c r="X151" s="439">
        <v>1.4000000000000001</v>
      </c>
      <c r="Y151" s="761">
        <v>2.84375</v>
      </c>
      <c r="Z151" s="776">
        <v>10.667708333333335</v>
      </c>
      <c r="AA151" s="777"/>
      <c r="AB151" s="811"/>
      <c r="AC151" s="818">
        <v>18.2</v>
      </c>
      <c r="AD151" s="811" t="s">
        <v>633</v>
      </c>
      <c r="AE151" s="811">
        <v>0</v>
      </c>
      <c r="AF151" s="643">
        <v>2035</v>
      </c>
    </row>
    <row r="152" spans="1:32" ht="15.75">
      <c r="A152" s="643">
        <v>2036</v>
      </c>
      <c r="B152" s="644"/>
      <c r="C152" s="644" t="s">
        <v>741</v>
      </c>
      <c r="D152" s="544" t="s">
        <v>221</v>
      </c>
      <c r="E152" s="545">
        <v>8100</v>
      </c>
      <c r="F152" s="648">
        <v>10</v>
      </c>
      <c r="G152" s="645" t="s">
        <v>129</v>
      </c>
      <c r="H152" s="636">
        <v>9</v>
      </c>
      <c r="I152" s="636">
        <v>12.5</v>
      </c>
      <c r="J152" s="549">
        <v>120</v>
      </c>
      <c r="K152" s="554" t="s">
        <v>221</v>
      </c>
      <c r="L152" s="562">
        <v>12</v>
      </c>
      <c r="M152" s="549">
        <v>4000</v>
      </c>
      <c r="N152" s="592">
        <v>0.25</v>
      </c>
      <c r="O152" s="594">
        <v>1.75</v>
      </c>
      <c r="P152" s="590">
        <v>12</v>
      </c>
      <c r="Q152" s="431">
        <v>0.1</v>
      </c>
      <c r="R152" s="430">
        <v>779.2</v>
      </c>
      <c r="S152" s="175"/>
      <c r="T152" s="751">
        <v>691.5</v>
      </c>
      <c r="U152" s="439">
        <v>6.1880000000000006</v>
      </c>
      <c r="V152" s="636">
        <v>3.5437499999999997</v>
      </c>
      <c r="W152" s="636"/>
      <c r="X152" s="439">
        <v>2.8000000000000003</v>
      </c>
      <c r="Y152" s="761">
        <v>3.5437499999999997</v>
      </c>
      <c r="Z152" s="776">
        <v>10.236875000000001</v>
      </c>
      <c r="AA152" s="777"/>
      <c r="AB152" s="811"/>
      <c r="AC152" s="818">
        <v>16.2</v>
      </c>
      <c r="AD152" s="811" t="s">
        <v>633</v>
      </c>
      <c r="AE152" s="811">
        <v>0</v>
      </c>
      <c r="AF152" s="643">
        <v>2036</v>
      </c>
    </row>
    <row r="153" spans="1:32" ht="15.75">
      <c r="A153" s="643">
        <v>2037</v>
      </c>
      <c r="B153" s="644"/>
      <c r="C153" s="644" t="s">
        <v>742</v>
      </c>
      <c r="D153" s="544" t="s">
        <v>221</v>
      </c>
      <c r="E153" s="545">
        <v>6200</v>
      </c>
      <c r="F153" s="648">
        <v>7.8</v>
      </c>
      <c r="G153" s="645" t="s">
        <v>129</v>
      </c>
      <c r="H153" s="636">
        <v>6.8</v>
      </c>
      <c r="I153" s="636">
        <v>9.5</v>
      </c>
      <c r="J153" s="549">
        <v>120</v>
      </c>
      <c r="K153" s="554" t="s">
        <v>221</v>
      </c>
      <c r="L153" s="562">
        <v>12</v>
      </c>
      <c r="M153" s="549">
        <v>5000</v>
      </c>
      <c r="N153" s="592">
        <v>0.25</v>
      </c>
      <c r="O153" s="594">
        <v>2.0499999999999998</v>
      </c>
      <c r="P153" s="590">
        <v>12</v>
      </c>
      <c r="Q153" s="431"/>
      <c r="R153" s="430" t="s">
        <v>129</v>
      </c>
      <c r="S153" s="496"/>
      <c r="T153" s="751">
        <v>549</v>
      </c>
      <c r="U153" s="439"/>
      <c r="V153" s="636">
        <v>2.5419999999999998</v>
      </c>
      <c r="W153" s="636"/>
      <c r="X153" s="439"/>
      <c r="Y153" s="761">
        <v>2.5419999999999998</v>
      </c>
      <c r="Z153" s="776">
        <v>7.8287000000000004</v>
      </c>
      <c r="AA153" s="777"/>
      <c r="AB153" s="811"/>
      <c r="AC153" s="818">
        <v>12.4</v>
      </c>
      <c r="AD153" s="811" t="s">
        <v>633</v>
      </c>
      <c r="AE153" s="811">
        <v>0</v>
      </c>
      <c r="AF153" s="643">
        <v>2037</v>
      </c>
    </row>
    <row r="154" spans="1:32" ht="15.75">
      <c r="A154" s="643">
        <v>2039</v>
      </c>
      <c r="B154" s="644"/>
      <c r="C154" s="644" t="s">
        <v>743</v>
      </c>
      <c r="D154" s="544" t="s">
        <v>221</v>
      </c>
      <c r="E154" s="545">
        <v>5400</v>
      </c>
      <c r="F154" s="648">
        <v>10</v>
      </c>
      <c r="G154" s="645" t="s">
        <v>129</v>
      </c>
      <c r="H154" s="636">
        <v>9</v>
      </c>
      <c r="I154" s="636">
        <v>11</v>
      </c>
      <c r="J154" s="549">
        <v>150</v>
      </c>
      <c r="K154" s="554" t="s">
        <v>221</v>
      </c>
      <c r="L154" s="562">
        <v>12</v>
      </c>
      <c r="M154" s="549">
        <v>2500</v>
      </c>
      <c r="N154" s="592">
        <v>0.1</v>
      </c>
      <c r="O154" s="594">
        <v>2.25</v>
      </c>
      <c r="P154" s="590">
        <v>19</v>
      </c>
      <c r="Q154" s="429"/>
      <c r="R154" s="430" t="s">
        <v>129</v>
      </c>
      <c r="S154" s="175"/>
      <c r="T154" s="751">
        <v>600.64</v>
      </c>
      <c r="U154" s="438"/>
      <c r="V154" s="636">
        <v>4.8600000000000003</v>
      </c>
      <c r="W154" s="636"/>
      <c r="X154" s="438"/>
      <c r="Y154" s="761">
        <v>4.8600000000000003</v>
      </c>
      <c r="Z154" s="776">
        <v>9.7506933333333325</v>
      </c>
      <c r="AA154" s="777"/>
      <c r="AB154" s="811"/>
      <c r="AC154" s="818">
        <v>10.8</v>
      </c>
      <c r="AD154" s="811" t="s">
        <v>633</v>
      </c>
      <c r="AE154" s="811">
        <v>0</v>
      </c>
      <c r="AF154" s="643">
        <v>2039</v>
      </c>
    </row>
    <row r="155" spans="1:32" ht="15.75">
      <c r="A155" s="633"/>
      <c r="B155" s="634"/>
      <c r="C155" s="633"/>
      <c r="D155" s="544"/>
      <c r="E155" s="545"/>
      <c r="F155" s="649"/>
      <c r="G155" s="633" t="s">
        <v>129</v>
      </c>
      <c r="H155" s="636"/>
      <c r="I155" s="636"/>
      <c r="J155" s="549"/>
      <c r="K155" s="635"/>
      <c r="L155" s="633"/>
      <c r="M155" s="549"/>
      <c r="N155" s="592" t="s">
        <v>129</v>
      </c>
      <c r="O155" s="594" t="s">
        <v>129</v>
      </c>
      <c r="P155" s="743"/>
      <c r="Q155" s="431"/>
      <c r="R155" s="430" t="s">
        <v>129</v>
      </c>
      <c r="S155" s="497">
        <v>96</v>
      </c>
      <c r="T155" s="751" t="s">
        <v>129</v>
      </c>
      <c r="U155" s="439"/>
      <c r="V155" s="636"/>
      <c r="W155" s="636"/>
      <c r="X155" s="439">
        <v>0</v>
      </c>
      <c r="Y155" s="761" t="s">
        <v>129</v>
      </c>
      <c r="Z155" s="776"/>
      <c r="AA155" s="777"/>
      <c r="AB155" s="633"/>
      <c r="AC155" s="818" t="s">
        <v>129</v>
      </c>
      <c r="AD155" s="811"/>
      <c r="AE155" s="811"/>
      <c r="AF155" s="633"/>
    </row>
    <row r="156" spans="1:32" ht="15.75">
      <c r="A156" s="624">
        <v>2050</v>
      </c>
      <c r="B156" s="625"/>
      <c r="C156" s="626" t="s">
        <v>744</v>
      </c>
      <c r="D156" s="627"/>
      <c r="E156" s="628"/>
      <c r="F156" s="646"/>
      <c r="G156" s="630" t="s">
        <v>129</v>
      </c>
      <c r="H156" s="631"/>
      <c r="I156" s="631"/>
      <c r="J156" s="632"/>
      <c r="K156" s="632"/>
      <c r="L156" s="627"/>
      <c r="M156" s="632"/>
      <c r="N156" s="739" t="s">
        <v>129</v>
      </c>
      <c r="O156" s="744" t="s">
        <v>129</v>
      </c>
      <c r="P156" s="742"/>
      <c r="Q156" s="431">
        <v>3.3333300000000003E-2</v>
      </c>
      <c r="R156" s="430">
        <v>379.95</v>
      </c>
      <c r="S156" s="175">
        <v>126</v>
      </c>
      <c r="T156" s="750" t="s">
        <v>129</v>
      </c>
      <c r="U156" s="439">
        <v>6.9768750000000015</v>
      </c>
      <c r="V156" s="631"/>
      <c r="W156" s="631"/>
      <c r="X156" s="439">
        <v>0.93333240000000006</v>
      </c>
      <c r="Y156" s="763" t="s">
        <v>129</v>
      </c>
      <c r="Z156" s="774"/>
      <c r="AA156" s="775"/>
      <c r="AB156" s="810"/>
      <c r="AC156" s="817" t="s">
        <v>129</v>
      </c>
      <c r="AD156" s="810"/>
      <c r="AE156" s="810"/>
      <c r="AF156" s="624">
        <v>2050</v>
      </c>
    </row>
    <row r="157" spans="1:32" ht="15.75">
      <c r="A157" s="633"/>
      <c r="B157" s="634"/>
      <c r="C157" s="633"/>
      <c r="D157" s="544"/>
      <c r="E157" s="545"/>
      <c r="F157" s="649"/>
      <c r="G157" s="633" t="s">
        <v>129</v>
      </c>
      <c r="H157" s="636"/>
      <c r="I157" s="636"/>
      <c r="J157" s="549"/>
      <c r="K157" s="635"/>
      <c r="L157" s="633"/>
      <c r="M157" s="549"/>
      <c r="N157" s="592" t="s">
        <v>129</v>
      </c>
      <c r="O157" s="594" t="s">
        <v>129</v>
      </c>
      <c r="P157" s="743"/>
      <c r="Q157" s="431">
        <v>0.05</v>
      </c>
      <c r="R157" s="430">
        <v>819.5</v>
      </c>
      <c r="S157" s="497">
        <v>198</v>
      </c>
      <c r="T157" s="751" t="s">
        <v>129</v>
      </c>
      <c r="U157" s="439">
        <v>12.61875</v>
      </c>
      <c r="V157" s="636"/>
      <c r="W157" s="636"/>
      <c r="X157" s="439">
        <v>1.4000000000000001</v>
      </c>
      <c r="Y157" s="761" t="s">
        <v>129</v>
      </c>
      <c r="Z157" s="776"/>
      <c r="AA157" s="777"/>
      <c r="AB157" s="633"/>
      <c r="AC157" s="818" t="s">
        <v>129</v>
      </c>
      <c r="AD157" s="811"/>
      <c r="AE157" s="811"/>
      <c r="AF157" s="633"/>
    </row>
    <row r="158" spans="1:32" ht="15.75">
      <c r="A158" s="643">
        <v>2052</v>
      </c>
      <c r="B158" s="644"/>
      <c r="C158" s="644" t="s">
        <v>745</v>
      </c>
      <c r="D158" s="544" t="s">
        <v>221</v>
      </c>
      <c r="E158" s="545">
        <v>12000</v>
      </c>
      <c r="F158" s="648">
        <v>16.5</v>
      </c>
      <c r="G158" s="645" t="s">
        <v>129</v>
      </c>
      <c r="H158" s="636">
        <v>14</v>
      </c>
      <c r="I158" s="636">
        <v>20.5</v>
      </c>
      <c r="J158" s="549">
        <v>80</v>
      </c>
      <c r="K158" s="554" t="s">
        <v>221</v>
      </c>
      <c r="L158" s="562">
        <v>15</v>
      </c>
      <c r="M158" s="549">
        <v>5000</v>
      </c>
      <c r="N158" s="592">
        <v>0.25</v>
      </c>
      <c r="O158" s="594">
        <v>1.45</v>
      </c>
      <c r="P158" s="590">
        <v>24</v>
      </c>
      <c r="Q158" s="431">
        <v>2.5000000000000001E-2</v>
      </c>
      <c r="R158" s="430">
        <v>2436</v>
      </c>
      <c r="S158" s="175">
        <v>132</v>
      </c>
      <c r="T158" s="751">
        <v>918</v>
      </c>
      <c r="U158" s="439">
        <v>33.162500000000001</v>
      </c>
      <c r="V158" s="636">
        <v>3.48</v>
      </c>
      <c r="W158" s="636"/>
      <c r="X158" s="439">
        <v>0.70000000000000007</v>
      </c>
      <c r="Y158" s="761">
        <v>3.48</v>
      </c>
      <c r="Z158" s="776">
        <v>16.450500000000002</v>
      </c>
      <c r="AA158" s="777"/>
      <c r="AB158" s="811"/>
      <c r="AC158" s="818">
        <v>24</v>
      </c>
      <c r="AD158" s="811" t="s">
        <v>633</v>
      </c>
      <c r="AE158" s="811">
        <v>0</v>
      </c>
      <c r="AF158" s="643">
        <v>2052</v>
      </c>
    </row>
    <row r="159" spans="1:32" ht="15.75">
      <c r="A159" s="643">
        <v>2053</v>
      </c>
      <c r="B159" s="644"/>
      <c r="C159" s="644" t="s">
        <v>746</v>
      </c>
      <c r="D159" s="544" t="s">
        <v>221</v>
      </c>
      <c r="E159" s="545">
        <v>11000</v>
      </c>
      <c r="F159" s="648">
        <v>17.5</v>
      </c>
      <c r="G159" s="645" t="s">
        <v>129</v>
      </c>
      <c r="H159" s="636">
        <v>15</v>
      </c>
      <c r="I159" s="636">
        <v>22</v>
      </c>
      <c r="J159" s="549">
        <v>80</v>
      </c>
      <c r="K159" s="554" t="s">
        <v>221</v>
      </c>
      <c r="L159" s="562">
        <v>12</v>
      </c>
      <c r="M159" s="549">
        <v>3000</v>
      </c>
      <c r="N159" s="592">
        <v>0.25</v>
      </c>
      <c r="O159" s="594">
        <v>1</v>
      </c>
      <c r="P159" s="590">
        <v>23</v>
      </c>
      <c r="Q159" s="431"/>
      <c r="R159" s="430" t="s">
        <v>129</v>
      </c>
      <c r="S159" s="497">
        <v>228</v>
      </c>
      <c r="T159" s="751">
        <v>986</v>
      </c>
      <c r="U159" s="439"/>
      <c r="V159" s="636">
        <v>3.6666666666666665</v>
      </c>
      <c r="W159" s="636"/>
      <c r="X159" s="439"/>
      <c r="Y159" s="761">
        <v>3.6666666666666665</v>
      </c>
      <c r="Z159" s="776">
        <v>17.590833333333332</v>
      </c>
      <c r="AA159" s="777"/>
      <c r="AB159" s="811"/>
      <c r="AC159" s="818">
        <v>22</v>
      </c>
      <c r="AD159" s="811" t="s">
        <v>633</v>
      </c>
      <c r="AE159" s="811">
        <v>0</v>
      </c>
      <c r="AF159" s="643">
        <v>2053</v>
      </c>
    </row>
    <row r="160" spans="1:32" ht="15.75">
      <c r="A160" s="633"/>
      <c r="B160" s="634"/>
      <c r="C160" s="633"/>
      <c r="D160" s="544"/>
      <c r="E160" s="545"/>
      <c r="F160" s="649"/>
      <c r="G160" s="633" t="s">
        <v>129</v>
      </c>
      <c r="H160" s="636"/>
      <c r="I160" s="636"/>
      <c r="J160" s="549"/>
      <c r="K160" s="635"/>
      <c r="L160" s="633"/>
      <c r="M160" s="549"/>
      <c r="N160" s="592" t="s">
        <v>129</v>
      </c>
      <c r="O160" s="594" t="s">
        <v>129</v>
      </c>
      <c r="P160" s="743"/>
      <c r="Q160" s="429"/>
      <c r="R160" s="430" t="s">
        <v>129</v>
      </c>
      <c r="S160" s="499">
        <v>102</v>
      </c>
      <c r="T160" s="751" t="s">
        <v>129</v>
      </c>
      <c r="U160" s="438"/>
      <c r="V160" s="636"/>
      <c r="W160" s="636"/>
      <c r="X160" s="438"/>
      <c r="Y160" s="761" t="s">
        <v>129</v>
      </c>
      <c r="Z160" s="776"/>
      <c r="AA160" s="777"/>
      <c r="AB160" s="633"/>
      <c r="AC160" s="818" t="s">
        <v>129</v>
      </c>
      <c r="AD160" s="811"/>
      <c r="AE160" s="811"/>
      <c r="AF160" s="633"/>
    </row>
    <row r="161" spans="1:32" ht="15.75">
      <c r="A161" s="624">
        <v>2070</v>
      </c>
      <c r="B161" s="625"/>
      <c r="C161" s="626" t="s">
        <v>747</v>
      </c>
      <c r="D161" s="627"/>
      <c r="E161" s="628"/>
      <c r="F161" s="646"/>
      <c r="G161" s="630" t="s">
        <v>129</v>
      </c>
      <c r="H161" s="631"/>
      <c r="I161" s="631"/>
      <c r="J161" s="632"/>
      <c r="K161" s="632"/>
      <c r="L161" s="627"/>
      <c r="M161" s="632"/>
      <c r="N161" s="739" t="s">
        <v>129</v>
      </c>
      <c r="O161" s="744" t="s">
        <v>129</v>
      </c>
      <c r="P161" s="742"/>
      <c r="Q161" s="431"/>
      <c r="R161" s="430" t="s">
        <v>129</v>
      </c>
      <c r="S161" s="500">
        <v>120</v>
      </c>
      <c r="T161" s="750" t="s">
        <v>129</v>
      </c>
      <c r="U161" s="439"/>
      <c r="V161" s="631"/>
      <c r="W161" s="631"/>
      <c r="X161" s="439"/>
      <c r="Y161" s="763" t="s">
        <v>129</v>
      </c>
      <c r="Z161" s="774"/>
      <c r="AA161" s="775"/>
      <c r="AB161" s="810"/>
      <c r="AC161" s="817" t="s">
        <v>129</v>
      </c>
      <c r="AD161" s="810"/>
      <c r="AE161" s="810"/>
      <c r="AF161" s="624">
        <v>2070</v>
      </c>
    </row>
    <row r="162" spans="1:32" ht="15.75">
      <c r="A162" s="633"/>
      <c r="B162" s="634"/>
      <c r="C162" s="633"/>
      <c r="D162" s="544"/>
      <c r="E162" s="545"/>
      <c r="F162" s="649"/>
      <c r="G162" s="633" t="s">
        <v>129</v>
      </c>
      <c r="H162" s="636"/>
      <c r="I162" s="636"/>
      <c r="J162" s="549"/>
      <c r="K162" s="635"/>
      <c r="L162" s="633"/>
      <c r="M162" s="549"/>
      <c r="N162" s="592" t="s">
        <v>129</v>
      </c>
      <c r="O162" s="594" t="s">
        <v>129</v>
      </c>
      <c r="P162" s="743"/>
      <c r="Q162" s="431">
        <v>0.02</v>
      </c>
      <c r="R162" s="430">
        <v>1461</v>
      </c>
      <c r="S162" s="175">
        <v>6</v>
      </c>
      <c r="T162" s="751" t="s">
        <v>129</v>
      </c>
      <c r="U162" s="439">
        <v>13.358333333333333</v>
      </c>
      <c r="V162" s="636"/>
      <c r="W162" s="636"/>
      <c r="X162" s="439">
        <v>0.56000000000000005</v>
      </c>
      <c r="Y162" s="761" t="s">
        <v>129</v>
      </c>
      <c r="Z162" s="776"/>
      <c r="AA162" s="777"/>
      <c r="AB162" s="633"/>
      <c r="AC162" s="818" t="s">
        <v>129</v>
      </c>
      <c r="AD162" s="811"/>
      <c r="AE162" s="811"/>
      <c r="AF162" s="633"/>
    </row>
    <row r="163" spans="1:32" ht="15.75">
      <c r="A163" s="643">
        <v>2071</v>
      </c>
      <c r="B163" s="644"/>
      <c r="C163" s="644" t="s">
        <v>748</v>
      </c>
      <c r="D163" s="544" t="s">
        <v>221</v>
      </c>
      <c r="E163" s="545">
        <v>14000</v>
      </c>
      <c r="F163" s="648">
        <v>24</v>
      </c>
      <c r="G163" s="645" t="s">
        <v>129</v>
      </c>
      <c r="H163" s="636">
        <v>22</v>
      </c>
      <c r="I163" s="636">
        <v>28</v>
      </c>
      <c r="J163" s="549">
        <v>120</v>
      </c>
      <c r="K163" s="554" t="s">
        <v>221</v>
      </c>
      <c r="L163" s="562">
        <v>12</v>
      </c>
      <c r="M163" s="549">
        <v>2000</v>
      </c>
      <c r="N163" s="592">
        <v>0.1</v>
      </c>
      <c r="O163" s="594">
        <v>1.55</v>
      </c>
      <c r="P163" s="590">
        <v>16</v>
      </c>
      <c r="Q163" s="431">
        <v>0.02</v>
      </c>
      <c r="R163" s="430">
        <v>2240.1999999999998</v>
      </c>
      <c r="S163" s="497">
        <v>6</v>
      </c>
      <c r="T163" s="751">
        <v>1324.4</v>
      </c>
      <c r="U163" s="439">
        <v>20.276666666666664</v>
      </c>
      <c r="V163" s="636">
        <v>10.85</v>
      </c>
      <c r="W163" s="636"/>
      <c r="X163" s="439">
        <v>0.56000000000000005</v>
      </c>
      <c r="Y163" s="761">
        <v>10.85</v>
      </c>
      <c r="Z163" s="776">
        <v>24.075333333333337</v>
      </c>
      <c r="AA163" s="777"/>
      <c r="AB163" s="811"/>
      <c r="AC163" s="818">
        <v>28</v>
      </c>
      <c r="AD163" s="811" t="s">
        <v>633</v>
      </c>
      <c r="AE163" s="811">
        <v>0</v>
      </c>
      <c r="AF163" s="643">
        <v>2071</v>
      </c>
    </row>
    <row r="164" spans="1:32" ht="15.75">
      <c r="A164" s="643">
        <v>2072</v>
      </c>
      <c r="B164" s="644"/>
      <c r="C164" s="644" t="s">
        <v>749</v>
      </c>
      <c r="D164" s="544" t="s">
        <v>221</v>
      </c>
      <c r="E164" s="545">
        <v>19000</v>
      </c>
      <c r="F164" s="648">
        <v>33</v>
      </c>
      <c r="G164" s="674" t="s">
        <v>129</v>
      </c>
      <c r="H164" s="636">
        <v>29</v>
      </c>
      <c r="I164" s="636">
        <v>38</v>
      </c>
      <c r="J164" s="549">
        <v>120</v>
      </c>
      <c r="K164" s="554" t="s">
        <v>221</v>
      </c>
      <c r="L164" s="562">
        <v>12</v>
      </c>
      <c r="M164" s="549">
        <v>2000</v>
      </c>
      <c r="N164" s="592">
        <v>0.1</v>
      </c>
      <c r="O164" s="594">
        <v>1.55</v>
      </c>
      <c r="P164" s="590">
        <v>21</v>
      </c>
      <c r="Q164" s="431">
        <v>0.02</v>
      </c>
      <c r="R164" s="430">
        <v>3603.8</v>
      </c>
      <c r="S164" s="175"/>
      <c r="T164" s="751">
        <v>1792.4</v>
      </c>
      <c r="U164" s="439">
        <v>26.058666666666667</v>
      </c>
      <c r="V164" s="636">
        <v>14.725</v>
      </c>
      <c r="W164" s="636"/>
      <c r="X164" s="439">
        <v>0.56000000000000005</v>
      </c>
      <c r="Y164" s="761">
        <v>14.725</v>
      </c>
      <c r="Z164" s="776">
        <v>32.627833333333335</v>
      </c>
      <c r="AA164" s="777"/>
      <c r="AB164" s="811"/>
      <c r="AC164" s="818">
        <v>38</v>
      </c>
      <c r="AD164" s="811" t="s">
        <v>633</v>
      </c>
      <c r="AE164" s="811">
        <v>0</v>
      </c>
      <c r="AF164" s="643">
        <v>2072</v>
      </c>
    </row>
    <row r="165" spans="1:32" ht="15.75">
      <c r="A165" s="643">
        <v>2073</v>
      </c>
      <c r="B165" s="644"/>
      <c r="C165" s="644" t="s">
        <v>750</v>
      </c>
      <c r="D165" s="544" t="s">
        <v>221</v>
      </c>
      <c r="E165" s="545">
        <v>26000</v>
      </c>
      <c r="F165" s="648">
        <v>36</v>
      </c>
      <c r="G165" s="645" t="s">
        <v>129</v>
      </c>
      <c r="H165" s="636">
        <v>32</v>
      </c>
      <c r="I165" s="636">
        <v>42</v>
      </c>
      <c r="J165" s="549">
        <v>150</v>
      </c>
      <c r="K165" s="554" t="s">
        <v>221</v>
      </c>
      <c r="L165" s="562">
        <v>12</v>
      </c>
      <c r="M165" s="549">
        <v>2500</v>
      </c>
      <c r="N165" s="592">
        <v>0.1</v>
      </c>
      <c r="O165" s="594">
        <v>1.55</v>
      </c>
      <c r="P165" s="590">
        <v>33</v>
      </c>
      <c r="Q165" s="431">
        <v>0.04</v>
      </c>
      <c r="R165" s="430">
        <v>2435</v>
      </c>
      <c r="S165" s="496"/>
      <c r="T165" s="751">
        <v>2482.6</v>
      </c>
      <c r="U165" s="439">
        <v>21.991666666666667</v>
      </c>
      <c r="V165" s="636">
        <v>16.12</v>
      </c>
      <c r="W165" s="636"/>
      <c r="X165" s="439">
        <v>1.1200000000000001</v>
      </c>
      <c r="Y165" s="761">
        <v>16.12</v>
      </c>
      <c r="Z165" s="776">
        <v>35.937733333333334</v>
      </c>
      <c r="AA165" s="777"/>
      <c r="AB165" s="811"/>
      <c r="AC165" s="818">
        <v>52</v>
      </c>
      <c r="AD165" s="811" t="s">
        <v>633</v>
      </c>
      <c r="AE165" s="811">
        <v>0</v>
      </c>
      <c r="AF165" s="643">
        <v>2073</v>
      </c>
    </row>
    <row r="166" spans="1:32" ht="15.75">
      <c r="A166" s="643">
        <v>2074</v>
      </c>
      <c r="B166" s="644"/>
      <c r="C166" s="644" t="s">
        <v>751</v>
      </c>
      <c r="D166" s="544" t="s">
        <v>221</v>
      </c>
      <c r="E166" s="545">
        <v>30000</v>
      </c>
      <c r="F166" s="648">
        <v>43</v>
      </c>
      <c r="G166" s="645" t="s">
        <v>129</v>
      </c>
      <c r="H166" s="636">
        <v>38</v>
      </c>
      <c r="I166" s="636">
        <v>51</v>
      </c>
      <c r="J166" s="549">
        <v>120</v>
      </c>
      <c r="K166" s="554" t="s">
        <v>221</v>
      </c>
      <c r="L166" s="562">
        <v>12</v>
      </c>
      <c r="M166" s="549">
        <v>2000</v>
      </c>
      <c r="N166" s="592">
        <v>0.1</v>
      </c>
      <c r="O166" s="594">
        <v>1.05</v>
      </c>
      <c r="P166" s="590">
        <v>22</v>
      </c>
      <c r="Q166" s="431">
        <v>0.04</v>
      </c>
      <c r="R166" s="430">
        <v>6233.6</v>
      </c>
      <c r="S166" s="499"/>
      <c r="T166" s="751">
        <v>2752</v>
      </c>
      <c r="U166" s="439">
        <v>44.184000000000005</v>
      </c>
      <c r="V166" s="636">
        <v>15.75</v>
      </c>
      <c r="W166" s="636"/>
      <c r="X166" s="439">
        <v>1.1200000000000001</v>
      </c>
      <c r="Y166" s="761">
        <v>15.75</v>
      </c>
      <c r="Z166" s="776">
        <v>42.551666666666677</v>
      </c>
      <c r="AA166" s="777"/>
      <c r="AB166" s="811"/>
      <c r="AC166" s="818">
        <v>60</v>
      </c>
      <c r="AD166" s="811" t="s">
        <v>633</v>
      </c>
      <c r="AE166" s="811">
        <v>0</v>
      </c>
      <c r="AF166" s="643">
        <v>2074</v>
      </c>
    </row>
    <row r="167" spans="1:32" ht="15.75">
      <c r="A167" s="643">
        <v>2075</v>
      </c>
      <c r="B167" s="644"/>
      <c r="C167" s="644" t="s">
        <v>752</v>
      </c>
      <c r="D167" s="544" t="s">
        <v>221</v>
      </c>
      <c r="E167" s="545">
        <v>62000</v>
      </c>
      <c r="F167" s="648">
        <v>58</v>
      </c>
      <c r="G167" s="645" t="s">
        <v>129</v>
      </c>
      <c r="H167" s="636">
        <v>50</v>
      </c>
      <c r="I167" s="636">
        <v>72</v>
      </c>
      <c r="J167" s="549">
        <v>150</v>
      </c>
      <c r="K167" s="554" t="s">
        <v>221</v>
      </c>
      <c r="L167" s="562">
        <v>12</v>
      </c>
      <c r="M167" s="549">
        <v>3000</v>
      </c>
      <c r="N167" s="592">
        <v>0.1</v>
      </c>
      <c r="O167" s="594">
        <v>0.75</v>
      </c>
      <c r="P167" s="590">
        <v>38</v>
      </c>
      <c r="Q167" s="431">
        <v>0.05</v>
      </c>
      <c r="R167" s="430">
        <v>854.24</v>
      </c>
      <c r="S167" s="497">
        <v>36</v>
      </c>
      <c r="T167" s="751">
        <v>5635.2</v>
      </c>
      <c r="U167" s="439">
        <v>9.8844000000000012</v>
      </c>
      <c r="V167" s="636">
        <v>15.5</v>
      </c>
      <c r="W167" s="636"/>
      <c r="X167" s="439">
        <v>1.4000000000000001</v>
      </c>
      <c r="Y167" s="761">
        <v>15.5</v>
      </c>
      <c r="Z167" s="776">
        <v>58.3748</v>
      </c>
      <c r="AA167" s="777"/>
      <c r="AB167" s="811"/>
      <c r="AC167" s="818">
        <v>124</v>
      </c>
      <c r="AD167" s="811" t="s">
        <v>633</v>
      </c>
      <c r="AE167" s="811">
        <v>0</v>
      </c>
      <c r="AF167" s="643">
        <v>2075</v>
      </c>
    </row>
    <row r="168" spans="1:32" ht="15.75">
      <c r="A168" s="643">
        <v>2076</v>
      </c>
      <c r="B168" s="644"/>
      <c r="C168" s="644" t="s">
        <v>753</v>
      </c>
      <c r="D168" s="559"/>
      <c r="E168" s="545">
        <v>5600</v>
      </c>
      <c r="F168" s="648">
        <v>11.5</v>
      </c>
      <c r="G168" s="655" t="s">
        <v>129</v>
      </c>
      <c r="H168" s="548">
        <v>10</v>
      </c>
      <c r="I168" s="548">
        <v>14</v>
      </c>
      <c r="J168" s="549">
        <v>100</v>
      </c>
      <c r="K168" s="554" t="s">
        <v>221</v>
      </c>
      <c r="L168" s="562">
        <v>10</v>
      </c>
      <c r="M168" s="549">
        <v>1500</v>
      </c>
      <c r="N168" s="592">
        <v>0.1</v>
      </c>
      <c r="O168" s="594">
        <v>0.9</v>
      </c>
      <c r="P168" s="590">
        <v>17</v>
      </c>
      <c r="Q168" s="431">
        <v>0.05</v>
      </c>
      <c r="R168" s="430">
        <v>2349</v>
      </c>
      <c r="S168" s="175">
        <v>54</v>
      </c>
      <c r="T168" s="751">
        <v>687.96</v>
      </c>
      <c r="U168" s="439">
        <v>25.43</v>
      </c>
      <c r="V168" s="636">
        <v>3.3600000000000003</v>
      </c>
      <c r="W168" s="636"/>
      <c r="X168" s="439">
        <v>1.4000000000000001</v>
      </c>
      <c r="Y168" s="761">
        <v>3.3600000000000003</v>
      </c>
      <c r="Z168" s="776">
        <v>11.26356</v>
      </c>
      <c r="AA168" s="780"/>
      <c r="AB168" s="811"/>
      <c r="AC168" s="818">
        <v>11.200000000000001</v>
      </c>
      <c r="AD168" s="811" t="s">
        <v>633</v>
      </c>
      <c r="AE168" s="811">
        <v>0</v>
      </c>
      <c r="AF168" s="643">
        <v>2076</v>
      </c>
    </row>
    <row r="169" spans="1:32" ht="15.75">
      <c r="A169" s="643">
        <v>2077</v>
      </c>
      <c r="B169" s="644"/>
      <c r="C169" s="644" t="s">
        <v>754</v>
      </c>
      <c r="D169" s="559"/>
      <c r="E169" s="545">
        <v>26000</v>
      </c>
      <c r="F169" s="648">
        <v>28</v>
      </c>
      <c r="G169" s="655" t="s">
        <v>129</v>
      </c>
      <c r="H169" s="636">
        <v>23</v>
      </c>
      <c r="I169" s="636">
        <v>36</v>
      </c>
      <c r="J169" s="549">
        <v>100</v>
      </c>
      <c r="K169" s="554" t="s">
        <v>221</v>
      </c>
      <c r="L169" s="562">
        <v>12</v>
      </c>
      <c r="M169" s="549">
        <v>4000</v>
      </c>
      <c r="N169" s="592">
        <v>0.25</v>
      </c>
      <c r="O169" s="594">
        <v>0.7</v>
      </c>
      <c r="P169" s="590">
        <v>20</v>
      </c>
      <c r="Q169" s="434">
        <v>0.02</v>
      </c>
      <c r="R169" s="430">
        <v>1452.7666666666667</v>
      </c>
      <c r="S169" s="497">
        <v>30</v>
      </c>
      <c r="T169" s="751">
        <v>2090</v>
      </c>
      <c r="U169" s="439">
        <v>29.359333333333336</v>
      </c>
      <c r="V169" s="636">
        <v>4.55</v>
      </c>
      <c r="W169" s="636"/>
      <c r="X169" s="439">
        <v>0.56000000000000005</v>
      </c>
      <c r="Y169" s="761">
        <v>4.55</v>
      </c>
      <c r="Z169" s="776">
        <v>27.995000000000001</v>
      </c>
      <c r="AA169" s="780"/>
      <c r="AB169" s="811"/>
      <c r="AC169" s="818">
        <v>52</v>
      </c>
      <c r="AD169" s="811" t="s">
        <v>633</v>
      </c>
      <c r="AE169" s="811">
        <v>0</v>
      </c>
      <c r="AF169" s="643">
        <v>2077</v>
      </c>
    </row>
    <row r="170" spans="1:32" ht="31.5">
      <c r="A170" s="643">
        <v>2078</v>
      </c>
      <c r="B170" s="644"/>
      <c r="C170" s="644" t="s">
        <v>755</v>
      </c>
      <c r="D170" s="544"/>
      <c r="E170" s="545">
        <v>2500</v>
      </c>
      <c r="F170" s="648">
        <v>21</v>
      </c>
      <c r="G170" s="645" t="s">
        <v>129</v>
      </c>
      <c r="H170" s="548">
        <v>17</v>
      </c>
      <c r="I170" s="636">
        <v>28</v>
      </c>
      <c r="J170" s="549">
        <v>50</v>
      </c>
      <c r="K170" s="554" t="s">
        <v>221</v>
      </c>
      <c r="L170" s="562">
        <v>3</v>
      </c>
      <c r="M170" s="549">
        <v>200</v>
      </c>
      <c r="N170" s="592">
        <v>0</v>
      </c>
      <c r="O170" s="594">
        <v>0.15</v>
      </c>
      <c r="P170" s="590">
        <v>1</v>
      </c>
      <c r="Q170" s="434">
        <v>0.02</v>
      </c>
      <c r="R170" s="430">
        <v>1463.4</v>
      </c>
      <c r="S170" s="175">
        <v>90</v>
      </c>
      <c r="T170" s="751">
        <v>867.83333333333337</v>
      </c>
      <c r="U170" s="439">
        <v>29.624000000000002</v>
      </c>
      <c r="V170" s="636">
        <v>1.875</v>
      </c>
      <c r="W170" s="636"/>
      <c r="X170" s="439">
        <v>0.56000000000000005</v>
      </c>
      <c r="Y170" s="761">
        <v>1.875</v>
      </c>
      <c r="Z170" s="776">
        <v>21.154833333333336</v>
      </c>
      <c r="AA170" s="777"/>
      <c r="AB170" s="811"/>
      <c r="AC170" s="818">
        <v>5</v>
      </c>
      <c r="AD170" s="811" t="s">
        <v>633</v>
      </c>
      <c r="AE170" s="811">
        <v>0</v>
      </c>
      <c r="AF170" s="643">
        <v>2078</v>
      </c>
    </row>
    <row r="171" spans="1:32" ht="31.5">
      <c r="A171" s="643">
        <v>2079</v>
      </c>
      <c r="B171" s="644"/>
      <c r="C171" s="644" t="s">
        <v>756</v>
      </c>
      <c r="D171" s="544" t="s">
        <v>221</v>
      </c>
      <c r="E171" s="545">
        <v>3800</v>
      </c>
      <c r="F171" s="648">
        <v>24</v>
      </c>
      <c r="G171" s="645" t="s">
        <v>129</v>
      </c>
      <c r="H171" s="636">
        <v>20</v>
      </c>
      <c r="I171" s="636">
        <v>31</v>
      </c>
      <c r="J171" s="549">
        <v>50</v>
      </c>
      <c r="K171" s="554" t="s">
        <v>221</v>
      </c>
      <c r="L171" s="562">
        <v>4</v>
      </c>
      <c r="M171" s="549">
        <v>300</v>
      </c>
      <c r="N171" s="592">
        <v>0</v>
      </c>
      <c r="O171" s="594">
        <v>0.15</v>
      </c>
      <c r="P171" s="590">
        <v>1</v>
      </c>
      <c r="Q171" s="431"/>
      <c r="R171" s="430" t="s">
        <v>129</v>
      </c>
      <c r="S171" s="497">
        <v>90</v>
      </c>
      <c r="T171" s="751">
        <v>998.80000000000007</v>
      </c>
      <c r="U171" s="439"/>
      <c r="V171" s="636">
        <v>1.9</v>
      </c>
      <c r="W171" s="636"/>
      <c r="X171" s="439"/>
      <c r="Y171" s="761">
        <v>1.9</v>
      </c>
      <c r="Z171" s="776">
        <v>24.063600000000005</v>
      </c>
      <c r="AA171" s="777"/>
      <c r="AB171" s="811"/>
      <c r="AC171" s="818">
        <v>7.6000000000000005</v>
      </c>
      <c r="AD171" s="811" t="s">
        <v>633</v>
      </c>
      <c r="AE171" s="811">
        <v>0</v>
      </c>
      <c r="AF171" s="643">
        <v>2079</v>
      </c>
    </row>
    <row r="172" spans="1:32" ht="15.75">
      <c r="A172" s="643"/>
      <c r="B172" s="644"/>
      <c r="C172" s="643"/>
      <c r="D172" s="555"/>
      <c r="E172" s="545"/>
      <c r="F172" s="649"/>
      <c r="G172" s="645" t="s">
        <v>129</v>
      </c>
      <c r="H172" s="636"/>
      <c r="I172" s="636"/>
      <c r="J172" s="549"/>
      <c r="K172" s="554"/>
      <c r="L172" s="562"/>
      <c r="M172" s="549"/>
      <c r="N172" s="592" t="s">
        <v>129</v>
      </c>
      <c r="O172" s="594" t="s">
        <v>129</v>
      </c>
      <c r="P172" s="590"/>
      <c r="Q172" s="429"/>
      <c r="R172" s="430" t="s">
        <v>129</v>
      </c>
      <c r="S172" s="175">
        <v>48</v>
      </c>
      <c r="T172" s="751" t="s">
        <v>129</v>
      </c>
      <c r="U172" s="438"/>
      <c r="V172" s="636"/>
      <c r="W172" s="636"/>
      <c r="X172" s="438"/>
      <c r="Y172" s="761" t="s">
        <v>129</v>
      </c>
      <c r="Z172" s="776"/>
      <c r="AA172" s="781"/>
      <c r="AB172" s="811"/>
      <c r="AC172" s="818" t="s">
        <v>129</v>
      </c>
      <c r="AD172" s="811"/>
      <c r="AE172" s="811"/>
      <c r="AF172" s="643"/>
    </row>
    <row r="173" spans="1:32" ht="31.5">
      <c r="A173" s="624">
        <v>2100</v>
      </c>
      <c r="B173" s="625"/>
      <c r="C173" s="626" t="s">
        <v>757</v>
      </c>
      <c r="D173" s="627"/>
      <c r="E173" s="628"/>
      <c r="F173" s="629"/>
      <c r="G173" s="630" t="s">
        <v>129</v>
      </c>
      <c r="H173" s="631"/>
      <c r="I173" s="631"/>
      <c r="J173" s="632"/>
      <c r="K173" s="632"/>
      <c r="L173" s="627"/>
      <c r="M173" s="632"/>
      <c r="N173" s="739" t="s">
        <v>129</v>
      </c>
      <c r="O173" s="744" t="s">
        <v>129</v>
      </c>
      <c r="P173" s="742"/>
      <c r="Q173" s="431"/>
      <c r="R173" s="430" t="s">
        <v>129</v>
      </c>
      <c r="S173" s="500">
        <v>84</v>
      </c>
      <c r="T173" s="750" t="s">
        <v>129</v>
      </c>
      <c r="U173" s="439"/>
      <c r="V173" s="631"/>
      <c r="W173" s="631"/>
      <c r="X173" s="439"/>
      <c r="Y173" s="763" t="s">
        <v>129</v>
      </c>
      <c r="Z173" s="774"/>
      <c r="AA173" s="775"/>
      <c r="AB173" s="810"/>
      <c r="AC173" s="817" t="s">
        <v>129</v>
      </c>
      <c r="AD173" s="810"/>
      <c r="AE173" s="810"/>
      <c r="AF173" s="624">
        <v>2100</v>
      </c>
    </row>
    <row r="174" spans="1:32" ht="15.75">
      <c r="A174" s="633"/>
      <c r="B174" s="634"/>
      <c r="C174" s="633"/>
      <c r="D174" s="544"/>
      <c r="E174" s="545"/>
      <c r="F174" s="546"/>
      <c r="G174" s="633" t="s">
        <v>129</v>
      </c>
      <c r="H174" s="636"/>
      <c r="I174" s="636"/>
      <c r="J174" s="549"/>
      <c r="K174" s="635"/>
      <c r="L174" s="633"/>
      <c r="M174" s="549"/>
      <c r="N174" s="592" t="s">
        <v>129</v>
      </c>
      <c r="O174" s="594" t="s">
        <v>129</v>
      </c>
      <c r="P174" s="743"/>
      <c r="Q174" s="431">
        <v>0.5</v>
      </c>
      <c r="R174" s="430">
        <v>354.73333333333329</v>
      </c>
      <c r="S174" s="499">
        <v>42</v>
      </c>
      <c r="T174" s="751" t="s">
        <v>129</v>
      </c>
      <c r="U174" s="440">
        <v>13.451111111111111</v>
      </c>
      <c r="V174" s="636"/>
      <c r="W174" s="636"/>
      <c r="X174" s="440">
        <v>14</v>
      </c>
      <c r="Y174" s="761" t="s">
        <v>129</v>
      </c>
      <c r="Z174" s="776"/>
      <c r="AA174" s="777"/>
      <c r="AB174" s="633"/>
      <c r="AC174" s="818" t="s">
        <v>129</v>
      </c>
      <c r="AD174" s="811"/>
      <c r="AE174" s="811"/>
      <c r="AF174" s="633"/>
    </row>
    <row r="175" spans="1:32" ht="15.75">
      <c r="A175" s="643">
        <v>2101</v>
      </c>
      <c r="B175" s="644"/>
      <c r="C175" s="644" t="s">
        <v>758</v>
      </c>
      <c r="D175" s="559">
        <v>50</v>
      </c>
      <c r="E175" s="545">
        <v>4900</v>
      </c>
      <c r="F175" s="546">
        <v>19</v>
      </c>
      <c r="G175" s="653">
        <v>38</v>
      </c>
      <c r="H175" s="654">
        <v>35</v>
      </c>
      <c r="I175" s="654">
        <v>43</v>
      </c>
      <c r="J175" s="561">
        <v>30</v>
      </c>
      <c r="K175" s="554" t="s">
        <v>221</v>
      </c>
      <c r="L175" s="562">
        <v>12</v>
      </c>
      <c r="M175" s="561">
        <v>1000</v>
      </c>
      <c r="N175" s="592">
        <v>0.25</v>
      </c>
      <c r="O175" s="594">
        <v>4.25</v>
      </c>
      <c r="P175" s="590">
        <v>6</v>
      </c>
      <c r="Q175" s="431">
        <v>0.25</v>
      </c>
      <c r="R175" s="430">
        <v>1095.5</v>
      </c>
      <c r="S175" s="501">
        <v>48</v>
      </c>
      <c r="T175" s="751">
        <v>409.5</v>
      </c>
      <c r="U175" s="440">
        <v>23.59</v>
      </c>
      <c r="V175" s="654">
        <v>20.825000000000003</v>
      </c>
      <c r="W175" s="636"/>
      <c r="X175" s="440">
        <v>7</v>
      </c>
      <c r="Y175" s="764">
        <v>20.825000000000003</v>
      </c>
      <c r="Z175" s="776">
        <v>18.961250000000003</v>
      </c>
      <c r="AA175" s="780">
        <v>37.922500000000007</v>
      </c>
      <c r="AB175" s="811"/>
      <c r="AC175" s="818">
        <v>9.8000000000000007</v>
      </c>
      <c r="AD175" s="811" t="s">
        <v>667</v>
      </c>
      <c r="AE175" s="811">
        <v>0</v>
      </c>
      <c r="AF175" s="643">
        <v>2101</v>
      </c>
    </row>
    <row r="176" spans="1:32" ht="31.5">
      <c r="A176" s="643">
        <v>2102</v>
      </c>
      <c r="B176" s="644"/>
      <c r="C176" s="644" t="s">
        <v>759</v>
      </c>
      <c r="D176" s="559">
        <v>80</v>
      </c>
      <c r="E176" s="545">
        <v>8000</v>
      </c>
      <c r="F176" s="546">
        <v>22.5</v>
      </c>
      <c r="G176" s="653">
        <v>28</v>
      </c>
      <c r="H176" s="560">
        <v>25</v>
      </c>
      <c r="I176" s="654">
        <v>33</v>
      </c>
      <c r="J176" s="561">
        <v>50</v>
      </c>
      <c r="K176" s="554" t="s">
        <v>221</v>
      </c>
      <c r="L176" s="562">
        <v>12</v>
      </c>
      <c r="M176" s="561">
        <v>1500</v>
      </c>
      <c r="N176" s="592">
        <v>0.25</v>
      </c>
      <c r="O176" s="594">
        <v>2.2999999999999998</v>
      </c>
      <c r="P176" s="590">
        <v>9</v>
      </c>
      <c r="Q176" s="431">
        <v>0.2</v>
      </c>
      <c r="R176" s="430">
        <v>151.28333333333333</v>
      </c>
      <c r="S176" s="499">
        <v>42</v>
      </c>
      <c r="T176" s="751">
        <v>663</v>
      </c>
      <c r="U176" s="440">
        <v>12.612222222222222</v>
      </c>
      <c r="V176" s="654">
        <v>12.266666666666666</v>
      </c>
      <c r="W176" s="636"/>
      <c r="X176" s="440">
        <v>5.6000000000000005</v>
      </c>
      <c r="Y176" s="764">
        <v>12.266666666666666</v>
      </c>
      <c r="Z176" s="776">
        <v>22.463466666666662</v>
      </c>
      <c r="AA176" s="780">
        <v>28.079333333333331</v>
      </c>
      <c r="AB176" s="811"/>
      <c r="AC176" s="818">
        <v>16</v>
      </c>
      <c r="AD176" s="811" t="s">
        <v>667</v>
      </c>
      <c r="AE176" s="811">
        <v>0</v>
      </c>
      <c r="AF176" s="643">
        <v>2102</v>
      </c>
    </row>
    <row r="177" spans="1:32" ht="15.75">
      <c r="A177" s="643">
        <v>2104</v>
      </c>
      <c r="B177" s="644"/>
      <c r="C177" s="644" t="s">
        <v>760</v>
      </c>
      <c r="D177" s="559">
        <v>30</v>
      </c>
      <c r="E177" s="545">
        <v>1450</v>
      </c>
      <c r="F177" s="546">
        <v>7.1</v>
      </c>
      <c r="G177" s="653">
        <v>24</v>
      </c>
      <c r="H177" s="654">
        <v>21</v>
      </c>
      <c r="I177" s="654">
        <v>27</v>
      </c>
      <c r="J177" s="561">
        <v>15</v>
      </c>
      <c r="K177" s="554" t="s">
        <v>221</v>
      </c>
      <c r="L177" s="562">
        <v>12</v>
      </c>
      <c r="M177" s="561">
        <v>400</v>
      </c>
      <c r="N177" s="592">
        <v>0.25</v>
      </c>
      <c r="O177" s="594">
        <v>3.25</v>
      </c>
      <c r="P177" s="590">
        <v>5</v>
      </c>
      <c r="Q177" s="431">
        <v>0.2</v>
      </c>
      <c r="R177" s="430">
        <v>156.5</v>
      </c>
      <c r="S177" s="500">
        <v>24</v>
      </c>
      <c r="T177" s="751">
        <v>143.75</v>
      </c>
      <c r="U177" s="440">
        <v>12.966666666666667</v>
      </c>
      <c r="V177" s="654">
        <v>11.78125</v>
      </c>
      <c r="W177" s="636"/>
      <c r="X177" s="440">
        <v>5.6000000000000005</v>
      </c>
      <c r="Y177" s="764">
        <v>11.78125</v>
      </c>
      <c r="Z177" s="776">
        <v>7.0503125000000022</v>
      </c>
      <c r="AA177" s="780">
        <v>23.501041666666673</v>
      </c>
      <c r="AB177" s="811"/>
      <c r="AC177" s="818">
        <v>2.9</v>
      </c>
      <c r="AD177" s="811" t="s">
        <v>667</v>
      </c>
      <c r="AE177" s="811">
        <v>0</v>
      </c>
      <c r="AF177" s="643">
        <v>2104</v>
      </c>
    </row>
    <row r="178" spans="1:32" ht="15.75">
      <c r="A178" s="643">
        <v>2106</v>
      </c>
      <c r="B178" s="644"/>
      <c r="C178" s="644" t="s">
        <v>761</v>
      </c>
      <c r="D178" s="559">
        <v>50</v>
      </c>
      <c r="E178" s="545">
        <v>7200</v>
      </c>
      <c r="F178" s="546">
        <v>17</v>
      </c>
      <c r="G178" s="653">
        <v>34</v>
      </c>
      <c r="H178" s="654">
        <v>30</v>
      </c>
      <c r="I178" s="654">
        <v>40</v>
      </c>
      <c r="J178" s="561">
        <v>35</v>
      </c>
      <c r="K178" s="554" t="s">
        <v>221</v>
      </c>
      <c r="L178" s="562">
        <v>12</v>
      </c>
      <c r="M178" s="561">
        <v>800</v>
      </c>
      <c r="N178" s="592">
        <v>0.25</v>
      </c>
      <c r="O178" s="594">
        <v>1.35</v>
      </c>
      <c r="P178" s="590">
        <v>15</v>
      </c>
      <c r="Q178" s="431">
        <v>0.1</v>
      </c>
      <c r="R178" s="430">
        <v>584.26666666666665</v>
      </c>
      <c r="S178" s="499">
        <v>48</v>
      </c>
      <c r="T178" s="751">
        <v>645</v>
      </c>
      <c r="U178" s="440">
        <v>20.013333333333335</v>
      </c>
      <c r="V178" s="654">
        <v>12.15</v>
      </c>
      <c r="W178" s="636"/>
      <c r="X178" s="440">
        <v>2.8000000000000003</v>
      </c>
      <c r="Y178" s="764">
        <v>12.15</v>
      </c>
      <c r="Z178" s="776">
        <v>16.818214285714287</v>
      </c>
      <c r="AA178" s="780">
        <v>33.636428571428574</v>
      </c>
      <c r="AB178" s="811"/>
      <c r="AC178" s="818">
        <v>14.4</v>
      </c>
      <c r="AD178" s="811" t="s">
        <v>667</v>
      </c>
      <c r="AE178" s="811">
        <v>0</v>
      </c>
      <c r="AF178" s="643">
        <v>2106</v>
      </c>
    </row>
    <row r="179" spans="1:32" ht="15.75">
      <c r="A179" s="643">
        <v>2116</v>
      </c>
      <c r="B179" s="644"/>
      <c r="C179" s="644" t="s">
        <v>762</v>
      </c>
      <c r="D179" s="559">
        <v>45</v>
      </c>
      <c r="E179" s="545">
        <v>7300</v>
      </c>
      <c r="F179" s="546">
        <v>14.5</v>
      </c>
      <c r="G179" s="653">
        <v>32</v>
      </c>
      <c r="H179" s="654">
        <v>28</v>
      </c>
      <c r="I179" s="654">
        <v>39</v>
      </c>
      <c r="J179" s="561">
        <v>35</v>
      </c>
      <c r="K179" s="554" t="s">
        <v>221</v>
      </c>
      <c r="L179" s="562">
        <v>12</v>
      </c>
      <c r="M179" s="561">
        <v>900</v>
      </c>
      <c r="N179" s="592">
        <v>0.25</v>
      </c>
      <c r="O179" s="594">
        <v>1.35</v>
      </c>
      <c r="P179" s="590">
        <v>12</v>
      </c>
      <c r="Q179" s="431">
        <v>0.1</v>
      </c>
      <c r="R179" s="430">
        <v>365.16666666666669</v>
      </c>
      <c r="S179" s="175"/>
      <c r="T179" s="751">
        <v>631.5</v>
      </c>
      <c r="U179" s="440">
        <v>21.408333333333335</v>
      </c>
      <c r="V179" s="654">
        <v>10.950000000000001</v>
      </c>
      <c r="W179" s="636"/>
      <c r="X179" s="440">
        <v>2.8000000000000003</v>
      </c>
      <c r="Y179" s="764">
        <v>10.950000000000001</v>
      </c>
      <c r="Z179" s="776">
        <v>14.35146428571429</v>
      </c>
      <c r="AA179" s="780">
        <v>31.892142857142865</v>
      </c>
      <c r="AB179" s="811"/>
      <c r="AC179" s="818">
        <v>14.6</v>
      </c>
      <c r="AD179" s="811" t="s">
        <v>667</v>
      </c>
      <c r="AE179" s="811">
        <v>0</v>
      </c>
      <c r="AF179" s="643">
        <v>2116</v>
      </c>
    </row>
    <row r="180" spans="1:32" ht="15.75">
      <c r="A180" s="643">
        <v>2114</v>
      </c>
      <c r="B180" s="644"/>
      <c r="C180" s="644" t="s">
        <v>763</v>
      </c>
      <c r="D180" s="559">
        <v>60</v>
      </c>
      <c r="E180" s="545">
        <v>13500</v>
      </c>
      <c r="F180" s="546">
        <v>24</v>
      </c>
      <c r="G180" s="653">
        <v>40</v>
      </c>
      <c r="H180" s="654">
        <v>35</v>
      </c>
      <c r="I180" s="654">
        <v>48</v>
      </c>
      <c r="J180" s="561">
        <v>50</v>
      </c>
      <c r="K180" s="554" t="s">
        <v>221</v>
      </c>
      <c r="L180" s="562">
        <v>12</v>
      </c>
      <c r="M180" s="561">
        <v>1200</v>
      </c>
      <c r="N180" s="592">
        <v>0.25</v>
      </c>
      <c r="O180" s="594">
        <v>1.25</v>
      </c>
      <c r="P180" s="590">
        <v>15</v>
      </c>
      <c r="Q180" s="431">
        <v>3.3300000000000003E-2</v>
      </c>
      <c r="R180" s="430">
        <v>302.56666666666666</v>
      </c>
      <c r="S180" s="498"/>
      <c r="T180" s="751">
        <v>1117.5</v>
      </c>
      <c r="U180" s="439">
        <v>4.0636666666666663</v>
      </c>
      <c r="V180" s="654">
        <v>14.0625</v>
      </c>
      <c r="W180" s="636"/>
      <c r="X180" s="439">
        <v>0.93240000000000012</v>
      </c>
      <c r="Y180" s="764">
        <v>14.0625</v>
      </c>
      <c r="Z180" s="776">
        <v>24.032250000000005</v>
      </c>
      <c r="AA180" s="780">
        <v>40.053750000000008</v>
      </c>
      <c r="AB180" s="811"/>
      <c r="AC180" s="818">
        <v>27</v>
      </c>
      <c r="AD180" s="811" t="s">
        <v>667</v>
      </c>
      <c r="AE180" s="811">
        <v>0</v>
      </c>
      <c r="AF180" s="643">
        <v>2114</v>
      </c>
    </row>
    <row r="181" spans="1:32" ht="15.75">
      <c r="A181" s="643">
        <v>2107</v>
      </c>
      <c r="B181" s="644"/>
      <c r="C181" s="644" t="s">
        <v>764</v>
      </c>
      <c r="D181" s="559"/>
      <c r="E181" s="545">
        <v>6900</v>
      </c>
      <c r="F181" s="546"/>
      <c r="G181" s="653">
        <v>47</v>
      </c>
      <c r="H181" s="654">
        <v>41</v>
      </c>
      <c r="I181" s="654">
        <v>58</v>
      </c>
      <c r="J181" s="561">
        <v>20</v>
      </c>
      <c r="K181" s="554" t="s">
        <v>221</v>
      </c>
      <c r="L181" s="562">
        <v>12</v>
      </c>
      <c r="M181" s="561">
        <v>600</v>
      </c>
      <c r="N181" s="592">
        <v>0.25</v>
      </c>
      <c r="O181" s="594">
        <v>1.25</v>
      </c>
      <c r="P181" s="590">
        <v>8</v>
      </c>
      <c r="Q181" s="431">
        <v>3.3300000000000003E-2</v>
      </c>
      <c r="R181" s="430">
        <v>563.4</v>
      </c>
      <c r="S181" s="175"/>
      <c r="T181" s="751">
        <v>573.5</v>
      </c>
      <c r="U181" s="439">
        <v>4.8546666666666658</v>
      </c>
      <c r="V181" s="654">
        <v>14.375</v>
      </c>
      <c r="W181" s="636"/>
      <c r="X181" s="439">
        <v>0.93240000000000012</v>
      </c>
      <c r="Y181" s="764">
        <v>14.375</v>
      </c>
      <c r="Z181" s="776"/>
      <c r="AA181" s="780">
        <v>47.355000000000004</v>
      </c>
      <c r="AB181" s="811"/>
      <c r="AC181" s="818">
        <v>13.8</v>
      </c>
      <c r="AD181" s="811" t="s">
        <v>667</v>
      </c>
      <c r="AE181" s="811">
        <v>0</v>
      </c>
      <c r="AF181" s="643">
        <v>2107</v>
      </c>
    </row>
    <row r="182" spans="1:32" ht="15.75">
      <c r="A182" s="643">
        <v>2117</v>
      </c>
      <c r="B182" s="644"/>
      <c r="C182" s="644" t="s">
        <v>765</v>
      </c>
      <c r="D182" s="559">
        <v>70</v>
      </c>
      <c r="E182" s="545">
        <v>13000</v>
      </c>
      <c r="F182" s="546">
        <v>125</v>
      </c>
      <c r="G182" s="653">
        <v>180</v>
      </c>
      <c r="H182" s="654">
        <v>158</v>
      </c>
      <c r="I182" s="654">
        <v>220</v>
      </c>
      <c r="J182" s="561">
        <v>10</v>
      </c>
      <c r="K182" s="554" t="s">
        <v>221</v>
      </c>
      <c r="L182" s="562">
        <v>12</v>
      </c>
      <c r="M182" s="561">
        <v>300</v>
      </c>
      <c r="N182" s="592">
        <v>0.25</v>
      </c>
      <c r="O182" s="594">
        <v>1.35</v>
      </c>
      <c r="P182" s="590">
        <v>12</v>
      </c>
      <c r="Q182" s="431">
        <v>0.5</v>
      </c>
      <c r="R182" s="430">
        <v>192.86666666666665</v>
      </c>
      <c r="S182" s="496"/>
      <c r="T182" s="751">
        <v>1059</v>
      </c>
      <c r="U182" s="440">
        <v>49.25333333333333</v>
      </c>
      <c r="V182" s="654">
        <v>58.500000000000007</v>
      </c>
      <c r="W182" s="636"/>
      <c r="X182" s="440">
        <v>14</v>
      </c>
      <c r="Y182" s="764">
        <v>58.500000000000007</v>
      </c>
      <c r="Z182" s="776">
        <v>126.58800000000002</v>
      </c>
      <c r="AA182" s="780">
        <v>180.84000000000003</v>
      </c>
      <c r="AB182" s="811"/>
      <c r="AC182" s="818">
        <v>26</v>
      </c>
      <c r="AD182" s="811" t="s">
        <v>667</v>
      </c>
      <c r="AE182" s="811">
        <v>0</v>
      </c>
      <c r="AF182" s="643">
        <v>2117</v>
      </c>
    </row>
    <row r="183" spans="1:32" ht="15.75">
      <c r="A183" s="643">
        <v>2110</v>
      </c>
      <c r="B183" s="644"/>
      <c r="C183" s="644" t="s">
        <v>766</v>
      </c>
      <c r="D183" s="559" t="s">
        <v>221</v>
      </c>
      <c r="E183" s="545">
        <v>4700</v>
      </c>
      <c r="F183" s="546"/>
      <c r="G183" s="653">
        <v>145</v>
      </c>
      <c r="H183" s="636">
        <v>129</v>
      </c>
      <c r="I183" s="636">
        <v>169</v>
      </c>
      <c r="J183" s="561">
        <v>5</v>
      </c>
      <c r="K183" s="554" t="s">
        <v>221</v>
      </c>
      <c r="L183" s="562">
        <v>15</v>
      </c>
      <c r="M183" s="561">
        <v>150</v>
      </c>
      <c r="N183" s="592">
        <v>0.25</v>
      </c>
      <c r="O183" s="594">
        <v>2</v>
      </c>
      <c r="P183" s="590">
        <v>7</v>
      </c>
      <c r="Q183" s="431">
        <v>0.05</v>
      </c>
      <c r="R183" s="430">
        <v>187.8</v>
      </c>
      <c r="S183" s="499"/>
      <c r="T183" s="751">
        <v>342.75</v>
      </c>
      <c r="U183" s="439">
        <v>6.01</v>
      </c>
      <c r="V183" s="654">
        <v>62.666666666666664</v>
      </c>
      <c r="W183" s="636"/>
      <c r="X183" s="439">
        <v>1.4000000000000001</v>
      </c>
      <c r="Y183" s="764">
        <v>62.666666666666664</v>
      </c>
      <c r="Z183" s="776"/>
      <c r="AA183" s="780">
        <v>144.33833333333334</v>
      </c>
      <c r="AB183" s="811"/>
      <c r="AC183" s="818">
        <v>9.4</v>
      </c>
      <c r="AD183" s="811" t="s">
        <v>667</v>
      </c>
      <c r="AE183" s="811">
        <v>0</v>
      </c>
      <c r="AF183" s="643">
        <v>2110</v>
      </c>
    </row>
    <row r="184" spans="1:32" ht="15.75">
      <c r="A184" s="643">
        <v>2115</v>
      </c>
      <c r="B184" s="644"/>
      <c r="C184" s="644" t="s">
        <v>767</v>
      </c>
      <c r="D184" s="559" t="s">
        <v>221</v>
      </c>
      <c r="E184" s="545">
        <v>6600</v>
      </c>
      <c r="F184" s="648">
        <v>13</v>
      </c>
      <c r="G184" s="645" t="s">
        <v>129</v>
      </c>
      <c r="H184" s="636">
        <v>11.3</v>
      </c>
      <c r="I184" s="636">
        <v>15.4</v>
      </c>
      <c r="J184" s="549">
        <v>80</v>
      </c>
      <c r="K184" s="554" t="s">
        <v>221</v>
      </c>
      <c r="L184" s="562">
        <v>12</v>
      </c>
      <c r="M184" s="549">
        <v>2000</v>
      </c>
      <c r="N184" s="592">
        <v>0.25</v>
      </c>
      <c r="O184" s="594">
        <v>1.45</v>
      </c>
      <c r="P184" s="590">
        <v>8</v>
      </c>
      <c r="Q184" s="431">
        <v>0.05</v>
      </c>
      <c r="R184" s="430">
        <v>333.86666666666667</v>
      </c>
      <c r="S184" s="175">
        <v>324</v>
      </c>
      <c r="T184" s="751">
        <v>551</v>
      </c>
      <c r="U184" s="439">
        <v>6.1377777777777771</v>
      </c>
      <c r="V184" s="636">
        <v>4.7849999999999993</v>
      </c>
      <c r="W184" s="636"/>
      <c r="X184" s="439">
        <v>1.4000000000000001</v>
      </c>
      <c r="Y184" s="761">
        <v>4.7849999999999993</v>
      </c>
      <c r="Z184" s="776">
        <v>12.83975</v>
      </c>
      <c r="AA184" s="777"/>
      <c r="AB184" s="811"/>
      <c r="AC184" s="818">
        <v>13.200000000000001</v>
      </c>
      <c r="AD184" s="811" t="s">
        <v>633</v>
      </c>
      <c r="AE184" s="811">
        <v>0</v>
      </c>
      <c r="AF184" s="643">
        <v>2115</v>
      </c>
    </row>
    <row r="185" spans="1:32" ht="15.75">
      <c r="A185" s="643">
        <v>2111</v>
      </c>
      <c r="B185" s="644"/>
      <c r="C185" s="644" t="s">
        <v>768</v>
      </c>
      <c r="D185" s="544" t="s">
        <v>221</v>
      </c>
      <c r="E185" s="545">
        <v>1700</v>
      </c>
      <c r="F185" s="648">
        <v>7.5</v>
      </c>
      <c r="G185" s="645" t="s">
        <v>129</v>
      </c>
      <c r="H185" s="636">
        <v>6.5</v>
      </c>
      <c r="I185" s="636">
        <v>9.1</v>
      </c>
      <c r="J185" s="549">
        <v>40</v>
      </c>
      <c r="K185" s="554" t="s">
        <v>221</v>
      </c>
      <c r="L185" s="562">
        <v>12</v>
      </c>
      <c r="M185" s="549">
        <v>1000</v>
      </c>
      <c r="N185" s="592">
        <v>0.25</v>
      </c>
      <c r="O185" s="594">
        <v>1.4</v>
      </c>
      <c r="P185" s="590">
        <v>7</v>
      </c>
      <c r="Q185" s="431">
        <v>0.05</v>
      </c>
      <c r="R185" s="430">
        <v>740.76666666666665</v>
      </c>
      <c r="S185" s="175">
        <v>354</v>
      </c>
      <c r="T185" s="751">
        <v>176.5</v>
      </c>
      <c r="U185" s="439">
        <v>8.1096666666666675</v>
      </c>
      <c r="V185" s="636">
        <v>2.38</v>
      </c>
      <c r="W185" s="636"/>
      <c r="X185" s="439">
        <v>1.4000000000000001</v>
      </c>
      <c r="Y185" s="761">
        <v>2.38</v>
      </c>
      <c r="Z185" s="776">
        <v>7.4717500000000001</v>
      </c>
      <c r="AA185" s="777"/>
      <c r="AB185" s="811"/>
      <c r="AC185" s="818">
        <v>3.4</v>
      </c>
      <c r="AD185" s="811" t="s">
        <v>633</v>
      </c>
      <c r="AE185" s="811">
        <v>0</v>
      </c>
      <c r="AF185" s="643">
        <v>2111</v>
      </c>
    </row>
    <row r="186" spans="1:32" ht="15.75">
      <c r="A186" s="643">
        <v>2112</v>
      </c>
      <c r="B186" s="644"/>
      <c r="C186" s="644" t="s">
        <v>769</v>
      </c>
      <c r="D186" s="544" t="s">
        <v>221</v>
      </c>
      <c r="E186" s="545">
        <v>4600</v>
      </c>
      <c r="F186" s="648">
        <v>11</v>
      </c>
      <c r="G186" s="645" t="s">
        <v>129</v>
      </c>
      <c r="H186" s="636">
        <v>9.6</v>
      </c>
      <c r="I186" s="636">
        <v>13.3</v>
      </c>
      <c r="J186" s="549">
        <v>60</v>
      </c>
      <c r="K186" s="554" t="s">
        <v>221</v>
      </c>
      <c r="L186" s="562">
        <v>12</v>
      </c>
      <c r="M186" s="549">
        <v>2000</v>
      </c>
      <c r="N186" s="592">
        <v>0.25</v>
      </c>
      <c r="O186" s="594">
        <v>1.65</v>
      </c>
      <c r="P186" s="590">
        <v>4</v>
      </c>
      <c r="Q186" s="431"/>
      <c r="R186" s="430" t="s">
        <v>129</v>
      </c>
      <c r="S186" s="175">
        <v>402</v>
      </c>
      <c r="T186" s="751">
        <v>373</v>
      </c>
      <c r="U186" s="439"/>
      <c r="V186" s="636">
        <v>3.7949999999999995</v>
      </c>
      <c r="W186" s="636"/>
      <c r="X186" s="439"/>
      <c r="Y186" s="761">
        <v>3.7949999999999995</v>
      </c>
      <c r="Z186" s="776">
        <v>11.012833333333335</v>
      </c>
      <c r="AA186" s="777"/>
      <c r="AB186" s="811"/>
      <c r="AC186" s="818">
        <v>9.2000000000000011</v>
      </c>
      <c r="AD186" s="811" t="s">
        <v>633</v>
      </c>
      <c r="AE186" s="811">
        <v>0</v>
      </c>
      <c r="AF186" s="643">
        <v>2112</v>
      </c>
    </row>
    <row r="187" spans="1:32" ht="15.75">
      <c r="A187" s="643">
        <v>2113</v>
      </c>
      <c r="B187" s="644"/>
      <c r="C187" s="644" t="s">
        <v>770</v>
      </c>
      <c r="D187" s="544" t="s">
        <v>221</v>
      </c>
      <c r="E187" s="545">
        <v>7400</v>
      </c>
      <c r="F187" s="648">
        <v>13.5</v>
      </c>
      <c r="G187" s="645" t="s">
        <v>129</v>
      </c>
      <c r="H187" s="636">
        <v>11.8</v>
      </c>
      <c r="I187" s="636">
        <v>15.9</v>
      </c>
      <c r="J187" s="549">
        <v>100</v>
      </c>
      <c r="K187" s="554" t="s">
        <v>221</v>
      </c>
      <c r="L187" s="562">
        <v>12</v>
      </c>
      <c r="M187" s="549">
        <v>2000</v>
      </c>
      <c r="N187" s="592">
        <v>0.1</v>
      </c>
      <c r="O187" s="594">
        <v>1.4</v>
      </c>
      <c r="P187" s="590">
        <v>8</v>
      </c>
      <c r="Q187" s="431"/>
      <c r="R187" s="430" t="s">
        <v>129</v>
      </c>
      <c r="S187" s="175">
        <v>450</v>
      </c>
      <c r="T187" s="751">
        <v>696.83999999999992</v>
      </c>
      <c r="U187" s="439"/>
      <c r="V187" s="636">
        <v>5.18</v>
      </c>
      <c r="W187" s="636"/>
      <c r="X187" s="439"/>
      <c r="Y187" s="761">
        <v>5.18</v>
      </c>
      <c r="Z187" s="776">
        <v>13.363239999999999</v>
      </c>
      <c r="AA187" s="777"/>
      <c r="AB187" s="811"/>
      <c r="AC187" s="818">
        <v>14.8</v>
      </c>
      <c r="AD187" s="811" t="s">
        <v>633</v>
      </c>
      <c r="AE187" s="811">
        <v>0</v>
      </c>
      <c r="AF187" s="643">
        <v>2113</v>
      </c>
    </row>
    <row r="188" spans="1:32" ht="15.75">
      <c r="A188" s="643"/>
      <c r="B188" s="644"/>
      <c r="C188" s="644"/>
      <c r="D188" s="544"/>
      <c r="E188" s="545"/>
      <c r="F188" s="546"/>
      <c r="G188" s="645" t="s">
        <v>129</v>
      </c>
      <c r="H188" s="636"/>
      <c r="I188" s="636"/>
      <c r="J188" s="549"/>
      <c r="K188" s="554"/>
      <c r="L188" s="562"/>
      <c r="M188" s="549"/>
      <c r="N188" s="592" t="s">
        <v>129</v>
      </c>
      <c r="O188" s="594" t="s">
        <v>129</v>
      </c>
      <c r="P188" s="590"/>
      <c r="Q188" s="431"/>
      <c r="R188" s="430" t="s">
        <v>129</v>
      </c>
      <c r="S188" s="497">
        <v>450</v>
      </c>
      <c r="T188" s="751" t="s">
        <v>129</v>
      </c>
      <c r="U188" s="439"/>
      <c r="V188" s="636"/>
      <c r="W188" s="636"/>
      <c r="X188" s="439"/>
      <c r="Y188" s="761" t="s">
        <v>129</v>
      </c>
      <c r="Z188" s="776"/>
      <c r="AA188" s="781"/>
      <c r="AB188" s="811"/>
      <c r="AC188" s="818" t="s">
        <v>129</v>
      </c>
      <c r="AD188" s="811"/>
      <c r="AE188" s="811"/>
      <c r="AF188" s="643"/>
    </row>
    <row r="189" spans="1:32" ht="31.5">
      <c r="A189" s="663"/>
      <c r="B189" s="664"/>
      <c r="C189" s="675" t="s">
        <v>771</v>
      </c>
      <c r="D189" s="676"/>
      <c r="E189" s="667"/>
      <c r="F189" s="668"/>
      <c r="G189" s="669" t="s">
        <v>129</v>
      </c>
      <c r="H189" s="670"/>
      <c r="I189" s="670"/>
      <c r="J189" s="671"/>
      <c r="K189" s="672"/>
      <c r="L189" s="737"/>
      <c r="M189" s="671"/>
      <c r="N189" s="740" t="s">
        <v>129</v>
      </c>
      <c r="O189" s="746" t="s">
        <v>129</v>
      </c>
      <c r="P189" s="747"/>
      <c r="Q189" s="429"/>
      <c r="R189" s="430" t="s">
        <v>129</v>
      </c>
      <c r="S189" s="175">
        <v>396</v>
      </c>
      <c r="T189" s="754" t="s">
        <v>129</v>
      </c>
      <c r="U189" s="438"/>
      <c r="V189" s="670"/>
      <c r="W189" s="670"/>
      <c r="X189" s="438"/>
      <c r="Y189" s="766" t="s">
        <v>129</v>
      </c>
      <c r="Z189" s="785"/>
      <c r="AA189" s="786"/>
      <c r="AB189" s="813"/>
      <c r="AC189" s="821" t="s">
        <v>129</v>
      </c>
      <c r="AD189" s="813"/>
      <c r="AE189" s="813"/>
      <c r="AF189" s="663"/>
    </row>
    <row r="190" spans="1:32" ht="15.75">
      <c r="A190" s="633"/>
      <c r="B190" s="634"/>
      <c r="C190" s="677"/>
      <c r="D190" s="544"/>
      <c r="E190" s="545"/>
      <c r="F190" s="546"/>
      <c r="G190" s="633" t="s">
        <v>129</v>
      </c>
      <c r="H190" s="636"/>
      <c r="I190" s="636"/>
      <c r="J190" s="549"/>
      <c r="K190" s="635"/>
      <c r="L190" s="633"/>
      <c r="M190" s="549"/>
      <c r="N190" s="592" t="s">
        <v>129</v>
      </c>
      <c r="O190" s="594" t="s">
        <v>129</v>
      </c>
      <c r="P190" s="743"/>
      <c r="Q190" s="431"/>
      <c r="R190" s="430" t="s">
        <v>129</v>
      </c>
      <c r="S190" s="497">
        <v>462</v>
      </c>
      <c r="T190" s="751" t="s">
        <v>129</v>
      </c>
      <c r="U190" s="439"/>
      <c r="V190" s="636"/>
      <c r="W190" s="636"/>
      <c r="X190" s="439"/>
      <c r="Y190" s="761" t="s">
        <v>129</v>
      </c>
      <c r="Z190" s="776"/>
      <c r="AA190" s="777"/>
      <c r="AB190" s="633"/>
      <c r="AC190" s="818" t="s">
        <v>129</v>
      </c>
      <c r="AD190" s="811"/>
      <c r="AE190" s="811"/>
      <c r="AF190" s="633"/>
    </row>
    <row r="191" spans="1:32" ht="15.75">
      <c r="A191" s="624">
        <v>3000</v>
      </c>
      <c r="B191" s="625" t="s">
        <v>411</v>
      </c>
      <c r="C191" s="626" t="s">
        <v>772</v>
      </c>
      <c r="D191" s="627"/>
      <c r="E191" s="628"/>
      <c r="F191" s="629"/>
      <c r="G191" s="630" t="s">
        <v>129</v>
      </c>
      <c r="H191" s="631"/>
      <c r="I191" s="631"/>
      <c r="J191" s="632"/>
      <c r="K191" s="632"/>
      <c r="L191" s="627"/>
      <c r="M191" s="632"/>
      <c r="N191" s="739" t="s">
        <v>129</v>
      </c>
      <c r="O191" s="744" t="s">
        <v>129</v>
      </c>
      <c r="P191" s="742"/>
      <c r="Q191" s="431">
        <v>1.111E-2</v>
      </c>
      <c r="R191" s="430">
        <v>483.01666666666665</v>
      </c>
      <c r="S191" s="175">
        <v>78</v>
      </c>
      <c r="T191" s="750" t="s">
        <v>129</v>
      </c>
      <c r="U191" s="442">
        <v>2.9187222222222222</v>
      </c>
      <c r="V191" s="631"/>
      <c r="W191" s="631"/>
      <c r="X191" s="442">
        <v>0.31108000000000002</v>
      </c>
      <c r="Y191" s="763" t="s">
        <v>129</v>
      </c>
      <c r="Z191" s="774"/>
      <c r="AA191" s="775"/>
      <c r="AB191" s="810"/>
      <c r="AC191" s="817" t="s">
        <v>129</v>
      </c>
      <c r="AD191" s="810"/>
      <c r="AE191" s="810"/>
      <c r="AF191" s="624">
        <v>3000</v>
      </c>
    </row>
    <row r="192" spans="1:32" ht="15.75">
      <c r="A192" s="633"/>
      <c r="B192" s="634"/>
      <c r="C192" s="677"/>
      <c r="D192" s="544"/>
      <c r="E192" s="545"/>
      <c r="F192" s="546"/>
      <c r="G192" s="633" t="s">
        <v>129</v>
      </c>
      <c r="H192" s="636"/>
      <c r="I192" s="636"/>
      <c r="J192" s="549"/>
      <c r="K192" s="635"/>
      <c r="L192" s="633"/>
      <c r="M192" s="549"/>
      <c r="N192" s="592" t="s">
        <v>129</v>
      </c>
      <c r="O192" s="594" t="s">
        <v>129</v>
      </c>
      <c r="P192" s="743"/>
      <c r="Q192" s="434">
        <v>1.6667000000000001E-2</v>
      </c>
      <c r="R192" s="430">
        <v>1091.75</v>
      </c>
      <c r="S192" s="497">
        <v>426</v>
      </c>
      <c r="T192" s="751" t="s">
        <v>129</v>
      </c>
      <c r="U192" s="442">
        <v>4.2935714285714282</v>
      </c>
      <c r="V192" s="636"/>
      <c r="W192" s="636"/>
      <c r="X192" s="442">
        <v>0.46667600000000004</v>
      </c>
      <c r="Y192" s="761" t="s">
        <v>129</v>
      </c>
      <c r="Z192" s="776"/>
      <c r="AA192" s="777"/>
      <c r="AB192" s="633"/>
      <c r="AC192" s="818" t="s">
        <v>129</v>
      </c>
      <c r="AD192" s="811"/>
      <c r="AE192" s="811"/>
      <c r="AF192" s="633"/>
    </row>
    <row r="193" spans="1:33" ht="15.75">
      <c r="A193" s="643">
        <v>3002</v>
      </c>
      <c r="B193" s="542" t="s">
        <v>411</v>
      </c>
      <c r="C193" s="644" t="s">
        <v>773</v>
      </c>
      <c r="D193" s="888">
        <v>1</v>
      </c>
      <c r="E193" s="545">
        <v>18000</v>
      </c>
      <c r="F193" s="552">
        <v>39</v>
      </c>
      <c r="G193" s="678">
        <v>5.6</v>
      </c>
      <c r="H193" s="679">
        <v>4.8</v>
      </c>
      <c r="I193" s="679">
        <v>7.1</v>
      </c>
      <c r="J193" s="567">
        <v>350</v>
      </c>
      <c r="K193" s="554" t="s">
        <v>221</v>
      </c>
      <c r="L193" s="562">
        <v>18</v>
      </c>
      <c r="M193" s="567">
        <v>30000</v>
      </c>
      <c r="N193" s="592">
        <v>0.25</v>
      </c>
      <c r="O193" s="594">
        <v>2.1</v>
      </c>
      <c r="P193" s="590">
        <v>54</v>
      </c>
      <c r="Q193" s="431">
        <v>1.111E-2</v>
      </c>
      <c r="R193" s="430">
        <v>794</v>
      </c>
      <c r="S193" s="175">
        <v>138</v>
      </c>
      <c r="T193" s="751">
        <v>1353</v>
      </c>
      <c r="U193" s="442">
        <v>6.1550000000000002</v>
      </c>
      <c r="V193" s="679">
        <v>1.26</v>
      </c>
      <c r="W193" s="636"/>
      <c r="X193" s="442">
        <v>0.31108000000000002</v>
      </c>
      <c r="Y193" s="767">
        <v>1.26</v>
      </c>
      <c r="Z193" s="776">
        <v>5.6382857142857148</v>
      </c>
      <c r="AA193" s="778">
        <v>5.6382857142857148</v>
      </c>
      <c r="AB193" s="811">
        <v>7</v>
      </c>
      <c r="AC193" s="818">
        <v>36</v>
      </c>
      <c r="AD193" s="811" t="s">
        <v>774</v>
      </c>
      <c r="AE193" s="811">
        <v>0</v>
      </c>
      <c r="AF193" s="643">
        <v>3002</v>
      </c>
    </row>
    <row r="194" spans="1:33" ht="15.75">
      <c r="A194" s="643">
        <v>3004</v>
      </c>
      <c r="B194" s="542" t="s">
        <v>411</v>
      </c>
      <c r="C194" s="644" t="s">
        <v>775</v>
      </c>
      <c r="D194" s="888">
        <v>1</v>
      </c>
      <c r="E194" s="545">
        <v>17000</v>
      </c>
      <c r="F194" s="552">
        <v>48</v>
      </c>
      <c r="G194" s="678">
        <v>9.6999999999999993</v>
      </c>
      <c r="H194" s="679">
        <v>8.1999999999999993</v>
      </c>
      <c r="I194" s="679">
        <v>12</v>
      </c>
      <c r="J194" s="567">
        <v>200</v>
      </c>
      <c r="K194" s="554" t="s">
        <v>221</v>
      </c>
      <c r="L194" s="562">
        <v>18</v>
      </c>
      <c r="M194" s="567">
        <v>25000</v>
      </c>
      <c r="N194" s="592">
        <v>0.25</v>
      </c>
      <c r="O194" s="594">
        <v>3.1</v>
      </c>
      <c r="P194" s="590">
        <v>59</v>
      </c>
      <c r="Q194" s="434">
        <v>1.6667000000000001E-2</v>
      </c>
      <c r="R194" s="430">
        <v>1091.75</v>
      </c>
      <c r="S194" s="499"/>
      <c r="T194" s="751">
        <v>1333.8333333333335</v>
      </c>
      <c r="U194" s="442">
        <v>7.6887499999999998</v>
      </c>
      <c r="V194" s="679">
        <v>2.1080000000000001</v>
      </c>
      <c r="W194" s="636"/>
      <c r="X194" s="442">
        <v>0.46667600000000004</v>
      </c>
      <c r="Y194" s="767">
        <v>2.1080000000000001</v>
      </c>
      <c r="Z194" s="776">
        <v>9.6548833333333359</v>
      </c>
      <c r="AA194" s="778">
        <v>9.6548833333333359</v>
      </c>
      <c r="AB194" s="811">
        <v>5</v>
      </c>
      <c r="AC194" s="818">
        <v>34</v>
      </c>
      <c r="AD194" s="811" t="s">
        <v>774</v>
      </c>
      <c r="AE194" s="811">
        <v>0</v>
      </c>
      <c r="AF194" s="643">
        <v>3004</v>
      </c>
      <c r="AG194" s="132"/>
    </row>
    <row r="195" spans="1:33" ht="15.75">
      <c r="A195" s="643">
        <v>3006</v>
      </c>
      <c r="B195" s="542" t="s">
        <v>411</v>
      </c>
      <c r="C195" s="644" t="s">
        <v>776</v>
      </c>
      <c r="D195" s="888">
        <v>1</v>
      </c>
      <c r="E195" s="545">
        <v>19500</v>
      </c>
      <c r="F195" s="552">
        <v>50</v>
      </c>
      <c r="G195" s="678">
        <v>6.3</v>
      </c>
      <c r="H195" s="679">
        <v>5.3</v>
      </c>
      <c r="I195" s="679">
        <v>7.9</v>
      </c>
      <c r="J195" s="567">
        <v>350</v>
      </c>
      <c r="K195" s="554" t="s">
        <v>221</v>
      </c>
      <c r="L195" s="562">
        <v>18</v>
      </c>
      <c r="M195" s="567">
        <v>35000</v>
      </c>
      <c r="N195" s="592">
        <v>0.25</v>
      </c>
      <c r="O195" s="594">
        <v>2.4</v>
      </c>
      <c r="P195" s="590">
        <v>67</v>
      </c>
      <c r="Q195" s="431">
        <v>1.111E-2</v>
      </c>
      <c r="R195" s="430">
        <v>959.41666666666663</v>
      </c>
      <c r="S195" s="496"/>
      <c r="T195" s="751">
        <v>1525.25</v>
      </c>
      <c r="U195" s="442">
        <v>4.1640476190476186</v>
      </c>
      <c r="V195" s="679">
        <v>1.3371428571428572</v>
      </c>
      <c r="W195" s="636"/>
      <c r="X195" s="442">
        <v>0.31108000000000002</v>
      </c>
      <c r="Y195" s="767">
        <v>1.3371428571428572</v>
      </c>
      <c r="Z195" s="776">
        <v>6.2645000000000008</v>
      </c>
      <c r="AA195" s="778">
        <v>6.2645000000000008</v>
      </c>
      <c r="AB195" s="811">
        <v>8</v>
      </c>
      <c r="AC195" s="818">
        <v>39</v>
      </c>
      <c r="AD195" s="811" t="s">
        <v>774</v>
      </c>
      <c r="AE195" s="811">
        <v>0</v>
      </c>
      <c r="AF195" s="643">
        <v>3006</v>
      </c>
    </row>
    <row r="196" spans="1:33" ht="15.75">
      <c r="A196" s="643">
        <v>3008</v>
      </c>
      <c r="B196" s="542" t="s">
        <v>411</v>
      </c>
      <c r="C196" s="644" t="s">
        <v>777</v>
      </c>
      <c r="D196" s="888">
        <v>1</v>
      </c>
      <c r="E196" s="545">
        <v>30000</v>
      </c>
      <c r="F196" s="552">
        <v>57</v>
      </c>
      <c r="G196" s="678">
        <v>5.7</v>
      </c>
      <c r="H196" s="679">
        <v>4.9000000000000004</v>
      </c>
      <c r="I196" s="679">
        <v>7.2</v>
      </c>
      <c r="J196" s="567">
        <v>550</v>
      </c>
      <c r="K196" s="554" t="s">
        <v>221</v>
      </c>
      <c r="L196" s="562">
        <v>18</v>
      </c>
      <c r="M196" s="567">
        <v>40000</v>
      </c>
      <c r="N196" s="592">
        <v>0.25</v>
      </c>
      <c r="O196" s="594">
        <v>1.75</v>
      </c>
      <c r="P196" s="590">
        <v>75</v>
      </c>
      <c r="Q196" s="434">
        <v>1.6667000000000001E-2</v>
      </c>
      <c r="R196" s="430">
        <v>1356.4166666666665</v>
      </c>
      <c r="S196" s="499"/>
      <c r="T196" s="751">
        <v>2150</v>
      </c>
      <c r="U196" s="442">
        <v>5.3326190476190476</v>
      </c>
      <c r="V196" s="679">
        <v>1.3125</v>
      </c>
      <c r="W196" s="636"/>
      <c r="X196" s="442">
        <v>0.46667600000000004</v>
      </c>
      <c r="Y196" s="767">
        <v>1.3125</v>
      </c>
      <c r="Z196" s="776">
        <v>5.7437500000000004</v>
      </c>
      <c r="AA196" s="778">
        <v>5.7437500000000004</v>
      </c>
      <c r="AB196" s="811">
        <v>10</v>
      </c>
      <c r="AC196" s="818">
        <v>60</v>
      </c>
      <c r="AD196" s="811" t="s">
        <v>774</v>
      </c>
      <c r="AE196" s="811">
        <v>0</v>
      </c>
      <c r="AF196" s="643">
        <v>3008</v>
      </c>
    </row>
    <row r="197" spans="1:33" ht="15.75">
      <c r="A197" s="643">
        <v>3009</v>
      </c>
      <c r="B197" s="644" t="s">
        <v>411</v>
      </c>
      <c r="C197" s="644" t="s">
        <v>778</v>
      </c>
      <c r="D197" s="888">
        <v>1</v>
      </c>
      <c r="E197" s="545">
        <v>38000</v>
      </c>
      <c r="F197" s="552">
        <v>62</v>
      </c>
      <c r="G197" s="678">
        <v>4.0999999999999996</v>
      </c>
      <c r="H197" s="679">
        <v>3.6</v>
      </c>
      <c r="I197" s="679">
        <v>5.0999999999999996</v>
      </c>
      <c r="J197" s="567">
        <v>1000</v>
      </c>
      <c r="K197" s="554" t="s">
        <v>221</v>
      </c>
      <c r="L197" s="562">
        <v>18</v>
      </c>
      <c r="M197" s="567">
        <v>60000</v>
      </c>
      <c r="N197" s="592">
        <v>0.25</v>
      </c>
      <c r="O197" s="594">
        <v>1.85</v>
      </c>
      <c r="P197" s="590">
        <v>75</v>
      </c>
      <c r="Q197" s="431">
        <v>1.111E-2</v>
      </c>
      <c r="R197" s="430">
        <v>1257.1666666666665</v>
      </c>
      <c r="S197" s="497">
        <v>432</v>
      </c>
      <c r="T197" s="751">
        <v>2583.333333333333</v>
      </c>
      <c r="U197" s="442">
        <v>3.640333333333333</v>
      </c>
      <c r="V197" s="679">
        <v>1.1716666666666666</v>
      </c>
      <c r="W197" s="636"/>
      <c r="X197" s="442">
        <v>0.31108000000000002</v>
      </c>
      <c r="Y197" s="767">
        <v>1.1716666666666666</v>
      </c>
      <c r="Z197" s="776">
        <v>4.1305000000000005</v>
      </c>
      <c r="AA197" s="778">
        <v>4.1305000000000005</v>
      </c>
      <c r="AB197" s="811">
        <v>15</v>
      </c>
      <c r="AC197" s="818">
        <v>76</v>
      </c>
      <c r="AD197" s="811" t="s">
        <v>774</v>
      </c>
      <c r="AE197" s="811">
        <v>0</v>
      </c>
      <c r="AF197" s="643">
        <v>3009</v>
      </c>
    </row>
    <row r="198" spans="1:33" ht="31.5">
      <c r="A198" s="643">
        <v>3010</v>
      </c>
      <c r="B198" s="542" t="s">
        <v>411</v>
      </c>
      <c r="C198" s="644" t="s">
        <v>779</v>
      </c>
      <c r="D198" s="888">
        <v>1</v>
      </c>
      <c r="E198" s="545">
        <v>30000</v>
      </c>
      <c r="F198" s="552">
        <v>52</v>
      </c>
      <c r="G198" s="678">
        <v>5.2</v>
      </c>
      <c r="H198" s="679">
        <v>4.4000000000000004</v>
      </c>
      <c r="I198" s="679">
        <v>6.5</v>
      </c>
      <c r="J198" s="567">
        <v>600</v>
      </c>
      <c r="K198" s="554" t="s">
        <v>221</v>
      </c>
      <c r="L198" s="562">
        <v>18</v>
      </c>
      <c r="M198" s="567">
        <v>40000</v>
      </c>
      <c r="N198" s="592">
        <v>0.25</v>
      </c>
      <c r="O198" s="594">
        <v>1.65</v>
      </c>
      <c r="P198" s="590">
        <v>66</v>
      </c>
      <c r="Q198" s="434">
        <v>1.6667000000000001E-2</v>
      </c>
      <c r="R198" s="430">
        <v>1588</v>
      </c>
      <c r="S198" s="175">
        <v>486</v>
      </c>
      <c r="T198" s="751">
        <v>2087</v>
      </c>
      <c r="U198" s="442">
        <v>3.9290909090909092</v>
      </c>
      <c r="V198" s="679">
        <v>1.2374999999999998</v>
      </c>
      <c r="W198" s="636"/>
      <c r="X198" s="442">
        <v>0.46667600000000004</v>
      </c>
      <c r="Y198" s="767">
        <v>1.2374999999999998</v>
      </c>
      <c r="Z198" s="776">
        <v>5.1874166666666675</v>
      </c>
      <c r="AA198" s="778">
        <v>5.1874166666666675</v>
      </c>
      <c r="AB198" s="811">
        <v>10</v>
      </c>
      <c r="AC198" s="818">
        <v>60</v>
      </c>
      <c r="AD198" s="811" t="s">
        <v>774</v>
      </c>
      <c r="AE198" s="811">
        <v>0</v>
      </c>
      <c r="AF198" s="643">
        <v>3010</v>
      </c>
    </row>
    <row r="199" spans="1:33" ht="31.5">
      <c r="A199" s="643">
        <v>3011</v>
      </c>
      <c r="B199" s="644" t="s">
        <v>411</v>
      </c>
      <c r="C199" s="644" t="s">
        <v>780</v>
      </c>
      <c r="D199" s="888">
        <v>1</v>
      </c>
      <c r="E199" s="545">
        <v>40000</v>
      </c>
      <c r="F199" s="552">
        <v>52</v>
      </c>
      <c r="G199" s="678">
        <v>3.4</v>
      </c>
      <c r="H199" s="679">
        <v>2.9</v>
      </c>
      <c r="I199" s="679">
        <v>4.3</v>
      </c>
      <c r="J199" s="567">
        <v>1200</v>
      </c>
      <c r="K199" s="554" t="s">
        <v>221</v>
      </c>
      <c r="L199" s="562">
        <v>18</v>
      </c>
      <c r="M199" s="567">
        <v>60000</v>
      </c>
      <c r="N199" s="592">
        <v>0.25</v>
      </c>
      <c r="O199" s="594">
        <v>1.3</v>
      </c>
      <c r="P199" s="590">
        <v>77</v>
      </c>
      <c r="Q199" s="434">
        <v>1.6667000000000001E-2</v>
      </c>
      <c r="R199" s="430">
        <v>2051.166666666667</v>
      </c>
      <c r="S199" s="497">
        <v>648</v>
      </c>
      <c r="T199" s="751">
        <v>2705.666666666667</v>
      </c>
      <c r="U199" s="442">
        <v>2.6381666666666668</v>
      </c>
      <c r="V199" s="679">
        <v>0.8666666666666667</v>
      </c>
      <c r="W199" s="636"/>
      <c r="X199" s="442">
        <v>0.46667600000000004</v>
      </c>
      <c r="Y199" s="767">
        <v>0.8666666666666667</v>
      </c>
      <c r="Z199" s="776">
        <v>3.4335277777777784</v>
      </c>
      <c r="AA199" s="778">
        <v>3.4335277777777784</v>
      </c>
      <c r="AB199" s="811">
        <v>15</v>
      </c>
      <c r="AC199" s="818">
        <v>80</v>
      </c>
      <c r="AD199" s="811" t="s">
        <v>774</v>
      </c>
      <c r="AE199" s="811">
        <v>0</v>
      </c>
      <c r="AF199" s="643">
        <v>3011</v>
      </c>
    </row>
    <row r="200" spans="1:33" ht="15.75">
      <c r="A200" s="643">
        <v>3012</v>
      </c>
      <c r="B200" s="542" t="s">
        <v>411</v>
      </c>
      <c r="C200" s="644" t="s">
        <v>781</v>
      </c>
      <c r="D200" s="888">
        <v>1</v>
      </c>
      <c r="E200" s="545">
        <v>2200</v>
      </c>
      <c r="F200" s="552">
        <v>15</v>
      </c>
      <c r="G200" s="678">
        <v>10</v>
      </c>
      <c r="H200" s="679">
        <v>8.3000000000000007</v>
      </c>
      <c r="I200" s="679">
        <v>13</v>
      </c>
      <c r="J200" s="567">
        <v>50</v>
      </c>
      <c r="K200" s="554" t="s">
        <v>221</v>
      </c>
      <c r="L200" s="562">
        <v>15</v>
      </c>
      <c r="M200" s="567">
        <v>2000</v>
      </c>
      <c r="N200" s="592">
        <v>0.25</v>
      </c>
      <c r="O200" s="594">
        <v>0.9</v>
      </c>
      <c r="P200" s="590">
        <v>13</v>
      </c>
      <c r="Q200" s="434">
        <v>1.6667000000000001E-2</v>
      </c>
      <c r="R200" s="430">
        <v>1654.1666666666667</v>
      </c>
      <c r="S200" s="175">
        <v>660</v>
      </c>
      <c r="T200" s="751">
        <v>408.5</v>
      </c>
      <c r="U200" s="442">
        <v>3.6102777777777781</v>
      </c>
      <c r="V200" s="679">
        <v>0.9900000000000001</v>
      </c>
      <c r="W200" s="636"/>
      <c r="X200" s="442">
        <v>0.46667600000000004</v>
      </c>
      <c r="Y200" s="767">
        <v>0.9900000000000001</v>
      </c>
      <c r="Z200" s="776">
        <v>10.076000000000001</v>
      </c>
      <c r="AA200" s="778">
        <v>10.076000000000001</v>
      </c>
      <c r="AB200" s="811">
        <v>1.5</v>
      </c>
      <c r="AC200" s="818">
        <v>184.4</v>
      </c>
      <c r="AD200" s="811" t="s">
        <v>774</v>
      </c>
      <c r="AE200" s="811">
        <v>0</v>
      </c>
      <c r="AF200" s="643">
        <v>3012</v>
      </c>
    </row>
    <row r="201" spans="1:33" ht="15.75">
      <c r="A201" s="643">
        <v>3013</v>
      </c>
      <c r="B201" s="644"/>
      <c r="C201" s="644" t="s">
        <v>782</v>
      </c>
      <c r="D201" s="888">
        <v>3</v>
      </c>
      <c r="E201" s="545">
        <v>52000</v>
      </c>
      <c r="F201" s="649">
        <v>23</v>
      </c>
      <c r="G201" s="889">
        <v>7.6</v>
      </c>
      <c r="H201" s="636">
        <v>19</v>
      </c>
      <c r="I201" s="636">
        <v>28</v>
      </c>
      <c r="J201" s="549">
        <v>250</v>
      </c>
      <c r="K201" s="554"/>
      <c r="L201" s="562">
        <v>15</v>
      </c>
      <c r="M201" s="549">
        <v>10000</v>
      </c>
      <c r="N201" s="592">
        <v>0.25</v>
      </c>
      <c r="O201" s="594">
        <v>1.1000000000000001</v>
      </c>
      <c r="P201" s="590">
        <v>71</v>
      </c>
      <c r="Q201" s="434">
        <v>1.6667000000000001E-2</v>
      </c>
      <c r="R201" s="430">
        <v>2382</v>
      </c>
      <c r="S201" s="175">
        <v>660</v>
      </c>
      <c r="T201" s="751">
        <v>3747</v>
      </c>
      <c r="U201" s="442">
        <v>2.4941666666666666</v>
      </c>
      <c r="V201" s="636">
        <v>5.7200000000000006</v>
      </c>
      <c r="W201" s="636"/>
      <c r="X201" s="442">
        <v>0.46667600000000004</v>
      </c>
      <c r="Y201" s="761">
        <v>5.7200000000000006</v>
      </c>
      <c r="Z201" s="776">
        <v>22.7788</v>
      </c>
      <c r="AA201" s="788">
        <v>7.5929333333333338</v>
      </c>
      <c r="AB201" s="811"/>
      <c r="AC201" s="818">
        <v>104</v>
      </c>
      <c r="AD201" s="811" t="s">
        <v>633</v>
      </c>
      <c r="AE201" s="811">
        <v>0</v>
      </c>
      <c r="AF201" s="643">
        <v>3013</v>
      </c>
    </row>
    <row r="202" spans="1:33" ht="15.75">
      <c r="A202" s="541">
        <v>3014</v>
      </c>
      <c r="B202" s="644"/>
      <c r="C202" s="542" t="s">
        <v>783</v>
      </c>
      <c r="D202" s="890">
        <v>1.5</v>
      </c>
      <c r="E202" s="545">
        <v>7100</v>
      </c>
      <c r="F202" s="546">
        <v>10</v>
      </c>
      <c r="G202" s="891">
        <v>6.6</v>
      </c>
      <c r="H202" s="892">
        <v>5.9</v>
      </c>
      <c r="I202" s="892">
        <v>7.9</v>
      </c>
      <c r="J202" s="893">
        <v>200</v>
      </c>
      <c r="K202" s="554" t="s">
        <v>221</v>
      </c>
      <c r="L202" s="562">
        <v>15</v>
      </c>
      <c r="M202" s="893">
        <v>5000</v>
      </c>
      <c r="N202" s="592">
        <v>0.1</v>
      </c>
      <c r="O202" s="594">
        <v>1.9</v>
      </c>
      <c r="P202" s="590">
        <v>23</v>
      </c>
      <c r="Q202" s="431">
        <v>1.111E-2</v>
      </c>
      <c r="R202" s="430">
        <v>230.95</v>
      </c>
      <c r="S202" s="499"/>
      <c r="T202" s="751">
        <v>669.36</v>
      </c>
      <c r="U202" s="442">
        <v>10.562999999999999</v>
      </c>
      <c r="V202" s="892">
        <v>2.698</v>
      </c>
      <c r="W202" s="636"/>
      <c r="X202" s="442">
        <v>0.31108000000000002</v>
      </c>
      <c r="Y202" s="894">
        <v>2.698</v>
      </c>
      <c r="Z202" s="789"/>
      <c r="AA202" s="788">
        <v>6.649280000000001</v>
      </c>
      <c r="AB202" s="811">
        <v>32</v>
      </c>
      <c r="AC202" s="818">
        <v>14.200000000000001</v>
      </c>
      <c r="AD202" s="811" t="s">
        <v>784</v>
      </c>
      <c r="AE202" s="811">
        <v>0</v>
      </c>
      <c r="AF202" s="541">
        <v>3014</v>
      </c>
    </row>
    <row r="203" spans="1:33" ht="15.75">
      <c r="A203" s="633"/>
      <c r="B203" s="634"/>
      <c r="C203" s="633"/>
      <c r="D203" s="566"/>
      <c r="E203" s="545"/>
      <c r="F203" s="546"/>
      <c r="G203" s="680" t="s">
        <v>129</v>
      </c>
      <c r="H203" s="636"/>
      <c r="I203" s="636"/>
      <c r="J203" s="549"/>
      <c r="K203" s="635"/>
      <c r="L203" s="633"/>
      <c r="M203" s="549"/>
      <c r="N203" s="592" t="s">
        <v>129</v>
      </c>
      <c r="O203" s="594" t="s">
        <v>129</v>
      </c>
      <c r="P203" s="743"/>
      <c r="Q203" s="431">
        <v>0.05</v>
      </c>
      <c r="R203" s="430">
        <v>2831</v>
      </c>
      <c r="S203" s="496"/>
      <c r="T203" s="751" t="s">
        <v>129</v>
      </c>
      <c r="U203" s="439">
        <v>15.888</v>
      </c>
      <c r="V203" s="636"/>
      <c r="W203" s="636"/>
      <c r="X203" s="439">
        <v>1.4000000000000001</v>
      </c>
      <c r="Y203" s="761" t="s">
        <v>129</v>
      </c>
      <c r="Z203" s="776"/>
      <c r="AA203" s="788"/>
      <c r="AB203" s="633"/>
      <c r="AC203" s="818" t="s">
        <v>129</v>
      </c>
      <c r="AD203" s="811"/>
      <c r="AE203" s="811"/>
      <c r="AF203" s="633"/>
    </row>
    <row r="204" spans="1:33" ht="15.75">
      <c r="A204" s="624">
        <v>3020</v>
      </c>
      <c r="B204" s="625" t="s">
        <v>411</v>
      </c>
      <c r="C204" s="626" t="s">
        <v>785</v>
      </c>
      <c r="D204" s="627"/>
      <c r="E204" s="628"/>
      <c r="F204" s="629"/>
      <c r="G204" s="630" t="s">
        <v>129</v>
      </c>
      <c r="H204" s="631"/>
      <c r="I204" s="631"/>
      <c r="J204" s="632"/>
      <c r="K204" s="632"/>
      <c r="L204" s="627"/>
      <c r="M204" s="632"/>
      <c r="N204" s="739" t="s">
        <v>129</v>
      </c>
      <c r="O204" s="744" t="s">
        <v>129</v>
      </c>
      <c r="P204" s="742"/>
      <c r="Q204" s="431"/>
      <c r="R204" s="430" t="s">
        <v>129</v>
      </c>
      <c r="S204" s="124"/>
      <c r="T204" s="750" t="s">
        <v>129</v>
      </c>
      <c r="U204" s="439"/>
      <c r="V204" s="631"/>
      <c r="W204" s="631"/>
      <c r="X204" s="439"/>
      <c r="Y204" s="763" t="s">
        <v>129</v>
      </c>
      <c r="Z204" s="774"/>
      <c r="AA204" s="775"/>
      <c r="AB204" s="810"/>
      <c r="AC204" s="817" t="s">
        <v>129</v>
      </c>
      <c r="AD204" s="810"/>
      <c r="AE204" s="810"/>
      <c r="AF204" s="624">
        <v>3020</v>
      </c>
    </row>
    <row r="205" spans="1:33" ht="15.75">
      <c r="A205" s="633"/>
      <c r="B205" s="634"/>
      <c r="C205" s="633"/>
      <c r="D205" s="566"/>
      <c r="E205" s="545"/>
      <c r="F205" s="546"/>
      <c r="G205" s="680" t="s">
        <v>129</v>
      </c>
      <c r="H205" s="636"/>
      <c r="I205" s="636"/>
      <c r="J205" s="549"/>
      <c r="K205" s="635"/>
      <c r="L205" s="633"/>
      <c r="M205" s="549"/>
      <c r="N205" s="592" t="s">
        <v>129</v>
      </c>
      <c r="O205" s="594" t="s">
        <v>129</v>
      </c>
      <c r="P205" s="743"/>
      <c r="Q205" s="429"/>
      <c r="R205" s="430" t="s">
        <v>129</v>
      </c>
      <c r="S205" s="497">
        <v>186</v>
      </c>
      <c r="T205" s="751" t="s">
        <v>129</v>
      </c>
      <c r="U205" s="438"/>
      <c r="V205" s="636"/>
      <c r="W205" s="636"/>
      <c r="X205" s="438"/>
      <c r="Y205" s="761" t="s">
        <v>129</v>
      </c>
      <c r="Z205" s="776"/>
      <c r="AA205" s="788"/>
      <c r="AB205" s="633"/>
      <c r="AC205" s="818" t="s">
        <v>129</v>
      </c>
      <c r="AD205" s="811"/>
      <c r="AE205" s="811"/>
      <c r="AF205" s="633"/>
    </row>
    <row r="206" spans="1:33" ht="15.75">
      <c r="A206" s="643">
        <v>3021</v>
      </c>
      <c r="B206" s="644" t="s">
        <v>411</v>
      </c>
      <c r="C206" s="644" t="s">
        <v>786</v>
      </c>
      <c r="D206" s="888">
        <v>1</v>
      </c>
      <c r="E206" s="545">
        <v>35000</v>
      </c>
      <c r="F206" s="552">
        <v>43</v>
      </c>
      <c r="G206" s="678">
        <v>3.6</v>
      </c>
      <c r="H206" s="679">
        <v>3.1</v>
      </c>
      <c r="I206" s="679">
        <v>4.5</v>
      </c>
      <c r="J206" s="567">
        <v>1000</v>
      </c>
      <c r="K206" s="554" t="s">
        <v>221</v>
      </c>
      <c r="L206" s="562">
        <v>18</v>
      </c>
      <c r="M206" s="567">
        <v>60000</v>
      </c>
      <c r="N206" s="592">
        <v>0.25</v>
      </c>
      <c r="O206" s="594">
        <v>1.5</v>
      </c>
      <c r="P206" s="590">
        <v>72</v>
      </c>
      <c r="Q206" s="431"/>
      <c r="R206" s="430" t="s">
        <v>129</v>
      </c>
      <c r="S206" s="175">
        <v>432</v>
      </c>
      <c r="T206" s="751">
        <v>2399.833333333333</v>
      </c>
      <c r="U206" s="439"/>
      <c r="V206" s="679">
        <v>0.875</v>
      </c>
      <c r="W206" s="636"/>
      <c r="X206" s="439"/>
      <c r="Y206" s="767">
        <v>0.875</v>
      </c>
      <c r="Z206" s="776">
        <v>3.6023166666666668</v>
      </c>
      <c r="AA206" s="790">
        <v>3.6023166666666668</v>
      </c>
      <c r="AB206" s="811">
        <v>12</v>
      </c>
      <c r="AC206" s="818">
        <v>70</v>
      </c>
      <c r="AD206" s="811" t="s">
        <v>774</v>
      </c>
      <c r="AE206" s="811">
        <v>0</v>
      </c>
      <c r="AF206" s="643">
        <v>3021</v>
      </c>
    </row>
    <row r="207" spans="1:33" ht="15.75">
      <c r="A207" s="643">
        <v>3022</v>
      </c>
      <c r="B207" s="644" t="s">
        <v>411</v>
      </c>
      <c r="C207" s="644" t="s">
        <v>787</v>
      </c>
      <c r="D207" s="888">
        <v>1</v>
      </c>
      <c r="E207" s="545">
        <v>40000</v>
      </c>
      <c r="F207" s="552">
        <v>52</v>
      </c>
      <c r="G207" s="678">
        <v>3.4</v>
      </c>
      <c r="H207" s="679">
        <v>2.9</v>
      </c>
      <c r="I207" s="679">
        <v>4.3</v>
      </c>
      <c r="J207" s="567">
        <v>1200</v>
      </c>
      <c r="K207" s="554" t="s">
        <v>221</v>
      </c>
      <c r="L207" s="562">
        <v>18</v>
      </c>
      <c r="M207" s="567">
        <v>75000</v>
      </c>
      <c r="N207" s="592">
        <v>0.25</v>
      </c>
      <c r="O207" s="594">
        <v>1.6</v>
      </c>
      <c r="P207" s="590">
        <v>81</v>
      </c>
      <c r="Q207" s="434">
        <v>0.01</v>
      </c>
      <c r="R207" s="430">
        <v>2249.666666666667</v>
      </c>
      <c r="S207" s="497">
        <v>558</v>
      </c>
      <c r="T207" s="751">
        <v>2733.666666666667</v>
      </c>
      <c r="U207" s="442">
        <v>2.8216666666666668</v>
      </c>
      <c r="V207" s="679">
        <v>0.85333333333333339</v>
      </c>
      <c r="W207" s="636"/>
      <c r="X207" s="442">
        <v>0.28000000000000003</v>
      </c>
      <c r="Y207" s="767">
        <v>0.85333333333333339</v>
      </c>
      <c r="Z207" s="776">
        <v>3.4445277777777785</v>
      </c>
      <c r="AA207" s="790">
        <v>3.4445277777777785</v>
      </c>
      <c r="AB207" s="811">
        <v>15</v>
      </c>
      <c r="AC207" s="818">
        <v>80</v>
      </c>
      <c r="AD207" s="811" t="s">
        <v>774</v>
      </c>
      <c r="AE207" s="811">
        <v>0</v>
      </c>
      <c r="AF207" s="643">
        <v>3022</v>
      </c>
    </row>
    <row r="208" spans="1:33" ht="15.75">
      <c r="A208" s="643">
        <v>3023</v>
      </c>
      <c r="B208" s="644" t="s">
        <v>411</v>
      </c>
      <c r="C208" s="644" t="s">
        <v>788</v>
      </c>
      <c r="D208" s="888">
        <v>1</v>
      </c>
      <c r="E208" s="545">
        <v>68000</v>
      </c>
      <c r="F208" s="552">
        <v>68</v>
      </c>
      <c r="G208" s="678">
        <v>3.4</v>
      </c>
      <c r="H208" s="679">
        <v>2.9</v>
      </c>
      <c r="I208" s="679">
        <v>4.2</v>
      </c>
      <c r="J208" s="567">
        <v>2000</v>
      </c>
      <c r="K208" s="554" t="s">
        <v>221</v>
      </c>
      <c r="L208" s="562">
        <v>18</v>
      </c>
      <c r="M208" s="567">
        <v>100000</v>
      </c>
      <c r="N208" s="592">
        <v>0.25</v>
      </c>
      <c r="O208" s="594">
        <v>1.25</v>
      </c>
      <c r="P208" s="590">
        <v>108</v>
      </c>
      <c r="Q208" s="434">
        <v>0.01</v>
      </c>
      <c r="R208" s="430">
        <v>2712.833333333333</v>
      </c>
      <c r="S208" s="175">
        <v>108</v>
      </c>
      <c r="T208" s="751">
        <v>4439.3333333333339</v>
      </c>
      <c r="U208" s="442">
        <v>2.8015277777777774</v>
      </c>
      <c r="V208" s="679">
        <v>0.85000000000000009</v>
      </c>
      <c r="W208" s="636"/>
      <c r="X208" s="442">
        <v>0.28000000000000003</v>
      </c>
      <c r="Y208" s="767">
        <v>0.85000000000000009</v>
      </c>
      <c r="Z208" s="776">
        <v>3.3766333333333338</v>
      </c>
      <c r="AA208" s="790">
        <v>3.3766333333333338</v>
      </c>
      <c r="AB208" s="811">
        <v>20</v>
      </c>
      <c r="AC208" s="818">
        <v>136</v>
      </c>
      <c r="AD208" s="811" t="s">
        <v>774</v>
      </c>
      <c r="AE208" s="811">
        <v>0</v>
      </c>
      <c r="AF208" s="643">
        <v>3023</v>
      </c>
    </row>
    <row r="209" spans="1:32" ht="15.75">
      <c r="A209" s="643">
        <v>3025</v>
      </c>
      <c r="B209" s="644" t="s">
        <v>411</v>
      </c>
      <c r="C209" s="644" t="s">
        <v>789</v>
      </c>
      <c r="D209" s="888">
        <v>1</v>
      </c>
      <c r="E209" s="545">
        <v>71000</v>
      </c>
      <c r="F209" s="552">
        <v>59</v>
      </c>
      <c r="G209" s="678">
        <v>4</v>
      </c>
      <c r="H209" s="679">
        <v>3.5</v>
      </c>
      <c r="I209" s="679">
        <v>4.7</v>
      </c>
      <c r="J209" s="567">
        <v>2500</v>
      </c>
      <c r="K209" s="554" t="s">
        <v>221</v>
      </c>
      <c r="L209" s="562">
        <v>18</v>
      </c>
      <c r="M209" s="567">
        <v>60000</v>
      </c>
      <c r="N209" s="592">
        <v>0.1</v>
      </c>
      <c r="O209" s="594">
        <v>1.3</v>
      </c>
      <c r="P209" s="590">
        <v>110</v>
      </c>
      <c r="Q209" s="434">
        <v>0.01</v>
      </c>
      <c r="R209" s="430">
        <v>5491.8333333333339</v>
      </c>
      <c r="S209" s="497">
        <v>120</v>
      </c>
      <c r="T209" s="751">
        <v>5143.6000000000004</v>
      </c>
      <c r="U209" s="442">
        <v>3.2069166666666669</v>
      </c>
      <c r="V209" s="679">
        <v>1.5383333333333333</v>
      </c>
      <c r="W209" s="636"/>
      <c r="X209" s="442">
        <v>0.28000000000000003</v>
      </c>
      <c r="Y209" s="767">
        <v>1.5383333333333333</v>
      </c>
      <c r="Z209" s="776">
        <v>3.9553506666666673</v>
      </c>
      <c r="AA209" s="790">
        <v>3.9553506666666673</v>
      </c>
      <c r="AB209" s="811">
        <v>15</v>
      </c>
      <c r="AC209" s="818">
        <v>142</v>
      </c>
      <c r="AD209" s="811" t="s">
        <v>774</v>
      </c>
      <c r="AE209" s="811">
        <v>0</v>
      </c>
      <c r="AF209" s="643">
        <v>3025</v>
      </c>
    </row>
    <row r="210" spans="1:32" ht="15.75">
      <c r="A210" s="643">
        <v>3026</v>
      </c>
      <c r="B210" s="644" t="s">
        <v>411</v>
      </c>
      <c r="C210" s="644" t="s">
        <v>790</v>
      </c>
      <c r="D210" s="888">
        <v>1</v>
      </c>
      <c r="E210" s="545">
        <v>100000</v>
      </c>
      <c r="F210" s="552">
        <v>91</v>
      </c>
      <c r="G210" s="678">
        <v>4.0999999999999996</v>
      </c>
      <c r="H210" s="679">
        <v>3.7</v>
      </c>
      <c r="I210" s="679">
        <v>4.9000000000000004</v>
      </c>
      <c r="J210" s="567">
        <v>3200</v>
      </c>
      <c r="K210" s="554" t="s">
        <v>221</v>
      </c>
      <c r="L210" s="562">
        <v>18</v>
      </c>
      <c r="M210" s="567">
        <v>75000</v>
      </c>
      <c r="N210" s="592">
        <v>0.1</v>
      </c>
      <c r="O210" s="594">
        <v>1.2</v>
      </c>
      <c r="P210" s="590">
        <v>110</v>
      </c>
      <c r="Q210" s="433">
        <v>5.0000000000000001E-3</v>
      </c>
      <c r="R210" s="430">
        <v>3475.2</v>
      </c>
      <c r="S210" s="175">
        <v>180</v>
      </c>
      <c r="T210" s="751">
        <v>6930</v>
      </c>
      <c r="U210" s="442">
        <v>1.73648</v>
      </c>
      <c r="V210" s="679">
        <v>1.5999999999999999</v>
      </c>
      <c r="W210" s="636"/>
      <c r="X210" s="442">
        <v>0.14000000000000001</v>
      </c>
      <c r="Y210" s="767">
        <v>1.5999999999999999</v>
      </c>
      <c r="Z210" s="776">
        <v>4.1421875000000004</v>
      </c>
      <c r="AA210" s="790">
        <v>4.1421875000000004</v>
      </c>
      <c r="AB210" s="811">
        <v>22</v>
      </c>
      <c r="AC210" s="818">
        <v>200</v>
      </c>
      <c r="AD210" s="811" t="s">
        <v>774</v>
      </c>
      <c r="AE210" s="811">
        <v>0</v>
      </c>
      <c r="AF210" s="643">
        <v>3026</v>
      </c>
    </row>
    <row r="211" spans="1:32" ht="15.75">
      <c r="A211" s="633"/>
      <c r="B211" s="634"/>
      <c r="C211" s="633"/>
      <c r="D211" s="566"/>
      <c r="E211" s="545"/>
      <c r="F211" s="546"/>
      <c r="G211" s="680" t="s">
        <v>129</v>
      </c>
      <c r="H211" s="636"/>
      <c r="I211" s="636"/>
      <c r="J211" s="549"/>
      <c r="K211" s="635"/>
      <c r="L211" s="633"/>
      <c r="M211" s="549"/>
      <c r="N211" s="592" t="s">
        <v>129</v>
      </c>
      <c r="O211" s="594" t="s">
        <v>129</v>
      </c>
      <c r="P211" s="743"/>
      <c r="Q211" s="431"/>
      <c r="R211" s="430" t="s">
        <v>129</v>
      </c>
      <c r="S211" s="124"/>
      <c r="T211" s="751" t="s">
        <v>129</v>
      </c>
      <c r="U211" s="439"/>
      <c r="V211" s="636"/>
      <c r="W211" s="636"/>
      <c r="X211" s="439"/>
      <c r="Y211" s="761" t="s">
        <v>129</v>
      </c>
      <c r="Z211" s="776"/>
      <c r="AA211" s="788"/>
      <c r="AB211" s="633"/>
      <c r="AC211" s="818" t="s">
        <v>129</v>
      </c>
      <c r="AD211" s="811"/>
      <c r="AE211" s="811"/>
      <c r="AF211" s="633"/>
    </row>
    <row r="212" spans="1:32" ht="15.75">
      <c r="A212" s="624">
        <v>3040</v>
      </c>
      <c r="B212" s="625"/>
      <c r="C212" s="626" t="s">
        <v>791</v>
      </c>
      <c r="D212" s="627"/>
      <c r="E212" s="628"/>
      <c r="F212" s="629"/>
      <c r="G212" s="630" t="s">
        <v>129</v>
      </c>
      <c r="H212" s="631"/>
      <c r="I212" s="631"/>
      <c r="J212" s="632"/>
      <c r="K212" s="632"/>
      <c r="L212" s="627"/>
      <c r="M212" s="632"/>
      <c r="N212" s="739" t="s">
        <v>129</v>
      </c>
      <c r="O212" s="744" t="s">
        <v>129</v>
      </c>
      <c r="P212" s="742"/>
      <c r="Q212" s="429"/>
      <c r="R212" s="430" t="s">
        <v>129</v>
      </c>
      <c r="S212" s="502"/>
      <c r="T212" s="750" t="s">
        <v>129</v>
      </c>
      <c r="U212" s="438"/>
      <c r="V212" s="631"/>
      <c r="W212" s="631"/>
      <c r="X212" s="438"/>
      <c r="Y212" s="763" t="s">
        <v>129</v>
      </c>
      <c r="Z212" s="774"/>
      <c r="AA212" s="775"/>
      <c r="AB212" s="810"/>
      <c r="AC212" s="817" t="s">
        <v>129</v>
      </c>
      <c r="AD212" s="810"/>
      <c r="AE212" s="810"/>
      <c r="AF212" s="624">
        <v>3040</v>
      </c>
    </row>
    <row r="213" spans="1:32" ht="15.75">
      <c r="A213" s="633"/>
      <c r="B213" s="634"/>
      <c r="C213" s="633"/>
      <c r="D213" s="637"/>
      <c r="E213" s="545"/>
      <c r="F213" s="633"/>
      <c r="G213" s="633" t="s">
        <v>129</v>
      </c>
      <c r="H213" s="635"/>
      <c r="I213" s="635"/>
      <c r="J213" s="637"/>
      <c r="K213" s="635"/>
      <c r="L213" s="633"/>
      <c r="M213" s="637"/>
      <c r="N213" s="592" t="s">
        <v>129</v>
      </c>
      <c r="O213" s="594" t="s">
        <v>129</v>
      </c>
      <c r="P213" s="743"/>
      <c r="Q213" s="432"/>
      <c r="R213" s="430" t="s">
        <v>129</v>
      </c>
      <c r="S213" s="499"/>
      <c r="T213" s="751" t="s">
        <v>129</v>
      </c>
      <c r="U213" s="432"/>
      <c r="V213" s="633"/>
      <c r="W213" s="633"/>
      <c r="X213" s="432"/>
      <c r="Y213" s="761" t="s">
        <v>129</v>
      </c>
      <c r="Z213" s="633"/>
      <c r="AA213" s="634"/>
      <c r="AB213" s="633"/>
      <c r="AC213" s="818" t="s">
        <v>129</v>
      </c>
      <c r="AD213" s="811"/>
      <c r="AE213" s="633"/>
      <c r="AF213" s="633"/>
    </row>
    <row r="214" spans="1:32" ht="15.75">
      <c r="A214" s="643">
        <v>3041</v>
      </c>
      <c r="B214" s="644"/>
      <c r="C214" s="644" t="s">
        <v>792</v>
      </c>
      <c r="D214" s="888">
        <v>1</v>
      </c>
      <c r="E214" s="545">
        <v>11000</v>
      </c>
      <c r="F214" s="640">
        <v>14</v>
      </c>
      <c r="G214" s="889">
        <v>14</v>
      </c>
      <c r="H214" s="892">
        <v>12</v>
      </c>
      <c r="I214" s="892">
        <v>17</v>
      </c>
      <c r="J214" s="549">
        <v>100</v>
      </c>
      <c r="K214" s="554" t="s">
        <v>221</v>
      </c>
      <c r="L214" s="562">
        <v>15</v>
      </c>
      <c r="M214" s="549">
        <v>3000</v>
      </c>
      <c r="N214" s="592">
        <v>0.25</v>
      </c>
      <c r="O214" s="594">
        <v>0.95</v>
      </c>
      <c r="P214" s="590">
        <v>31</v>
      </c>
      <c r="Q214" s="431">
        <v>3.3300000000000003E-2</v>
      </c>
      <c r="R214" s="430">
        <v>752.45</v>
      </c>
      <c r="S214" s="496"/>
      <c r="T214" s="751">
        <v>904.5</v>
      </c>
      <c r="U214" s="439">
        <v>9.8965000000000014</v>
      </c>
      <c r="V214" s="636">
        <v>3.4833333333333329</v>
      </c>
      <c r="W214" s="636"/>
      <c r="X214" s="439">
        <v>0.93240000000000012</v>
      </c>
      <c r="Y214" s="761">
        <v>3.4833333333333329</v>
      </c>
      <c r="Z214" s="776">
        <v>13.781166666666667</v>
      </c>
      <c r="AA214" s="788">
        <v>13.781166666666667</v>
      </c>
      <c r="AB214" s="811">
        <v>1</v>
      </c>
      <c r="AC214" s="818">
        <v>22</v>
      </c>
      <c r="AD214" s="811" t="s">
        <v>633</v>
      </c>
      <c r="AE214" s="811">
        <v>0</v>
      </c>
      <c r="AF214" s="643">
        <v>3041</v>
      </c>
    </row>
    <row r="215" spans="1:32" ht="15.75">
      <c r="A215" s="643">
        <v>3042</v>
      </c>
      <c r="B215" s="644"/>
      <c r="C215" s="644" t="s">
        <v>793</v>
      </c>
      <c r="D215" s="888">
        <v>1</v>
      </c>
      <c r="E215" s="545">
        <v>19000</v>
      </c>
      <c r="F215" s="640">
        <v>27</v>
      </c>
      <c r="G215" s="889">
        <v>27</v>
      </c>
      <c r="H215" s="892">
        <v>23</v>
      </c>
      <c r="I215" s="892">
        <v>34</v>
      </c>
      <c r="J215" s="549">
        <v>100</v>
      </c>
      <c r="K215" s="554" t="s">
        <v>221</v>
      </c>
      <c r="L215" s="562">
        <v>15</v>
      </c>
      <c r="M215" s="549">
        <v>2500</v>
      </c>
      <c r="N215" s="592">
        <v>0.1</v>
      </c>
      <c r="O215" s="594">
        <v>0.8</v>
      </c>
      <c r="P215" s="590">
        <v>72</v>
      </c>
      <c r="Q215" s="431">
        <v>3.3300000000000003E-2</v>
      </c>
      <c r="R215" s="430">
        <v>1648</v>
      </c>
      <c r="S215" s="175"/>
      <c r="T215" s="751">
        <v>1864.4</v>
      </c>
      <c r="U215" s="439">
        <v>21.92</v>
      </c>
      <c r="V215" s="636">
        <v>6.08</v>
      </c>
      <c r="W215" s="636"/>
      <c r="X215" s="439">
        <v>0.93240000000000012</v>
      </c>
      <c r="Y215" s="761">
        <v>6.08</v>
      </c>
      <c r="Z215" s="776">
        <v>27.196400000000008</v>
      </c>
      <c r="AA215" s="788">
        <v>27.196400000000008</v>
      </c>
      <c r="AB215" s="811">
        <v>1</v>
      </c>
      <c r="AC215" s="818">
        <v>38</v>
      </c>
      <c r="AD215" s="811" t="s">
        <v>633</v>
      </c>
      <c r="AE215" s="811">
        <v>0</v>
      </c>
      <c r="AF215" s="643">
        <v>3042</v>
      </c>
    </row>
    <row r="216" spans="1:32" ht="15.75">
      <c r="A216" s="643">
        <v>3043</v>
      </c>
      <c r="B216" s="644"/>
      <c r="C216" s="644" t="s">
        <v>794</v>
      </c>
      <c r="D216" s="888">
        <v>1</v>
      </c>
      <c r="E216" s="545">
        <v>30000</v>
      </c>
      <c r="F216" s="683">
        <v>41</v>
      </c>
      <c r="G216" s="889">
        <v>41</v>
      </c>
      <c r="H216" s="892">
        <v>35</v>
      </c>
      <c r="I216" s="892">
        <v>51</v>
      </c>
      <c r="J216" s="549">
        <v>100</v>
      </c>
      <c r="K216" s="554" t="s">
        <v>221</v>
      </c>
      <c r="L216" s="562">
        <v>15</v>
      </c>
      <c r="M216" s="549">
        <v>2500</v>
      </c>
      <c r="N216" s="592">
        <v>0.1</v>
      </c>
      <c r="O216" s="594">
        <v>0.75</v>
      </c>
      <c r="P216" s="590">
        <v>93</v>
      </c>
      <c r="Q216" s="431">
        <v>3.3300000000000003E-2</v>
      </c>
      <c r="R216" s="430">
        <v>2430.8000000000002</v>
      </c>
      <c r="S216" s="497">
        <v>48</v>
      </c>
      <c r="T216" s="751">
        <v>2799</v>
      </c>
      <c r="U216" s="439">
        <v>31.408000000000001</v>
      </c>
      <c r="V216" s="636">
        <v>9</v>
      </c>
      <c r="W216" s="636"/>
      <c r="X216" s="439">
        <v>0.93240000000000012</v>
      </c>
      <c r="Y216" s="761">
        <v>9</v>
      </c>
      <c r="Z216" s="776">
        <v>40.689</v>
      </c>
      <c r="AA216" s="788">
        <v>40.689</v>
      </c>
      <c r="AB216" s="811">
        <v>1</v>
      </c>
      <c r="AC216" s="818">
        <v>60</v>
      </c>
      <c r="AD216" s="811" t="s">
        <v>633</v>
      </c>
      <c r="AE216" s="811">
        <v>0</v>
      </c>
      <c r="AF216" s="643">
        <v>3043</v>
      </c>
    </row>
    <row r="217" spans="1:32" ht="15.75">
      <c r="A217" s="643">
        <v>3045</v>
      </c>
      <c r="B217" s="644"/>
      <c r="C217" s="644" t="s">
        <v>795</v>
      </c>
      <c r="D217" s="559" t="s">
        <v>221</v>
      </c>
      <c r="E217" s="545">
        <v>4500</v>
      </c>
      <c r="F217" s="546"/>
      <c r="G217" s="895">
        <v>4.3</v>
      </c>
      <c r="H217" s="896">
        <v>3.7</v>
      </c>
      <c r="I217" s="896">
        <v>5.0999999999999996</v>
      </c>
      <c r="J217" s="897">
        <v>180</v>
      </c>
      <c r="K217" s="554" t="s">
        <v>221</v>
      </c>
      <c r="L217" s="562">
        <v>15</v>
      </c>
      <c r="M217" s="897">
        <v>5000</v>
      </c>
      <c r="N217" s="592">
        <v>0.25</v>
      </c>
      <c r="O217" s="594">
        <v>1.7</v>
      </c>
      <c r="P217" s="590">
        <v>20</v>
      </c>
      <c r="Q217" s="431">
        <v>0.02</v>
      </c>
      <c r="R217" s="430">
        <v>141.55000000000001</v>
      </c>
      <c r="S217" s="175">
        <v>192</v>
      </c>
      <c r="T217" s="751">
        <v>421.25</v>
      </c>
      <c r="U217" s="443">
        <v>1.5075000000000001</v>
      </c>
      <c r="V217" s="896">
        <v>1.53</v>
      </c>
      <c r="W217" s="756"/>
      <c r="X217" s="443">
        <v>0.56000000000000005</v>
      </c>
      <c r="Y217" s="898">
        <v>1.53</v>
      </c>
      <c r="Z217" s="776"/>
      <c r="AA217" s="791">
        <v>4.2573055555555559</v>
      </c>
      <c r="AB217" s="811"/>
      <c r="AC217" s="818">
        <v>9</v>
      </c>
      <c r="AD217" s="811" t="s">
        <v>796</v>
      </c>
      <c r="AE217" s="811">
        <v>0</v>
      </c>
      <c r="AF217" s="643">
        <v>3045</v>
      </c>
    </row>
    <row r="218" spans="1:32" ht="15.75">
      <c r="A218" s="643">
        <v>3046</v>
      </c>
      <c r="B218" s="644"/>
      <c r="C218" s="644" t="s">
        <v>797</v>
      </c>
      <c r="D218" s="559" t="s">
        <v>221</v>
      </c>
      <c r="E218" s="545">
        <v>5100</v>
      </c>
      <c r="F218" s="546"/>
      <c r="G218" s="895">
        <v>5</v>
      </c>
      <c r="H218" s="896">
        <v>4.4000000000000004</v>
      </c>
      <c r="I218" s="896">
        <v>6.1</v>
      </c>
      <c r="J218" s="897">
        <v>180</v>
      </c>
      <c r="K218" s="554" t="s">
        <v>221</v>
      </c>
      <c r="L218" s="562">
        <v>15</v>
      </c>
      <c r="M218" s="897">
        <v>5000</v>
      </c>
      <c r="N218" s="592">
        <v>0.25</v>
      </c>
      <c r="O218" s="594">
        <v>1.6</v>
      </c>
      <c r="P218" s="590">
        <v>30</v>
      </c>
      <c r="Q218" s="431">
        <v>0.02</v>
      </c>
      <c r="R218" s="430">
        <v>201.15</v>
      </c>
      <c r="S218" s="175">
        <v>174</v>
      </c>
      <c r="T218" s="751">
        <v>528.75</v>
      </c>
      <c r="U218" s="443">
        <v>1.9252777777777774</v>
      </c>
      <c r="V218" s="896">
        <v>1.6320000000000001</v>
      </c>
      <c r="W218" s="756"/>
      <c r="X218" s="443">
        <v>0.56000000000000005</v>
      </c>
      <c r="Y218" s="898">
        <v>1.6320000000000001</v>
      </c>
      <c r="Z218" s="776"/>
      <c r="AA218" s="791">
        <v>5.0264499999999996</v>
      </c>
      <c r="AB218" s="811"/>
      <c r="AC218" s="818">
        <v>10.200000000000001</v>
      </c>
      <c r="AD218" s="811" t="s">
        <v>796</v>
      </c>
      <c r="AE218" s="811">
        <v>0</v>
      </c>
      <c r="AF218" s="643">
        <v>3046</v>
      </c>
    </row>
    <row r="219" spans="1:32" ht="15.75">
      <c r="A219" s="643">
        <v>3047</v>
      </c>
      <c r="B219" s="644"/>
      <c r="C219" s="644" t="s">
        <v>798</v>
      </c>
      <c r="D219" s="559" t="s">
        <v>221</v>
      </c>
      <c r="E219" s="545">
        <v>7000</v>
      </c>
      <c r="F219" s="546"/>
      <c r="G219" s="895">
        <v>5.8</v>
      </c>
      <c r="H219" s="896">
        <v>5.0999999999999996</v>
      </c>
      <c r="I219" s="896">
        <v>6.9</v>
      </c>
      <c r="J219" s="897">
        <v>180</v>
      </c>
      <c r="K219" s="554" t="s">
        <v>221</v>
      </c>
      <c r="L219" s="562">
        <v>15</v>
      </c>
      <c r="M219" s="897">
        <v>5000</v>
      </c>
      <c r="N219" s="592">
        <v>0.25</v>
      </c>
      <c r="O219" s="594">
        <v>1.45</v>
      </c>
      <c r="P219" s="590">
        <v>20</v>
      </c>
      <c r="Q219" s="431">
        <v>0.02</v>
      </c>
      <c r="R219" s="430">
        <v>335.25</v>
      </c>
      <c r="S219" s="497">
        <v>222</v>
      </c>
      <c r="T219" s="751">
        <v>577.5</v>
      </c>
      <c r="U219" s="443">
        <v>3.0791666666666666</v>
      </c>
      <c r="V219" s="896">
        <v>2.0299999999999998</v>
      </c>
      <c r="W219" s="756"/>
      <c r="X219" s="443">
        <v>0.56000000000000005</v>
      </c>
      <c r="Y219" s="898">
        <v>2.0299999999999998</v>
      </c>
      <c r="Z219" s="776"/>
      <c r="AA219" s="791">
        <v>5.7621666666666673</v>
      </c>
      <c r="AB219" s="811"/>
      <c r="AC219" s="818">
        <v>14</v>
      </c>
      <c r="AD219" s="811" t="s">
        <v>796</v>
      </c>
      <c r="AE219" s="811">
        <v>0</v>
      </c>
      <c r="AF219" s="643">
        <v>3047</v>
      </c>
    </row>
    <row r="220" spans="1:32" ht="15.75">
      <c r="A220" s="633"/>
      <c r="B220" s="634"/>
      <c r="C220" s="684"/>
      <c r="D220" s="633"/>
      <c r="E220" s="545"/>
      <c r="F220" s="633"/>
      <c r="G220" s="633" t="s">
        <v>129</v>
      </c>
      <c r="H220" s="635"/>
      <c r="I220" s="635"/>
      <c r="J220" s="637"/>
      <c r="K220" s="635"/>
      <c r="L220" s="633"/>
      <c r="M220" s="637"/>
      <c r="N220" s="592" t="s">
        <v>129</v>
      </c>
      <c r="O220" s="594" t="s">
        <v>129</v>
      </c>
      <c r="P220" s="743"/>
      <c r="Q220" s="432"/>
      <c r="R220" s="430" t="s">
        <v>129</v>
      </c>
      <c r="S220" s="175">
        <v>90</v>
      </c>
      <c r="T220" s="751" t="s">
        <v>129</v>
      </c>
      <c r="U220" s="432"/>
      <c r="V220" s="633"/>
      <c r="W220" s="633"/>
      <c r="X220" s="432"/>
      <c r="Y220" s="761" t="s">
        <v>129</v>
      </c>
      <c r="Z220" s="783"/>
      <c r="AA220" s="777"/>
      <c r="AB220" s="633"/>
      <c r="AC220" s="818" t="s">
        <v>129</v>
      </c>
      <c r="AD220" s="811"/>
      <c r="AE220" s="811"/>
      <c r="AF220" s="633"/>
    </row>
    <row r="221" spans="1:32" ht="15.75">
      <c r="A221" s="663"/>
      <c r="B221" s="664"/>
      <c r="C221" s="665" t="s">
        <v>799</v>
      </c>
      <c r="D221" s="666"/>
      <c r="E221" s="667"/>
      <c r="F221" s="668"/>
      <c r="G221" s="669" t="s">
        <v>129</v>
      </c>
      <c r="H221" s="670"/>
      <c r="I221" s="670"/>
      <c r="J221" s="671"/>
      <c r="K221" s="672"/>
      <c r="L221" s="737"/>
      <c r="M221" s="671"/>
      <c r="N221" s="740" t="s">
        <v>129</v>
      </c>
      <c r="O221" s="746" t="s">
        <v>129</v>
      </c>
      <c r="P221" s="747"/>
      <c r="Q221" s="431"/>
      <c r="R221" s="430" t="s">
        <v>129</v>
      </c>
      <c r="S221" s="497">
        <v>132</v>
      </c>
      <c r="T221" s="754" t="s">
        <v>129</v>
      </c>
      <c r="U221" s="439"/>
      <c r="V221" s="670"/>
      <c r="W221" s="670"/>
      <c r="X221" s="439"/>
      <c r="Y221" s="766" t="s">
        <v>129</v>
      </c>
      <c r="Z221" s="785"/>
      <c r="AA221" s="786"/>
      <c r="AB221" s="813"/>
      <c r="AC221" s="821" t="s">
        <v>129</v>
      </c>
      <c r="AD221" s="813"/>
      <c r="AE221" s="813"/>
      <c r="AF221" s="663"/>
    </row>
    <row r="222" spans="1:32" ht="15.75">
      <c r="A222" s="633"/>
      <c r="B222" s="634"/>
      <c r="C222" s="685"/>
      <c r="D222" s="544"/>
      <c r="E222" s="545"/>
      <c r="F222" s="546"/>
      <c r="G222" s="633" t="s">
        <v>129</v>
      </c>
      <c r="H222" s="636"/>
      <c r="I222" s="636"/>
      <c r="J222" s="549"/>
      <c r="K222" s="635"/>
      <c r="L222" s="633"/>
      <c r="M222" s="549"/>
      <c r="N222" s="592" t="s">
        <v>129</v>
      </c>
      <c r="O222" s="594" t="s">
        <v>129</v>
      </c>
      <c r="P222" s="743"/>
      <c r="Q222" s="431"/>
      <c r="R222" s="430" t="s">
        <v>129</v>
      </c>
      <c r="T222" s="751" t="s">
        <v>129</v>
      </c>
      <c r="U222" s="439"/>
      <c r="V222" s="636"/>
      <c r="W222" s="636"/>
      <c r="X222" s="439"/>
      <c r="Y222" s="761" t="s">
        <v>129</v>
      </c>
      <c r="Z222" s="776"/>
      <c r="AA222" s="777"/>
      <c r="AB222" s="633"/>
      <c r="AC222" s="818" t="s">
        <v>129</v>
      </c>
      <c r="AD222" s="811"/>
      <c r="AE222" s="811"/>
      <c r="AF222" s="633"/>
    </row>
    <row r="223" spans="1:32" ht="15.75">
      <c r="A223" s="624">
        <v>4000</v>
      </c>
      <c r="B223" s="625"/>
      <c r="C223" s="686" t="s">
        <v>800</v>
      </c>
      <c r="D223" s="626"/>
      <c r="E223" s="628"/>
      <c r="F223" s="629"/>
      <c r="G223" s="630" t="s">
        <v>129</v>
      </c>
      <c r="H223" s="631"/>
      <c r="I223" s="631"/>
      <c r="J223" s="632"/>
      <c r="K223" s="632"/>
      <c r="L223" s="627"/>
      <c r="M223" s="632"/>
      <c r="N223" s="739" t="s">
        <v>129</v>
      </c>
      <c r="O223" s="744" t="s">
        <v>129</v>
      </c>
      <c r="P223" s="742"/>
      <c r="Q223" s="429"/>
      <c r="R223" s="430" t="s">
        <v>129</v>
      </c>
      <c r="S223" s="496"/>
      <c r="T223" s="750" t="s">
        <v>129</v>
      </c>
      <c r="U223" s="438"/>
      <c r="V223" s="631"/>
      <c r="W223" s="631"/>
      <c r="X223" s="438"/>
      <c r="Y223" s="763" t="s">
        <v>129</v>
      </c>
      <c r="Z223" s="774"/>
      <c r="AA223" s="775"/>
      <c r="AB223" s="810"/>
      <c r="AC223" s="817" t="s">
        <v>129</v>
      </c>
      <c r="AD223" s="810"/>
      <c r="AE223" s="810"/>
      <c r="AF223" s="624">
        <v>4000</v>
      </c>
    </row>
    <row r="224" spans="1:32" ht="15.75">
      <c r="A224" s="633"/>
      <c r="B224" s="634"/>
      <c r="C224" s="633"/>
      <c r="D224" s="544"/>
      <c r="E224" s="545"/>
      <c r="F224" s="546"/>
      <c r="G224" s="633" t="s">
        <v>129</v>
      </c>
      <c r="H224" s="636"/>
      <c r="I224" s="636"/>
      <c r="J224" s="549"/>
      <c r="K224" s="635"/>
      <c r="L224" s="633"/>
      <c r="M224" s="549"/>
      <c r="N224" s="592" t="s">
        <v>129</v>
      </c>
      <c r="O224" s="594" t="s">
        <v>129</v>
      </c>
      <c r="P224" s="743"/>
      <c r="Q224" s="431"/>
      <c r="R224" s="430" t="s">
        <v>129</v>
      </c>
      <c r="S224" s="175"/>
      <c r="T224" s="751" t="s">
        <v>129</v>
      </c>
      <c r="U224" s="439"/>
      <c r="V224" s="636"/>
      <c r="W224" s="636"/>
      <c r="X224" s="439"/>
      <c r="Y224" s="761" t="s">
        <v>129</v>
      </c>
      <c r="Z224" s="776"/>
      <c r="AA224" s="777"/>
      <c r="AB224" s="633"/>
      <c r="AC224" s="818" t="s">
        <v>129</v>
      </c>
      <c r="AD224" s="811"/>
      <c r="AE224" s="811"/>
      <c r="AF224" s="633"/>
    </row>
    <row r="225" spans="1:33" ht="15.75">
      <c r="A225" s="643">
        <v>4001</v>
      </c>
      <c r="B225" s="644"/>
      <c r="C225" s="644" t="s">
        <v>801</v>
      </c>
      <c r="D225" s="559">
        <v>35</v>
      </c>
      <c r="E225" s="545">
        <v>5800</v>
      </c>
      <c r="F225" s="546">
        <v>12</v>
      </c>
      <c r="G225" s="653">
        <v>34</v>
      </c>
      <c r="H225" s="654">
        <v>28</v>
      </c>
      <c r="I225" s="654">
        <v>43</v>
      </c>
      <c r="J225" s="561">
        <v>20</v>
      </c>
      <c r="K225" s="554" t="s">
        <v>221</v>
      </c>
      <c r="L225" s="562">
        <v>12</v>
      </c>
      <c r="M225" s="561">
        <v>800</v>
      </c>
      <c r="N225" s="592">
        <v>0.25</v>
      </c>
      <c r="O225" s="594">
        <v>0.85</v>
      </c>
      <c r="P225" s="590">
        <v>8</v>
      </c>
      <c r="Q225" s="431">
        <v>0.02</v>
      </c>
      <c r="R225" s="430">
        <v>443.7</v>
      </c>
      <c r="S225" s="497">
        <v>126</v>
      </c>
      <c r="T225" s="751">
        <v>491</v>
      </c>
      <c r="U225" s="440">
        <v>25.494999999999997</v>
      </c>
      <c r="V225" s="654">
        <v>6.1624999999999996</v>
      </c>
      <c r="W225" s="636"/>
      <c r="X225" s="440">
        <v>0.56000000000000005</v>
      </c>
      <c r="Y225" s="764">
        <v>6.1624999999999996</v>
      </c>
      <c r="Z225" s="776">
        <v>11.824312499999998</v>
      </c>
      <c r="AA225" s="780">
        <v>33.783749999999998</v>
      </c>
      <c r="AB225" s="811"/>
      <c r="AC225" s="818">
        <v>11.6</v>
      </c>
      <c r="AD225" s="811" t="s">
        <v>667</v>
      </c>
      <c r="AE225" s="811">
        <v>0</v>
      </c>
      <c r="AF225" s="643">
        <v>4001</v>
      </c>
    </row>
    <row r="226" spans="1:33" ht="15.75">
      <c r="A226" s="643">
        <v>4002</v>
      </c>
      <c r="B226" s="644"/>
      <c r="C226" s="644" t="s">
        <v>802</v>
      </c>
      <c r="D226" s="559">
        <v>55</v>
      </c>
      <c r="E226" s="545">
        <v>13000</v>
      </c>
      <c r="F226" s="546">
        <v>41</v>
      </c>
      <c r="G226" s="653">
        <v>75</v>
      </c>
      <c r="H226" s="654">
        <v>64</v>
      </c>
      <c r="I226" s="654">
        <v>93</v>
      </c>
      <c r="J226" s="561">
        <v>25</v>
      </c>
      <c r="K226" s="554" t="s">
        <v>221</v>
      </c>
      <c r="L226" s="562">
        <v>12</v>
      </c>
      <c r="M226" s="561">
        <v>900</v>
      </c>
      <c r="N226" s="592">
        <v>0.25</v>
      </c>
      <c r="O226" s="594">
        <v>1.4</v>
      </c>
      <c r="P226" s="590">
        <v>32</v>
      </c>
      <c r="Q226" s="431">
        <v>0.2</v>
      </c>
      <c r="R226" s="430">
        <v>1348.5</v>
      </c>
      <c r="S226" s="175">
        <v>204</v>
      </c>
      <c r="T226" s="751">
        <v>1199</v>
      </c>
      <c r="U226" s="440">
        <v>64.14</v>
      </c>
      <c r="V226" s="654">
        <v>20.222222222222221</v>
      </c>
      <c r="W226" s="636"/>
      <c r="X226" s="440">
        <v>5.6000000000000005</v>
      </c>
      <c r="Y226" s="764">
        <v>20.222222222222221</v>
      </c>
      <c r="Z226" s="776">
        <v>41.250244444444455</v>
      </c>
      <c r="AA226" s="780">
        <v>75.000444444444454</v>
      </c>
      <c r="AB226" s="811"/>
      <c r="AC226" s="818">
        <v>26</v>
      </c>
      <c r="AD226" s="811" t="s">
        <v>667</v>
      </c>
      <c r="AE226" s="811">
        <v>0</v>
      </c>
      <c r="AF226" s="643">
        <v>4002</v>
      </c>
    </row>
    <row r="227" spans="1:33" ht="15.75">
      <c r="A227" s="643">
        <v>4004</v>
      </c>
      <c r="B227" s="644"/>
      <c r="C227" s="644" t="s">
        <v>803</v>
      </c>
      <c r="D227" s="559">
        <v>119</v>
      </c>
      <c r="E227" s="545">
        <v>11500</v>
      </c>
      <c r="F227" s="546">
        <v>46</v>
      </c>
      <c r="G227" s="653">
        <v>39</v>
      </c>
      <c r="H227" s="654">
        <v>33</v>
      </c>
      <c r="I227" s="654">
        <v>49</v>
      </c>
      <c r="J227" s="561">
        <v>40</v>
      </c>
      <c r="K227" s="554" t="s">
        <v>221</v>
      </c>
      <c r="L227" s="562">
        <v>12</v>
      </c>
      <c r="M227" s="561">
        <v>1600</v>
      </c>
      <c r="N227" s="592">
        <v>0.25</v>
      </c>
      <c r="O227" s="594">
        <v>1.2</v>
      </c>
      <c r="P227" s="590">
        <v>29</v>
      </c>
      <c r="Q227" s="431">
        <v>0.1</v>
      </c>
      <c r="R227" s="430">
        <v>556.79999999999995</v>
      </c>
      <c r="S227" s="497">
        <v>240</v>
      </c>
      <c r="T227" s="751">
        <v>1065.5</v>
      </c>
      <c r="U227" s="440">
        <v>18.264999999999997</v>
      </c>
      <c r="V227" s="654">
        <v>8.625</v>
      </c>
      <c r="W227" s="636"/>
      <c r="X227" s="440">
        <v>2.8000000000000003</v>
      </c>
      <c r="Y227" s="764">
        <v>8.625</v>
      </c>
      <c r="Z227" s="776">
        <v>46.158612500000011</v>
      </c>
      <c r="AA227" s="780">
        <v>38.788750000000007</v>
      </c>
      <c r="AB227" s="811"/>
      <c r="AC227" s="818">
        <v>23</v>
      </c>
      <c r="AD227" s="811" t="s">
        <v>667</v>
      </c>
      <c r="AE227" s="811">
        <v>0</v>
      </c>
      <c r="AF227" s="643">
        <v>4004</v>
      </c>
    </row>
    <row r="228" spans="1:33" ht="15.75">
      <c r="A228" s="643">
        <v>4005</v>
      </c>
      <c r="B228" s="644"/>
      <c r="C228" s="644" t="s">
        <v>804</v>
      </c>
      <c r="D228" s="559">
        <v>140</v>
      </c>
      <c r="E228" s="545">
        <v>19500</v>
      </c>
      <c r="F228" s="546">
        <v>66</v>
      </c>
      <c r="G228" s="653">
        <v>47</v>
      </c>
      <c r="H228" s="654">
        <v>40</v>
      </c>
      <c r="I228" s="654">
        <v>60</v>
      </c>
      <c r="J228" s="561">
        <v>50</v>
      </c>
      <c r="K228" s="554" t="s">
        <v>221</v>
      </c>
      <c r="L228" s="562">
        <v>12</v>
      </c>
      <c r="M228" s="561">
        <v>2200</v>
      </c>
      <c r="N228" s="592">
        <v>0.25</v>
      </c>
      <c r="O228" s="594">
        <v>0.95</v>
      </c>
      <c r="P228" s="590">
        <v>37</v>
      </c>
      <c r="Q228" s="431">
        <v>0.1</v>
      </c>
      <c r="R228" s="430">
        <v>774.3</v>
      </c>
      <c r="S228" s="175">
        <v>348</v>
      </c>
      <c r="T228" s="751">
        <v>1721.5</v>
      </c>
      <c r="U228" s="440">
        <v>24.877499999999998</v>
      </c>
      <c r="V228" s="654">
        <v>8.420454545454545</v>
      </c>
      <c r="W228" s="636"/>
      <c r="X228" s="440">
        <v>2.8000000000000003</v>
      </c>
      <c r="Y228" s="764">
        <v>8.420454545454545</v>
      </c>
      <c r="Z228" s="776">
        <v>65.989700000000013</v>
      </c>
      <c r="AA228" s="780">
        <v>47.135500000000008</v>
      </c>
      <c r="AB228" s="811"/>
      <c r="AC228" s="818">
        <v>39</v>
      </c>
      <c r="AD228" s="811" t="s">
        <v>667</v>
      </c>
      <c r="AE228" s="811">
        <v>0</v>
      </c>
      <c r="AF228" s="643">
        <v>4005</v>
      </c>
      <c r="AG228" s="132"/>
    </row>
    <row r="229" spans="1:33" ht="15.75">
      <c r="A229" s="643">
        <v>4006</v>
      </c>
      <c r="B229" s="644"/>
      <c r="C229" s="644" t="s">
        <v>805</v>
      </c>
      <c r="D229" s="559">
        <v>30</v>
      </c>
      <c r="E229" s="545">
        <v>22000</v>
      </c>
      <c r="F229" s="546">
        <v>49</v>
      </c>
      <c r="G229" s="653">
        <v>160</v>
      </c>
      <c r="H229" s="654">
        <v>136</v>
      </c>
      <c r="I229" s="654">
        <v>205</v>
      </c>
      <c r="J229" s="561">
        <v>15</v>
      </c>
      <c r="K229" s="554" t="s">
        <v>221</v>
      </c>
      <c r="L229" s="562">
        <v>12</v>
      </c>
      <c r="M229" s="561">
        <v>800</v>
      </c>
      <c r="N229" s="592">
        <v>0.25</v>
      </c>
      <c r="O229" s="594">
        <v>1.1000000000000001</v>
      </c>
      <c r="P229" s="590">
        <v>15</v>
      </c>
      <c r="Q229" s="431">
        <v>0.05</v>
      </c>
      <c r="R229" s="430">
        <v>1000.5</v>
      </c>
      <c r="S229" s="497">
        <v>588</v>
      </c>
      <c r="T229" s="751">
        <v>1755</v>
      </c>
      <c r="U229" s="440">
        <v>25.65</v>
      </c>
      <c r="V229" s="654">
        <v>30.250000000000004</v>
      </c>
      <c r="W229" s="636"/>
      <c r="X229" s="440">
        <v>1.4000000000000001</v>
      </c>
      <c r="Y229" s="764">
        <v>30.250000000000004</v>
      </c>
      <c r="Z229" s="776">
        <v>48.592500000000008</v>
      </c>
      <c r="AA229" s="780">
        <v>161.97500000000002</v>
      </c>
      <c r="AB229" s="811"/>
      <c r="AC229" s="818">
        <v>44</v>
      </c>
      <c r="AD229" s="811" t="s">
        <v>667</v>
      </c>
      <c r="AE229" s="811">
        <v>0</v>
      </c>
      <c r="AF229" s="643">
        <v>4006</v>
      </c>
    </row>
    <row r="230" spans="1:33" ht="15.75">
      <c r="A230" s="643">
        <v>4007</v>
      </c>
      <c r="B230" s="644"/>
      <c r="C230" s="644" t="s">
        <v>806</v>
      </c>
      <c r="D230" s="559">
        <v>45</v>
      </c>
      <c r="E230" s="545">
        <v>44000</v>
      </c>
      <c r="F230" s="546">
        <v>87</v>
      </c>
      <c r="G230" s="653">
        <v>195</v>
      </c>
      <c r="H230" s="654">
        <v>160</v>
      </c>
      <c r="I230" s="654">
        <v>240</v>
      </c>
      <c r="J230" s="561">
        <v>25</v>
      </c>
      <c r="K230" s="554" t="s">
        <v>221</v>
      </c>
      <c r="L230" s="562">
        <v>12</v>
      </c>
      <c r="M230" s="561">
        <v>1200</v>
      </c>
      <c r="N230" s="592">
        <v>0.25</v>
      </c>
      <c r="O230" s="594">
        <v>1.05</v>
      </c>
      <c r="P230" s="590">
        <v>22</v>
      </c>
      <c r="Q230" s="431">
        <v>0.1</v>
      </c>
      <c r="R230" s="430">
        <v>1870.5</v>
      </c>
      <c r="S230" s="175"/>
      <c r="T230" s="751">
        <v>3454</v>
      </c>
      <c r="U230" s="440">
        <v>134.56666666666666</v>
      </c>
      <c r="V230" s="654">
        <v>38.5</v>
      </c>
      <c r="W230" s="636"/>
      <c r="X230" s="440">
        <v>2.8000000000000003</v>
      </c>
      <c r="Y230" s="764">
        <v>38.5</v>
      </c>
      <c r="Z230" s="776">
        <v>87.446700000000021</v>
      </c>
      <c r="AA230" s="780">
        <v>194.32600000000002</v>
      </c>
      <c r="AB230" s="811"/>
      <c r="AC230" s="818">
        <v>88</v>
      </c>
      <c r="AD230" s="811" t="s">
        <v>667</v>
      </c>
      <c r="AE230" s="811">
        <v>0</v>
      </c>
      <c r="AF230" s="643">
        <v>4007</v>
      </c>
      <c r="AG230" s="132"/>
    </row>
    <row r="231" spans="1:33" ht="15.75">
      <c r="A231" s="643"/>
      <c r="B231" s="644"/>
      <c r="C231" s="643"/>
      <c r="D231" s="554"/>
      <c r="E231" s="545"/>
      <c r="F231" s="553"/>
      <c r="G231" s="645" t="s">
        <v>129</v>
      </c>
      <c r="H231" s="657"/>
      <c r="I231" s="657"/>
      <c r="J231" s="554"/>
      <c r="K231" s="554"/>
      <c r="L231" s="562"/>
      <c r="M231" s="554"/>
      <c r="N231" s="592" t="s">
        <v>129</v>
      </c>
      <c r="O231" s="594" t="s">
        <v>129</v>
      </c>
      <c r="P231" s="590"/>
      <c r="Q231" s="431">
        <v>0.1</v>
      </c>
      <c r="R231" s="430">
        <v>2958</v>
      </c>
      <c r="S231" s="496"/>
      <c r="T231" s="751" t="s">
        <v>129</v>
      </c>
      <c r="U231" s="440">
        <v>127.2</v>
      </c>
      <c r="V231" s="657"/>
      <c r="W231" s="657"/>
      <c r="X231" s="440">
        <v>2.8000000000000003</v>
      </c>
      <c r="Y231" s="761" t="s">
        <v>129</v>
      </c>
      <c r="Z231" s="783"/>
      <c r="AA231" s="781"/>
      <c r="AB231" s="811"/>
      <c r="AC231" s="818" t="s">
        <v>129</v>
      </c>
      <c r="AD231" s="811"/>
      <c r="AE231" s="602"/>
      <c r="AF231" s="643"/>
    </row>
    <row r="232" spans="1:33" ht="15.75">
      <c r="A232" s="624">
        <v>4020</v>
      </c>
      <c r="B232" s="625"/>
      <c r="C232" s="626" t="s">
        <v>807</v>
      </c>
      <c r="D232" s="627"/>
      <c r="E232" s="628"/>
      <c r="F232" s="629"/>
      <c r="G232" s="630" t="s">
        <v>129</v>
      </c>
      <c r="H232" s="631"/>
      <c r="I232" s="631"/>
      <c r="J232" s="632"/>
      <c r="K232" s="632"/>
      <c r="L232" s="627"/>
      <c r="M232" s="632"/>
      <c r="N232" s="739" t="s">
        <v>129</v>
      </c>
      <c r="O232" s="744" t="s">
        <v>129</v>
      </c>
      <c r="P232" s="742"/>
      <c r="Q232" s="429"/>
      <c r="R232" s="430" t="s">
        <v>129</v>
      </c>
      <c r="S232" s="175"/>
      <c r="T232" s="750" t="s">
        <v>129</v>
      </c>
      <c r="U232" s="438"/>
      <c r="V232" s="631"/>
      <c r="W232" s="631"/>
      <c r="X232" s="438"/>
      <c r="Y232" s="763" t="s">
        <v>129</v>
      </c>
      <c r="Z232" s="774"/>
      <c r="AA232" s="775"/>
      <c r="AB232" s="810"/>
      <c r="AC232" s="817" t="s">
        <v>129</v>
      </c>
      <c r="AD232" s="810"/>
      <c r="AE232" s="810"/>
      <c r="AF232" s="624">
        <v>4020</v>
      </c>
    </row>
    <row r="233" spans="1:33" ht="15.75">
      <c r="A233" s="633"/>
      <c r="B233" s="634"/>
      <c r="C233" s="633"/>
      <c r="D233" s="559"/>
      <c r="E233" s="545"/>
      <c r="F233" s="546"/>
      <c r="G233" s="655" t="s">
        <v>129</v>
      </c>
      <c r="H233" s="654"/>
      <c r="I233" s="654"/>
      <c r="J233" s="561"/>
      <c r="K233" s="635"/>
      <c r="L233" s="633"/>
      <c r="M233" s="561"/>
      <c r="N233" s="592" t="s">
        <v>129</v>
      </c>
      <c r="O233" s="594" t="s">
        <v>129</v>
      </c>
      <c r="P233" s="743"/>
      <c r="Q233" s="429"/>
      <c r="R233" s="430" t="s">
        <v>129</v>
      </c>
      <c r="S233" s="175">
        <v>210</v>
      </c>
      <c r="T233" s="751" t="s">
        <v>129</v>
      </c>
      <c r="U233" s="438"/>
      <c r="V233" s="654"/>
      <c r="W233" s="636"/>
      <c r="X233" s="438"/>
      <c r="Y233" s="761" t="s">
        <v>129</v>
      </c>
      <c r="Z233" s="776"/>
      <c r="AA233" s="780"/>
      <c r="AB233" s="633"/>
      <c r="AC233" s="818" t="s">
        <v>129</v>
      </c>
      <c r="AD233" s="811"/>
      <c r="AE233" s="811"/>
      <c r="AF233" s="633"/>
    </row>
    <row r="234" spans="1:33" ht="15.75">
      <c r="A234" s="643">
        <v>4021</v>
      </c>
      <c r="B234" s="644"/>
      <c r="C234" s="644" t="s">
        <v>808</v>
      </c>
      <c r="D234" s="559">
        <v>32</v>
      </c>
      <c r="E234" s="545">
        <v>11000</v>
      </c>
      <c r="F234" s="546">
        <v>25</v>
      </c>
      <c r="G234" s="653">
        <v>79</v>
      </c>
      <c r="H234" s="654">
        <v>68</v>
      </c>
      <c r="I234" s="654">
        <v>97</v>
      </c>
      <c r="J234" s="561">
        <v>20</v>
      </c>
      <c r="K234" s="554" t="s">
        <v>221</v>
      </c>
      <c r="L234" s="562">
        <v>12</v>
      </c>
      <c r="M234" s="561">
        <v>500</v>
      </c>
      <c r="N234" s="592">
        <v>0.25</v>
      </c>
      <c r="O234" s="594">
        <v>1.05</v>
      </c>
      <c r="P234" s="590">
        <v>21</v>
      </c>
      <c r="Q234" s="431"/>
      <c r="R234" s="430" t="s">
        <v>129</v>
      </c>
      <c r="S234" s="497">
        <v>264</v>
      </c>
      <c r="T234" s="751">
        <v>972</v>
      </c>
      <c r="U234" s="440"/>
      <c r="V234" s="654">
        <v>23.1</v>
      </c>
      <c r="W234" s="636"/>
      <c r="X234" s="440"/>
      <c r="Y234" s="764">
        <v>23.1</v>
      </c>
      <c r="Z234" s="776">
        <v>25.238400000000002</v>
      </c>
      <c r="AA234" s="780">
        <v>78.87</v>
      </c>
      <c r="AB234" s="811"/>
      <c r="AC234" s="818">
        <v>22</v>
      </c>
      <c r="AD234" s="811" t="s">
        <v>667</v>
      </c>
      <c r="AE234" s="811">
        <v>0</v>
      </c>
      <c r="AF234" s="643">
        <v>4021</v>
      </c>
    </row>
    <row r="235" spans="1:33" ht="15.75">
      <c r="A235" s="643">
        <v>4022</v>
      </c>
      <c r="B235" s="644"/>
      <c r="C235" s="644" t="s">
        <v>809</v>
      </c>
      <c r="D235" s="559">
        <v>47</v>
      </c>
      <c r="E235" s="545">
        <v>21000</v>
      </c>
      <c r="F235" s="546">
        <v>49</v>
      </c>
      <c r="G235" s="653">
        <v>105</v>
      </c>
      <c r="H235" s="654">
        <v>91</v>
      </c>
      <c r="I235" s="654">
        <v>126</v>
      </c>
      <c r="J235" s="561">
        <v>30</v>
      </c>
      <c r="K235" s="554" t="s">
        <v>221</v>
      </c>
      <c r="L235" s="562">
        <v>12</v>
      </c>
      <c r="M235" s="561">
        <v>800</v>
      </c>
      <c r="N235" s="592">
        <v>0.25</v>
      </c>
      <c r="O235" s="594">
        <v>1.3</v>
      </c>
      <c r="P235" s="590">
        <v>34</v>
      </c>
      <c r="Q235" s="431">
        <v>0.25</v>
      </c>
      <c r="R235" s="430">
        <v>983.1</v>
      </c>
      <c r="S235" s="175">
        <v>192</v>
      </c>
      <c r="T235" s="751">
        <v>1813</v>
      </c>
      <c r="U235" s="440">
        <v>57.634999999999991</v>
      </c>
      <c r="V235" s="654">
        <v>34.125</v>
      </c>
      <c r="W235" s="636"/>
      <c r="X235" s="440">
        <v>7</v>
      </c>
      <c r="Y235" s="764">
        <v>34.125</v>
      </c>
      <c r="Z235" s="776">
        <v>48.886658333333344</v>
      </c>
      <c r="AA235" s="780">
        <v>104.01416666666668</v>
      </c>
      <c r="AB235" s="811"/>
      <c r="AC235" s="818">
        <v>42</v>
      </c>
      <c r="AD235" s="811" t="s">
        <v>667</v>
      </c>
      <c r="AE235" s="811">
        <v>0</v>
      </c>
      <c r="AF235" s="643">
        <v>4022</v>
      </c>
    </row>
    <row r="236" spans="1:33" ht="15.75">
      <c r="A236" s="643">
        <v>4023</v>
      </c>
      <c r="B236" s="644"/>
      <c r="C236" s="644" t="s">
        <v>810</v>
      </c>
      <c r="D236" s="559">
        <v>62</v>
      </c>
      <c r="E236" s="545">
        <v>31000</v>
      </c>
      <c r="F236" s="546">
        <v>73</v>
      </c>
      <c r="G236" s="653">
        <v>120</v>
      </c>
      <c r="H236" s="654">
        <v>104</v>
      </c>
      <c r="I236" s="654">
        <v>142</v>
      </c>
      <c r="J236" s="561">
        <v>40</v>
      </c>
      <c r="K236" s="554" t="s">
        <v>221</v>
      </c>
      <c r="L236" s="562">
        <v>12</v>
      </c>
      <c r="M236" s="561">
        <v>1100</v>
      </c>
      <c r="N236" s="592">
        <v>0.25</v>
      </c>
      <c r="O236" s="594">
        <v>1.5</v>
      </c>
      <c r="P236" s="590">
        <v>40</v>
      </c>
      <c r="Q236" s="431">
        <v>0.25</v>
      </c>
      <c r="R236" s="430">
        <v>1653</v>
      </c>
      <c r="S236" s="497">
        <v>228</v>
      </c>
      <c r="T236" s="751">
        <v>2605</v>
      </c>
      <c r="U236" s="440">
        <v>64.3</v>
      </c>
      <c r="V236" s="654">
        <v>42.272727272727273</v>
      </c>
      <c r="W236" s="636"/>
      <c r="X236" s="440">
        <v>7</v>
      </c>
      <c r="Y236" s="764">
        <v>42.272727272727273</v>
      </c>
      <c r="Z236" s="776">
        <v>73.245250000000013</v>
      </c>
      <c r="AA236" s="780">
        <v>118.13750000000002</v>
      </c>
      <c r="AB236" s="811"/>
      <c r="AC236" s="818">
        <v>62</v>
      </c>
      <c r="AD236" s="811" t="s">
        <v>667</v>
      </c>
      <c r="AE236" s="811">
        <v>0</v>
      </c>
      <c r="AF236" s="643">
        <v>4023</v>
      </c>
    </row>
    <row r="237" spans="1:33" ht="15.75">
      <c r="A237" s="643">
        <v>4024</v>
      </c>
      <c r="B237" s="644"/>
      <c r="C237" s="644" t="s">
        <v>811</v>
      </c>
      <c r="D237" s="559">
        <v>78</v>
      </c>
      <c r="E237" s="545">
        <v>43000</v>
      </c>
      <c r="F237" s="546">
        <v>105</v>
      </c>
      <c r="G237" s="653">
        <v>135</v>
      </c>
      <c r="H237" s="654">
        <v>120</v>
      </c>
      <c r="I237" s="654">
        <v>162</v>
      </c>
      <c r="J237" s="561">
        <v>50</v>
      </c>
      <c r="K237" s="554" t="s">
        <v>221</v>
      </c>
      <c r="L237" s="562">
        <v>12</v>
      </c>
      <c r="M237" s="561">
        <v>1400</v>
      </c>
      <c r="N237" s="592">
        <v>0.25</v>
      </c>
      <c r="O237" s="594">
        <v>1.65</v>
      </c>
      <c r="P237" s="590">
        <v>58</v>
      </c>
      <c r="Q237" s="431">
        <v>0.16667000000000001</v>
      </c>
      <c r="R237" s="430">
        <v>2436</v>
      </c>
      <c r="S237" s="497">
        <v>210</v>
      </c>
      <c r="T237" s="751">
        <v>3631</v>
      </c>
      <c r="U237" s="440">
        <v>69.3</v>
      </c>
      <c r="V237" s="654">
        <v>50.678571428571431</v>
      </c>
      <c r="W237" s="636"/>
      <c r="X237" s="440">
        <v>4.66676</v>
      </c>
      <c r="Y237" s="764">
        <v>50.678571428571431</v>
      </c>
      <c r="Z237" s="776">
        <v>105.79017428571431</v>
      </c>
      <c r="AA237" s="780">
        <v>135.6284285714286</v>
      </c>
      <c r="AB237" s="811"/>
      <c r="AC237" s="818">
        <v>86</v>
      </c>
      <c r="AD237" s="811" t="s">
        <v>667</v>
      </c>
      <c r="AE237" s="811">
        <v>0</v>
      </c>
      <c r="AF237" s="643">
        <v>4024</v>
      </c>
    </row>
    <row r="238" spans="1:33" ht="15.75">
      <c r="A238" s="643">
        <v>4025</v>
      </c>
      <c r="B238" s="644"/>
      <c r="C238" s="644" t="s">
        <v>812</v>
      </c>
      <c r="D238" s="559">
        <v>93</v>
      </c>
      <c r="E238" s="545">
        <v>48000</v>
      </c>
      <c r="F238" s="546">
        <v>120</v>
      </c>
      <c r="G238" s="653">
        <v>130</v>
      </c>
      <c r="H238" s="654">
        <v>110</v>
      </c>
      <c r="I238" s="654">
        <v>160</v>
      </c>
      <c r="J238" s="561">
        <v>60</v>
      </c>
      <c r="K238" s="554" t="s">
        <v>221</v>
      </c>
      <c r="L238" s="562">
        <v>12</v>
      </c>
      <c r="M238" s="561">
        <v>1700</v>
      </c>
      <c r="N238" s="592">
        <v>0.25</v>
      </c>
      <c r="O238" s="594">
        <v>1.65</v>
      </c>
      <c r="P238" s="590">
        <v>98</v>
      </c>
      <c r="Q238" s="431">
        <v>0.1</v>
      </c>
      <c r="R238" s="430">
        <v>3393</v>
      </c>
      <c r="S238" s="175">
        <v>168</v>
      </c>
      <c r="T238" s="751">
        <v>4286</v>
      </c>
      <c r="U238" s="440">
        <v>77.540000000000006</v>
      </c>
      <c r="V238" s="654">
        <v>46.588235294117645</v>
      </c>
      <c r="W238" s="636"/>
      <c r="X238" s="440">
        <v>2.8000000000000003</v>
      </c>
      <c r="Y238" s="764">
        <v>46.588235294117645</v>
      </c>
      <c r="Z238" s="776">
        <v>120.73606470588237</v>
      </c>
      <c r="AA238" s="780">
        <v>129.8237254901961</v>
      </c>
      <c r="AB238" s="811"/>
      <c r="AC238" s="818">
        <v>96</v>
      </c>
      <c r="AD238" s="811" t="s">
        <v>667</v>
      </c>
      <c r="AE238" s="811">
        <v>0</v>
      </c>
      <c r="AF238" s="643">
        <v>4025</v>
      </c>
    </row>
    <row r="239" spans="1:33" ht="15.75">
      <c r="A239" s="633"/>
      <c r="B239" s="634"/>
      <c r="C239" s="633"/>
      <c r="D239" s="559"/>
      <c r="E239" s="545"/>
      <c r="F239" s="546"/>
      <c r="G239" s="653" t="s">
        <v>129</v>
      </c>
      <c r="H239" s="654"/>
      <c r="I239" s="654"/>
      <c r="J239" s="561"/>
      <c r="K239" s="635"/>
      <c r="L239" s="633"/>
      <c r="M239" s="561"/>
      <c r="N239" s="592" t="s">
        <v>129</v>
      </c>
      <c r="O239" s="594" t="s">
        <v>129</v>
      </c>
      <c r="P239" s="743"/>
      <c r="Q239" s="431">
        <v>0.05</v>
      </c>
      <c r="R239" s="430">
        <v>4437</v>
      </c>
      <c r="S239" s="497">
        <v>234</v>
      </c>
      <c r="T239" s="751" t="s">
        <v>129</v>
      </c>
      <c r="U239" s="440">
        <v>87.083333333333329</v>
      </c>
      <c r="V239" s="654"/>
      <c r="W239" s="636"/>
      <c r="X239" s="440">
        <v>1.4000000000000001</v>
      </c>
      <c r="Y239" s="764" t="s">
        <v>129</v>
      </c>
      <c r="Z239" s="776"/>
      <c r="AA239" s="780"/>
      <c r="AB239" s="633"/>
      <c r="AC239" s="818" t="s">
        <v>129</v>
      </c>
      <c r="AD239" s="811"/>
      <c r="AE239" s="811"/>
      <c r="AF239" s="633"/>
    </row>
    <row r="240" spans="1:33" ht="15.75">
      <c r="A240" s="624">
        <v>4030</v>
      </c>
      <c r="B240" s="625"/>
      <c r="C240" s="626" t="s">
        <v>813</v>
      </c>
      <c r="D240" s="627"/>
      <c r="E240" s="628"/>
      <c r="F240" s="629"/>
      <c r="G240" s="687" t="s">
        <v>129</v>
      </c>
      <c r="H240" s="631"/>
      <c r="I240" s="631"/>
      <c r="J240" s="632"/>
      <c r="K240" s="632"/>
      <c r="L240" s="627"/>
      <c r="M240" s="632"/>
      <c r="N240" s="739" t="s">
        <v>129</v>
      </c>
      <c r="O240" s="744" t="s">
        <v>129</v>
      </c>
      <c r="P240" s="742"/>
      <c r="Q240" s="431"/>
      <c r="R240" s="430" t="s">
        <v>129</v>
      </c>
      <c r="S240" s="175"/>
      <c r="T240" s="750" t="s">
        <v>129</v>
      </c>
      <c r="U240" s="440"/>
      <c r="V240" s="631"/>
      <c r="W240" s="631"/>
      <c r="X240" s="440"/>
      <c r="Y240" s="768" t="s">
        <v>129</v>
      </c>
      <c r="Z240" s="774"/>
      <c r="AA240" s="775"/>
      <c r="AB240" s="810"/>
      <c r="AC240" s="817" t="s">
        <v>129</v>
      </c>
      <c r="AD240" s="810"/>
      <c r="AE240" s="810"/>
      <c r="AF240" s="624">
        <v>4030</v>
      </c>
    </row>
    <row r="241" spans="1:32" ht="15.75">
      <c r="A241" s="633"/>
      <c r="B241" s="634"/>
      <c r="C241" s="633"/>
      <c r="D241" s="559"/>
      <c r="E241" s="545"/>
      <c r="F241" s="546"/>
      <c r="G241" s="653" t="s">
        <v>129</v>
      </c>
      <c r="H241" s="654"/>
      <c r="I241" s="654"/>
      <c r="J241" s="561"/>
      <c r="K241" s="635"/>
      <c r="L241" s="633"/>
      <c r="M241" s="561"/>
      <c r="N241" s="592" t="s">
        <v>129</v>
      </c>
      <c r="O241" s="594" t="s">
        <v>129</v>
      </c>
      <c r="P241" s="743"/>
      <c r="Q241" s="429"/>
      <c r="R241" s="430" t="s">
        <v>129</v>
      </c>
      <c r="S241" s="496"/>
      <c r="T241" s="751" t="s">
        <v>129</v>
      </c>
      <c r="U241" s="438"/>
      <c r="V241" s="654"/>
      <c r="W241" s="636"/>
      <c r="X241" s="438"/>
      <c r="Y241" s="764" t="s">
        <v>129</v>
      </c>
      <c r="Z241" s="776"/>
      <c r="AA241" s="780"/>
      <c r="AB241" s="633"/>
      <c r="AC241" s="818" t="s">
        <v>129</v>
      </c>
      <c r="AD241" s="811"/>
      <c r="AE241" s="811"/>
      <c r="AF241" s="633"/>
    </row>
    <row r="242" spans="1:32" ht="15.75">
      <c r="A242" s="643">
        <v>4032</v>
      </c>
      <c r="B242" s="644"/>
      <c r="C242" s="644" t="s">
        <v>814</v>
      </c>
      <c r="D242" s="559">
        <v>142</v>
      </c>
      <c r="E242" s="545">
        <v>36000</v>
      </c>
      <c r="F242" s="546">
        <v>140</v>
      </c>
      <c r="G242" s="653">
        <v>97</v>
      </c>
      <c r="H242" s="654">
        <v>82</v>
      </c>
      <c r="I242" s="654">
        <v>123</v>
      </c>
      <c r="J242" s="561">
        <v>35</v>
      </c>
      <c r="K242" s="554" t="s">
        <v>221</v>
      </c>
      <c r="L242" s="562">
        <v>15</v>
      </c>
      <c r="M242" s="561">
        <v>2200</v>
      </c>
      <c r="N242" s="592">
        <v>0.25</v>
      </c>
      <c r="O242" s="594">
        <v>1.05</v>
      </c>
      <c r="P242" s="590">
        <v>35</v>
      </c>
      <c r="Q242" s="431"/>
      <c r="R242" s="430" t="s">
        <v>129</v>
      </c>
      <c r="S242" s="175"/>
      <c r="T242" s="751">
        <v>2495</v>
      </c>
      <c r="U242" s="440"/>
      <c r="V242" s="654">
        <v>17.181818181818183</v>
      </c>
      <c r="W242" s="636"/>
      <c r="X242" s="440"/>
      <c r="Y242" s="764">
        <v>17.181818181818183</v>
      </c>
      <c r="Z242" s="776">
        <v>138.18628571428573</v>
      </c>
      <c r="AA242" s="780">
        <v>97.314285714285731</v>
      </c>
      <c r="AB242" s="811"/>
      <c r="AC242" s="818">
        <v>72</v>
      </c>
      <c r="AD242" s="811" t="s">
        <v>667</v>
      </c>
      <c r="AE242" s="811">
        <v>0</v>
      </c>
      <c r="AF242" s="643">
        <v>4032</v>
      </c>
    </row>
    <row r="243" spans="1:32" ht="15.75">
      <c r="A243" s="643">
        <v>4033</v>
      </c>
      <c r="B243" s="644"/>
      <c r="C243" s="644" t="s">
        <v>815</v>
      </c>
      <c r="D243" s="559">
        <v>192</v>
      </c>
      <c r="E243" s="545">
        <v>48000</v>
      </c>
      <c r="F243" s="546">
        <v>190</v>
      </c>
      <c r="G243" s="653">
        <v>99</v>
      </c>
      <c r="H243" s="654">
        <v>83</v>
      </c>
      <c r="I243" s="654">
        <v>126</v>
      </c>
      <c r="J243" s="561">
        <v>45</v>
      </c>
      <c r="K243" s="554" t="s">
        <v>221</v>
      </c>
      <c r="L243" s="562">
        <v>15</v>
      </c>
      <c r="M243" s="561">
        <v>3000</v>
      </c>
      <c r="N243" s="592">
        <v>0.25</v>
      </c>
      <c r="O243" s="594">
        <v>1.05</v>
      </c>
      <c r="P243" s="590">
        <v>44</v>
      </c>
      <c r="Q243" s="431">
        <v>0.05</v>
      </c>
      <c r="R243" s="430">
        <v>894</v>
      </c>
      <c r="S243" s="497">
        <v>90</v>
      </c>
      <c r="T243" s="751">
        <v>3308</v>
      </c>
      <c r="U243" s="440">
        <v>55.35</v>
      </c>
      <c r="V243" s="654">
        <v>16.8</v>
      </c>
      <c r="W243" s="636"/>
      <c r="X243" s="440">
        <v>1.4000000000000001</v>
      </c>
      <c r="Y243" s="764">
        <v>16.8</v>
      </c>
      <c r="Z243" s="776">
        <v>190.73706666666666</v>
      </c>
      <c r="AA243" s="780">
        <v>99.342222222222219</v>
      </c>
      <c r="AB243" s="811"/>
      <c r="AC243" s="818">
        <v>96</v>
      </c>
      <c r="AD243" s="811" t="s">
        <v>667</v>
      </c>
      <c r="AE243" s="811">
        <v>0</v>
      </c>
      <c r="AF243" s="643">
        <v>4033</v>
      </c>
    </row>
    <row r="244" spans="1:32" ht="15.75">
      <c r="A244" s="643">
        <v>4034</v>
      </c>
      <c r="B244" s="644"/>
      <c r="C244" s="644" t="s">
        <v>816</v>
      </c>
      <c r="D244" s="559">
        <v>142</v>
      </c>
      <c r="E244" s="545">
        <v>23000</v>
      </c>
      <c r="F244" s="546">
        <v>94</v>
      </c>
      <c r="G244" s="653">
        <v>66</v>
      </c>
      <c r="H244" s="654">
        <v>60</v>
      </c>
      <c r="I244" s="654">
        <v>80</v>
      </c>
      <c r="J244" s="561">
        <v>35</v>
      </c>
      <c r="K244" s="554" t="s">
        <v>221</v>
      </c>
      <c r="L244" s="562">
        <v>15</v>
      </c>
      <c r="M244" s="561">
        <v>2000</v>
      </c>
      <c r="N244" s="592">
        <v>0.25</v>
      </c>
      <c r="O244" s="594">
        <v>1.1000000000000001</v>
      </c>
      <c r="P244" s="590">
        <v>32</v>
      </c>
      <c r="Q244" s="431">
        <v>0.05</v>
      </c>
      <c r="R244" s="430">
        <v>1676.25</v>
      </c>
      <c r="S244" s="175">
        <v>120</v>
      </c>
      <c r="T244" s="751">
        <v>1661.5</v>
      </c>
      <c r="U244" s="440">
        <v>56.178571428571431</v>
      </c>
      <c r="V244" s="654">
        <v>12.65</v>
      </c>
      <c r="W244" s="636"/>
      <c r="X244" s="440">
        <v>1.4000000000000001</v>
      </c>
      <c r="Y244" s="764">
        <v>12.65</v>
      </c>
      <c r="Z244" s="776">
        <v>93.909671428571443</v>
      </c>
      <c r="AA244" s="780">
        <v>66.133571428571429</v>
      </c>
      <c r="AB244" s="811"/>
      <c r="AC244" s="818">
        <v>46</v>
      </c>
      <c r="AD244" s="811" t="s">
        <v>667</v>
      </c>
      <c r="AE244" s="811">
        <v>0</v>
      </c>
      <c r="AF244" s="643">
        <v>4034</v>
      </c>
    </row>
    <row r="245" spans="1:32" ht="15.75">
      <c r="A245" s="643">
        <v>4035</v>
      </c>
      <c r="B245" s="644"/>
      <c r="C245" s="644" t="s">
        <v>817</v>
      </c>
      <c r="D245" s="559">
        <v>192</v>
      </c>
      <c r="E245" s="545">
        <v>44000</v>
      </c>
      <c r="F245" s="546">
        <v>175</v>
      </c>
      <c r="G245" s="653">
        <v>92</v>
      </c>
      <c r="H245" s="654">
        <v>80</v>
      </c>
      <c r="I245" s="654">
        <v>120</v>
      </c>
      <c r="J245" s="561">
        <v>45</v>
      </c>
      <c r="K245" s="554" t="s">
        <v>221</v>
      </c>
      <c r="L245" s="562">
        <v>15</v>
      </c>
      <c r="M245" s="561">
        <v>2800</v>
      </c>
      <c r="N245" s="592">
        <v>0.25</v>
      </c>
      <c r="O245" s="594">
        <v>1.05</v>
      </c>
      <c r="P245" s="590">
        <v>38</v>
      </c>
      <c r="Q245" s="431">
        <v>2.5000000000000001E-2</v>
      </c>
      <c r="R245" s="430">
        <v>2831</v>
      </c>
      <c r="S245" s="497">
        <v>96</v>
      </c>
      <c r="T245" s="751">
        <v>3016</v>
      </c>
      <c r="U245" s="440">
        <v>71.444444444444443</v>
      </c>
      <c r="V245" s="654">
        <v>16.5</v>
      </c>
      <c r="W245" s="636"/>
      <c r="X245" s="440">
        <v>0.70000000000000007</v>
      </c>
      <c r="Y245" s="764">
        <v>16.5</v>
      </c>
      <c r="Z245" s="776">
        <v>176.39893333333333</v>
      </c>
      <c r="AA245" s="780">
        <v>91.87444444444445</v>
      </c>
      <c r="AB245" s="811"/>
      <c r="AC245" s="818">
        <v>88</v>
      </c>
      <c r="AD245" s="811" t="s">
        <v>667</v>
      </c>
      <c r="AE245" s="811">
        <v>0</v>
      </c>
      <c r="AF245" s="643">
        <v>4035</v>
      </c>
    </row>
    <row r="246" spans="1:32" ht="15.75">
      <c r="A246" s="643">
        <v>4038</v>
      </c>
      <c r="B246" s="644"/>
      <c r="C246" s="644" t="s">
        <v>818</v>
      </c>
      <c r="D246" s="559">
        <v>158</v>
      </c>
      <c r="E246" s="545">
        <v>9500</v>
      </c>
      <c r="F246" s="546">
        <v>80</v>
      </c>
      <c r="G246" s="653">
        <v>51</v>
      </c>
      <c r="H246" s="654">
        <v>43</v>
      </c>
      <c r="I246" s="654">
        <v>63</v>
      </c>
      <c r="J246" s="561">
        <v>25</v>
      </c>
      <c r="K246" s="554" t="s">
        <v>221</v>
      </c>
      <c r="L246" s="562">
        <v>15</v>
      </c>
      <c r="M246" s="561">
        <v>1200</v>
      </c>
      <c r="N246" s="592">
        <v>0.25</v>
      </c>
      <c r="O246" s="594">
        <v>1.6</v>
      </c>
      <c r="P246" s="590">
        <v>35</v>
      </c>
      <c r="Q246" s="431">
        <v>0.05</v>
      </c>
      <c r="R246" s="430">
        <v>2001</v>
      </c>
      <c r="S246" s="175">
        <v>126</v>
      </c>
      <c r="T246" s="751">
        <v>838.75</v>
      </c>
      <c r="U246" s="440">
        <v>90.84</v>
      </c>
      <c r="V246" s="654">
        <v>12.666666666666668</v>
      </c>
      <c r="W246" s="636"/>
      <c r="X246" s="440">
        <v>1.4000000000000001</v>
      </c>
      <c r="Y246" s="764">
        <v>12.666666666666668</v>
      </c>
      <c r="Z246" s="776">
        <v>80.324566666666684</v>
      </c>
      <c r="AA246" s="780">
        <v>50.838333333333338</v>
      </c>
      <c r="AB246" s="811"/>
      <c r="AC246" s="818">
        <v>19</v>
      </c>
      <c r="AD246" s="811" t="s">
        <v>667</v>
      </c>
      <c r="AE246" s="811">
        <v>0</v>
      </c>
      <c r="AF246" s="643">
        <v>4038</v>
      </c>
    </row>
    <row r="247" spans="1:32" ht="15.75">
      <c r="A247" s="643">
        <v>4039</v>
      </c>
      <c r="B247" s="644"/>
      <c r="C247" s="644" t="s">
        <v>819</v>
      </c>
      <c r="D247" s="559">
        <v>212</v>
      </c>
      <c r="E247" s="545">
        <v>16000</v>
      </c>
      <c r="F247" s="546">
        <v>110</v>
      </c>
      <c r="G247" s="653">
        <v>51</v>
      </c>
      <c r="H247" s="654">
        <v>44</v>
      </c>
      <c r="I247" s="654">
        <v>64</v>
      </c>
      <c r="J247" s="561">
        <v>35</v>
      </c>
      <c r="K247" s="554" t="s">
        <v>221</v>
      </c>
      <c r="L247" s="562">
        <v>15</v>
      </c>
      <c r="M247" s="561">
        <v>1600</v>
      </c>
      <c r="N247" s="592">
        <v>0.25</v>
      </c>
      <c r="O247" s="594">
        <v>1.25</v>
      </c>
      <c r="P247" s="590">
        <v>28</v>
      </c>
      <c r="Q247" s="431">
        <v>3.3300000000000003E-2</v>
      </c>
      <c r="R247" s="430">
        <v>3654</v>
      </c>
      <c r="S247" s="497">
        <v>204</v>
      </c>
      <c r="T247" s="751">
        <v>1196</v>
      </c>
      <c r="U247" s="440">
        <v>114.4</v>
      </c>
      <c r="V247" s="654">
        <v>12.5</v>
      </c>
      <c r="W247" s="636"/>
      <c r="X247" s="440">
        <v>0.93240000000000012</v>
      </c>
      <c r="Y247" s="764">
        <v>12.5</v>
      </c>
      <c r="Z247" s="776">
        <v>108.83777142857143</v>
      </c>
      <c r="AA247" s="780">
        <v>51.338571428571434</v>
      </c>
      <c r="AB247" s="811"/>
      <c r="AC247" s="818">
        <v>32</v>
      </c>
      <c r="AD247" s="811" t="s">
        <v>667</v>
      </c>
      <c r="AE247" s="811">
        <v>0</v>
      </c>
      <c r="AF247" s="643">
        <v>4039</v>
      </c>
    </row>
    <row r="248" spans="1:32" ht="15.75">
      <c r="A248" s="643">
        <v>4040</v>
      </c>
      <c r="B248" s="644"/>
      <c r="C248" s="644" t="s">
        <v>820</v>
      </c>
      <c r="D248" s="559">
        <v>307</v>
      </c>
      <c r="E248" s="545">
        <v>30000</v>
      </c>
      <c r="F248" s="546">
        <v>200</v>
      </c>
      <c r="G248" s="653">
        <v>64</v>
      </c>
      <c r="H248" s="654">
        <v>55</v>
      </c>
      <c r="I248" s="654">
        <v>80</v>
      </c>
      <c r="J248" s="561">
        <v>50</v>
      </c>
      <c r="K248" s="554" t="s">
        <v>221</v>
      </c>
      <c r="L248" s="562">
        <v>15</v>
      </c>
      <c r="M248" s="561">
        <v>2400</v>
      </c>
      <c r="N248" s="592">
        <v>0.25</v>
      </c>
      <c r="O248" s="594">
        <v>1.25</v>
      </c>
      <c r="P248" s="590">
        <v>39</v>
      </c>
      <c r="Q248" s="431">
        <v>0.05</v>
      </c>
      <c r="R248" s="430">
        <v>692.85</v>
      </c>
      <c r="S248" s="175">
        <v>144</v>
      </c>
      <c r="T248" s="751">
        <v>2148</v>
      </c>
      <c r="U248" s="440">
        <v>37.417999999999999</v>
      </c>
      <c r="V248" s="654">
        <v>15.625</v>
      </c>
      <c r="W248" s="636"/>
      <c r="X248" s="440">
        <v>1.4000000000000001</v>
      </c>
      <c r="Y248" s="764">
        <v>15.625</v>
      </c>
      <c r="Z248" s="776">
        <v>197.841545</v>
      </c>
      <c r="AA248" s="780">
        <v>64.4435</v>
      </c>
      <c r="AB248" s="811"/>
      <c r="AC248" s="818">
        <v>60</v>
      </c>
      <c r="AD248" s="811" t="s">
        <v>667</v>
      </c>
      <c r="AE248" s="811">
        <v>0</v>
      </c>
      <c r="AF248" s="643">
        <v>4040</v>
      </c>
    </row>
    <row r="249" spans="1:32" ht="15.75">
      <c r="A249" s="633"/>
      <c r="B249" s="634"/>
      <c r="C249" s="633"/>
      <c r="D249" s="559"/>
      <c r="E249" s="545"/>
      <c r="F249" s="546"/>
      <c r="G249" s="653" t="s">
        <v>129</v>
      </c>
      <c r="H249" s="654"/>
      <c r="I249" s="654"/>
      <c r="J249" s="561"/>
      <c r="K249" s="635"/>
      <c r="L249" s="633"/>
      <c r="M249" s="561"/>
      <c r="N249" s="592" t="s">
        <v>129</v>
      </c>
      <c r="O249" s="594" t="s">
        <v>129</v>
      </c>
      <c r="P249" s="743"/>
      <c r="Q249" s="431">
        <v>0.05</v>
      </c>
      <c r="R249" s="430">
        <v>603.45000000000005</v>
      </c>
      <c r="S249" s="497">
        <v>180</v>
      </c>
      <c r="T249" s="751" t="s">
        <v>129</v>
      </c>
      <c r="U249" s="440">
        <v>34.586000000000006</v>
      </c>
      <c r="V249" s="654"/>
      <c r="W249" s="636"/>
      <c r="X249" s="440">
        <v>1.4000000000000001</v>
      </c>
      <c r="Y249" s="764" t="s">
        <v>129</v>
      </c>
      <c r="Z249" s="776"/>
      <c r="AA249" s="780"/>
      <c r="AB249" s="633"/>
      <c r="AC249" s="818" t="s">
        <v>129</v>
      </c>
      <c r="AD249" s="811"/>
      <c r="AE249" s="811"/>
      <c r="AF249" s="633"/>
    </row>
    <row r="250" spans="1:32" ht="15.75">
      <c r="A250" s="624">
        <v>4050</v>
      </c>
      <c r="B250" s="625"/>
      <c r="C250" s="626" t="s">
        <v>821</v>
      </c>
      <c r="D250" s="627"/>
      <c r="E250" s="628"/>
      <c r="F250" s="629"/>
      <c r="G250" s="687" t="s">
        <v>129</v>
      </c>
      <c r="H250" s="631"/>
      <c r="I250" s="631"/>
      <c r="J250" s="632"/>
      <c r="K250" s="632"/>
      <c r="L250" s="627"/>
      <c r="M250" s="632"/>
      <c r="N250" s="739" t="s">
        <v>129</v>
      </c>
      <c r="O250" s="744" t="s">
        <v>129</v>
      </c>
      <c r="P250" s="742"/>
      <c r="Q250" s="431">
        <v>0.05</v>
      </c>
      <c r="R250" s="430">
        <v>931.25</v>
      </c>
      <c r="S250" s="175"/>
      <c r="T250" s="750" t="s">
        <v>129</v>
      </c>
      <c r="U250" s="440">
        <v>32.921428571428571</v>
      </c>
      <c r="V250" s="631"/>
      <c r="W250" s="631"/>
      <c r="X250" s="440">
        <v>1.4000000000000001</v>
      </c>
      <c r="Y250" s="768" t="s">
        <v>129</v>
      </c>
      <c r="Z250" s="774"/>
      <c r="AA250" s="775"/>
      <c r="AB250" s="810"/>
      <c r="AC250" s="817" t="s">
        <v>129</v>
      </c>
      <c r="AD250" s="810"/>
      <c r="AE250" s="810"/>
      <c r="AF250" s="624">
        <v>4050</v>
      </c>
    </row>
    <row r="251" spans="1:32" ht="15.75">
      <c r="A251" s="633"/>
      <c r="B251" s="634"/>
      <c r="C251" s="633"/>
      <c r="D251" s="559"/>
      <c r="E251" s="545"/>
      <c r="F251" s="546"/>
      <c r="G251" s="653" t="s">
        <v>129</v>
      </c>
      <c r="H251" s="654"/>
      <c r="I251" s="654"/>
      <c r="J251" s="561"/>
      <c r="K251" s="635"/>
      <c r="L251" s="633"/>
      <c r="M251" s="561"/>
      <c r="N251" s="592" t="s">
        <v>129</v>
      </c>
      <c r="O251" s="594" t="s">
        <v>129</v>
      </c>
      <c r="P251" s="743"/>
      <c r="Q251" s="431">
        <v>3.3300000000000003E-2</v>
      </c>
      <c r="R251" s="430">
        <v>1490</v>
      </c>
      <c r="S251" s="496"/>
      <c r="T251" s="751" t="s">
        <v>129</v>
      </c>
      <c r="U251" s="440">
        <v>36.06</v>
      </c>
      <c r="V251" s="654"/>
      <c r="W251" s="636"/>
      <c r="X251" s="440">
        <v>0.93240000000000012</v>
      </c>
      <c r="Y251" s="764" t="s">
        <v>129</v>
      </c>
      <c r="Z251" s="776"/>
      <c r="AA251" s="780"/>
      <c r="AB251" s="633"/>
      <c r="AC251" s="818" t="s">
        <v>129</v>
      </c>
      <c r="AD251" s="811"/>
      <c r="AE251" s="811"/>
      <c r="AF251" s="633"/>
    </row>
    <row r="252" spans="1:32" ht="15.75">
      <c r="A252" s="643">
        <v>4053</v>
      </c>
      <c r="B252" s="644"/>
      <c r="C252" s="644" t="s">
        <v>822</v>
      </c>
      <c r="D252" s="559">
        <v>65</v>
      </c>
      <c r="E252" s="545">
        <v>10500</v>
      </c>
      <c r="F252" s="546">
        <v>66</v>
      </c>
      <c r="G252" s="653">
        <v>100</v>
      </c>
      <c r="H252" s="654">
        <v>86</v>
      </c>
      <c r="I252" s="654">
        <v>126</v>
      </c>
      <c r="J252" s="561">
        <v>15</v>
      </c>
      <c r="K252" s="554" t="s">
        <v>221</v>
      </c>
      <c r="L252" s="562">
        <v>10</v>
      </c>
      <c r="M252" s="561">
        <v>600</v>
      </c>
      <c r="N252" s="592">
        <v>0.25</v>
      </c>
      <c r="O252" s="594">
        <v>1.35</v>
      </c>
      <c r="P252" s="590">
        <v>15</v>
      </c>
      <c r="Q252" s="431"/>
      <c r="R252" s="430" t="s">
        <v>129</v>
      </c>
      <c r="S252" s="175"/>
      <c r="T252" s="751">
        <v>1023.75</v>
      </c>
      <c r="U252" s="440"/>
      <c r="V252" s="654">
        <v>23.625</v>
      </c>
      <c r="W252" s="636"/>
      <c r="X252" s="440"/>
      <c r="Y252" s="764">
        <v>23.625</v>
      </c>
      <c r="Z252" s="776">
        <v>65.690625000000011</v>
      </c>
      <c r="AA252" s="780">
        <v>101.06250000000001</v>
      </c>
      <c r="AB252" s="811"/>
      <c r="AC252" s="818">
        <v>21</v>
      </c>
      <c r="AD252" s="811" t="s">
        <v>667</v>
      </c>
      <c r="AE252" s="811">
        <v>0</v>
      </c>
      <c r="AF252" s="643">
        <v>4053</v>
      </c>
    </row>
    <row r="253" spans="1:32" ht="15.75">
      <c r="A253" s="643">
        <v>4054</v>
      </c>
      <c r="B253" s="644"/>
      <c r="C253" s="644" t="s">
        <v>823</v>
      </c>
      <c r="D253" s="559">
        <v>76</v>
      </c>
      <c r="E253" s="545">
        <v>17500</v>
      </c>
      <c r="F253" s="546">
        <v>97</v>
      </c>
      <c r="G253" s="653">
        <v>130</v>
      </c>
      <c r="H253" s="654">
        <v>109</v>
      </c>
      <c r="I253" s="654">
        <v>158</v>
      </c>
      <c r="J253" s="561">
        <v>20</v>
      </c>
      <c r="K253" s="554" t="s">
        <v>221</v>
      </c>
      <c r="L253" s="562">
        <v>10</v>
      </c>
      <c r="M253" s="561">
        <v>700</v>
      </c>
      <c r="N253" s="592">
        <v>0.25</v>
      </c>
      <c r="O253" s="594">
        <v>1.3</v>
      </c>
      <c r="P253" s="590">
        <v>20</v>
      </c>
      <c r="Q253" s="429"/>
      <c r="R253" s="430" t="s">
        <v>129</v>
      </c>
      <c r="S253" s="175">
        <v>96</v>
      </c>
      <c r="T253" s="751">
        <v>1671.25</v>
      </c>
      <c r="U253" s="438"/>
      <c r="V253" s="654">
        <v>32.5</v>
      </c>
      <c r="W253" s="636"/>
      <c r="X253" s="438"/>
      <c r="Y253" s="764">
        <v>32.5</v>
      </c>
      <c r="Z253" s="776">
        <v>97.028250000000014</v>
      </c>
      <c r="AA253" s="780">
        <v>127.66875000000002</v>
      </c>
      <c r="AB253" s="811"/>
      <c r="AC253" s="818">
        <v>35</v>
      </c>
      <c r="AD253" s="811" t="s">
        <v>667</v>
      </c>
      <c r="AE253" s="811">
        <v>0</v>
      </c>
      <c r="AF253" s="643">
        <v>4054</v>
      </c>
    </row>
    <row r="254" spans="1:32" ht="15.75">
      <c r="A254" s="643">
        <v>4055</v>
      </c>
      <c r="B254" s="644"/>
      <c r="C254" s="644" t="s">
        <v>824</v>
      </c>
      <c r="D254" s="559">
        <v>92</v>
      </c>
      <c r="E254" s="545">
        <v>16000</v>
      </c>
      <c r="F254" s="546">
        <v>80</v>
      </c>
      <c r="G254" s="653">
        <v>87</v>
      </c>
      <c r="H254" s="654">
        <v>74</v>
      </c>
      <c r="I254" s="654">
        <v>110</v>
      </c>
      <c r="J254" s="561">
        <v>25</v>
      </c>
      <c r="K254" s="554" t="s">
        <v>221</v>
      </c>
      <c r="L254" s="562">
        <v>10</v>
      </c>
      <c r="M254" s="561">
        <v>800</v>
      </c>
      <c r="N254" s="592">
        <v>0.25</v>
      </c>
      <c r="O254" s="594">
        <v>0.95</v>
      </c>
      <c r="P254" s="590">
        <v>16</v>
      </c>
      <c r="Q254" s="431"/>
      <c r="R254" s="430" t="s">
        <v>129</v>
      </c>
      <c r="S254" s="497">
        <v>354</v>
      </c>
      <c r="T254" s="751">
        <v>1512</v>
      </c>
      <c r="U254" s="440"/>
      <c r="V254" s="654">
        <v>19</v>
      </c>
      <c r="W254" s="636"/>
      <c r="X254" s="440"/>
      <c r="Y254" s="764">
        <v>19</v>
      </c>
      <c r="Z254" s="776">
        <v>80.433760000000007</v>
      </c>
      <c r="AA254" s="780">
        <v>87.427999999999997</v>
      </c>
      <c r="AB254" s="811"/>
      <c r="AC254" s="818">
        <v>32</v>
      </c>
      <c r="AD254" s="811" t="s">
        <v>667</v>
      </c>
      <c r="AE254" s="811">
        <v>0</v>
      </c>
      <c r="AF254" s="643">
        <v>4055</v>
      </c>
    </row>
    <row r="255" spans="1:32" ht="15.75">
      <c r="A255" s="643">
        <v>4056</v>
      </c>
      <c r="B255" s="644"/>
      <c r="C255" s="644" t="s">
        <v>825</v>
      </c>
      <c r="D255" s="559">
        <v>109</v>
      </c>
      <c r="E255" s="545">
        <v>21000</v>
      </c>
      <c r="F255" s="546">
        <v>105</v>
      </c>
      <c r="G255" s="653">
        <v>97</v>
      </c>
      <c r="H255" s="654">
        <v>82</v>
      </c>
      <c r="I255" s="654">
        <v>121</v>
      </c>
      <c r="J255" s="561">
        <v>30</v>
      </c>
      <c r="K255" s="554" t="s">
        <v>221</v>
      </c>
      <c r="L255" s="562">
        <v>10</v>
      </c>
      <c r="M255" s="561">
        <v>1000</v>
      </c>
      <c r="N255" s="592">
        <v>0.25</v>
      </c>
      <c r="O255" s="594">
        <v>1.05</v>
      </c>
      <c r="P255" s="590">
        <v>21</v>
      </c>
      <c r="Q255" s="431">
        <v>0.1</v>
      </c>
      <c r="R255" s="430">
        <v>845.75</v>
      </c>
      <c r="S255" s="175">
        <v>90</v>
      </c>
      <c r="T255" s="751">
        <v>1984.5</v>
      </c>
      <c r="U255" s="440">
        <v>64.516666666666666</v>
      </c>
      <c r="V255" s="654">
        <v>22.05</v>
      </c>
      <c r="W255" s="636"/>
      <c r="X255" s="440">
        <v>2.8000000000000003</v>
      </c>
      <c r="Y255" s="764">
        <v>22.05</v>
      </c>
      <c r="Z255" s="776">
        <v>105.7518</v>
      </c>
      <c r="AA255" s="780">
        <v>97.02000000000001</v>
      </c>
      <c r="AB255" s="811"/>
      <c r="AC255" s="818">
        <v>42</v>
      </c>
      <c r="AD255" s="811" t="s">
        <v>667</v>
      </c>
      <c r="AE255" s="811">
        <v>0</v>
      </c>
      <c r="AF255" s="643">
        <v>4056</v>
      </c>
    </row>
    <row r="256" spans="1:32" ht="15.75">
      <c r="A256" s="643">
        <v>4057</v>
      </c>
      <c r="B256" s="644"/>
      <c r="C256" s="542" t="s">
        <v>826</v>
      </c>
      <c r="D256" s="559">
        <v>140</v>
      </c>
      <c r="E256" s="545">
        <v>33000</v>
      </c>
      <c r="F256" s="546">
        <v>160</v>
      </c>
      <c r="G256" s="653">
        <v>115</v>
      </c>
      <c r="H256" s="654">
        <v>96</v>
      </c>
      <c r="I256" s="654">
        <v>142</v>
      </c>
      <c r="J256" s="561">
        <v>40</v>
      </c>
      <c r="K256" s="554" t="s">
        <v>221</v>
      </c>
      <c r="L256" s="562">
        <v>10</v>
      </c>
      <c r="M256" s="561">
        <v>1400</v>
      </c>
      <c r="N256" s="592">
        <v>0.25</v>
      </c>
      <c r="O256" s="594">
        <v>1.05</v>
      </c>
      <c r="P256" s="590">
        <v>34</v>
      </c>
      <c r="Q256" s="431">
        <v>0.1</v>
      </c>
      <c r="R256" s="430">
        <v>1243.75</v>
      </c>
      <c r="S256" s="497">
        <v>96</v>
      </c>
      <c r="T256" s="751">
        <v>3125.5</v>
      </c>
      <c r="U256" s="440">
        <v>70.4375</v>
      </c>
      <c r="V256" s="654">
        <v>24.750000000000004</v>
      </c>
      <c r="W256" s="636"/>
      <c r="X256" s="440">
        <v>2.8000000000000003</v>
      </c>
      <c r="Y256" s="764">
        <v>24.750000000000004</v>
      </c>
      <c r="Z256" s="776">
        <v>158.44675000000001</v>
      </c>
      <c r="AA256" s="780">
        <v>113.17625000000001</v>
      </c>
      <c r="AB256" s="811"/>
      <c r="AC256" s="818">
        <v>66</v>
      </c>
      <c r="AD256" s="811" t="s">
        <v>667</v>
      </c>
      <c r="AE256" s="811">
        <v>0</v>
      </c>
      <c r="AF256" s="643">
        <v>4057</v>
      </c>
    </row>
    <row r="257" spans="1:32" ht="15.75">
      <c r="A257" s="643">
        <v>4058</v>
      </c>
      <c r="B257" s="644"/>
      <c r="C257" s="644" t="s">
        <v>827</v>
      </c>
      <c r="D257" s="559">
        <v>92</v>
      </c>
      <c r="E257" s="545">
        <v>19500</v>
      </c>
      <c r="F257" s="546">
        <v>100</v>
      </c>
      <c r="G257" s="653">
        <v>110</v>
      </c>
      <c r="H257" s="654">
        <v>92</v>
      </c>
      <c r="I257" s="654">
        <v>136</v>
      </c>
      <c r="J257" s="561">
        <v>25</v>
      </c>
      <c r="K257" s="554" t="s">
        <v>221</v>
      </c>
      <c r="L257" s="562">
        <v>10</v>
      </c>
      <c r="M257" s="561">
        <v>1200</v>
      </c>
      <c r="N257" s="592">
        <v>0.25</v>
      </c>
      <c r="O257" s="594">
        <v>1.45</v>
      </c>
      <c r="P257" s="590">
        <v>24</v>
      </c>
      <c r="Q257" s="431">
        <v>0.1</v>
      </c>
      <c r="R257" s="430">
        <v>1243.75</v>
      </c>
      <c r="S257" s="175">
        <v>282</v>
      </c>
      <c r="T257" s="751">
        <v>1874.25</v>
      </c>
      <c r="U257" s="440">
        <v>55.23</v>
      </c>
      <c r="V257" s="654">
        <v>23.5625</v>
      </c>
      <c r="W257" s="636"/>
      <c r="X257" s="440">
        <v>2.8000000000000003</v>
      </c>
      <c r="Y257" s="764">
        <v>23.5625</v>
      </c>
      <c r="Z257" s="776">
        <v>99.714889999999997</v>
      </c>
      <c r="AA257" s="780">
        <v>108.38575</v>
      </c>
      <c r="AB257" s="811"/>
      <c r="AC257" s="818">
        <v>39</v>
      </c>
      <c r="AD257" s="811" t="s">
        <v>667</v>
      </c>
      <c r="AE257" s="811">
        <v>0</v>
      </c>
      <c r="AF257" s="643">
        <v>4058</v>
      </c>
    </row>
    <row r="258" spans="1:32" ht="15.75">
      <c r="A258" s="643">
        <v>4059</v>
      </c>
      <c r="B258" s="644"/>
      <c r="C258" s="644" t="s">
        <v>828</v>
      </c>
      <c r="D258" s="559">
        <v>109</v>
      </c>
      <c r="E258" s="545">
        <v>20000</v>
      </c>
      <c r="F258" s="546">
        <v>105</v>
      </c>
      <c r="G258" s="653">
        <v>95</v>
      </c>
      <c r="H258" s="654">
        <v>81</v>
      </c>
      <c r="I258" s="654">
        <v>119</v>
      </c>
      <c r="J258" s="561">
        <v>30</v>
      </c>
      <c r="K258" s="554" t="s">
        <v>221</v>
      </c>
      <c r="L258" s="562">
        <v>10</v>
      </c>
      <c r="M258" s="561">
        <v>1400</v>
      </c>
      <c r="N258" s="592">
        <v>0.25</v>
      </c>
      <c r="O258" s="594">
        <v>1.5</v>
      </c>
      <c r="P258" s="590">
        <v>30</v>
      </c>
      <c r="Q258" s="431">
        <v>0.1</v>
      </c>
      <c r="R258" s="430">
        <v>1691.5</v>
      </c>
      <c r="S258" s="497">
        <v>318</v>
      </c>
      <c r="T258" s="751">
        <v>1960</v>
      </c>
      <c r="U258" s="440">
        <v>62.416666666666664</v>
      </c>
      <c r="V258" s="654">
        <v>21.428571428571431</v>
      </c>
      <c r="W258" s="636"/>
      <c r="X258" s="440">
        <v>2.8000000000000003</v>
      </c>
      <c r="Y258" s="764">
        <v>21.428571428571431</v>
      </c>
      <c r="Z258" s="776">
        <v>104.02752380952381</v>
      </c>
      <c r="AA258" s="780">
        <v>95.438095238095244</v>
      </c>
      <c r="AB258" s="811"/>
      <c r="AC258" s="818">
        <v>40</v>
      </c>
      <c r="AD258" s="811" t="s">
        <v>667</v>
      </c>
      <c r="AE258" s="811">
        <v>0</v>
      </c>
      <c r="AF258" s="643">
        <v>4059</v>
      </c>
    </row>
    <row r="259" spans="1:32" ht="15.75">
      <c r="A259" s="633"/>
      <c r="B259" s="634"/>
      <c r="C259" s="633"/>
      <c r="D259" s="559"/>
      <c r="E259" s="545"/>
      <c r="F259" s="546"/>
      <c r="G259" s="653" t="s">
        <v>129</v>
      </c>
      <c r="H259" s="654"/>
      <c r="I259" s="654"/>
      <c r="J259" s="561"/>
      <c r="K259" s="635"/>
      <c r="L259" s="633"/>
      <c r="M259" s="561"/>
      <c r="N259" s="592" t="s">
        <v>129</v>
      </c>
      <c r="O259" s="594" t="s">
        <v>129</v>
      </c>
      <c r="P259" s="743"/>
      <c r="Q259" s="431">
        <v>0.1</v>
      </c>
      <c r="R259" s="430">
        <v>2985</v>
      </c>
      <c r="S259" s="175"/>
      <c r="T259" s="751" t="s">
        <v>129</v>
      </c>
      <c r="U259" s="440">
        <v>82.075000000000003</v>
      </c>
      <c r="V259" s="654"/>
      <c r="W259" s="636"/>
      <c r="X259" s="440">
        <v>2.8000000000000003</v>
      </c>
      <c r="Y259" s="764" t="s">
        <v>129</v>
      </c>
      <c r="Z259" s="776"/>
      <c r="AA259" s="780"/>
      <c r="AB259" s="633"/>
      <c r="AC259" s="818" t="s">
        <v>129</v>
      </c>
      <c r="AD259" s="811"/>
      <c r="AE259" s="811"/>
      <c r="AF259" s="633"/>
    </row>
    <row r="260" spans="1:32" ht="15.75">
      <c r="A260" s="624">
        <v>4070</v>
      </c>
      <c r="B260" s="625"/>
      <c r="C260" s="626" t="s">
        <v>829</v>
      </c>
      <c r="D260" s="627"/>
      <c r="E260" s="628"/>
      <c r="F260" s="629"/>
      <c r="G260" s="687" t="s">
        <v>129</v>
      </c>
      <c r="H260" s="631"/>
      <c r="I260" s="631"/>
      <c r="J260" s="632"/>
      <c r="K260" s="632"/>
      <c r="L260" s="627"/>
      <c r="M260" s="632"/>
      <c r="N260" s="739" t="s">
        <v>129</v>
      </c>
      <c r="O260" s="744" t="s">
        <v>129</v>
      </c>
      <c r="P260" s="742"/>
      <c r="Q260" s="431">
        <v>0.1</v>
      </c>
      <c r="R260" s="430">
        <v>1542.25</v>
      </c>
      <c r="S260" s="496"/>
      <c r="T260" s="750" t="s">
        <v>129</v>
      </c>
      <c r="U260" s="440">
        <v>69.650000000000006</v>
      </c>
      <c r="V260" s="631"/>
      <c r="W260" s="631"/>
      <c r="X260" s="440">
        <v>2.8000000000000003</v>
      </c>
      <c r="Y260" s="768" t="s">
        <v>129</v>
      </c>
      <c r="Z260" s="774"/>
      <c r="AA260" s="775"/>
      <c r="AB260" s="810"/>
      <c r="AC260" s="817" t="s">
        <v>129</v>
      </c>
      <c r="AD260" s="810"/>
      <c r="AE260" s="810"/>
      <c r="AF260" s="624">
        <v>4070</v>
      </c>
    </row>
    <row r="261" spans="1:32" ht="15.75">
      <c r="A261" s="633"/>
      <c r="B261" s="634"/>
      <c r="C261" s="633"/>
      <c r="D261" s="559"/>
      <c r="E261" s="545"/>
      <c r="F261" s="546"/>
      <c r="G261" s="653" t="s">
        <v>129</v>
      </c>
      <c r="H261" s="654"/>
      <c r="I261" s="654"/>
      <c r="J261" s="561"/>
      <c r="K261" s="635"/>
      <c r="L261" s="633"/>
      <c r="M261" s="561"/>
      <c r="N261" s="592" t="s">
        <v>129</v>
      </c>
      <c r="O261" s="594" t="s">
        <v>129</v>
      </c>
      <c r="P261" s="743"/>
      <c r="Q261" s="431">
        <v>0.1</v>
      </c>
      <c r="R261" s="430">
        <v>1791</v>
      </c>
      <c r="S261" s="175"/>
      <c r="T261" s="751" t="s">
        <v>129</v>
      </c>
      <c r="U261" s="440">
        <v>67.900000000000006</v>
      </c>
      <c r="V261" s="654"/>
      <c r="W261" s="636"/>
      <c r="X261" s="440">
        <v>2.8000000000000003</v>
      </c>
      <c r="Y261" s="764" t="s">
        <v>129</v>
      </c>
      <c r="Z261" s="776"/>
      <c r="AA261" s="780"/>
      <c r="AB261" s="633"/>
      <c r="AC261" s="818" t="s">
        <v>129</v>
      </c>
      <c r="AD261" s="811"/>
      <c r="AE261" s="811"/>
      <c r="AF261" s="633"/>
    </row>
    <row r="262" spans="1:32" ht="15.75">
      <c r="A262" s="643">
        <v>4072</v>
      </c>
      <c r="B262" s="644"/>
      <c r="C262" s="644" t="s">
        <v>830</v>
      </c>
      <c r="D262" s="559">
        <v>184</v>
      </c>
      <c r="E262" s="545">
        <v>6400</v>
      </c>
      <c r="F262" s="546">
        <v>30</v>
      </c>
      <c r="G262" s="653">
        <v>16.5</v>
      </c>
      <c r="H262" s="654">
        <v>14</v>
      </c>
      <c r="I262" s="654">
        <v>21</v>
      </c>
      <c r="J262" s="561">
        <v>35</v>
      </c>
      <c r="K262" s="554" t="s">
        <v>221</v>
      </c>
      <c r="L262" s="562">
        <v>20</v>
      </c>
      <c r="M262" s="561">
        <v>3000</v>
      </c>
      <c r="N262" s="592">
        <v>0.25</v>
      </c>
      <c r="O262" s="594">
        <v>1.25</v>
      </c>
      <c r="P262" s="590">
        <v>16</v>
      </c>
      <c r="Q262" s="431"/>
      <c r="R262" s="430" t="s">
        <v>129</v>
      </c>
      <c r="S262" s="175">
        <v>3</v>
      </c>
      <c r="T262" s="751">
        <v>432</v>
      </c>
      <c r="U262" s="440"/>
      <c r="V262" s="654">
        <v>2.6666666666666665</v>
      </c>
      <c r="W262" s="636"/>
      <c r="X262" s="440"/>
      <c r="Y262" s="764">
        <v>2.6666666666666665</v>
      </c>
      <c r="Z262" s="776">
        <v>30.37927619047619</v>
      </c>
      <c r="AA262" s="780">
        <v>16.51047619047619</v>
      </c>
      <c r="AB262" s="811"/>
      <c r="AC262" s="818">
        <v>12.8</v>
      </c>
      <c r="AD262" s="811" t="s">
        <v>667</v>
      </c>
      <c r="AE262" s="811">
        <v>0</v>
      </c>
      <c r="AF262" s="643">
        <v>4072</v>
      </c>
    </row>
    <row r="263" spans="1:32" ht="15.75">
      <c r="A263" s="643">
        <v>4073</v>
      </c>
      <c r="B263" s="644"/>
      <c r="C263" s="644" t="s">
        <v>831</v>
      </c>
      <c r="D263" s="559">
        <v>303</v>
      </c>
      <c r="E263" s="545">
        <v>12500</v>
      </c>
      <c r="F263" s="546">
        <v>76</v>
      </c>
      <c r="G263" s="653">
        <v>25</v>
      </c>
      <c r="H263" s="654">
        <v>20</v>
      </c>
      <c r="I263" s="654">
        <v>33</v>
      </c>
      <c r="J263" s="561">
        <v>50</v>
      </c>
      <c r="K263" s="554" t="s">
        <v>221</v>
      </c>
      <c r="L263" s="562">
        <v>20</v>
      </c>
      <c r="M263" s="561">
        <v>5000</v>
      </c>
      <c r="N263" s="592">
        <v>0.25</v>
      </c>
      <c r="O263" s="594">
        <v>0.8</v>
      </c>
      <c r="P263" s="590">
        <v>59</v>
      </c>
      <c r="Q263" s="429"/>
      <c r="R263" s="430" t="s">
        <v>129</v>
      </c>
      <c r="S263" s="497">
        <v>78</v>
      </c>
      <c r="T263" s="751">
        <v>1038</v>
      </c>
      <c r="U263" s="438"/>
      <c r="V263" s="654">
        <v>2</v>
      </c>
      <c r="W263" s="636"/>
      <c r="X263" s="438"/>
      <c r="Y263" s="764">
        <v>2</v>
      </c>
      <c r="Z263" s="776">
        <v>75.859080000000006</v>
      </c>
      <c r="AA263" s="780">
        <v>25.036000000000005</v>
      </c>
      <c r="AB263" s="811"/>
      <c r="AC263" s="818">
        <v>25</v>
      </c>
      <c r="AD263" s="811" t="s">
        <v>667</v>
      </c>
      <c r="AE263" s="811">
        <v>0</v>
      </c>
      <c r="AF263" s="643">
        <v>4073</v>
      </c>
    </row>
    <row r="264" spans="1:32" ht="15.75">
      <c r="A264" s="643">
        <v>4074</v>
      </c>
      <c r="B264" s="644"/>
      <c r="C264" s="644" t="s">
        <v>832</v>
      </c>
      <c r="D264" s="559">
        <v>156</v>
      </c>
      <c r="E264" s="545">
        <v>5500</v>
      </c>
      <c r="F264" s="546">
        <v>38</v>
      </c>
      <c r="G264" s="653">
        <v>25</v>
      </c>
      <c r="H264" s="654">
        <v>20</v>
      </c>
      <c r="I264" s="654">
        <v>31</v>
      </c>
      <c r="J264" s="561">
        <v>20</v>
      </c>
      <c r="K264" s="554" t="s">
        <v>221</v>
      </c>
      <c r="L264" s="562">
        <v>20</v>
      </c>
      <c r="M264" s="561">
        <v>1500</v>
      </c>
      <c r="N264" s="592">
        <v>0.25</v>
      </c>
      <c r="O264" s="594">
        <v>0.9</v>
      </c>
      <c r="P264" s="590">
        <v>15</v>
      </c>
      <c r="Q264" s="431"/>
      <c r="R264" s="430" t="s">
        <v>129</v>
      </c>
      <c r="S264" s="175">
        <v>228</v>
      </c>
      <c r="T264" s="751">
        <v>380</v>
      </c>
      <c r="U264" s="440"/>
      <c r="V264" s="654">
        <v>3.3</v>
      </c>
      <c r="W264" s="636"/>
      <c r="X264" s="440"/>
      <c r="Y264" s="764">
        <v>3.3</v>
      </c>
      <c r="Z264" s="776">
        <v>38.266800000000003</v>
      </c>
      <c r="AA264" s="780">
        <v>24.53</v>
      </c>
      <c r="AB264" s="811"/>
      <c r="AC264" s="818">
        <v>11</v>
      </c>
      <c r="AD264" s="811" t="s">
        <v>667</v>
      </c>
      <c r="AE264" s="811">
        <v>0</v>
      </c>
      <c r="AF264" s="643">
        <v>4074</v>
      </c>
    </row>
    <row r="265" spans="1:32" ht="15.75">
      <c r="A265" s="643">
        <v>4075</v>
      </c>
      <c r="B265" s="644"/>
      <c r="C265" s="644" t="s">
        <v>833</v>
      </c>
      <c r="D265" s="559">
        <v>184</v>
      </c>
      <c r="E265" s="545">
        <v>6400</v>
      </c>
      <c r="F265" s="546">
        <v>42</v>
      </c>
      <c r="G265" s="653">
        <v>23</v>
      </c>
      <c r="H265" s="654">
        <v>19</v>
      </c>
      <c r="I265" s="654">
        <v>29</v>
      </c>
      <c r="J265" s="561">
        <v>25</v>
      </c>
      <c r="K265" s="554" t="s">
        <v>221</v>
      </c>
      <c r="L265" s="562">
        <v>20</v>
      </c>
      <c r="M265" s="561">
        <v>1800</v>
      </c>
      <c r="N265" s="592">
        <v>0.25</v>
      </c>
      <c r="O265" s="594">
        <v>0.95</v>
      </c>
      <c r="P265" s="590">
        <v>16</v>
      </c>
      <c r="Q265" s="431">
        <v>0.05</v>
      </c>
      <c r="R265" s="430">
        <v>254.2</v>
      </c>
      <c r="S265" s="497">
        <v>162</v>
      </c>
      <c r="T265" s="751">
        <v>432</v>
      </c>
      <c r="U265" s="440">
        <v>12.246666666666666</v>
      </c>
      <c r="V265" s="654">
        <v>3.3777777777777773</v>
      </c>
      <c r="W265" s="636"/>
      <c r="X265" s="440">
        <v>1.4000000000000001</v>
      </c>
      <c r="Y265" s="764">
        <v>3.3777777777777773</v>
      </c>
      <c r="Z265" s="776">
        <v>41.811342222222223</v>
      </c>
      <c r="AA265" s="780">
        <v>22.723555555555556</v>
      </c>
      <c r="AB265" s="811"/>
      <c r="AC265" s="818">
        <v>12.8</v>
      </c>
      <c r="AD265" s="811" t="s">
        <v>667</v>
      </c>
      <c r="AE265" s="811">
        <v>0</v>
      </c>
      <c r="AF265" s="643">
        <v>4075</v>
      </c>
    </row>
    <row r="266" spans="1:32" ht="15.75">
      <c r="A266" s="643">
        <v>4076</v>
      </c>
      <c r="B266" s="644"/>
      <c r="C266" s="644" t="s">
        <v>834</v>
      </c>
      <c r="D266" s="559">
        <v>365</v>
      </c>
      <c r="E266" s="545">
        <v>17000</v>
      </c>
      <c r="F266" s="546">
        <v>110</v>
      </c>
      <c r="G266" s="653">
        <v>30</v>
      </c>
      <c r="H266" s="654">
        <v>25</v>
      </c>
      <c r="I266" s="654">
        <v>38</v>
      </c>
      <c r="J266" s="561">
        <v>50</v>
      </c>
      <c r="K266" s="554" t="s">
        <v>221</v>
      </c>
      <c r="L266" s="562">
        <v>20</v>
      </c>
      <c r="M266" s="561">
        <v>3600</v>
      </c>
      <c r="N266" s="592">
        <v>0.25</v>
      </c>
      <c r="O266" s="594">
        <v>0.75</v>
      </c>
      <c r="P266" s="590">
        <v>47</v>
      </c>
      <c r="Q266" s="431">
        <v>0.05</v>
      </c>
      <c r="R266" s="430">
        <v>291.39999999999998</v>
      </c>
      <c r="S266" s="175"/>
      <c r="T266" s="751">
        <v>1179</v>
      </c>
      <c r="U266" s="440">
        <v>11.794285714285714</v>
      </c>
      <c r="V266" s="654">
        <v>3.541666666666667</v>
      </c>
      <c r="W266" s="636"/>
      <c r="X266" s="440">
        <v>1.4000000000000001</v>
      </c>
      <c r="Y266" s="764">
        <v>3.541666666666667</v>
      </c>
      <c r="Z266" s="776">
        <v>108.89349166666666</v>
      </c>
      <c r="AA266" s="780">
        <v>29.833833333333335</v>
      </c>
      <c r="AB266" s="811"/>
      <c r="AC266" s="818">
        <v>34</v>
      </c>
      <c r="AD266" s="811" t="s">
        <v>667</v>
      </c>
      <c r="AE266" s="811">
        <v>0</v>
      </c>
      <c r="AF266" s="643">
        <v>4076</v>
      </c>
    </row>
    <row r="267" spans="1:32" ht="15.75">
      <c r="A267" s="643">
        <v>4077</v>
      </c>
      <c r="B267" s="644"/>
      <c r="C267" s="644" t="s">
        <v>835</v>
      </c>
      <c r="D267" s="559">
        <v>492</v>
      </c>
      <c r="E267" s="545">
        <v>27000</v>
      </c>
      <c r="F267" s="546">
        <v>165</v>
      </c>
      <c r="G267" s="653">
        <v>33</v>
      </c>
      <c r="H267" s="654">
        <v>28</v>
      </c>
      <c r="I267" s="654">
        <v>43</v>
      </c>
      <c r="J267" s="561">
        <v>65</v>
      </c>
      <c r="K267" s="554" t="s">
        <v>221</v>
      </c>
      <c r="L267" s="562">
        <v>20</v>
      </c>
      <c r="M267" s="561">
        <v>4800</v>
      </c>
      <c r="N267" s="592">
        <v>0.25</v>
      </c>
      <c r="O267" s="594">
        <v>0.7</v>
      </c>
      <c r="P267" s="590">
        <v>53</v>
      </c>
      <c r="Q267" s="431">
        <v>2.5000000000000001E-2</v>
      </c>
      <c r="R267" s="430">
        <v>682</v>
      </c>
      <c r="S267" s="498"/>
      <c r="T267" s="751">
        <v>1721</v>
      </c>
      <c r="U267" s="440">
        <v>22.34</v>
      </c>
      <c r="V267" s="654">
        <v>3.9374999999999996</v>
      </c>
      <c r="W267" s="636"/>
      <c r="X267" s="440">
        <v>0.70000000000000007</v>
      </c>
      <c r="Y267" s="764">
        <v>3.9374999999999996</v>
      </c>
      <c r="Z267" s="776">
        <v>164.60285769230771</v>
      </c>
      <c r="AA267" s="780">
        <v>33.455865384615386</v>
      </c>
      <c r="AB267" s="811"/>
      <c r="AC267" s="818">
        <v>54</v>
      </c>
      <c r="AD267" s="811" t="s">
        <v>667</v>
      </c>
      <c r="AE267" s="811">
        <v>0</v>
      </c>
      <c r="AF267" s="643">
        <v>4077</v>
      </c>
    </row>
    <row r="268" spans="1:32" ht="15.75">
      <c r="A268" s="643">
        <v>4078</v>
      </c>
      <c r="B268" s="644"/>
      <c r="C268" s="644" t="s">
        <v>836</v>
      </c>
      <c r="D268" s="559">
        <v>300</v>
      </c>
      <c r="E268" s="545">
        <v>14000</v>
      </c>
      <c r="F268" s="546">
        <v>125</v>
      </c>
      <c r="G268" s="653">
        <v>42</v>
      </c>
      <c r="H268" s="654">
        <v>35</v>
      </c>
      <c r="I268" s="654">
        <v>54</v>
      </c>
      <c r="J268" s="561">
        <v>25</v>
      </c>
      <c r="K268" s="562"/>
      <c r="L268" s="562">
        <v>20</v>
      </c>
      <c r="M268" s="561">
        <v>1800</v>
      </c>
      <c r="N268" s="592">
        <v>0.25</v>
      </c>
      <c r="O268" s="594">
        <v>0.7</v>
      </c>
      <c r="P268" s="590">
        <v>16</v>
      </c>
      <c r="Q268" s="431">
        <v>0.05</v>
      </c>
      <c r="R268" s="430">
        <v>254.2</v>
      </c>
      <c r="S268" s="175"/>
      <c r="T268" s="751">
        <v>812</v>
      </c>
      <c r="U268" s="440">
        <v>18.369999999999997</v>
      </c>
      <c r="V268" s="654">
        <v>5.4444444444444438</v>
      </c>
      <c r="W268" s="636"/>
      <c r="X268" s="440">
        <v>1.4000000000000001</v>
      </c>
      <c r="Y268" s="764">
        <v>5.4444444444444438</v>
      </c>
      <c r="Z268" s="776">
        <v>125.15066666666665</v>
      </c>
      <c r="AA268" s="780">
        <v>41.716888888888889</v>
      </c>
      <c r="AB268" s="811"/>
      <c r="AC268" s="818">
        <v>28</v>
      </c>
      <c r="AD268" s="811" t="s">
        <v>667</v>
      </c>
      <c r="AE268" s="811">
        <v>0</v>
      </c>
      <c r="AF268" s="643">
        <v>4078</v>
      </c>
    </row>
    <row r="269" spans="1:32" ht="15.75">
      <c r="A269" s="643">
        <v>4079</v>
      </c>
      <c r="B269" s="644"/>
      <c r="C269" s="644" t="s">
        <v>837</v>
      </c>
      <c r="D269" s="559">
        <v>500</v>
      </c>
      <c r="E269" s="545">
        <v>30000</v>
      </c>
      <c r="F269" s="546">
        <v>230</v>
      </c>
      <c r="G269" s="653">
        <v>46</v>
      </c>
      <c r="H269" s="654">
        <v>38</v>
      </c>
      <c r="I269" s="654">
        <v>60</v>
      </c>
      <c r="J269" s="561">
        <v>50</v>
      </c>
      <c r="K269" s="562"/>
      <c r="L269" s="562">
        <v>20</v>
      </c>
      <c r="M269" s="561">
        <v>3600</v>
      </c>
      <c r="N269" s="592">
        <v>0.25</v>
      </c>
      <c r="O269" s="594">
        <v>0.65</v>
      </c>
      <c r="P269" s="590">
        <v>47</v>
      </c>
      <c r="Q269" s="431">
        <v>0.05</v>
      </c>
      <c r="R269" s="430">
        <v>297.60000000000002</v>
      </c>
      <c r="S269" s="496"/>
      <c r="T269" s="751">
        <v>1829</v>
      </c>
      <c r="U269" s="440">
        <v>16.768000000000001</v>
      </c>
      <c r="V269" s="654">
        <v>5.416666666666667</v>
      </c>
      <c r="W269" s="636"/>
      <c r="X269" s="440">
        <v>1.4000000000000001</v>
      </c>
      <c r="Y269" s="764">
        <v>5.416666666666667</v>
      </c>
      <c r="Z269" s="776">
        <v>230.98166666666668</v>
      </c>
      <c r="AA269" s="780">
        <v>46.196333333333335</v>
      </c>
      <c r="AB269" s="811"/>
      <c r="AC269" s="818">
        <v>60</v>
      </c>
      <c r="AD269" s="811" t="s">
        <v>667</v>
      </c>
      <c r="AE269" s="811">
        <v>0</v>
      </c>
      <c r="AF269" s="643">
        <v>4079</v>
      </c>
    </row>
    <row r="270" spans="1:32" ht="15.75">
      <c r="A270" s="633"/>
      <c r="B270" s="634"/>
      <c r="C270" s="633"/>
      <c r="D270" s="559"/>
      <c r="E270" s="545"/>
      <c r="F270" s="546"/>
      <c r="G270" s="653" t="s">
        <v>129</v>
      </c>
      <c r="H270" s="654"/>
      <c r="I270" s="654"/>
      <c r="J270" s="561"/>
      <c r="K270" s="635"/>
      <c r="L270" s="633"/>
      <c r="M270" s="561"/>
      <c r="N270" s="592" t="s">
        <v>129</v>
      </c>
      <c r="O270" s="594" t="s">
        <v>129</v>
      </c>
      <c r="P270" s="743"/>
      <c r="Q270" s="431">
        <v>2.5000000000000001E-2</v>
      </c>
      <c r="R270" s="430">
        <v>961</v>
      </c>
      <c r="S270" s="175"/>
      <c r="T270" s="751" t="s">
        <v>129</v>
      </c>
      <c r="U270" s="440">
        <v>26.42</v>
      </c>
      <c r="V270" s="654"/>
      <c r="W270" s="636"/>
      <c r="X270" s="440">
        <v>0.70000000000000007</v>
      </c>
      <c r="Y270" s="764" t="s">
        <v>129</v>
      </c>
      <c r="Z270" s="776"/>
      <c r="AA270" s="780"/>
      <c r="AB270" s="633"/>
      <c r="AC270" s="818" t="s">
        <v>129</v>
      </c>
      <c r="AD270" s="811"/>
      <c r="AE270" s="811"/>
      <c r="AF270" s="633"/>
    </row>
    <row r="271" spans="1:32" ht="15.75">
      <c r="A271" s="624">
        <v>4090</v>
      </c>
      <c r="B271" s="625"/>
      <c r="C271" s="626" t="s">
        <v>838</v>
      </c>
      <c r="D271" s="627"/>
      <c r="E271" s="628"/>
      <c r="F271" s="629"/>
      <c r="G271" s="687" t="s">
        <v>129</v>
      </c>
      <c r="H271" s="631"/>
      <c r="I271" s="631"/>
      <c r="J271" s="632"/>
      <c r="K271" s="632"/>
      <c r="L271" s="627"/>
      <c r="M271" s="632"/>
      <c r="N271" s="739" t="s">
        <v>129</v>
      </c>
      <c r="O271" s="744" t="s">
        <v>129</v>
      </c>
      <c r="P271" s="742"/>
      <c r="Q271" s="431">
        <v>2.5000000000000001E-2</v>
      </c>
      <c r="R271" s="430">
        <v>1550</v>
      </c>
      <c r="S271" s="497">
        <v>120</v>
      </c>
      <c r="T271" s="750" t="s">
        <v>129</v>
      </c>
      <c r="U271" s="440">
        <v>30.323076923076922</v>
      </c>
      <c r="V271" s="631"/>
      <c r="W271" s="631"/>
      <c r="X271" s="440">
        <v>0.70000000000000007</v>
      </c>
      <c r="Y271" s="768" t="s">
        <v>129</v>
      </c>
      <c r="Z271" s="774"/>
      <c r="AA271" s="775"/>
      <c r="AB271" s="810"/>
      <c r="AC271" s="817" t="s">
        <v>129</v>
      </c>
      <c r="AD271" s="810"/>
      <c r="AE271" s="810"/>
      <c r="AF271" s="624">
        <v>4090</v>
      </c>
    </row>
    <row r="272" spans="1:32" ht="15.75">
      <c r="A272" s="633"/>
      <c r="B272" s="634"/>
      <c r="C272" s="633"/>
      <c r="D272" s="559"/>
      <c r="E272" s="545"/>
      <c r="F272" s="546"/>
      <c r="G272" s="653" t="s">
        <v>129</v>
      </c>
      <c r="H272" s="654"/>
      <c r="I272" s="654"/>
      <c r="J272" s="561"/>
      <c r="K272" s="635"/>
      <c r="L272" s="633"/>
      <c r="M272" s="561"/>
      <c r="N272" s="592" t="s">
        <v>129</v>
      </c>
      <c r="O272" s="594" t="s">
        <v>129</v>
      </c>
      <c r="P272" s="743"/>
      <c r="Q272" s="431"/>
      <c r="R272" s="430" t="s">
        <v>129</v>
      </c>
      <c r="S272" s="175">
        <v>138</v>
      </c>
      <c r="T272" s="751" t="s">
        <v>129</v>
      </c>
      <c r="U272" s="440"/>
      <c r="V272" s="654"/>
      <c r="W272" s="636"/>
      <c r="X272" s="440"/>
      <c r="Y272" s="764" t="s">
        <v>129</v>
      </c>
      <c r="Z272" s="776"/>
      <c r="AA272" s="780"/>
      <c r="AB272" s="633"/>
      <c r="AC272" s="818" t="s">
        <v>129</v>
      </c>
      <c r="AD272" s="811"/>
      <c r="AE272" s="811"/>
      <c r="AF272" s="633"/>
    </row>
    <row r="273" spans="1:32" ht="15.75">
      <c r="A273" s="643">
        <v>4092</v>
      </c>
      <c r="B273" s="644"/>
      <c r="C273" s="644" t="s">
        <v>839</v>
      </c>
      <c r="D273" s="559"/>
      <c r="E273" s="545">
        <v>3500</v>
      </c>
      <c r="F273" s="546"/>
      <c r="G273" s="653">
        <v>15</v>
      </c>
      <c r="H273" s="654">
        <v>13</v>
      </c>
      <c r="I273" s="654">
        <v>19</v>
      </c>
      <c r="J273" s="561">
        <v>25</v>
      </c>
      <c r="K273" s="554" t="s">
        <v>221</v>
      </c>
      <c r="L273" s="562">
        <v>12</v>
      </c>
      <c r="M273" s="561">
        <v>1200</v>
      </c>
      <c r="N273" s="592">
        <v>0.25</v>
      </c>
      <c r="O273" s="594">
        <v>1</v>
      </c>
      <c r="P273" s="590">
        <v>0.5</v>
      </c>
      <c r="Q273" s="429"/>
      <c r="R273" s="430" t="s">
        <v>129</v>
      </c>
      <c r="S273" s="497">
        <v>228</v>
      </c>
      <c r="T273" s="751">
        <v>266</v>
      </c>
      <c r="U273" s="438"/>
      <c r="V273" s="654">
        <v>2.9166666666666665</v>
      </c>
      <c r="W273" s="636"/>
      <c r="X273" s="438"/>
      <c r="Y273" s="764">
        <v>2.9166666666666665</v>
      </c>
      <c r="Z273" s="776"/>
      <c r="AA273" s="780">
        <v>14.912333333333335</v>
      </c>
      <c r="AB273" s="811"/>
      <c r="AC273" s="818">
        <v>7</v>
      </c>
      <c r="AD273" s="811" t="s">
        <v>667</v>
      </c>
      <c r="AE273" s="811">
        <v>0</v>
      </c>
      <c r="AF273" s="643">
        <v>4092</v>
      </c>
    </row>
    <row r="274" spans="1:32" ht="15.75">
      <c r="A274" s="643">
        <v>4093</v>
      </c>
      <c r="B274" s="644"/>
      <c r="C274" s="644" t="s">
        <v>840</v>
      </c>
      <c r="D274" s="559"/>
      <c r="E274" s="545">
        <v>6900</v>
      </c>
      <c r="F274" s="546"/>
      <c r="G274" s="653">
        <v>29</v>
      </c>
      <c r="H274" s="654">
        <v>25</v>
      </c>
      <c r="I274" s="654">
        <v>36</v>
      </c>
      <c r="J274" s="561">
        <v>30</v>
      </c>
      <c r="K274" s="554" t="s">
        <v>221</v>
      </c>
      <c r="L274" s="562">
        <v>15</v>
      </c>
      <c r="M274" s="561">
        <v>900</v>
      </c>
      <c r="N274" s="592">
        <v>0.25</v>
      </c>
      <c r="O274" s="594">
        <v>1.2</v>
      </c>
      <c r="P274" s="590">
        <v>13</v>
      </c>
      <c r="Q274" s="431"/>
      <c r="R274" s="430" t="s">
        <v>129</v>
      </c>
      <c r="S274" s="175">
        <v>300</v>
      </c>
      <c r="T274" s="751">
        <v>522.25</v>
      </c>
      <c r="U274" s="440"/>
      <c r="V274" s="654">
        <v>9.1999999999999993</v>
      </c>
      <c r="W274" s="636"/>
      <c r="X274" s="440"/>
      <c r="Y274" s="764">
        <v>9.1999999999999993</v>
      </c>
      <c r="Z274" s="776"/>
      <c r="AA274" s="780">
        <v>29.269166666666671</v>
      </c>
      <c r="AB274" s="811"/>
      <c r="AC274" s="818">
        <v>13.8</v>
      </c>
      <c r="AD274" s="811" t="s">
        <v>667</v>
      </c>
      <c r="AE274" s="811">
        <v>0</v>
      </c>
      <c r="AF274" s="643">
        <v>4093</v>
      </c>
    </row>
    <row r="275" spans="1:32" ht="31.5">
      <c r="A275" s="643">
        <v>4101</v>
      </c>
      <c r="B275" s="644"/>
      <c r="C275" s="644" t="s">
        <v>841</v>
      </c>
      <c r="D275" s="559">
        <v>100</v>
      </c>
      <c r="E275" s="545">
        <v>45000</v>
      </c>
      <c r="F275" s="546">
        <v>99</v>
      </c>
      <c r="G275" s="653">
        <v>99</v>
      </c>
      <c r="H275" s="654">
        <v>83</v>
      </c>
      <c r="I275" s="654">
        <v>126</v>
      </c>
      <c r="J275" s="561">
        <v>50</v>
      </c>
      <c r="K275" s="554" t="s">
        <v>221</v>
      </c>
      <c r="L275" s="562">
        <v>12</v>
      </c>
      <c r="M275" s="561">
        <v>2200</v>
      </c>
      <c r="N275" s="592">
        <v>0.25</v>
      </c>
      <c r="O275" s="594">
        <v>0.85</v>
      </c>
      <c r="P275" s="590">
        <v>38</v>
      </c>
      <c r="Q275" s="431">
        <v>0.05</v>
      </c>
      <c r="R275" s="430">
        <v>696</v>
      </c>
      <c r="S275" s="497">
        <v>414</v>
      </c>
      <c r="T275" s="751">
        <v>3641</v>
      </c>
      <c r="U275" s="440">
        <v>32.4</v>
      </c>
      <c r="V275" s="654">
        <v>17.386363636363633</v>
      </c>
      <c r="W275" s="636"/>
      <c r="X275" s="440">
        <v>1.4000000000000001</v>
      </c>
      <c r="Y275" s="764">
        <v>17.386363636363633</v>
      </c>
      <c r="Z275" s="776">
        <v>99.22699999999999</v>
      </c>
      <c r="AA275" s="780">
        <v>99.22699999999999</v>
      </c>
      <c r="AB275" s="811"/>
      <c r="AC275" s="818">
        <v>90</v>
      </c>
      <c r="AD275" s="811" t="s">
        <v>667</v>
      </c>
      <c r="AE275" s="811">
        <v>0</v>
      </c>
      <c r="AF275" s="643">
        <v>4101</v>
      </c>
    </row>
    <row r="276" spans="1:32" ht="15.75">
      <c r="A276" s="643">
        <v>4102</v>
      </c>
      <c r="B276" s="644"/>
      <c r="C276" s="644" t="s">
        <v>842</v>
      </c>
      <c r="D276" s="559">
        <v>50</v>
      </c>
      <c r="E276" s="545">
        <v>47000</v>
      </c>
      <c r="F276" s="546">
        <v>66</v>
      </c>
      <c r="G276" s="653">
        <v>130</v>
      </c>
      <c r="H276" s="654">
        <v>117</v>
      </c>
      <c r="I276" s="654">
        <v>158</v>
      </c>
      <c r="J276" s="561">
        <v>60</v>
      </c>
      <c r="K276" s="554" t="s">
        <v>221</v>
      </c>
      <c r="L276" s="562">
        <v>12</v>
      </c>
      <c r="M276" s="561">
        <v>1000</v>
      </c>
      <c r="N276" s="592">
        <v>0.1</v>
      </c>
      <c r="O276" s="594">
        <v>1.05</v>
      </c>
      <c r="P276" s="590">
        <v>27</v>
      </c>
      <c r="Q276" s="431"/>
      <c r="R276" s="430">
        <v>269.7</v>
      </c>
      <c r="S276" s="175">
        <v>156</v>
      </c>
      <c r="T276" s="751">
        <v>4259.2</v>
      </c>
      <c r="U276" s="440">
        <v>11.036</v>
      </c>
      <c r="V276" s="654">
        <v>49.35</v>
      </c>
      <c r="W276" s="636"/>
      <c r="X276" s="440"/>
      <c r="Y276" s="764">
        <v>49.35</v>
      </c>
      <c r="Z276" s="776">
        <v>66.185166666666674</v>
      </c>
      <c r="AA276" s="780">
        <v>132.37033333333335</v>
      </c>
      <c r="AB276" s="811"/>
      <c r="AC276" s="818">
        <v>94</v>
      </c>
      <c r="AD276" s="811" t="s">
        <v>667</v>
      </c>
      <c r="AE276" s="811">
        <v>0</v>
      </c>
      <c r="AF276" s="643">
        <v>4102</v>
      </c>
    </row>
    <row r="277" spans="1:32" ht="15.75">
      <c r="A277" s="643"/>
      <c r="B277" s="644"/>
      <c r="C277" s="644"/>
      <c r="D277" s="559"/>
      <c r="E277" s="545"/>
      <c r="F277" s="546"/>
      <c r="G277" s="655" t="s">
        <v>129</v>
      </c>
      <c r="H277" s="654"/>
      <c r="I277" s="654"/>
      <c r="J277" s="561"/>
      <c r="K277" s="554"/>
      <c r="L277" s="562"/>
      <c r="M277" s="561"/>
      <c r="N277" s="592" t="s">
        <v>129</v>
      </c>
      <c r="O277" s="594" t="s">
        <v>129</v>
      </c>
      <c r="P277" s="590"/>
      <c r="Q277" s="431">
        <v>0.05</v>
      </c>
      <c r="R277" s="430">
        <v>439.55</v>
      </c>
      <c r="S277" s="175"/>
      <c r="T277" s="751" t="s">
        <v>129</v>
      </c>
      <c r="U277" s="440">
        <v>18.07833333333333</v>
      </c>
      <c r="V277" s="654"/>
      <c r="W277" s="636"/>
      <c r="X277" s="440">
        <v>1.4000000000000001</v>
      </c>
      <c r="Y277" s="764" t="s">
        <v>129</v>
      </c>
      <c r="Z277" s="778"/>
      <c r="AA277" s="780"/>
      <c r="AB277" s="811"/>
      <c r="AC277" s="818" t="s">
        <v>129</v>
      </c>
      <c r="AD277" s="811"/>
      <c r="AE277" s="811"/>
      <c r="AF277" s="643"/>
    </row>
    <row r="278" spans="1:32" ht="15.75">
      <c r="A278" s="663"/>
      <c r="B278" s="664"/>
      <c r="C278" s="665" t="s">
        <v>843</v>
      </c>
      <c r="D278" s="688"/>
      <c r="E278" s="667"/>
      <c r="F278" s="668"/>
      <c r="G278" s="689" t="s">
        <v>129</v>
      </c>
      <c r="H278" s="690"/>
      <c r="I278" s="690"/>
      <c r="J278" s="691"/>
      <c r="K278" s="672"/>
      <c r="L278" s="737"/>
      <c r="M278" s="691"/>
      <c r="N278" s="740" t="s">
        <v>129</v>
      </c>
      <c r="O278" s="746" t="s">
        <v>129</v>
      </c>
      <c r="P278" s="747"/>
      <c r="Q278" s="431">
        <v>0.25</v>
      </c>
      <c r="R278" s="430">
        <v>2966.4</v>
      </c>
      <c r="S278" s="496"/>
      <c r="T278" s="754" t="s">
        <v>129</v>
      </c>
      <c r="U278" s="440">
        <v>171.52</v>
      </c>
      <c r="V278" s="690"/>
      <c r="W278" s="670"/>
      <c r="X278" s="440">
        <v>7</v>
      </c>
      <c r="Y278" s="769" t="s">
        <v>129</v>
      </c>
      <c r="Z278" s="785"/>
      <c r="AA278" s="792"/>
      <c r="AB278" s="813"/>
      <c r="AC278" s="821" t="s">
        <v>129</v>
      </c>
      <c r="AD278" s="813"/>
      <c r="AE278" s="813"/>
      <c r="AF278" s="663"/>
    </row>
    <row r="279" spans="1:32" ht="15.75">
      <c r="A279" s="633"/>
      <c r="B279" s="634"/>
      <c r="C279" s="633"/>
      <c r="D279" s="559"/>
      <c r="E279" s="545"/>
      <c r="F279" s="546"/>
      <c r="G279" s="655" t="s">
        <v>129</v>
      </c>
      <c r="H279" s="654"/>
      <c r="I279" s="654"/>
      <c r="J279" s="561"/>
      <c r="K279" s="635"/>
      <c r="L279" s="633"/>
      <c r="M279" s="561"/>
      <c r="N279" s="592" t="s">
        <v>129</v>
      </c>
      <c r="O279" s="594" t="s">
        <v>129</v>
      </c>
      <c r="P279" s="743"/>
      <c r="Q279" s="431">
        <v>0.05</v>
      </c>
      <c r="R279" s="430">
        <v>5932.8</v>
      </c>
      <c r="S279" s="175"/>
      <c r="T279" s="751" t="s">
        <v>129</v>
      </c>
      <c r="U279" s="440">
        <v>312.94</v>
      </c>
      <c r="V279" s="654"/>
      <c r="W279" s="636"/>
      <c r="X279" s="440">
        <v>1.4000000000000001</v>
      </c>
      <c r="Y279" s="764" t="s">
        <v>129</v>
      </c>
      <c r="Z279" s="776"/>
      <c r="AA279" s="780"/>
      <c r="AB279" s="633"/>
      <c r="AC279" s="818" t="s">
        <v>129</v>
      </c>
      <c r="AD279" s="811"/>
      <c r="AE279" s="811"/>
      <c r="AF279" s="633"/>
    </row>
    <row r="280" spans="1:32" ht="15.75">
      <c r="A280" s="624">
        <v>5000</v>
      </c>
      <c r="B280" s="625"/>
      <c r="C280" s="626" t="s">
        <v>844</v>
      </c>
      <c r="D280" s="627"/>
      <c r="E280" s="628"/>
      <c r="F280" s="629"/>
      <c r="G280" s="630" t="s">
        <v>129</v>
      </c>
      <c r="H280" s="631"/>
      <c r="I280" s="631"/>
      <c r="J280" s="632"/>
      <c r="K280" s="632"/>
      <c r="L280" s="627"/>
      <c r="M280" s="632"/>
      <c r="N280" s="739" t="s">
        <v>129</v>
      </c>
      <c r="O280" s="744" t="s">
        <v>129</v>
      </c>
      <c r="P280" s="742"/>
      <c r="Q280" s="431"/>
      <c r="R280" s="430" t="s">
        <v>129</v>
      </c>
      <c r="S280" s="497">
        <v>138</v>
      </c>
      <c r="T280" s="750" t="s">
        <v>129</v>
      </c>
      <c r="U280" s="440"/>
      <c r="V280" s="631"/>
      <c r="W280" s="631"/>
      <c r="X280" s="440"/>
      <c r="Y280" s="768" t="s">
        <v>129</v>
      </c>
      <c r="Z280" s="774"/>
      <c r="AA280" s="775"/>
      <c r="AB280" s="810"/>
      <c r="AC280" s="817" t="s">
        <v>129</v>
      </c>
      <c r="AD280" s="810"/>
      <c r="AE280" s="810"/>
      <c r="AF280" s="624">
        <v>5000</v>
      </c>
    </row>
    <row r="281" spans="1:32" ht="15.75">
      <c r="A281" s="633"/>
      <c r="B281" s="634"/>
      <c r="C281" s="633"/>
      <c r="D281" s="559"/>
      <c r="E281" s="545"/>
      <c r="F281" s="546"/>
      <c r="G281" s="655" t="s">
        <v>129</v>
      </c>
      <c r="H281" s="654"/>
      <c r="I281" s="654"/>
      <c r="J281" s="561"/>
      <c r="K281" s="635"/>
      <c r="L281" s="633"/>
      <c r="M281" s="561"/>
      <c r="N281" s="592" t="s">
        <v>129</v>
      </c>
      <c r="O281" s="594" t="s">
        <v>129</v>
      </c>
      <c r="P281" s="743"/>
      <c r="Q281" s="431"/>
      <c r="R281" s="430" t="s">
        <v>129</v>
      </c>
      <c r="S281" s="175">
        <v>168</v>
      </c>
      <c r="T281" s="751" t="s">
        <v>129</v>
      </c>
      <c r="U281" s="440"/>
      <c r="V281" s="654"/>
      <c r="W281" s="636"/>
      <c r="X281" s="440"/>
      <c r="Y281" s="764" t="s">
        <v>129</v>
      </c>
      <c r="Z281" s="776"/>
      <c r="AA281" s="780"/>
      <c r="AB281" s="633"/>
      <c r="AC281" s="818" t="s">
        <v>129</v>
      </c>
      <c r="AD281" s="811"/>
      <c r="AE281" s="811"/>
      <c r="AF281" s="633"/>
    </row>
    <row r="282" spans="1:32" ht="15.75">
      <c r="A282" s="541">
        <v>5001</v>
      </c>
      <c r="B282" s="644"/>
      <c r="C282" s="644" t="s">
        <v>845</v>
      </c>
      <c r="D282" s="559">
        <v>140</v>
      </c>
      <c r="E282" s="545">
        <v>16500</v>
      </c>
      <c r="F282" s="546">
        <v>77</v>
      </c>
      <c r="G282" s="653">
        <v>55</v>
      </c>
      <c r="H282" s="654">
        <v>46</v>
      </c>
      <c r="I282" s="654">
        <v>69</v>
      </c>
      <c r="J282" s="561">
        <v>30</v>
      </c>
      <c r="K282" s="554" t="s">
        <v>221</v>
      </c>
      <c r="L282" s="562">
        <v>15</v>
      </c>
      <c r="M282" s="561">
        <v>900</v>
      </c>
      <c r="N282" s="592">
        <v>0.25</v>
      </c>
      <c r="O282" s="594">
        <v>0.6</v>
      </c>
      <c r="P282" s="590">
        <v>20</v>
      </c>
      <c r="Q282" s="431"/>
      <c r="R282" s="430" t="s">
        <v>129</v>
      </c>
      <c r="S282" s="497">
        <v>204</v>
      </c>
      <c r="T282" s="751">
        <v>1171.25</v>
      </c>
      <c r="U282" s="440"/>
      <c r="V282" s="654">
        <v>10.999999999999998</v>
      </c>
      <c r="W282" s="636"/>
      <c r="X282" s="440"/>
      <c r="Y282" s="764">
        <v>10.999999999999998</v>
      </c>
      <c r="Z282" s="776">
        <v>77.064166666666665</v>
      </c>
      <c r="AA282" s="780">
        <v>55.045833333333334</v>
      </c>
      <c r="AB282" s="811"/>
      <c r="AC282" s="818">
        <v>33</v>
      </c>
      <c r="AD282" s="811" t="s">
        <v>667</v>
      </c>
      <c r="AE282" s="811">
        <v>0</v>
      </c>
      <c r="AF282" s="541">
        <v>5001</v>
      </c>
    </row>
    <row r="283" spans="1:32" ht="15.75">
      <c r="A283" s="643">
        <v>5002</v>
      </c>
      <c r="B283" s="644"/>
      <c r="C283" s="644" t="s">
        <v>846</v>
      </c>
      <c r="D283" s="559">
        <v>164</v>
      </c>
      <c r="E283" s="545">
        <v>21000</v>
      </c>
      <c r="F283" s="546">
        <v>100</v>
      </c>
      <c r="G283" s="653">
        <v>61</v>
      </c>
      <c r="H283" s="654">
        <v>52</v>
      </c>
      <c r="I283" s="654">
        <v>77</v>
      </c>
      <c r="J283" s="561">
        <v>35</v>
      </c>
      <c r="K283" s="554" t="s">
        <v>221</v>
      </c>
      <c r="L283" s="562">
        <v>15</v>
      </c>
      <c r="M283" s="561">
        <v>1000</v>
      </c>
      <c r="N283" s="592">
        <v>0.25</v>
      </c>
      <c r="O283" s="594">
        <v>0.65</v>
      </c>
      <c r="P283" s="590">
        <v>23</v>
      </c>
      <c r="Q283" s="429"/>
      <c r="R283" s="430" t="s">
        <v>129</v>
      </c>
      <c r="S283" s="175"/>
      <c r="T283" s="751">
        <v>1473.5</v>
      </c>
      <c r="U283" s="438"/>
      <c r="V283" s="654">
        <v>13.65</v>
      </c>
      <c r="W283" s="636"/>
      <c r="X283" s="438"/>
      <c r="Y283" s="764">
        <v>13.65</v>
      </c>
      <c r="Z283" s="776">
        <v>100.57300000000001</v>
      </c>
      <c r="AA283" s="780">
        <v>61.325000000000003</v>
      </c>
      <c r="AB283" s="811"/>
      <c r="AC283" s="818">
        <v>42</v>
      </c>
      <c r="AD283" s="811" t="s">
        <v>667</v>
      </c>
      <c r="AE283" s="811">
        <v>0</v>
      </c>
      <c r="AF283" s="643">
        <v>5002</v>
      </c>
    </row>
    <row r="284" spans="1:32" ht="15.75">
      <c r="A284" s="643">
        <v>5004</v>
      </c>
      <c r="B284" s="644"/>
      <c r="C284" s="644" t="s">
        <v>847</v>
      </c>
      <c r="D284" s="559">
        <v>160</v>
      </c>
      <c r="E284" s="545">
        <v>31000</v>
      </c>
      <c r="F284" s="546">
        <v>92</v>
      </c>
      <c r="G284" s="653">
        <v>58</v>
      </c>
      <c r="H284" s="654">
        <v>48</v>
      </c>
      <c r="I284" s="654">
        <v>74</v>
      </c>
      <c r="J284" s="561">
        <v>50</v>
      </c>
      <c r="K284" s="554" t="s">
        <v>221</v>
      </c>
      <c r="L284" s="562">
        <v>15</v>
      </c>
      <c r="M284" s="561">
        <v>2200</v>
      </c>
      <c r="N284" s="592">
        <v>0.25</v>
      </c>
      <c r="O284" s="594">
        <v>0.6</v>
      </c>
      <c r="P284" s="590">
        <v>38</v>
      </c>
      <c r="Q284" s="431"/>
      <c r="R284" s="430" t="s">
        <v>129</v>
      </c>
      <c r="S284" s="496"/>
      <c r="T284" s="751">
        <v>2203.5</v>
      </c>
      <c r="U284" s="440"/>
      <c r="V284" s="654">
        <v>8.454545454545455</v>
      </c>
      <c r="W284" s="636"/>
      <c r="X284" s="440"/>
      <c r="Y284" s="764">
        <v>8.454545454545455</v>
      </c>
      <c r="Z284" s="776">
        <v>92.44319999999999</v>
      </c>
      <c r="AA284" s="780">
        <v>57.777000000000001</v>
      </c>
      <c r="AB284" s="811"/>
      <c r="AC284" s="818">
        <v>62</v>
      </c>
      <c r="AD284" s="811" t="s">
        <v>667</v>
      </c>
      <c r="AE284" s="811">
        <v>0</v>
      </c>
      <c r="AF284" s="643">
        <v>5004</v>
      </c>
    </row>
    <row r="285" spans="1:32" ht="15.75">
      <c r="A285" s="643">
        <v>5006</v>
      </c>
      <c r="B285" s="644"/>
      <c r="C285" s="644" t="s">
        <v>848</v>
      </c>
      <c r="D285" s="559">
        <v>220</v>
      </c>
      <c r="E285" s="545">
        <v>39000</v>
      </c>
      <c r="F285" s="546">
        <v>125</v>
      </c>
      <c r="G285" s="653">
        <v>57</v>
      </c>
      <c r="H285" s="654">
        <v>48</v>
      </c>
      <c r="I285" s="654">
        <v>73</v>
      </c>
      <c r="J285" s="561">
        <v>65</v>
      </c>
      <c r="K285" s="554" t="s">
        <v>221</v>
      </c>
      <c r="L285" s="562">
        <v>15</v>
      </c>
      <c r="M285" s="561">
        <v>2800</v>
      </c>
      <c r="N285" s="592">
        <v>0.25</v>
      </c>
      <c r="O285" s="594">
        <v>0.65</v>
      </c>
      <c r="P285" s="590">
        <v>50</v>
      </c>
      <c r="Q285" s="431">
        <v>0.1</v>
      </c>
      <c r="R285" s="430">
        <v>856.75</v>
      </c>
      <c r="S285" s="175"/>
      <c r="T285" s="751">
        <v>2787.5</v>
      </c>
      <c r="U285" s="440">
        <v>33.991666666666667</v>
      </c>
      <c r="V285" s="654">
        <v>9.0535714285714288</v>
      </c>
      <c r="W285" s="636"/>
      <c r="X285" s="440">
        <v>2.8000000000000003</v>
      </c>
      <c r="Y285" s="764">
        <v>9.0535714285714288</v>
      </c>
      <c r="Z285" s="776">
        <v>125.69041208791212</v>
      </c>
      <c r="AA285" s="780">
        <v>57.132005494505506</v>
      </c>
      <c r="AB285" s="811"/>
      <c r="AC285" s="818">
        <v>78</v>
      </c>
      <c r="AD285" s="811" t="s">
        <v>667</v>
      </c>
      <c r="AE285" s="811">
        <v>0</v>
      </c>
      <c r="AF285" s="643">
        <v>5006</v>
      </c>
    </row>
    <row r="286" spans="1:32" ht="15.75">
      <c r="A286" s="643">
        <v>5007</v>
      </c>
      <c r="B286" s="644"/>
      <c r="C286" s="644" t="s">
        <v>849</v>
      </c>
      <c r="D286" s="559">
        <v>330</v>
      </c>
      <c r="E286" s="545">
        <v>57000</v>
      </c>
      <c r="F286" s="546">
        <v>180</v>
      </c>
      <c r="G286" s="653">
        <v>55</v>
      </c>
      <c r="H286" s="654">
        <v>46</v>
      </c>
      <c r="I286" s="654">
        <v>70</v>
      </c>
      <c r="J286" s="561">
        <v>100</v>
      </c>
      <c r="K286" s="554" t="s">
        <v>221</v>
      </c>
      <c r="L286" s="562">
        <v>15</v>
      </c>
      <c r="M286" s="561">
        <v>4200</v>
      </c>
      <c r="N286" s="592">
        <v>0.25</v>
      </c>
      <c r="O286" s="594">
        <v>0.65</v>
      </c>
      <c r="P286" s="590">
        <v>75</v>
      </c>
      <c r="Q286" s="431">
        <v>0.1</v>
      </c>
      <c r="R286" s="430">
        <v>968.5</v>
      </c>
      <c r="S286" s="497">
        <v>174</v>
      </c>
      <c r="T286" s="751">
        <v>4087.5</v>
      </c>
      <c r="U286" s="440">
        <v>33.014285714285712</v>
      </c>
      <c r="V286" s="654">
        <v>8.8214285714285712</v>
      </c>
      <c r="W286" s="636"/>
      <c r="X286" s="440">
        <v>2.8000000000000003</v>
      </c>
      <c r="Y286" s="764">
        <v>8.8214285714285712</v>
      </c>
      <c r="Z286" s="776">
        <v>180.39803571428573</v>
      </c>
      <c r="AA286" s="780">
        <v>54.666071428571428</v>
      </c>
      <c r="AB286" s="811"/>
      <c r="AC286" s="818">
        <v>114</v>
      </c>
      <c r="AD286" s="811" t="s">
        <v>667</v>
      </c>
      <c r="AE286" s="811">
        <v>0</v>
      </c>
      <c r="AF286" s="643">
        <v>5007</v>
      </c>
    </row>
    <row r="287" spans="1:32" ht="15.75">
      <c r="A287" s="643">
        <v>5005</v>
      </c>
      <c r="B287" s="644"/>
      <c r="C287" s="644" t="s">
        <v>850</v>
      </c>
      <c r="D287" s="559">
        <v>150</v>
      </c>
      <c r="E287" s="545">
        <v>80000</v>
      </c>
      <c r="F287" s="546">
        <v>120</v>
      </c>
      <c r="G287" s="653">
        <v>81</v>
      </c>
      <c r="H287" s="654">
        <v>70</v>
      </c>
      <c r="I287" s="654">
        <v>99</v>
      </c>
      <c r="J287" s="561">
        <v>150</v>
      </c>
      <c r="K287" s="554" t="s">
        <v>221</v>
      </c>
      <c r="L287" s="562">
        <v>12</v>
      </c>
      <c r="M287" s="561">
        <v>3000</v>
      </c>
      <c r="N287" s="592">
        <v>0.1</v>
      </c>
      <c r="O287" s="594">
        <v>0.9</v>
      </c>
      <c r="P287" s="590">
        <v>69</v>
      </c>
      <c r="Q287" s="431">
        <v>6.6600000000000006E-2</v>
      </c>
      <c r="R287" s="430">
        <v>2011.5</v>
      </c>
      <c r="S287" s="175">
        <v>246</v>
      </c>
      <c r="T287" s="751">
        <v>7411</v>
      </c>
      <c r="U287" s="440">
        <v>46.49</v>
      </c>
      <c r="V287" s="654">
        <v>24</v>
      </c>
      <c r="W287" s="636"/>
      <c r="X287" s="440">
        <v>1.8648000000000002</v>
      </c>
      <c r="Y287" s="764">
        <v>24</v>
      </c>
      <c r="Z287" s="776">
        <v>121.12100000000002</v>
      </c>
      <c r="AA287" s="780">
        <v>80.747333333333344</v>
      </c>
      <c r="AB287" s="811"/>
      <c r="AC287" s="818">
        <v>160</v>
      </c>
      <c r="AD287" s="811" t="s">
        <v>667</v>
      </c>
      <c r="AE287" s="811">
        <v>0</v>
      </c>
      <c r="AF287" s="643">
        <v>5005</v>
      </c>
    </row>
    <row r="288" spans="1:32" ht="15.75">
      <c r="A288" s="643">
        <v>5137</v>
      </c>
      <c r="B288" s="644"/>
      <c r="C288" s="644" t="s">
        <v>851</v>
      </c>
      <c r="D288" s="559">
        <v>110</v>
      </c>
      <c r="E288" s="545">
        <v>12000</v>
      </c>
      <c r="F288" s="546">
        <v>28</v>
      </c>
      <c r="G288" s="653">
        <v>26</v>
      </c>
      <c r="H288" s="654">
        <v>22</v>
      </c>
      <c r="I288" s="654">
        <v>31</v>
      </c>
      <c r="J288" s="561">
        <v>60</v>
      </c>
      <c r="K288" s="554" t="s">
        <v>221</v>
      </c>
      <c r="L288" s="562">
        <v>15</v>
      </c>
      <c r="M288" s="561">
        <v>2000</v>
      </c>
      <c r="N288" s="592">
        <v>0.25</v>
      </c>
      <c r="O288" s="594">
        <v>1.3</v>
      </c>
      <c r="P288" s="590">
        <v>26</v>
      </c>
      <c r="Q288" s="431">
        <v>0.1</v>
      </c>
      <c r="R288" s="430">
        <v>2011.5</v>
      </c>
      <c r="S288" s="175"/>
      <c r="T288" s="751">
        <v>932</v>
      </c>
      <c r="U288" s="440">
        <v>46.63</v>
      </c>
      <c r="V288" s="654">
        <v>7.8000000000000007</v>
      </c>
      <c r="W288" s="636"/>
      <c r="X288" s="440">
        <v>2.8000000000000003</v>
      </c>
      <c r="Y288" s="764">
        <v>7.8000000000000007</v>
      </c>
      <c r="Z288" s="776">
        <v>28.233333333333338</v>
      </c>
      <c r="AA288" s="780">
        <v>25.666666666666671</v>
      </c>
      <c r="AB288" s="811"/>
      <c r="AC288" s="818">
        <v>24</v>
      </c>
      <c r="AD288" s="811" t="s">
        <v>667</v>
      </c>
      <c r="AE288" s="811">
        <v>0</v>
      </c>
      <c r="AF288" s="643">
        <v>5137</v>
      </c>
    </row>
    <row r="289" spans="1:32" ht="15.75">
      <c r="A289" s="643"/>
      <c r="B289" s="644"/>
      <c r="C289" s="644"/>
      <c r="D289" s="559"/>
      <c r="E289" s="545"/>
      <c r="F289" s="546"/>
      <c r="G289" s="653" t="s">
        <v>129</v>
      </c>
      <c r="H289" s="654"/>
      <c r="I289" s="654"/>
      <c r="J289" s="561"/>
      <c r="K289" s="554"/>
      <c r="L289" s="562"/>
      <c r="M289" s="561"/>
      <c r="N289" s="592" t="s">
        <v>129</v>
      </c>
      <c r="O289" s="594" t="s">
        <v>129</v>
      </c>
      <c r="P289" s="590"/>
      <c r="Q289" s="431">
        <v>0.1</v>
      </c>
      <c r="R289" s="430">
        <v>6623.2</v>
      </c>
      <c r="S289" s="496"/>
      <c r="T289" s="751" t="s">
        <v>129</v>
      </c>
      <c r="U289" s="440">
        <v>48.281333333333329</v>
      </c>
      <c r="V289" s="654"/>
      <c r="W289" s="636"/>
      <c r="X289" s="440">
        <v>2.8000000000000003</v>
      </c>
      <c r="Y289" s="764" t="s">
        <v>129</v>
      </c>
      <c r="Z289" s="778"/>
      <c r="AA289" s="780"/>
      <c r="AB289" s="811"/>
      <c r="AC289" s="818" t="s">
        <v>129</v>
      </c>
      <c r="AD289" s="811"/>
      <c r="AE289" s="811"/>
      <c r="AF289" s="643"/>
    </row>
    <row r="290" spans="1:32" ht="15.75">
      <c r="A290" s="624">
        <v>5020</v>
      </c>
      <c r="B290" s="625"/>
      <c r="C290" s="626" t="s">
        <v>852</v>
      </c>
      <c r="D290" s="627"/>
      <c r="E290" s="628"/>
      <c r="F290" s="629"/>
      <c r="G290" s="687" t="s">
        <v>129</v>
      </c>
      <c r="H290" s="631"/>
      <c r="I290" s="631"/>
      <c r="J290" s="632"/>
      <c r="K290" s="632"/>
      <c r="L290" s="627"/>
      <c r="M290" s="632"/>
      <c r="N290" s="739" t="s">
        <v>129</v>
      </c>
      <c r="O290" s="744" t="s">
        <v>129</v>
      </c>
      <c r="P290" s="742"/>
      <c r="Q290" s="431"/>
      <c r="R290" s="430" t="s">
        <v>129</v>
      </c>
      <c r="S290" s="175"/>
      <c r="T290" s="750" t="s">
        <v>129</v>
      </c>
      <c r="U290" s="440"/>
      <c r="V290" s="631"/>
      <c r="W290" s="631"/>
      <c r="X290" s="440"/>
      <c r="Y290" s="768" t="s">
        <v>129</v>
      </c>
      <c r="Z290" s="774"/>
      <c r="AA290" s="775"/>
      <c r="AB290" s="810"/>
      <c r="AC290" s="817" t="s">
        <v>129</v>
      </c>
      <c r="AD290" s="810"/>
      <c r="AE290" s="810"/>
      <c r="AF290" s="624">
        <v>5020</v>
      </c>
    </row>
    <row r="291" spans="1:32" ht="15.75">
      <c r="A291" s="633"/>
      <c r="B291" s="634"/>
      <c r="C291" s="634"/>
      <c r="D291" s="569"/>
      <c r="E291" s="556"/>
      <c r="F291" s="557"/>
      <c r="G291" s="653" t="s">
        <v>129</v>
      </c>
      <c r="H291" s="654"/>
      <c r="I291" s="654"/>
      <c r="J291" s="561"/>
      <c r="K291" s="637"/>
      <c r="L291" s="635"/>
      <c r="M291" s="561"/>
      <c r="N291" s="592" t="s">
        <v>129</v>
      </c>
      <c r="O291" s="594" t="s">
        <v>129</v>
      </c>
      <c r="P291" s="745"/>
      <c r="Q291" s="429"/>
      <c r="R291" s="430" t="s">
        <v>129</v>
      </c>
      <c r="S291" s="497">
        <v>72</v>
      </c>
      <c r="T291" s="753" t="s">
        <v>129</v>
      </c>
      <c r="U291" s="438"/>
      <c r="V291" s="757"/>
      <c r="W291" s="755"/>
      <c r="X291" s="438"/>
      <c r="Y291" s="764" t="s">
        <v>129</v>
      </c>
      <c r="Z291" s="778"/>
      <c r="AA291" s="780"/>
      <c r="AB291" s="634"/>
      <c r="AC291" s="820" t="s">
        <v>129</v>
      </c>
      <c r="AD291" s="822"/>
      <c r="AE291" s="822"/>
      <c r="AF291" s="633"/>
    </row>
    <row r="292" spans="1:32" ht="15.75">
      <c r="A292" s="643">
        <v>5021</v>
      </c>
      <c r="B292" s="644"/>
      <c r="C292" s="644" t="s">
        <v>853</v>
      </c>
      <c r="D292" s="559">
        <v>115</v>
      </c>
      <c r="E292" s="545">
        <v>27000</v>
      </c>
      <c r="F292" s="546">
        <v>81</v>
      </c>
      <c r="G292" s="653">
        <v>71</v>
      </c>
      <c r="H292" s="654">
        <v>58</v>
      </c>
      <c r="I292" s="654">
        <v>91</v>
      </c>
      <c r="J292" s="561">
        <v>40</v>
      </c>
      <c r="K292" s="554" t="s">
        <v>221</v>
      </c>
      <c r="L292" s="562">
        <v>12</v>
      </c>
      <c r="M292" s="561">
        <v>1000</v>
      </c>
      <c r="N292" s="592">
        <v>0.25</v>
      </c>
      <c r="O292" s="594">
        <v>0.35</v>
      </c>
      <c r="P292" s="590">
        <v>23</v>
      </c>
      <c r="Q292" s="431"/>
      <c r="R292" s="430" t="s">
        <v>129</v>
      </c>
      <c r="S292" s="175">
        <v>138</v>
      </c>
      <c r="T292" s="751">
        <v>2186</v>
      </c>
      <c r="U292" s="440"/>
      <c r="V292" s="654">
        <v>9.4499999999999993</v>
      </c>
      <c r="W292" s="636"/>
      <c r="X292" s="440"/>
      <c r="Y292" s="764">
        <v>9.4499999999999993</v>
      </c>
      <c r="Z292" s="776">
        <v>81.086500000000001</v>
      </c>
      <c r="AA292" s="780">
        <v>70.510000000000005</v>
      </c>
      <c r="AB292" s="811"/>
      <c r="AC292" s="818">
        <v>54</v>
      </c>
      <c r="AD292" s="811" t="s">
        <v>667</v>
      </c>
      <c r="AE292" s="811">
        <v>0</v>
      </c>
      <c r="AF292" s="643">
        <v>5021</v>
      </c>
    </row>
    <row r="293" spans="1:32" ht="15.75">
      <c r="A293" s="643">
        <v>5022</v>
      </c>
      <c r="B293" s="644"/>
      <c r="C293" s="644" t="s">
        <v>854</v>
      </c>
      <c r="D293" s="559">
        <v>170</v>
      </c>
      <c r="E293" s="545">
        <v>43000</v>
      </c>
      <c r="F293" s="546">
        <v>110</v>
      </c>
      <c r="G293" s="653">
        <v>65</v>
      </c>
      <c r="H293" s="654">
        <v>56</v>
      </c>
      <c r="I293" s="654">
        <v>81</v>
      </c>
      <c r="J293" s="561">
        <v>80</v>
      </c>
      <c r="K293" s="554" t="s">
        <v>221</v>
      </c>
      <c r="L293" s="562">
        <v>12</v>
      </c>
      <c r="M293" s="561">
        <v>1700</v>
      </c>
      <c r="N293" s="592">
        <v>0.25</v>
      </c>
      <c r="O293" s="594">
        <v>0.65</v>
      </c>
      <c r="P293" s="590">
        <v>28</v>
      </c>
      <c r="Q293" s="431">
        <v>0.1</v>
      </c>
      <c r="R293" s="430">
        <v>432.1</v>
      </c>
      <c r="S293" s="497">
        <v>156</v>
      </c>
      <c r="T293" s="751">
        <v>3421</v>
      </c>
      <c r="U293" s="440">
        <v>30.235000000000003</v>
      </c>
      <c r="V293" s="654">
        <v>16.441176470588236</v>
      </c>
      <c r="W293" s="636"/>
      <c r="X293" s="440">
        <v>2.8000000000000003</v>
      </c>
      <c r="Y293" s="764">
        <v>16.441176470588236</v>
      </c>
      <c r="Z293" s="776">
        <v>110.710875</v>
      </c>
      <c r="AA293" s="780">
        <v>65.12404411764706</v>
      </c>
      <c r="AB293" s="811"/>
      <c r="AC293" s="818">
        <v>86</v>
      </c>
      <c r="AD293" s="811" t="s">
        <v>667</v>
      </c>
      <c r="AE293" s="811">
        <v>0</v>
      </c>
      <c r="AF293" s="643">
        <v>5022</v>
      </c>
    </row>
    <row r="294" spans="1:32" ht="15.75">
      <c r="A294" s="643">
        <v>5023</v>
      </c>
      <c r="B294" s="644"/>
      <c r="C294" s="644" t="s">
        <v>855</v>
      </c>
      <c r="D294" s="559">
        <v>225</v>
      </c>
      <c r="E294" s="545">
        <v>59000</v>
      </c>
      <c r="F294" s="546">
        <v>155</v>
      </c>
      <c r="G294" s="653">
        <v>69</v>
      </c>
      <c r="H294" s="654">
        <v>59</v>
      </c>
      <c r="I294" s="654">
        <v>85</v>
      </c>
      <c r="J294" s="561">
        <v>120</v>
      </c>
      <c r="K294" s="554" t="s">
        <v>221</v>
      </c>
      <c r="L294" s="562">
        <v>12</v>
      </c>
      <c r="M294" s="561">
        <v>2100</v>
      </c>
      <c r="N294" s="592">
        <v>0.1</v>
      </c>
      <c r="O294" s="594">
        <v>0.65</v>
      </c>
      <c r="P294" s="590">
        <v>34</v>
      </c>
      <c r="Q294" s="431">
        <v>0.1</v>
      </c>
      <c r="R294" s="430">
        <v>774.8</v>
      </c>
      <c r="S294" s="175">
        <v>84</v>
      </c>
      <c r="T294" s="751">
        <v>5347.4</v>
      </c>
      <c r="U294" s="440">
        <v>30.25333333333333</v>
      </c>
      <c r="V294" s="654">
        <v>18.261904761904763</v>
      </c>
      <c r="W294" s="636"/>
      <c r="X294" s="440">
        <v>2.8000000000000003</v>
      </c>
      <c r="Y294" s="764">
        <v>18.261904761904763</v>
      </c>
      <c r="Z294" s="776">
        <v>155.48833928571429</v>
      </c>
      <c r="AA294" s="780">
        <v>69.105928571428578</v>
      </c>
      <c r="AB294" s="811"/>
      <c r="AC294" s="818">
        <v>118</v>
      </c>
      <c r="AD294" s="811" t="s">
        <v>667</v>
      </c>
      <c r="AE294" s="811">
        <v>0</v>
      </c>
      <c r="AF294" s="643">
        <v>5023</v>
      </c>
    </row>
    <row r="295" spans="1:32" ht="15.75">
      <c r="A295" s="633"/>
      <c r="B295" s="634"/>
      <c r="C295" s="634"/>
      <c r="D295" s="569"/>
      <c r="E295" s="556"/>
      <c r="F295" s="557"/>
      <c r="G295" s="653" t="s">
        <v>129</v>
      </c>
      <c r="H295" s="654"/>
      <c r="I295" s="654"/>
      <c r="J295" s="561"/>
      <c r="K295" s="637"/>
      <c r="L295" s="635"/>
      <c r="M295" s="561"/>
      <c r="N295" s="592" t="s">
        <v>129</v>
      </c>
      <c r="O295" s="594" t="s">
        <v>129</v>
      </c>
      <c r="P295" s="745"/>
      <c r="Q295" s="431">
        <v>0.1</v>
      </c>
      <c r="R295" s="430">
        <v>856.75</v>
      </c>
      <c r="S295" s="497">
        <v>84</v>
      </c>
      <c r="T295" s="753" t="s">
        <v>129</v>
      </c>
      <c r="U295" s="440">
        <v>37.958333333333336</v>
      </c>
      <c r="V295" s="757"/>
      <c r="W295" s="755"/>
      <c r="X295" s="440">
        <v>2.8000000000000003</v>
      </c>
      <c r="Y295" s="764" t="s">
        <v>129</v>
      </c>
      <c r="Z295" s="778"/>
      <c r="AA295" s="780"/>
      <c r="AB295" s="634"/>
      <c r="AC295" s="820" t="s">
        <v>129</v>
      </c>
      <c r="AD295" s="822"/>
      <c r="AE295" s="822"/>
      <c r="AF295" s="633"/>
    </row>
    <row r="296" spans="1:32" ht="15.75">
      <c r="A296" s="624">
        <v>5030</v>
      </c>
      <c r="B296" s="625"/>
      <c r="C296" s="626" t="s">
        <v>856</v>
      </c>
      <c r="D296" s="627"/>
      <c r="E296" s="628"/>
      <c r="F296" s="629"/>
      <c r="G296" s="687" t="s">
        <v>129</v>
      </c>
      <c r="H296" s="631"/>
      <c r="I296" s="631"/>
      <c r="J296" s="632"/>
      <c r="K296" s="632"/>
      <c r="L296" s="627"/>
      <c r="M296" s="632"/>
      <c r="N296" s="739" t="s">
        <v>129</v>
      </c>
      <c r="O296" s="744" t="s">
        <v>129</v>
      </c>
      <c r="P296" s="742"/>
      <c r="Q296" s="431">
        <v>0.1</v>
      </c>
      <c r="R296" s="430">
        <v>1005.75</v>
      </c>
      <c r="S296" s="175"/>
      <c r="T296" s="750" t="s">
        <v>129</v>
      </c>
      <c r="U296" s="440">
        <v>37.907142857142858</v>
      </c>
      <c r="V296" s="631"/>
      <c r="W296" s="631"/>
      <c r="X296" s="440">
        <v>2.8000000000000003</v>
      </c>
      <c r="Y296" s="768" t="s">
        <v>129</v>
      </c>
      <c r="Z296" s="774"/>
      <c r="AA296" s="775"/>
      <c r="AB296" s="810"/>
      <c r="AC296" s="817" t="s">
        <v>129</v>
      </c>
      <c r="AD296" s="810"/>
      <c r="AE296" s="810"/>
      <c r="AF296" s="624">
        <v>5030</v>
      </c>
    </row>
    <row r="297" spans="1:32" ht="15.75">
      <c r="A297" s="633"/>
      <c r="B297" s="634"/>
      <c r="C297" s="634"/>
      <c r="D297" s="569"/>
      <c r="E297" s="556"/>
      <c r="F297" s="557"/>
      <c r="G297" s="653" t="s">
        <v>129</v>
      </c>
      <c r="H297" s="654"/>
      <c r="I297" s="654"/>
      <c r="J297" s="561"/>
      <c r="K297" s="637"/>
      <c r="L297" s="635"/>
      <c r="M297" s="561"/>
      <c r="N297" s="592" t="s">
        <v>129</v>
      </c>
      <c r="O297" s="594" t="s">
        <v>129</v>
      </c>
      <c r="P297" s="745"/>
      <c r="Q297" s="431"/>
      <c r="R297" s="430" t="s">
        <v>129</v>
      </c>
      <c r="S297" s="496"/>
      <c r="T297" s="753" t="s">
        <v>129</v>
      </c>
      <c r="U297" s="440"/>
      <c r="V297" s="757"/>
      <c r="W297" s="755"/>
      <c r="X297" s="440"/>
      <c r="Y297" s="764" t="s">
        <v>129</v>
      </c>
      <c r="Z297" s="778"/>
      <c r="AA297" s="780"/>
      <c r="AB297" s="634"/>
      <c r="AC297" s="820" t="s">
        <v>129</v>
      </c>
      <c r="AD297" s="822"/>
      <c r="AE297" s="822"/>
      <c r="AF297" s="633"/>
    </row>
    <row r="298" spans="1:32" ht="15.75">
      <c r="A298" s="643">
        <v>5031</v>
      </c>
      <c r="B298" s="644"/>
      <c r="C298" s="644" t="s">
        <v>857</v>
      </c>
      <c r="D298" s="559">
        <v>104</v>
      </c>
      <c r="E298" s="545">
        <v>25000</v>
      </c>
      <c r="F298" s="546">
        <v>93</v>
      </c>
      <c r="G298" s="653">
        <v>89</v>
      </c>
      <c r="H298" s="654">
        <v>76</v>
      </c>
      <c r="I298" s="654">
        <v>111</v>
      </c>
      <c r="J298" s="561">
        <v>40</v>
      </c>
      <c r="K298" s="554" t="s">
        <v>221</v>
      </c>
      <c r="L298" s="562">
        <v>12</v>
      </c>
      <c r="M298" s="561">
        <v>800</v>
      </c>
      <c r="N298" s="592">
        <v>0.1</v>
      </c>
      <c r="O298" s="594">
        <v>0.7</v>
      </c>
      <c r="P298" s="590">
        <v>29</v>
      </c>
      <c r="Q298" s="429"/>
      <c r="R298" s="430" t="s">
        <v>129</v>
      </c>
      <c r="S298" s="399"/>
      <c r="T298" s="751">
        <v>2368</v>
      </c>
      <c r="U298" s="438"/>
      <c r="V298" s="654">
        <v>21.875</v>
      </c>
      <c r="W298" s="636"/>
      <c r="X298" s="438"/>
      <c r="Y298" s="764">
        <v>21.875</v>
      </c>
      <c r="Z298" s="776">
        <v>92.749799999999993</v>
      </c>
      <c r="AA298" s="780">
        <v>89.182500000000005</v>
      </c>
      <c r="AB298" s="811"/>
      <c r="AC298" s="818">
        <v>50</v>
      </c>
      <c r="AD298" s="811" t="s">
        <v>667</v>
      </c>
      <c r="AE298" s="811">
        <v>0</v>
      </c>
      <c r="AF298" s="643">
        <v>5031</v>
      </c>
    </row>
    <row r="299" spans="1:32" ht="15.75">
      <c r="A299" s="643">
        <v>5032</v>
      </c>
      <c r="B299" s="644"/>
      <c r="C299" s="644" t="s">
        <v>858</v>
      </c>
      <c r="D299" s="559">
        <v>203</v>
      </c>
      <c r="E299" s="545">
        <v>51000</v>
      </c>
      <c r="F299" s="546">
        <v>165</v>
      </c>
      <c r="G299" s="653">
        <v>82</v>
      </c>
      <c r="H299" s="654">
        <v>69</v>
      </c>
      <c r="I299" s="654">
        <v>104</v>
      </c>
      <c r="J299" s="561">
        <v>80</v>
      </c>
      <c r="K299" s="554" t="s">
        <v>221</v>
      </c>
      <c r="L299" s="562">
        <v>12</v>
      </c>
      <c r="M299" s="561">
        <v>1600</v>
      </c>
      <c r="N299" s="592">
        <v>0.1</v>
      </c>
      <c r="O299" s="594">
        <v>0.5</v>
      </c>
      <c r="P299" s="590">
        <v>41</v>
      </c>
      <c r="Q299" s="431"/>
      <c r="R299" s="430" t="s">
        <v>129</v>
      </c>
      <c r="S299" s="497"/>
      <c r="T299" s="751">
        <v>4703.6000000000004</v>
      </c>
      <c r="U299" s="440"/>
      <c r="V299" s="654">
        <v>15.9375</v>
      </c>
      <c r="W299" s="636"/>
      <c r="X299" s="440"/>
      <c r="Y299" s="764">
        <v>15.9375</v>
      </c>
      <c r="Z299" s="776">
        <v>166.87767250000002</v>
      </c>
      <c r="AA299" s="780">
        <v>82.205750000000009</v>
      </c>
      <c r="AB299" s="811"/>
      <c r="AC299" s="818">
        <v>102</v>
      </c>
      <c r="AD299" s="811" t="s">
        <v>667</v>
      </c>
      <c r="AE299" s="811">
        <v>0</v>
      </c>
      <c r="AF299" s="643">
        <v>5032</v>
      </c>
    </row>
    <row r="300" spans="1:32" ht="15.75">
      <c r="A300" s="633"/>
      <c r="B300" s="634"/>
      <c r="C300" s="634"/>
      <c r="D300" s="569"/>
      <c r="E300" s="556"/>
      <c r="F300" s="557"/>
      <c r="G300" s="653" t="s">
        <v>129</v>
      </c>
      <c r="H300" s="654"/>
      <c r="I300" s="654"/>
      <c r="J300" s="561"/>
      <c r="K300" s="637"/>
      <c r="L300" s="635"/>
      <c r="M300" s="561"/>
      <c r="N300" s="592" t="s">
        <v>129</v>
      </c>
      <c r="O300" s="594" t="s">
        <v>129</v>
      </c>
      <c r="P300" s="745"/>
      <c r="Q300" s="431">
        <v>0.1666</v>
      </c>
      <c r="R300" s="430">
        <v>1914</v>
      </c>
      <c r="S300" s="175">
        <v>228</v>
      </c>
      <c r="T300" s="753" t="s">
        <v>129</v>
      </c>
      <c r="U300" s="440">
        <v>52.975000000000001</v>
      </c>
      <c r="V300" s="757"/>
      <c r="W300" s="755"/>
      <c r="X300" s="440">
        <v>4.6647999999999996</v>
      </c>
      <c r="Y300" s="764" t="s">
        <v>129</v>
      </c>
      <c r="Z300" s="778"/>
      <c r="AA300" s="780"/>
      <c r="AB300" s="634"/>
      <c r="AC300" s="820" t="s">
        <v>129</v>
      </c>
      <c r="AD300" s="822"/>
      <c r="AE300" s="822"/>
      <c r="AF300" s="633"/>
    </row>
    <row r="301" spans="1:32" ht="15.75">
      <c r="A301" s="624">
        <v>5040</v>
      </c>
      <c r="B301" s="625"/>
      <c r="C301" s="626" t="s">
        <v>859</v>
      </c>
      <c r="D301" s="627"/>
      <c r="E301" s="628"/>
      <c r="F301" s="629"/>
      <c r="G301" s="687" t="s">
        <v>129</v>
      </c>
      <c r="H301" s="631"/>
      <c r="I301" s="631"/>
      <c r="J301" s="632"/>
      <c r="K301" s="632"/>
      <c r="L301" s="627"/>
      <c r="M301" s="632"/>
      <c r="N301" s="739" t="s">
        <v>129</v>
      </c>
      <c r="O301" s="744" t="s">
        <v>129</v>
      </c>
      <c r="P301" s="742"/>
      <c r="Q301" s="431">
        <v>0.1</v>
      </c>
      <c r="R301" s="430">
        <v>3045</v>
      </c>
      <c r="S301" s="497">
        <v>258</v>
      </c>
      <c r="T301" s="750" t="s">
        <v>129</v>
      </c>
      <c r="U301" s="440">
        <v>41.387500000000003</v>
      </c>
      <c r="V301" s="631"/>
      <c r="W301" s="631"/>
      <c r="X301" s="440">
        <v>2.8000000000000003</v>
      </c>
      <c r="Y301" s="768" t="s">
        <v>129</v>
      </c>
      <c r="Z301" s="774"/>
      <c r="AA301" s="775"/>
      <c r="AB301" s="810"/>
      <c r="AC301" s="817" t="s">
        <v>129</v>
      </c>
      <c r="AD301" s="810"/>
      <c r="AE301" s="810"/>
      <c r="AF301" s="624">
        <v>5040</v>
      </c>
    </row>
    <row r="302" spans="1:32" ht="15.75">
      <c r="A302" s="633"/>
      <c r="B302" s="634"/>
      <c r="C302" s="634"/>
      <c r="D302" s="569"/>
      <c r="E302" s="556"/>
      <c r="F302" s="557"/>
      <c r="G302" s="653" t="s">
        <v>129</v>
      </c>
      <c r="H302" s="654"/>
      <c r="I302" s="654"/>
      <c r="J302" s="561"/>
      <c r="K302" s="637"/>
      <c r="L302" s="635"/>
      <c r="M302" s="561"/>
      <c r="N302" s="592" t="s">
        <v>129</v>
      </c>
      <c r="O302" s="594" t="s">
        <v>129</v>
      </c>
      <c r="P302" s="745"/>
      <c r="Q302" s="431">
        <v>6.6600000000000006E-2</v>
      </c>
      <c r="R302" s="430">
        <v>4577.8</v>
      </c>
      <c r="S302" s="175">
        <v>336</v>
      </c>
      <c r="T302" s="753" t="s">
        <v>129</v>
      </c>
      <c r="U302" s="440">
        <v>40.914999999999999</v>
      </c>
      <c r="V302" s="757"/>
      <c r="W302" s="755"/>
      <c r="X302" s="440">
        <v>1.8648000000000002</v>
      </c>
      <c r="Y302" s="764" t="s">
        <v>129</v>
      </c>
      <c r="Z302" s="778"/>
      <c r="AA302" s="780"/>
      <c r="AB302" s="634"/>
      <c r="AC302" s="820" t="s">
        <v>129</v>
      </c>
      <c r="AD302" s="822"/>
      <c r="AE302" s="822"/>
      <c r="AF302" s="633"/>
    </row>
    <row r="303" spans="1:32" ht="15.75">
      <c r="A303" s="643">
        <v>5043</v>
      </c>
      <c r="B303" s="634"/>
      <c r="C303" s="644" t="s">
        <v>860</v>
      </c>
      <c r="D303" s="559">
        <v>50</v>
      </c>
      <c r="E303" s="545">
        <v>16500</v>
      </c>
      <c r="F303" s="546">
        <v>110</v>
      </c>
      <c r="G303" s="653">
        <v>220</v>
      </c>
      <c r="H303" s="654">
        <v>190</v>
      </c>
      <c r="I303" s="654">
        <v>270</v>
      </c>
      <c r="J303" s="561">
        <v>8</v>
      </c>
      <c r="K303" s="554" t="s">
        <v>221</v>
      </c>
      <c r="L303" s="562">
        <v>15</v>
      </c>
      <c r="M303" s="561">
        <v>250</v>
      </c>
      <c r="N303" s="592">
        <v>0.25</v>
      </c>
      <c r="O303" s="594">
        <v>0.9</v>
      </c>
      <c r="P303" s="590">
        <v>12</v>
      </c>
      <c r="Q303" s="431">
        <v>0.1</v>
      </c>
      <c r="R303" s="430">
        <v>2824.6</v>
      </c>
      <c r="S303" s="497">
        <v>264</v>
      </c>
      <c r="T303" s="751">
        <v>1115.25</v>
      </c>
      <c r="U303" s="440">
        <v>51.193333333333335</v>
      </c>
      <c r="V303" s="654">
        <v>59.4</v>
      </c>
      <c r="W303" s="636"/>
      <c r="X303" s="440">
        <v>2.8000000000000003</v>
      </c>
      <c r="Y303" s="764">
        <v>59.4</v>
      </c>
      <c r="Z303" s="776">
        <v>109.34343749999999</v>
      </c>
      <c r="AA303" s="780">
        <v>218.68687500000001</v>
      </c>
      <c r="AB303" s="633"/>
      <c r="AC303" s="818">
        <v>33</v>
      </c>
      <c r="AD303" s="811" t="s">
        <v>667</v>
      </c>
      <c r="AE303" s="811">
        <v>0</v>
      </c>
      <c r="AF303" s="643">
        <v>5043</v>
      </c>
    </row>
    <row r="304" spans="1:32" ht="15.75">
      <c r="A304" s="643">
        <v>5044</v>
      </c>
      <c r="B304" s="634"/>
      <c r="C304" s="644" t="s">
        <v>861</v>
      </c>
      <c r="D304" s="559">
        <v>100</v>
      </c>
      <c r="E304" s="545">
        <v>34000</v>
      </c>
      <c r="F304" s="546">
        <v>220</v>
      </c>
      <c r="G304" s="653">
        <v>220</v>
      </c>
      <c r="H304" s="654">
        <v>190</v>
      </c>
      <c r="I304" s="654">
        <v>270</v>
      </c>
      <c r="J304" s="561">
        <v>16</v>
      </c>
      <c r="K304" s="554" t="s">
        <v>221</v>
      </c>
      <c r="L304" s="562">
        <v>15</v>
      </c>
      <c r="M304" s="561">
        <v>500</v>
      </c>
      <c r="N304" s="592">
        <v>0.25</v>
      </c>
      <c r="O304" s="594">
        <v>0.85</v>
      </c>
      <c r="P304" s="590">
        <v>23</v>
      </c>
      <c r="Q304" s="431"/>
      <c r="R304" s="430" t="s">
        <v>129</v>
      </c>
      <c r="S304" s="175"/>
      <c r="T304" s="751">
        <v>2286</v>
      </c>
      <c r="U304" s="440"/>
      <c r="V304" s="654">
        <v>57.8</v>
      </c>
      <c r="W304" s="636"/>
      <c r="X304" s="440"/>
      <c r="Y304" s="764">
        <v>57.8</v>
      </c>
      <c r="Z304" s="776">
        <v>220.74250000000004</v>
      </c>
      <c r="AA304" s="780">
        <v>220.74250000000004</v>
      </c>
      <c r="AB304" s="633"/>
      <c r="AC304" s="818">
        <v>68</v>
      </c>
      <c r="AD304" s="811" t="s">
        <v>667</v>
      </c>
      <c r="AE304" s="811">
        <v>0</v>
      </c>
      <c r="AF304" s="643">
        <v>5044</v>
      </c>
    </row>
    <row r="305" spans="1:32" ht="15.75">
      <c r="A305" s="643">
        <v>5047</v>
      </c>
      <c r="B305" s="634"/>
      <c r="C305" s="644" t="s">
        <v>862</v>
      </c>
      <c r="D305" s="559">
        <v>50</v>
      </c>
      <c r="E305" s="545">
        <v>68000</v>
      </c>
      <c r="F305" s="546">
        <v>170</v>
      </c>
      <c r="G305" s="653">
        <v>340</v>
      </c>
      <c r="H305" s="654">
        <v>290</v>
      </c>
      <c r="I305" s="654">
        <v>420</v>
      </c>
      <c r="J305" s="561">
        <v>20</v>
      </c>
      <c r="K305" s="554" t="s">
        <v>221</v>
      </c>
      <c r="L305" s="562">
        <v>15</v>
      </c>
      <c r="M305" s="561">
        <v>600</v>
      </c>
      <c r="N305" s="592">
        <v>0.25</v>
      </c>
      <c r="O305" s="594">
        <v>0.8</v>
      </c>
      <c r="P305" s="590">
        <v>26</v>
      </c>
      <c r="Q305" s="429"/>
      <c r="R305" s="430" t="s">
        <v>129</v>
      </c>
      <c r="S305" s="124"/>
      <c r="T305" s="751">
        <v>4432</v>
      </c>
      <c r="U305" s="438"/>
      <c r="V305" s="654">
        <v>90.666666666666671</v>
      </c>
      <c r="W305" s="636"/>
      <c r="X305" s="438"/>
      <c r="Y305" s="764">
        <v>90.666666666666671</v>
      </c>
      <c r="Z305" s="776">
        <v>171.74666666666667</v>
      </c>
      <c r="AA305" s="780">
        <v>343.49333333333334</v>
      </c>
      <c r="AB305" s="633"/>
      <c r="AC305" s="818">
        <v>136</v>
      </c>
      <c r="AD305" s="811" t="s">
        <v>667</v>
      </c>
      <c r="AE305" s="811">
        <v>0</v>
      </c>
      <c r="AF305" s="643">
        <v>5047</v>
      </c>
    </row>
    <row r="306" spans="1:32" ht="15.75">
      <c r="A306" s="643">
        <v>5045</v>
      </c>
      <c r="B306" s="634"/>
      <c r="C306" s="644" t="s">
        <v>863</v>
      </c>
      <c r="D306" s="559"/>
      <c r="E306" s="545">
        <v>13000</v>
      </c>
      <c r="F306" s="546"/>
      <c r="G306" s="653">
        <v>130</v>
      </c>
      <c r="H306" s="654">
        <v>111</v>
      </c>
      <c r="I306" s="654">
        <v>165</v>
      </c>
      <c r="J306" s="561">
        <v>10</v>
      </c>
      <c r="K306" s="554" t="s">
        <v>221</v>
      </c>
      <c r="L306" s="562">
        <v>15</v>
      </c>
      <c r="M306" s="561">
        <v>300</v>
      </c>
      <c r="N306" s="592">
        <v>0.25</v>
      </c>
      <c r="O306" s="594">
        <v>0.65</v>
      </c>
      <c r="P306" s="590">
        <v>14</v>
      </c>
      <c r="Q306" s="431"/>
      <c r="R306" s="430" t="s">
        <v>129</v>
      </c>
      <c r="S306" s="496"/>
      <c r="T306" s="751">
        <v>910.5</v>
      </c>
      <c r="U306" s="440"/>
      <c r="V306" s="654">
        <v>28.166666666666668</v>
      </c>
      <c r="W306" s="636"/>
      <c r="X306" s="440"/>
      <c r="Y306" s="764">
        <v>28.166666666666668</v>
      </c>
      <c r="Z306" s="776"/>
      <c r="AA306" s="780">
        <v>131.13833333333335</v>
      </c>
      <c r="AB306" s="633"/>
      <c r="AC306" s="818">
        <v>26</v>
      </c>
      <c r="AD306" s="811" t="s">
        <v>667</v>
      </c>
      <c r="AE306" s="811">
        <v>0</v>
      </c>
      <c r="AF306" s="643">
        <v>5045</v>
      </c>
    </row>
    <row r="307" spans="1:32" ht="15.75">
      <c r="A307" s="643">
        <v>5046</v>
      </c>
      <c r="B307" s="634"/>
      <c r="C307" s="644" t="s">
        <v>864</v>
      </c>
      <c r="D307" s="559">
        <v>10</v>
      </c>
      <c r="E307" s="545">
        <v>13000</v>
      </c>
      <c r="F307" s="546">
        <v>29</v>
      </c>
      <c r="G307" s="653">
        <v>290</v>
      </c>
      <c r="H307" s="654">
        <v>240</v>
      </c>
      <c r="I307" s="654">
        <v>380</v>
      </c>
      <c r="J307" s="561">
        <v>4</v>
      </c>
      <c r="K307" s="554" t="s">
        <v>221</v>
      </c>
      <c r="L307" s="562">
        <v>15</v>
      </c>
      <c r="M307" s="561">
        <v>200</v>
      </c>
      <c r="N307" s="592">
        <v>0.25</v>
      </c>
      <c r="O307" s="594">
        <v>0.6</v>
      </c>
      <c r="P307" s="590">
        <v>14</v>
      </c>
      <c r="Q307" s="431">
        <v>0.2</v>
      </c>
      <c r="R307" s="430">
        <v>2337.6</v>
      </c>
      <c r="S307" s="399"/>
      <c r="T307" s="751">
        <v>910.5</v>
      </c>
      <c r="U307" s="440">
        <v>64.715000000000003</v>
      </c>
      <c r="V307" s="654">
        <v>39</v>
      </c>
      <c r="W307" s="636"/>
      <c r="X307" s="440">
        <v>5.6000000000000005</v>
      </c>
      <c r="Y307" s="764">
        <v>39</v>
      </c>
      <c r="Z307" s="776">
        <v>29.328749999999999</v>
      </c>
      <c r="AA307" s="780">
        <v>293.28750000000002</v>
      </c>
      <c r="AB307" s="633"/>
      <c r="AC307" s="818">
        <v>26</v>
      </c>
      <c r="AD307" s="811" t="s">
        <v>667</v>
      </c>
      <c r="AE307" s="811">
        <v>0</v>
      </c>
      <c r="AF307" s="643">
        <v>5046</v>
      </c>
    </row>
    <row r="308" spans="1:32" ht="15.75">
      <c r="A308" s="643"/>
      <c r="B308" s="634"/>
      <c r="C308" s="644"/>
      <c r="D308" s="559"/>
      <c r="E308" s="545"/>
      <c r="F308" s="546"/>
      <c r="G308" s="653" t="s">
        <v>129</v>
      </c>
      <c r="H308" s="654"/>
      <c r="I308" s="654"/>
      <c r="J308" s="561"/>
      <c r="K308" s="554"/>
      <c r="L308" s="562"/>
      <c r="M308" s="561"/>
      <c r="N308" s="592"/>
      <c r="O308" s="594" t="s">
        <v>129</v>
      </c>
      <c r="P308" s="590"/>
      <c r="Q308" s="431">
        <v>0.1</v>
      </c>
      <c r="R308" s="430">
        <v>5162.2</v>
      </c>
      <c r="S308" s="497">
        <v>192</v>
      </c>
      <c r="T308" s="751" t="s">
        <v>129</v>
      </c>
      <c r="U308" s="440">
        <v>69.44</v>
      </c>
      <c r="V308" s="654"/>
      <c r="W308" s="636"/>
      <c r="X308" s="440">
        <v>2.8000000000000003</v>
      </c>
      <c r="Y308" s="764" t="s">
        <v>129</v>
      </c>
      <c r="Z308" s="776"/>
      <c r="AA308" s="780"/>
      <c r="AB308" s="633"/>
      <c r="AC308" s="818"/>
      <c r="AD308" s="811"/>
      <c r="AE308" s="811"/>
      <c r="AF308" s="643"/>
    </row>
    <row r="309" spans="1:32" ht="15.75">
      <c r="A309" s="624">
        <v>5060</v>
      </c>
      <c r="B309" s="625"/>
      <c r="C309" s="626" t="s">
        <v>865</v>
      </c>
      <c r="D309" s="632"/>
      <c r="E309" s="628"/>
      <c r="F309" s="629"/>
      <c r="G309" s="687" t="s">
        <v>129</v>
      </c>
      <c r="H309" s="631"/>
      <c r="I309" s="631"/>
      <c r="J309" s="632"/>
      <c r="K309" s="632"/>
      <c r="L309" s="627"/>
      <c r="M309" s="632"/>
      <c r="N309" s="739" t="s">
        <v>129</v>
      </c>
      <c r="O309" s="744" t="s">
        <v>129</v>
      </c>
      <c r="P309" s="742"/>
      <c r="Q309" s="431"/>
      <c r="R309" s="430" t="s">
        <v>129</v>
      </c>
      <c r="S309" s="175">
        <v>240</v>
      </c>
      <c r="T309" s="750" t="s">
        <v>129</v>
      </c>
      <c r="U309" s="440"/>
      <c r="V309" s="631"/>
      <c r="W309" s="631"/>
      <c r="X309" s="440"/>
      <c r="Y309" s="768" t="s">
        <v>129</v>
      </c>
      <c r="Z309" s="774"/>
      <c r="AA309" s="775"/>
      <c r="AB309" s="810"/>
      <c r="AC309" s="817" t="s">
        <v>129</v>
      </c>
      <c r="AD309" s="810"/>
      <c r="AE309" s="810"/>
      <c r="AF309" s="624">
        <v>5060</v>
      </c>
    </row>
    <row r="310" spans="1:32" ht="15.75">
      <c r="A310" s="633"/>
      <c r="B310" s="634"/>
      <c r="C310" s="634"/>
      <c r="D310" s="637"/>
      <c r="E310" s="556"/>
      <c r="F310" s="637"/>
      <c r="G310" s="692" t="s">
        <v>129</v>
      </c>
      <c r="H310" s="635"/>
      <c r="I310" s="635"/>
      <c r="J310" s="637"/>
      <c r="K310" s="637"/>
      <c r="L310" s="635"/>
      <c r="M310" s="637"/>
      <c r="N310" s="592" t="s">
        <v>129</v>
      </c>
      <c r="O310" s="594" t="s">
        <v>129</v>
      </c>
      <c r="P310" s="745"/>
      <c r="Q310" s="429"/>
      <c r="R310" s="430" t="s">
        <v>129</v>
      </c>
      <c r="S310" s="497">
        <v>270</v>
      </c>
      <c r="T310" s="753" t="s">
        <v>129</v>
      </c>
      <c r="U310" s="438"/>
      <c r="V310" s="637"/>
      <c r="W310" s="637"/>
      <c r="X310" s="438"/>
      <c r="Y310" s="764" t="s">
        <v>129</v>
      </c>
      <c r="Z310" s="637"/>
      <c r="AA310" s="637"/>
      <c r="AB310" s="634"/>
      <c r="AC310" s="820" t="s">
        <v>129</v>
      </c>
      <c r="AD310" s="822"/>
      <c r="AE310" s="637"/>
      <c r="AF310" s="633"/>
    </row>
    <row r="311" spans="1:32" ht="15.75">
      <c r="A311" s="643"/>
      <c r="B311" s="644"/>
      <c r="C311" s="644" t="s">
        <v>866</v>
      </c>
      <c r="D311" s="569"/>
      <c r="E311" s="545"/>
      <c r="F311" s="546"/>
      <c r="G311" s="653" t="s">
        <v>129</v>
      </c>
      <c r="H311" s="654"/>
      <c r="I311" s="654"/>
      <c r="J311" s="561"/>
      <c r="K311" s="554"/>
      <c r="L311" s="562"/>
      <c r="M311" s="561"/>
      <c r="N311" s="592" t="s">
        <v>129</v>
      </c>
      <c r="O311" s="594" t="s">
        <v>129</v>
      </c>
      <c r="P311" s="590"/>
      <c r="Q311" s="431"/>
      <c r="R311" s="430" t="s">
        <v>129</v>
      </c>
      <c r="S311" s="175"/>
      <c r="T311" s="751" t="s">
        <v>129</v>
      </c>
      <c r="U311" s="440"/>
      <c r="V311" s="654"/>
      <c r="W311" s="636"/>
      <c r="X311" s="440"/>
      <c r="Y311" s="764" t="s">
        <v>129</v>
      </c>
      <c r="Z311" s="776"/>
      <c r="AA311" s="780"/>
      <c r="AB311" s="811"/>
      <c r="AC311" s="818" t="s">
        <v>129</v>
      </c>
      <c r="AD311" s="811"/>
      <c r="AE311" s="811"/>
      <c r="AF311" s="643"/>
    </row>
    <row r="312" spans="1:32" ht="15.75">
      <c r="A312" s="643">
        <v>5061</v>
      </c>
      <c r="B312" s="644"/>
      <c r="C312" s="644" t="s">
        <v>867</v>
      </c>
      <c r="D312" s="569">
        <v>65</v>
      </c>
      <c r="E312" s="545">
        <v>34000</v>
      </c>
      <c r="F312" s="546">
        <v>63</v>
      </c>
      <c r="G312" s="653">
        <v>96</v>
      </c>
      <c r="H312" s="654">
        <v>84</v>
      </c>
      <c r="I312" s="654">
        <v>116</v>
      </c>
      <c r="J312" s="561">
        <v>60</v>
      </c>
      <c r="K312" s="554" t="s">
        <v>221</v>
      </c>
      <c r="L312" s="562">
        <v>12</v>
      </c>
      <c r="M312" s="561">
        <v>1100</v>
      </c>
      <c r="N312" s="592">
        <v>0.1</v>
      </c>
      <c r="O312" s="594">
        <v>1.1000000000000001</v>
      </c>
      <c r="P312" s="590">
        <v>38</v>
      </c>
      <c r="Q312" s="431">
        <v>0.5</v>
      </c>
      <c r="R312" s="430">
        <v>387.4</v>
      </c>
      <c r="S312" s="496"/>
      <c r="T312" s="751">
        <v>3210.4</v>
      </c>
      <c r="U312" s="440">
        <v>61.099999999999994</v>
      </c>
      <c r="V312" s="654">
        <v>34.000000000000007</v>
      </c>
      <c r="W312" s="636"/>
      <c r="X312" s="440">
        <v>14</v>
      </c>
      <c r="Y312" s="764">
        <v>34.000000000000007</v>
      </c>
      <c r="Z312" s="776">
        <v>62.567266666666676</v>
      </c>
      <c r="AA312" s="780">
        <v>96.257333333333349</v>
      </c>
      <c r="AB312" s="811"/>
      <c r="AC312" s="818">
        <v>68</v>
      </c>
      <c r="AD312" s="811" t="s">
        <v>667</v>
      </c>
      <c r="AE312" s="811">
        <v>0</v>
      </c>
      <c r="AF312" s="643">
        <v>5061</v>
      </c>
    </row>
    <row r="313" spans="1:32" ht="15.75">
      <c r="A313" s="643">
        <v>5062</v>
      </c>
      <c r="B313" s="644"/>
      <c r="C313" s="644" t="s">
        <v>868</v>
      </c>
      <c r="D313" s="569">
        <v>75</v>
      </c>
      <c r="E313" s="545">
        <v>54000</v>
      </c>
      <c r="F313" s="546">
        <v>98</v>
      </c>
      <c r="G313" s="653">
        <v>130</v>
      </c>
      <c r="H313" s="654">
        <v>110</v>
      </c>
      <c r="I313" s="654">
        <v>160</v>
      </c>
      <c r="J313" s="561">
        <v>70</v>
      </c>
      <c r="K313" s="554" t="s">
        <v>221</v>
      </c>
      <c r="L313" s="562">
        <v>12</v>
      </c>
      <c r="M313" s="561">
        <v>1200</v>
      </c>
      <c r="N313" s="592">
        <v>0.1</v>
      </c>
      <c r="O313" s="594">
        <v>1.05</v>
      </c>
      <c r="P313" s="590">
        <v>43</v>
      </c>
      <c r="Q313" s="431">
        <v>0.5</v>
      </c>
      <c r="R313" s="430">
        <v>677.95</v>
      </c>
      <c r="S313" s="175"/>
      <c r="T313" s="751">
        <v>4977.3999999999996</v>
      </c>
      <c r="U313" s="440">
        <v>56.676666666666669</v>
      </c>
      <c r="V313" s="654">
        <v>47.25</v>
      </c>
      <c r="W313" s="636"/>
      <c r="X313" s="440">
        <v>14</v>
      </c>
      <c r="Y313" s="764">
        <v>47.25</v>
      </c>
      <c r="Z313" s="776">
        <v>97.643464285714288</v>
      </c>
      <c r="AA313" s="780">
        <v>130.19128571428573</v>
      </c>
      <c r="AB313" s="811"/>
      <c r="AC313" s="818">
        <v>108</v>
      </c>
      <c r="AD313" s="811" t="s">
        <v>667</v>
      </c>
      <c r="AE313" s="811">
        <v>0</v>
      </c>
      <c r="AF313" s="643">
        <v>5062</v>
      </c>
    </row>
    <row r="314" spans="1:32" ht="15.75">
      <c r="A314" s="643">
        <v>5067</v>
      </c>
      <c r="B314" s="644"/>
      <c r="C314" s="644" t="s">
        <v>869</v>
      </c>
      <c r="D314" s="569">
        <v>120</v>
      </c>
      <c r="E314" s="545">
        <v>77000</v>
      </c>
      <c r="F314" s="546">
        <v>165</v>
      </c>
      <c r="G314" s="653">
        <v>135</v>
      </c>
      <c r="H314" s="654">
        <v>121</v>
      </c>
      <c r="I314" s="654">
        <v>160</v>
      </c>
      <c r="J314" s="561">
        <v>95</v>
      </c>
      <c r="K314" s="554" t="s">
        <v>221</v>
      </c>
      <c r="L314" s="562">
        <v>12</v>
      </c>
      <c r="M314" s="561">
        <v>1600</v>
      </c>
      <c r="N314" s="592">
        <v>0.1</v>
      </c>
      <c r="O314" s="594">
        <v>1.05</v>
      </c>
      <c r="P314" s="590">
        <v>56</v>
      </c>
      <c r="Q314" s="431">
        <v>0.25</v>
      </c>
      <c r="R314" s="430">
        <v>1080.25</v>
      </c>
      <c r="S314" s="497">
        <v>138</v>
      </c>
      <c r="T314" s="751">
        <v>7060.2</v>
      </c>
      <c r="U314" s="440">
        <v>149.15625</v>
      </c>
      <c r="V314" s="654">
        <v>50.53125</v>
      </c>
      <c r="W314" s="636"/>
      <c r="X314" s="440">
        <v>7</v>
      </c>
      <c r="Y314" s="764">
        <v>50.53125</v>
      </c>
      <c r="Z314" s="776">
        <v>164.80087105263158</v>
      </c>
      <c r="AA314" s="780">
        <v>137.33405921052633</v>
      </c>
      <c r="AB314" s="811"/>
      <c r="AC314" s="818">
        <v>154</v>
      </c>
      <c r="AD314" s="811" t="s">
        <v>667</v>
      </c>
      <c r="AE314" s="811">
        <v>0</v>
      </c>
      <c r="AF314" s="643">
        <v>5067</v>
      </c>
    </row>
    <row r="315" spans="1:32" ht="16.5" customHeight="1">
      <c r="A315" s="643">
        <v>5063</v>
      </c>
      <c r="B315" s="644"/>
      <c r="C315" s="644" t="s">
        <v>870</v>
      </c>
      <c r="D315" s="569">
        <v>50</v>
      </c>
      <c r="E315" s="545">
        <v>90000</v>
      </c>
      <c r="F315" s="546">
        <v>120</v>
      </c>
      <c r="G315" s="653">
        <v>240</v>
      </c>
      <c r="H315" s="654">
        <v>220</v>
      </c>
      <c r="I315" s="654">
        <v>280</v>
      </c>
      <c r="J315" s="561">
        <v>80</v>
      </c>
      <c r="K315" s="554" t="s">
        <v>221</v>
      </c>
      <c r="L315" s="562">
        <v>12</v>
      </c>
      <c r="M315" s="561">
        <v>1000</v>
      </c>
      <c r="N315" s="592">
        <v>0</v>
      </c>
      <c r="O315" s="594">
        <v>1.2</v>
      </c>
      <c r="P315" s="590">
        <v>44</v>
      </c>
      <c r="Q315" s="431">
        <v>0.16700000000000001</v>
      </c>
      <c r="R315" s="430">
        <v>1937</v>
      </c>
      <c r="S315" s="175">
        <v>198</v>
      </c>
      <c r="T315" s="751">
        <v>8798</v>
      </c>
      <c r="U315" s="440">
        <v>134.375</v>
      </c>
      <c r="V315" s="654">
        <v>108</v>
      </c>
      <c r="W315" s="636"/>
      <c r="X315" s="440">
        <v>4.6760000000000002</v>
      </c>
      <c r="Y315" s="764">
        <v>108</v>
      </c>
      <c r="Z315" s="776">
        <v>119.88625</v>
      </c>
      <c r="AA315" s="780">
        <v>239.77250000000001</v>
      </c>
      <c r="AB315" s="811"/>
      <c r="AC315" s="818">
        <v>180</v>
      </c>
      <c r="AD315" s="811" t="s">
        <v>667</v>
      </c>
      <c r="AE315" s="811">
        <v>0</v>
      </c>
      <c r="AF315" s="643">
        <v>5063</v>
      </c>
    </row>
    <row r="316" spans="1:32" ht="15.75">
      <c r="A316" s="643">
        <v>5066</v>
      </c>
      <c r="B316" s="644"/>
      <c r="C316" s="644" t="s">
        <v>871</v>
      </c>
      <c r="D316" s="569"/>
      <c r="E316" s="545">
        <v>3200</v>
      </c>
      <c r="F316" s="546"/>
      <c r="G316" s="653">
        <v>21</v>
      </c>
      <c r="H316" s="654">
        <v>19</v>
      </c>
      <c r="I316" s="654">
        <v>25</v>
      </c>
      <c r="J316" s="561">
        <v>25</v>
      </c>
      <c r="K316" s="554" t="s">
        <v>221</v>
      </c>
      <c r="L316" s="562">
        <v>12</v>
      </c>
      <c r="M316" s="561">
        <v>500</v>
      </c>
      <c r="N316" s="592">
        <v>0.1</v>
      </c>
      <c r="O316" s="594">
        <v>1.3</v>
      </c>
      <c r="P316" s="590"/>
      <c r="Q316" s="431">
        <v>0.25</v>
      </c>
      <c r="R316" s="430">
        <v>499.15</v>
      </c>
      <c r="S316" s="497">
        <v>12</v>
      </c>
      <c r="T316" s="751">
        <v>277.12</v>
      </c>
      <c r="U316" s="440">
        <v>61.054999999999993</v>
      </c>
      <c r="V316" s="654">
        <v>8.32</v>
      </c>
      <c r="W316" s="636"/>
      <c r="X316" s="440">
        <v>7</v>
      </c>
      <c r="Y316" s="764">
        <v>8.32</v>
      </c>
      <c r="Z316" s="776"/>
      <c r="AA316" s="780">
        <v>21.345280000000002</v>
      </c>
      <c r="AB316" s="811"/>
      <c r="AC316" s="818">
        <v>6.4</v>
      </c>
      <c r="AD316" s="811" t="s">
        <v>667</v>
      </c>
      <c r="AE316" s="811">
        <v>0</v>
      </c>
      <c r="AF316" s="643">
        <v>5066</v>
      </c>
    </row>
    <row r="317" spans="1:32" ht="15.75">
      <c r="A317" s="633"/>
      <c r="B317" s="634"/>
      <c r="C317" s="633"/>
      <c r="D317" s="637"/>
      <c r="E317" s="545"/>
      <c r="F317" s="633"/>
      <c r="G317" s="658" t="s">
        <v>129</v>
      </c>
      <c r="H317" s="635"/>
      <c r="I317" s="635"/>
      <c r="J317" s="637"/>
      <c r="K317" s="635"/>
      <c r="L317" s="633"/>
      <c r="M317" s="637"/>
      <c r="N317" s="592" t="s">
        <v>129</v>
      </c>
      <c r="O317" s="594" t="s">
        <v>129</v>
      </c>
      <c r="P317" s="743"/>
      <c r="Q317" s="431">
        <v>0.25</v>
      </c>
      <c r="R317" s="430">
        <v>514.04999999999995</v>
      </c>
      <c r="S317" s="175"/>
      <c r="T317" s="751" t="s">
        <v>129</v>
      </c>
      <c r="U317" s="440">
        <v>156.46249999999998</v>
      </c>
      <c r="V317" s="633"/>
      <c r="W317" s="633"/>
      <c r="X317" s="440">
        <v>7</v>
      </c>
      <c r="Y317" s="764" t="s">
        <v>129</v>
      </c>
      <c r="Z317" s="633"/>
      <c r="AA317" s="634"/>
      <c r="AB317" s="633"/>
      <c r="AC317" s="818" t="s">
        <v>129</v>
      </c>
      <c r="AD317" s="811"/>
      <c r="AE317" s="633"/>
      <c r="AF317" s="633"/>
    </row>
    <row r="318" spans="1:32" ht="15.75">
      <c r="A318" s="624">
        <v>5080</v>
      </c>
      <c r="B318" s="625"/>
      <c r="C318" s="626" t="s">
        <v>872</v>
      </c>
      <c r="D318" s="632"/>
      <c r="E318" s="628"/>
      <c r="F318" s="629"/>
      <c r="G318" s="687" t="s">
        <v>129</v>
      </c>
      <c r="H318" s="631"/>
      <c r="I318" s="631"/>
      <c r="J318" s="632"/>
      <c r="K318" s="632"/>
      <c r="L318" s="627"/>
      <c r="M318" s="632"/>
      <c r="N318" s="739" t="s">
        <v>129</v>
      </c>
      <c r="O318" s="744" t="s">
        <v>129</v>
      </c>
      <c r="P318" s="742"/>
      <c r="Q318" s="429"/>
      <c r="R318" s="430" t="s">
        <v>129</v>
      </c>
      <c r="S318" s="496"/>
      <c r="T318" s="750" t="s">
        <v>129</v>
      </c>
      <c r="U318" s="438"/>
      <c r="V318" s="631"/>
      <c r="W318" s="631"/>
      <c r="X318" s="438"/>
      <c r="Y318" s="768" t="s">
        <v>129</v>
      </c>
      <c r="Z318" s="774"/>
      <c r="AA318" s="775"/>
      <c r="AB318" s="810"/>
      <c r="AC318" s="817" t="s">
        <v>129</v>
      </c>
      <c r="AD318" s="810"/>
      <c r="AE318" s="810"/>
      <c r="AF318" s="624">
        <v>5080</v>
      </c>
    </row>
    <row r="319" spans="1:32" ht="15.75">
      <c r="A319" s="633"/>
      <c r="B319" s="634"/>
      <c r="C319" s="634"/>
      <c r="D319" s="637"/>
      <c r="E319" s="556"/>
      <c r="F319" s="637"/>
      <c r="G319" s="692" t="s">
        <v>129</v>
      </c>
      <c r="H319" s="635"/>
      <c r="I319" s="635"/>
      <c r="J319" s="637"/>
      <c r="K319" s="637"/>
      <c r="L319" s="635"/>
      <c r="M319" s="637"/>
      <c r="N319" s="592" t="s">
        <v>129</v>
      </c>
      <c r="O319" s="594" t="s">
        <v>129</v>
      </c>
      <c r="P319" s="745"/>
      <c r="Q319" s="432"/>
      <c r="R319" s="430" t="s">
        <v>129</v>
      </c>
      <c r="S319" s="175"/>
      <c r="T319" s="753" t="s">
        <v>129</v>
      </c>
      <c r="U319" s="432"/>
      <c r="V319" s="637"/>
      <c r="W319" s="637"/>
      <c r="X319" s="432"/>
      <c r="Y319" s="764" t="s">
        <v>129</v>
      </c>
      <c r="Z319" s="637"/>
      <c r="AA319" s="637"/>
      <c r="AB319" s="634"/>
      <c r="AC319" s="820" t="s">
        <v>129</v>
      </c>
      <c r="AD319" s="822"/>
      <c r="AE319" s="637"/>
      <c r="AF319" s="633"/>
    </row>
    <row r="320" spans="1:32" ht="15.75">
      <c r="A320" s="643">
        <v>5081</v>
      </c>
      <c r="B320" s="644"/>
      <c r="C320" s="644" t="s">
        <v>873</v>
      </c>
      <c r="D320" s="569">
        <v>400</v>
      </c>
      <c r="E320" s="545">
        <v>9800</v>
      </c>
      <c r="F320" s="546">
        <v>93</v>
      </c>
      <c r="G320" s="653">
        <v>23</v>
      </c>
      <c r="H320" s="654">
        <v>20</v>
      </c>
      <c r="I320" s="654">
        <v>29</v>
      </c>
      <c r="J320" s="561">
        <v>50</v>
      </c>
      <c r="K320" s="554"/>
      <c r="L320" s="562">
        <v>15</v>
      </c>
      <c r="M320" s="561">
        <v>2000</v>
      </c>
      <c r="N320" s="592">
        <v>0.25</v>
      </c>
      <c r="O320" s="594">
        <v>0.9</v>
      </c>
      <c r="P320" s="590">
        <v>32</v>
      </c>
      <c r="Q320" s="431" t="s">
        <v>221</v>
      </c>
      <c r="R320" s="430" t="s">
        <v>129</v>
      </c>
      <c r="S320" s="497">
        <v>168</v>
      </c>
      <c r="T320" s="751">
        <v>836.5</v>
      </c>
      <c r="U320" s="440"/>
      <c r="V320" s="654">
        <v>4.41</v>
      </c>
      <c r="W320" s="636"/>
      <c r="X320" s="440"/>
      <c r="Y320" s="764">
        <v>4.41</v>
      </c>
      <c r="Z320" s="776">
        <v>93.016000000000005</v>
      </c>
      <c r="AA320" s="780">
        <v>23.254000000000001</v>
      </c>
      <c r="AB320" s="811"/>
      <c r="AC320" s="818">
        <v>19.600000000000001</v>
      </c>
      <c r="AD320" s="811" t="s">
        <v>667</v>
      </c>
      <c r="AE320" s="811">
        <v>0</v>
      </c>
      <c r="AF320" s="643">
        <v>5081</v>
      </c>
    </row>
    <row r="321" spans="1:32" ht="15.75">
      <c r="A321" s="643">
        <v>5082</v>
      </c>
      <c r="B321" s="644"/>
      <c r="C321" s="644" t="s">
        <v>874</v>
      </c>
      <c r="D321" s="569">
        <v>556</v>
      </c>
      <c r="E321" s="545">
        <v>15500</v>
      </c>
      <c r="F321" s="546">
        <v>130</v>
      </c>
      <c r="G321" s="653">
        <v>23</v>
      </c>
      <c r="H321" s="654">
        <v>20</v>
      </c>
      <c r="I321" s="654">
        <v>30</v>
      </c>
      <c r="J321" s="561">
        <v>75</v>
      </c>
      <c r="K321" s="554"/>
      <c r="L321" s="562">
        <v>15</v>
      </c>
      <c r="M321" s="561">
        <v>3000</v>
      </c>
      <c r="N321" s="592">
        <v>0.25</v>
      </c>
      <c r="O321" s="594">
        <v>0.9</v>
      </c>
      <c r="P321" s="590">
        <v>40</v>
      </c>
      <c r="Q321" s="431">
        <v>0.1</v>
      </c>
      <c r="R321" s="430">
        <v>3603.8</v>
      </c>
      <c r="S321" s="175">
        <v>156</v>
      </c>
      <c r="T321" s="751">
        <v>1248.75</v>
      </c>
      <c r="U321" s="440">
        <v>65.73</v>
      </c>
      <c r="V321" s="654">
        <v>4.6500000000000004</v>
      </c>
      <c r="W321" s="636"/>
      <c r="X321" s="440">
        <v>2.8000000000000003</v>
      </c>
      <c r="Y321" s="764">
        <v>4.6500000000000004</v>
      </c>
      <c r="Z321" s="776">
        <v>130.27080000000001</v>
      </c>
      <c r="AA321" s="780">
        <v>23.43</v>
      </c>
      <c r="AB321" s="811"/>
      <c r="AC321" s="818">
        <v>31</v>
      </c>
      <c r="AD321" s="811" t="s">
        <v>667</v>
      </c>
      <c r="AE321" s="811">
        <v>0</v>
      </c>
      <c r="AF321" s="643">
        <v>5082</v>
      </c>
    </row>
    <row r="322" spans="1:32" ht="15.75">
      <c r="A322" s="643">
        <v>5083</v>
      </c>
      <c r="B322" s="644"/>
      <c r="C322" s="644" t="s">
        <v>875</v>
      </c>
      <c r="D322" s="569">
        <v>718</v>
      </c>
      <c r="E322" s="545">
        <v>19000</v>
      </c>
      <c r="F322" s="546">
        <v>165</v>
      </c>
      <c r="G322" s="653">
        <v>23</v>
      </c>
      <c r="H322" s="654">
        <v>19</v>
      </c>
      <c r="I322" s="654">
        <v>29</v>
      </c>
      <c r="J322" s="561">
        <v>90</v>
      </c>
      <c r="K322" s="554" t="s">
        <v>221</v>
      </c>
      <c r="L322" s="562">
        <v>15</v>
      </c>
      <c r="M322" s="561">
        <v>4000</v>
      </c>
      <c r="N322" s="592">
        <v>0.25</v>
      </c>
      <c r="O322" s="594">
        <v>0.9</v>
      </c>
      <c r="P322" s="590">
        <v>45</v>
      </c>
      <c r="Q322" s="431">
        <v>0.1</v>
      </c>
      <c r="R322" s="430">
        <v>4383</v>
      </c>
      <c r="S322" s="497">
        <v>156</v>
      </c>
      <c r="T322" s="751">
        <v>1502.5</v>
      </c>
      <c r="U322" s="440">
        <v>68.2</v>
      </c>
      <c r="V322" s="654">
        <v>4.2750000000000004</v>
      </c>
      <c r="W322" s="636"/>
      <c r="X322" s="440">
        <v>2.8000000000000003</v>
      </c>
      <c r="Y322" s="764">
        <v>4.2750000000000004</v>
      </c>
      <c r="Z322" s="776">
        <v>165.61667222222223</v>
      </c>
      <c r="AA322" s="780">
        <v>23.066388888888888</v>
      </c>
      <c r="AB322" s="811"/>
      <c r="AC322" s="818">
        <v>38</v>
      </c>
      <c r="AD322" s="811" t="s">
        <v>667</v>
      </c>
      <c r="AE322" s="811">
        <v>0</v>
      </c>
      <c r="AF322" s="643">
        <v>5083</v>
      </c>
    </row>
    <row r="323" spans="1:32" ht="15.75">
      <c r="A323" s="643">
        <v>5085</v>
      </c>
      <c r="B323" s="644"/>
      <c r="C323" s="644" t="s">
        <v>876</v>
      </c>
      <c r="D323" s="569">
        <v>360</v>
      </c>
      <c r="E323" s="545">
        <v>27000</v>
      </c>
      <c r="F323" s="546">
        <v>140</v>
      </c>
      <c r="G323" s="653">
        <v>39</v>
      </c>
      <c r="H323" s="654">
        <v>33</v>
      </c>
      <c r="I323" s="654">
        <v>49</v>
      </c>
      <c r="J323" s="561">
        <v>70</v>
      </c>
      <c r="K323" s="554"/>
      <c r="L323" s="562">
        <v>15</v>
      </c>
      <c r="M323" s="561">
        <v>3000</v>
      </c>
      <c r="N323" s="592">
        <v>0.25</v>
      </c>
      <c r="O323" s="594">
        <v>0.85</v>
      </c>
      <c r="P323" s="590">
        <v>35</v>
      </c>
      <c r="Q323" s="431">
        <v>0.1</v>
      </c>
      <c r="R323" s="430">
        <v>5947</v>
      </c>
      <c r="S323" s="175">
        <v>102</v>
      </c>
      <c r="T323" s="751">
        <v>1932.5</v>
      </c>
      <c r="U323" s="440">
        <v>79.612499999999997</v>
      </c>
      <c r="V323" s="654">
        <v>7.6499999999999995</v>
      </c>
      <c r="W323" s="636"/>
      <c r="X323" s="440">
        <v>2.8000000000000003</v>
      </c>
      <c r="Y323" s="764">
        <v>7.6499999999999995</v>
      </c>
      <c r="Z323" s="776">
        <v>139.61828571428572</v>
      </c>
      <c r="AA323" s="780">
        <v>38.782857142857146</v>
      </c>
      <c r="AB323" s="811"/>
      <c r="AC323" s="818">
        <v>54</v>
      </c>
      <c r="AD323" s="811" t="s">
        <v>667</v>
      </c>
      <c r="AE323" s="811">
        <v>0</v>
      </c>
      <c r="AF323" s="643">
        <v>5085</v>
      </c>
    </row>
    <row r="324" spans="1:32" ht="15.75">
      <c r="A324" s="643">
        <v>5086</v>
      </c>
      <c r="B324" s="644"/>
      <c r="C324" s="644" t="s">
        <v>877</v>
      </c>
      <c r="D324" s="569">
        <v>720</v>
      </c>
      <c r="E324" s="545">
        <v>59000</v>
      </c>
      <c r="F324" s="546">
        <v>290</v>
      </c>
      <c r="G324" s="653">
        <v>41</v>
      </c>
      <c r="H324" s="654">
        <v>34</v>
      </c>
      <c r="I324" s="654">
        <v>51</v>
      </c>
      <c r="J324" s="561">
        <v>140</v>
      </c>
      <c r="K324" s="554"/>
      <c r="L324" s="562">
        <v>15</v>
      </c>
      <c r="M324" s="561">
        <v>6000</v>
      </c>
      <c r="N324" s="592">
        <v>0.25</v>
      </c>
      <c r="O324" s="594">
        <v>0.85</v>
      </c>
      <c r="P324" s="590">
        <v>45</v>
      </c>
      <c r="Q324" s="431">
        <v>0.2</v>
      </c>
      <c r="R324" s="430">
        <v>356.7</v>
      </c>
      <c r="S324" s="497">
        <v>372</v>
      </c>
      <c r="T324" s="751">
        <v>4002.5</v>
      </c>
      <c r="U324" s="440">
        <v>15.995999999999999</v>
      </c>
      <c r="V324" s="654">
        <v>8.3583333333333343</v>
      </c>
      <c r="W324" s="636"/>
      <c r="X324" s="440">
        <v>5.6000000000000005</v>
      </c>
      <c r="Y324" s="764">
        <v>8.3583333333333343</v>
      </c>
      <c r="Z324" s="776">
        <v>292.62514285714292</v>
      </c>
      <c r="AA324" s="780">
        <v>40.642380952380961</v>
      </c>
      <c r="AB324" s="811"/>
      <c r="AC324" s="818">
        <v>118</v>
      </c>
      <c r="AD324" s="811" t="s">
        <v>667</v>
      </c>
      <c r="AE324" s="811">
        <v>0</v>
      </c>
      <c r="AF324" s="643">
        <v>5086</v>
      </c>
    </row>
    <row r="325" spans="1:32" ht="15.75">
      <c r="A325" s="633"/>
      <c r="B325" s="634"/>
      <c r="C325" s="634"/>
      <c r="D325" s="569"/>
      <c r="E325" s="556"/>
      <c r="F325" s="557"/>
      <c r="G325" s="653" t="s">
        <v>129</v>
      </c>
      <c r="H325" s="654"/>
      <c r="I325" s="654"/>
      <c r="J325" s="561"/>
      <c r="K325" s="637"/>
      <c r="L325" s="635"/>
      <c r="M325" s="561"/>
      <c r="N325" s="592" t="s">
        <v>129</v>
      </c>
      <c r="O325" s="594" t="s">
        <v>129</v>
      </c>
      <c r="P325" s="745"/>
      <c r="Q325" s="431">
        <v>0.1</v>
      </c>
      <c r="R325" s="430">
        <v>301.94000000000005</v>
      </c>
      <c r="T325" s="753" t="s">
        <v>129</v>
      </c>
      <c r="U325" s="440">
        <v>12.325600000000001</v>
      </c>
      <c r="V325" s="757"/>
      <c r="W325" s="755"/>
      <c r="X325" s="440">
        <v>2.8000000000000003</v>
      </c>
      <c r="Y325" s="764" t="s">
        <v>129</v>
      </c>
      <c r="Z325" s="778"/>
      <c r="AA325" s="780"/>
      <c r="AB325" s="634"/>
      <c r="AC325" s="820" t="s">
        <v>129</v>
      </c>
      <c r="AD325" s="822"/>
      <c r="AE325" s="822"/>
      <c r="AF325" s="633"/>
    </row>
    <row r="326" spans="1:32" ht="15.75">
      <c r="A326" s="624">
        <v>5100</v>
      </c>
      <c r="B326" s="625"/>
      <c r="C326" s="626" t="s">
        <v>878</v>
      </c>
      <c r="D326" s="632"/>
      <c r="E326" s="628"/>
      <c r="F326" s="629"/>
      <c r="G326" s="687" t="s">
        <v>129</v>
      </c>
      <c r="H326" s="631"/>
      <c r="I326" s="631"/>
      <c r="J326" s="632"/>
      <c r="K326" s="632"/>
      <c r="L326" s="627"/>
      <c r="M326" s="632"/>
      <c r="N326" s="739" t="s">
        <v>129</v>
      </c>
      <c r="O326" s="744" t="s">
        <v>129</v>
      </c>
      <c r="P326" s="742"/>
      <c r="Q326" s="432"/>
      <c r="R326" s="430" t="s">
        <v>129</v>
      </c>
      <c r="S326" s="496"/>
      <c r="T326" s="750" t="s">
        <v>129</v>
      </c>
      <c r="U326" s="432"/>
      <c r="V326" s="631"/>
      <c r="W326" s="631"/>
      <c r="X326" s="432"/>
      <c r="Y326" s="768" t="s">
        <v>129</v>
      </c>
      <c r="Z326" s="774"/>
      <c r="AA326" s="775"/>
      <c r="AB326" s="810"/>
      <c r="AC326" s="817" t="s">
        <v>129</v>
      </c>
      <c r="AD326" s="810"/>
      <c r="AE326" s="810"/>
      <c r="AF326" s="624">
        <v>5100</v>
      </c>
    </row>
    <row r="327" spans="1:32" ht="15.75">
      <c r="A327" s="633"/>
      <c r="B327" s="634"/>
      <c r="C327" s="634"/>
      <c r="D327" s="569"/>
      <c r="E327" s="556"/>
      <c r="F327" s="557"/>
      <c r="G327" s="653" t="s">
        <v>129</v>
      </c>
      <c r="H327" s="654"/>
      <c r="I327" s="654"/>
      <c r="J327" s="561"/>
      <c r="K327" s="637"/>
      <c r="L327" s="635"/>
      <c r="M327" s="561"/>
      <c r="N327" s="592" t="s">
        <v>129</v>
      </c>
      <c r="O327" s="594" t="s">
        <v>129</v>
      </c>
      <c r="P327" s="745"/>
      <c r="Q327" s="429"/>
      <c r="R327" s="430" t="s">
        <v>129</v>
      </c>
      <c r="S327" s="175"/>
      <c r="T327" s="753" t="s">
        <v>129</v>
      </c>
      <c r="U327" s="438"/>
      <c r="V327" s="757"/>
      <c r="W327" s="755"/>
      <c r="X327" s="438"/>
      <c r="Y327" s="764" t="s">
        <v>129</v>
      </c>
      <c r="Z327" s="778"/>
      <c r="AA327" s="780"/>
      <c r="AB327" s="634"/>
      <c r="AC327" s="820" t="s">
        <v>129</v>
      </c>
      <c r="AD327" s="822"/>
      <c r="AE327" s="822"/>
      <c r="AF327" s="633"/>
    </row>
    <row r="328" spans="1:32" ht="15.75">
      <c r="A328" s="643">
        <v>5101</v>
      </c>
      <c r="B328" s="644"/>
      <c r="C328" s="644" t="s">
        <v>879</v>
      </c>
      <c r="D328" s="569">
        <v>100</v>
      </c>
      <c r="E328" s="545">
        <v>14000</v>
      </c>
      <c r="F328" s="546">
        <v>64</v>
      </c>
      <c r="G328" s="653">
        <v>64</v>
      </c>
      <c r="H328" s="654">
        <v>57</v>
      </c>
      <c r="I328" s="654">
        <v>77</v>
      </c>
      <c r="J328" s="561">
        <v>35</v>
      </c>
      <c r="K328" s="554" t="s">
        <v>221</v>
      </c>
      <c r="L328" s="562">
        <v>15</v>
      </c>
      <c r="M328" s="561">
        <v>700</v>
      </c>
      <c r="N328" s="592">
        <v>0.1</v>
      </c>
      <c r="O328" s="594">
        <v>1.2</v>
      </c>
      <c r="P328" s="590">
        <v>28</v>
      </c>
      <c r="Q328" s="432"/>
      <c r="R328" s="430" t="s">
        <v>129</v>
      </c>
      <c r="S328" s="497">
        <v>180</v>
      </c>
      <c r="T328" s="751">
        <v>1198.4000000000001</v>
      </c>
      <c r="U328" s="432"/>
      <c r="V328" s="654">
        <v>24</v>
      </c>
      <c r="W328" s="636"/>
      <c r="X328" s="432"/>
      <c r="Y328" s="764">
        <v>24</v>
      </c>
      <c r="Z328" s="776">
        <v>64.064000000000007</v>
      </c>
      <c r="AA328" s="780">
        <v>64.064000000000007</v>
      </c>
      <c r="AB328" s="811"/>
      <c r="AC328" s="818">
        <v>28</v>
      </c>
      <c r="AD328" s="811" t="s">
        <v>667</v>
      </c>
      <c r="AE328" s="811">
        <v>0</v>
      </c>
      <c r="AF328" s="643">
        <v>5101</v>
      </c>
    </row>
    <row r="329" spans="1:32" ht="15.75">
      <c r="A329" s="643">
        <v>5102</v>
      </c>
      <c r="B329" s="644"/>
      <c r="C329" s="644" t="s">
        <v>880</v>
      </c>
      <c r="D329" s="569">
        <v>100</v>
      </c>
      <c r="E329" s="545">
        <v>15500</v>
      </c>
      <c r="F329" s="546">
        <v>80</v>
      </c>
      <c r="G329" s="653">
        <v>80</v>
      </c>
      <c r="H329" s="654">
        <v>68</v>
      </c>
      <c r="I329" s="654">
        <v>101</v>
      </c>
      <c r="J329" s="561">
        <v>20</v>
      </c>
      <c r="K329" s="554" t="s">
        <v>221</v>
      </c>
      <c r="L329" s="562">
        <v>15</v>
      </c>
      <c r="M329" s="561">
        <v>1200</v>
      </c>
      <c r="N329" s="592">
        <v>0.25</v>
      </c>
      <c r="O329" s="594">
        <v>1.2</v>
      </c>
      <c r="P329" s="590">
        <v>26</v>
      </c>
      <c r="Q329" s="431">
        <v>0.02</v>
      </c>
      <c r="R329" s="430">
        <v>581.1</v>
      </c>
      <c r="S329" s="175">
        <v>198</v>
      </c>
      <c r="T329" s="751">
        <v>1150.75</v>
      </c>
      <c r="U329" s="440">
        <v>16.414000000000001</v>
      </c>
      <c r="V329" s="654">
        <v>15.499999999999998</v>
      </c>
      <c r="W329" s="636"/>
      <c r="X329" s="440">
        <v>0.56000000000000005</v>
      </c>
      <c r="Y329" s="764">
        <v>15.499999999999998</v>
      </c>
      <c r="Z329" s="776">
        <v>80.341250000000002</v>
      </c>
      <c r="AA329" s="780">
        <v>80.341250000000002</v>
      </c>
      <c r="AB329" s="811"/>
      <c r="AC329" s="818">
        <v>31</v>
      </c>
      <c r="AD329" s="811" t="s">
        <v>667</v>
      </c>
      <c r="AE329" s="811">
        <v>0</v>
      </c>
      <c r="AF329" s="643">
        <v>5102</v>
      </c>
    </row>
    <row r="330" spans="1:32" ht="15.75">
      <c r="A330" s="643">
        <v>5104</v>
      </c>
      <c r="B330" s="644"/>
      <c r="C330" s="644" t="s">
        <v>881</v>
      </c>
      <c r="D330" s="569">
        <v>70</v>
      </c>
      <c r="E330" s="545">
        <v>26000</v>
      </c>
      <c r="F330" s="546">
        <v>110</v>
      </c>
      <c r="G330" s="653">
        <v>160</v>
      </c>
      <c r="H330" s="654">
        <v>140</v>
      </c>
      <c r="I330" s="654">
        <v>190</v>
      </c>
      <c r="J330" s="561">
        <v>20</v>
      </c>
      <c r="K330" s="554" t="s">
        <v>221</v>
      </c>
      <c r="L330" s="562">
        <v>15</v>
      </c>
      <c r="M330" s="561">
        <v>600</v>
      </c>
      <c r="N330" s="592">
        <v>0.25</v>
      </c>
      <c r="O330" s="594">
        <v>1.25</v>
      </c>
      <c r="P330" s="590">
        <v>26</v>
      </c>
      <c r="Q330" s="431">
        <v>0.02</v>
      </c>
      <c r="R330" s="430">
        <v>894</v>
      </c>
      <c r="S330" s="497">
        <v>192</v>
      </c>
      <c r="T330" s="751">
        <v>1807</v>
      </c>
      <c r="U330" s="440">
        <v>15.973333333333333</v>
      </c>
      <c r="V330" s="654">
        <v>54.166666666666671</v>
      </c>
      <c r="W330" s="636"/>
      <c r="X330" s="440">
        <v>0.56000000000000005</v>
      </c>
      <c r="Y330" s="764">
        <v>54.166666666666671</v>
      </c>
      <c r="Z330" s="776">
        <v>111.27783333333333</v>
      </c>
      <c r="AA330" s="780">
        <v>158.96833333333333</v>
      </c>
      <c r="AB330" s="811"/>
      <c r="AC330" s="818">
        <v>52</v>
      </c>
      <c r="AD330" s="811" t="s">
        <v>667</v>
      </c>
      <c r="AE330" s="811">
        <v>0</v>
      </c>
      <c r="AF330" s="643">
        <v>5104</v>
      </c>
    </row>
    <row r="331" spans="1:32" ht="15.75">
      <c r="A331" s="643">
        <v>5106</v>
      </c>
      <c r="B331" s="644"/>
      <c r="C331" s="644" t="s">
        <v>882</v>
      </c>
      <c r="D331" s="569">
        <v>70</v>
      </c>
      <c r="E331" s="545">
        <v>15500</v>
      </c>
      <c r="F331" s="546">
        <v>49</v>
      </c>
      <c r="G331" s="653">
        <v>70</v>
      </c>
      <c r="H331" s="654">
        <v>58</v>
      </c>
      <c r="I331" s="654">
        <v>90</v>
      </c>
      <c r="J331" s="561">
        <v>20</v>
      </c>
      <c r="K331" s="554" t="s">
        <v>221</v>
      </c>
      <c r="L331" s="562">
        <v>15</v>
      </c>
      <c r="M331" s="561">
        <v>2000</v>
      </c>
      <c r="N331" s="592">
        <v>0.25</v>
      </c>
      <c r="O331" s="594">
        <v>1.2</v>
      </c>
      <c r="P331" s="590">
        <v>17</v>
      </c>
      <c r="Q331" s="431">
        <v>0.02</v>
      </c>
      <c r="R331" s="430">
        <v>1303.75</v>
      </c>
      <c r="S331" s="175">
        <v>12</v>
      </c>
      <c r="T331" s="751">
        <v>1087.75</v>
      </c>
      <c r="U331" s="440">
        <v>18.375</v>
      </c>
      <c r="V331" s="654">
        <v>9.2999999999999989</v>
      </c>
      <c r="W331" s="636"/>
      <c r="X331" s="440">
        <v>0.56000000000000005</v>
      </c>
      <c r="Y331" s="764">
        <v>9.2999999999999989</v>
      </c>
      <c r="Z331" s="776">
        <v>49.039375</v>
      </c>
      <c r="AA331" s="780">
        <v>70.056250000000006</v>
      </c>
      <c r="AB331" s="811"/>
      <c r="AC331" s="818">
        <v>31</v>
      </c>
      <c r="AD331" s="811" t="s">
        <v>667</v>
      </c>
      <c r="AE331" s="811">
        <v>0</v>
      </c>
      <c r="AF331" s="643">
        <v>5106</v>
      </c>
    </row>
    <row r="332" spans="1:32" ht="15.75">
      <c r="A332" s="643">
        <v>5107</v>
      </c>
      <c r="B332" s="644"/>
      <c r="C332" s="644" t="s">
        <v>883</v>
      </c>
      <c r="D332" s="569">
        <v>35</v>
      </c>
      <c r="E332" s="545">
        <v>99000</v>
      </c>
      <c r="F332" s="546">
        <v>145</v>
      </c>
      <c r="G332" s="653">
        <v>420</v>
      </c>
      <c r="H332" s="654">
        <v>350</v>
      </c>
      <c r="I332" s="654">
        <v>540</v>
      </c>
      <c r="J332" s="561">
        <v>20</v>
      </c>
      <c r="K332" s="554" t="s">
        <v>221</v>
      </c>
      <c r="L332" s="562">
        <v>15</v>
      </c>
      <c r="M332" s="561">
        <v>2000</v>
      </c>
      <c r="N332" s="592">
        <v>0.25</v>
      </c>
      <c r="O332" s="594">
        <v>1</v>
      </c>
      <c r="P332" s="590">
        <v>62</v>
      </c>
      <c r="Q332" s="431"/>
      <c r="R332" s="430" t="s">
        <v>129</v>
      </c>
      <c r="S332" s="175"/>
      <c r="T332" s="751">
        <v>6621.5</v>
      </c>
      <c r="U332" s="440"/>
      <c r="V332" s="654">
        <v>49.5</v>
      </c>
      <c r="W332" s="636"/>
      <c r="X332" s="440">
        <v>0</v>
      </c>
      <c r="Y332" s="764">
        <v>49.5</v>
      </c>
      <c r="Z332" s="776">
        <v>146.52137499999998</v>
      </c>
      <c r="AA332" s="780">
        <v>418.63249999999999</v>
      </c>
      <c r="AB332" s="811"/>
      <c r="AC332" s="818">
        <v>198</v>
      </c>
      <c r="AD332" s="811" t="s">
        <v>667</v>
      </c>
      <c r="AE332" s="811">
        <v>0</v>
      </c>
      <c r="AF332" s="643">
        <v>5107</v>
      </c>
    </row>
    <row r="333" spans="1:32" ht="15.75">
      <c r="A333" s="643"/>
      <c r="B333" s="644"/>
      <c r="C333" s="643"/>
      <c r="D333" s="554"/>
      <c r="E333" s="545"/>
      <c r="F333" s="553"/>
      <c r="G333" s="693" t="s">
        <v>129</v>
      </c>
      <c r="H333" s="657"/>
      <c r="I333" s="657"/>
      <c r="J333" s="554"/>
      <c r="K333" s="554"/>
      <c r="L333" s="562"/>
      <c r="M333" s="554"/>
      <c r="N333" s="592" t="s">
        <v>129</v>
      </c>
      <c r="O333" s="594" t="s">
        <v>129</v>
      </c>
      <c r="P333" s="590"/>
      <c r="Q333" s="429"/>
      <c r="R333" s="430" t="s">
        <v>129</v>
      </c>
      <c r="S333" s="496"/>
      <c r="T333" s="751" t="s">
        <v>129</v>
      </c>
      <c r="U333" s="438"/>
      <c r="V333" s="657"/>
      <c r="W333" s="657"/>
      <c r="X333" s="438"/>
      <c r="Y333" s="764" t="s">
        <v>129</v>
      </c>
      <c r="Z333" s="783"/>
      <c r="AA333" s="781"/>
      <c r="AB333" s="811"/>
      <c r="AC333" s="818" t="s">
        <v>129</v>
      </c>
      <c r="AD333" s="811"/>
      <c r="AE333" s="602"/>
      <c r="AF333" s="643"/>
    </row>
    <row r="334" spans="1:32" ht="15.75">
      <c r="A334" s="624">
        <v>5120</v>
      </c>
      <c r="B334" s="625"/>
      <c r="C334" s="626" t="s">
        <v>884</v>
      </c>
      <c r="D334" s="627"/>
      <c r="E334" s="628"/>
      <c r="F334" s="629"/>
      <c r="G334" s="687" t="s">
        <v>129</v>
      </c>
      <c r="H334" s="631"/>
      <c r="I334" s="631"/>
      <c r="J334" s="632"/>
      <c r="K334" s="632"/>
      <c r="L334" s="627"/>
      <c r="M334" s="632"/>
      <c r="N334" s="739" t="s">
        <v>129</v>
      </c>
      <c r="O334" s="744" t="s">
        <v>129</v>
      </c>
      <c r="P334" s="742"/>
      <c r="Q334" s="431"/>
      <c r="R334" s="430" t="s">
        <v>129</v>
      </c>
      <c r="S334" s="175"/>
      <c r="T334" s="750" t="s">
        <v>129</v>
      </c>
      <c r="U334" s="440"/>
      <c r="V334" s="631"/>
      <c r="W334" s="631"/>
      <c r="X334" s="440"/>
      <c r="Y334" s="768" t="s">
        <v>129</v>
      </c>
      <c r="Z334" s="774"/>
      <c r="AA334" s="775"/>
      <c r="AB334" s="810"/>
      <c r="AC334" s="817" t="s">
        <v>129</v>
      </c>
      <c r="AD334" s="810"/>
      <c r="AE334" s="810"/>
      <c r="AF334" s="624">
        <v>5120</v>
      </c>
    </row>
    <row r="335" spans="1:32" ht="15.75">
      <c r="A335" s="633"/>
      <c r="B335" s="634"/>
      <c r="C335" s="633"/>
      <c r="D335" s="559"/>
      <c r="E335" s="545"/>
      <c r="F335" s="546"/>
      <c r="G335" s="653" t="s">
        <v>129</v>
      </c>
      <c r="H335" s="654"/>
      <c r="I335" s="654"/>
      <c r="J335" s="561"/>
      <c r="K335" s="635"/>
      <c r="L335" s="633"/>
      <c r="M335" s="561"/>
      <c r="N335" s="592" t="s">
        <v>129</v>
      </c>
      <c r="O335" s="594" t="s">
        <v>129</v>
      </c>
      <c r="P335" s="743"/>
      <c r="Q335" s="431">
        <v>0.25</v>
      </c>
      <c r="R335" s="430">
        <v>519.12</v>
      </c>
      <c r="S335" s="175">
        <v>192</v>
      </c>
      <c r="T335" s="751" t="s">
        <v>129</v>
      </c>
      <c r="U335" s="440">
        <v>17.318000000000001</v>
      </c>
      <c r="V335" s="654"/>
      <c r="W335" s="636"/>
      <c r="X335" s="440">
        <v>7</v>
      </c>
      <c r="Y335" s="764" t="s">
        <v>129</v>
      </c>
      <c r="Z335" s="776"/>
      <c r="AA335" s="780"/>
      <c r="AB335" s="633"/>
      <c r="AC335" s="818" t="s">
        <v>129</v>
      </c>
      <c r="AD335" s="811"/>
      <c r="AE335" s="811"/>
      <c r="AF335" s="633"/>
    </row>
    <row r="336" spans="1:32" ht="15.75">
      <c r="A336" s="643">
        <v>5091</v>
      </c>
      <c r="B336" s="644"/>
      <c r="C336" s="644" t="s">
        <v>885</v>
      </c>
      <c r="D336" s="569">
        <v>125</v>
      </c>
      <c r="E336" s="545">
        <v>11500</v>
      </c>
      <c r="F336" s="546">
        <v>55</v>
      </c>
      <c r="G336" s="653">
        <v>44</v>
      </c>
      <c r="H336" s="654">
        <v>39</v>
      </c>
      <c r="I336" s="654">
        <v>53</v>
      </c>
      <c r="J336" s="561">
        <v>40</v>
      </c>
      <c r="K336" s="554"/>
      <c r="L336" s="562">
        <v>15</v>
      </c>
      <c r="M336" s="561">
        <v>1000</v>
      </c>
      <c r="N336" s="592">
        <v>0.1</v>
      </c>
      <c r="O336" s="594">
        <v>1.35</v>
      </c>
      <c r="P336" s="590">
        <v>23</v>
      </c>
      <c r="Q336" s="431">
        <v>0.1</v>
      </c>
      <c r="R336" s="430">
        <v>947.6</v>
      </c>
      <c r="S336" s="497">
        <v>222</v>
      </c>
      <c r="T336" s="751">
        <v>984.4</v>
      </c>
      <c r="U336" s="440">
        <v>30.04</v>
      </c>
      <c r="V336" s="654">
        <v>15.525</v>
      </c>
      <c r="W336" s="636"/>
      <c r="X336" s="440">
        <v>2.8000000000000003</v>
      </c>
      <c r="Y336" s="764">
        <v>15.525</v>
      </c>
      <c r="Z336" s="776">
        <v>55.185625000000002</v>
      </c>
      <c r="AA336" s="780">
        <v>44.148499999999999</v>
      </c>
      <c r="AB336" s="811"/>
      <c r="AC336" s="818">
        <v>23</v>
      </c>
      <c r="AD336" s="811" t="s">
        <v>667</v>
      </c>
      <c r="AE336" s="811">
        <v>0</v>
      </c>
      <c r="AF336" s="643">
        <v>5091</v>
      </c>
    </row>
    <row r="337" spans="1:32" ht="15.75">
      <c r="A337" s="643">
        <v>5121</v>
      </c>
      <c r="B337" s="644"/>
      <c r="C337" s="644" t="s">
        <v>886</v>
      </c>
      <c r="D337" s="559">
        <v>190</v>
      </c>
      <c r="E337" s="545">
        <v>15000</v>
      </c>
      <c r="F337" s="546">
        <v>76</v>
      </c>
      <c r="G337" s="653">
        <v>40</v>
      </c>
      <c r="H337" s="560">
        <v>35</v>
      </c>
      <c r="I337" s="654">
        <v>48</v>
      </c>
      <c r="J337" s="561">
        <v>60</v>
      </c>
      <c r="K337" s="554"/>
      <c r="L337" s="562">
        <v>15</v>
      </c>
      <c r="M337" s="561">
        <v>1500</v>
      </c>
      <c r="N337" s="592">
        <v>0.1</v>
      </c>
      <c r="O337" s="594">
        <v>1.5</v>
      </c>
      <c r="P337" s="590">
        <v>30</v>
      </c>
      <c r="Q337" s="431">
        <v>0.1</v>
      </c>
      <c r="R337" s="430">
        <v>2727.2</v>
      </c>
      <c r="S337" s="175">
        <v>156</v>
      </c>
      <c r="T337" s="751">
        <v>1284</v>
      </c>
      <c r="U337" s="440">
        <v>37.327500000000001</v>
      </c>
      <c r="V337" s="654">
        <v>15</v>
      </c>
      <c r="W337" s="636"/>
      <c r="X337" s="440">
        <v>2.8000000000000003</v>
      </c>
      <c r="Y337" s="764">
        <v>15</v>
      </c>
      <c r="Z337" s="776">
        <v>76.075999999999993</v>
      </c>
      <c r="AA337" s="780">
        <v>40.04</v>
      </c>
      <c r="AB337" s="811"/>
      <c r="AC337" s="818">
        <v>30</v>
      </c>
      <c r="AD337" s="811" t="s">
        <v>667</v>
      </c>
      <c r="AE337" s="811">
        <v>0</v>
      </c>
      <c r="AF337" s="643">
        <v>5121</v>
      </c>
    </row>
    <row r="338" spans="1:32" ht="31.5">
      <c r="A338" s="643">
        <v>5124</v>
      </c>
      <c r="B338" s="644"/>
      <c r="C338" s="644" t="s">
        <v>887</v>
      </c>
      <c r="D338" s="559">
        <v>250</v>
      </c>
      <c r="E338" s="545">
        <v>19000</v>
      </c>
      <c r="F338" s="546">
        <v>96</v>
      </c>
      <c r="G338" s="653">
        <v>38</v>
      </c>
      <c r="H338" s="560">
        <v>34</v>
      </c>
      <c r="I338" s="654">
        <v>46</v>
      </c>
      <c r="J338" s="561">
        <v>80</v>
      </c>
      <c r="K338" s="554"/>
      <c r="L338" s="562">
        <v>15</v>
      </c>
      <c r="M338" s="561">
        <v>2000</v>
      </c>
      <c r="N338" s="592">
        <v>0.1</v>
      </c>
      <c r="O338" s="594">
        <v>1.5</v>
      </c>
      <c r="P338" s="590">
        <v>40</v>
      </c>
      <c r="Q338" s="431"/>
      <c r="R338" s="430" t="s">
        <v>129</v>
      </c>
      <c r="S338" s="497">
        <v>252</v>
      </c>
      <c r="T338" s="751">
        <v>1640.4</v>
      </c>
      <c r="U338" s="440"/>
      <c r="V338" s="654">
        <v>14.25</v>
      </c>
      <c r="W338" s="636"/>
      <c r="X338" s="440"/>
      <c r="Y338" s="764">
        <v>14.25</v>
      </c>
      <c r="Z338" s="776">
        <v>95.576250000000016</v>
      </c>
      <c r="AA338" s="780">
        <v>38.230500000000006</v>
      </c>
      <c r="AB338" s="811"/>
      <c r="AC338" s="818">
        <v>38</v>
      </c>
      <c r="AD338" s="811" t="s">
        <v>667</v>
      </c>
      <c r="AE338" s="811">
        <v>0</v>
      </c>
      <c r="AF338" s="643">
        <v>5124</v>
      </c>
    </row>
    <row r="339" spans="1:32" ht="31.5">
      <c r="A339" s="643">
        <v>5125</v>
      </c>
      <c r="B339" s="644"/>
      <c r="C339" s="644" t="s">
        <v>888</v>
      </c>
      <c r="D339" s="559">
        <v>190</v>
      </c>
      <c r="E339" s="545">
        <v>45000</v>
      </c>
      <c r="F339" s="546">
        <v>120</v>
      </c>
      <c r="G339" s="653">
        <v>62</v>
      </c>
      <c r="H339" s="560">
        <v>53</v>
      </c>
      <c r="I339" s="654">
        <v>78</v>
      </c>
      <c r="J339" s="561">
        <v>80</v>
      </c>
      <c r="K339" s="554"/>
      <c r="L339" s="562">
        <v>15</v>
      </c>
      <c r="M339" s="561">
        <v>2000</v>
      </c>
      <c r="N339" s="592">
        <v>0.1</v>
      </c>
      <c r="O339" s="594">
        <v>0.6</v>
      </c>
      <c r="P339" s="590">
        <v>30</v>
      </c>
      <c r="Q339" s="429"/>
      <c r="R339" s="430" t="s">
        <v>129</v>
      </c>
      <c r="S339" s="175">
        <v>156</v>
      </c>
      <c r="T339" s="751">
        <v>3432</v>
      </c>
      <c r="U339" s="438"/>
      <c r="V339" s="654">
        <v>13.5</v>
      </c>
      <c r="W339" s="636"/>
      <c r="X339" s="438"/>
      <c r="Y339" s="764">
        <v>13.5</v>
      </c>
      <c r="Z339" s="776">
        <v>117.876</v>
      </c>
      <c r="AA339" s="780">
        <v>62.040000000000006</v>
      </c>
      <c r="AB339" s="811"/>
      <c r="AC339" s="818">
        <v>90</v>
      </c>
      <c r="AD339" s="811" t="s">
        <v>667</v>
      </c>
      <c r="AE339" s="811">
        <v>0</v>
      </c>
      <c r="AF339" s="643">
        <v>5125</v>
      </c>
    </row>
    <row r="340" spans="1:32" ht="31.5">
      <c r="A340" s="643">
        <v>5126</v>
      </c>
      <c r="B340" s="644"/>
      <c r="C340" s="644" t="s">
        <v>889</v>
      </c>
      <c r="D340" s="559">
        <v>250</v>
      </c>
      <c r="E340" s="545">
        <v>49000</v>
      </c>
      <c r="F340" s="546">
        <v>140</v>
      </c>
      <c r="G340" s="653">
        <v>55</v>
      </c>
      <c r="H340" s="560">
        <v>47</v>
      </c>
      <c r="I340" s="654">
        <v>69</v>
      </c>
      <c r="J340" s="561">
        <v>100</v>
      </c>
      <c r="K340" s="554"/>
      <c r="L340" s="562">
        <v>15</v>
      </c>
      <c r="M340" s="561">
        <v>2400</v>
      </c>
      <c r="N340" s="592">
        <v>0.1</v>
      </c>
      <c r="O340" s="594">
        <v>0.6</v>
      </c>
      <c r="P340" s="590">
        <v>40</v>
      </c>
      <c r="Q340" s="431"/>
      <c r="R340" s="430" t="s">
        <v>129</v>
      </c>
      <c r="S340" s="497">
        <v>252</v>
      </c>
      <c r="T340" s="751">
        <v>3788.4</v>
      </c>
      <c r="U340" s="440"/>
      <c r="V340" s="654">
        <v>12.25</v>
      </c>
      <c r="W340" s="636"/>
      <c r="X340" s="440"/>
      <c r="Y340" s="764">
        <v>12.25</v>
      </c>
      <c r="Z340" s="776">
        <v>137.86850000000001</v>
      </c>
      <c r="AA340" s="780">
        <v>55.147400000000005</v>
      </c>
      <c r="AB340" s="811"/>
      <c r="AC340" s="818">
        <v>98</v>
      </c>
      <c r="AD340" s="811" t="s">
        <v>667</v>
      </c>
      <c r="AE340" s="811">
        <v>0</v>
      </c>
      <c r="AF340" s="643">
        <v>5126</v>
      </c>
    </row>
    <row r="341" spans="1:32" ht="15.75">
      <c r="A341" s="633"/>
      <c r="B341" s="634"/>
      <c r="C341" s="634"/>
      <c r="D341" s="569"/>
      <c r="E341" s="556"/>
      <c r="F341" s="557"/>
      <c r="G341" s="653" t="s">
        <v>129</v>
      </c>
      <c r="H341" s="654"/>
      <c r="I341" s="654"/>
      <c r="J341" s="561"/>
      <c r="K341" s="637"/>
      <c r="L341" s="635"/>
      <c r="M341" s="561"/>
      <c r="N341" s="592" t="s">
        <v>129</v>
      </c>
      <c r="O341" s="594" t="s">
        <v>129</v>
      </c>
      <c r="P341" s="745"/>
      <c r="Q341" s="431">
        <v>0.25</v>
      </c>
      <c r="R341" s="430">
        <v>725.11999999999989</v>
      </c>
      <c r="S341" s="175">
        <v>156</v>
      </c>
      <c r="T341" s="753" t="s">
        <v>129</v>
      </c>
      <c r="U341" s="440">
        <v>26.820571428571427</v>
      </c>
      <c r="V341" s="757"/>
      <c r="W341" s="755"/>
      <c r="X341" s="440">
        <v>7</v>
      </c>
      <c r="Y341" s="764" t="s">
        <v>129</v>
      </c>
      <c r="Z341" s="778"/>
      <c r="AA341" s="780"/>
      <c r="AB341" s="634"/>
      <c r="AC341" s="820" t="s">
        <v>129</v>
      </c>
      <c r="AD341" s="822"/>
      <c r="AE341" s="822"/>
      <c r="AF341" s="633"/>
    </row>
    <row r="342" spans="1:32" ht="15.75">
      <c r="A342" s="624">
        <v>5130</v>
      </c>
      <c r="B342" s="625"/>
      <c r="C342" s="626" t="s">
        <v>890</v>
      </c>
      <c r="D342" s="627"/>
      <c r="E342" s="628"/>
      <c r="F342" s="629"/>
      <c r="G342" s="687" t="s">
        <v>129</v>
      </c>
      <c r="H342" s="631"/>
      <c r="I342" s="631"/>
      <c r="J342" s="632"/>
      <c r="K342" s="632"/>
      <c r="L342" s="627"/>
      <c r="M342" s="632"/>
      <c r="N342" s="739" t="s">
        <v>129</v>
      </c>
      <c r="O342" s="744" t="s">
        <v>129</v>
      </c>
      <c r="P342" s="742"/>
      <c r="Q342" s="431">
        <v>0.1</v>
      </c>
      <c r="R342" s="430">
        <v>1005.75</v>
      </c>
      <c r="S342" s="497">
        <v>91</v>
      </c>
      <c r="T342" s="750" t="s">
        <v>129</v>
      </c>
      <c r="U342" s="440">
        <v>60.737499999999997</v>
      </c>
      <c r="V342" s="631"/>
      <c r="W342" s="631"/>
      <c r="X342" s="440">
        <v>2.8000000000000003</v>
      </c>
      <c r="Y342" s="768" t="s">
        <v>129</v>
      </c>
      <c r="Z342" s="774"/>
      <c r="AA342" s="775"/>
      <c r="AB342" s="810"/>
      <c r="AC342" s="817" t="s">
        <v>129</v>
      </c>
      <c r="AD342" s="810"/>
      <c r="AE342" s="810"/>
      <c r="AF342" s="624">
        <v>5130</v>
      </c>
    </row>
    <row r="343" spans="1:32" ht="15.75">
      <c r="A343" s="633"/>
      <c r="B343" s="634"/>
      <c r="C343" s="634"/>
      <c r="D343" s="569"/>
      <c r="E343" s="556"/>
      <c r="F343" s="557"/>
      <c r="G343" s="653" t="s">
        <v>129</v>
      </c>
      <c r="H343" s="654"/>
      <c r="I343" s="654"/>
      <c r="J343" s="561"/>
      <c r="K343" s="637"/>
      <c r="L343" s="635"/>
      <c r="M343" s="561"/>
      <c r="N343" s="592" t="s">
        <v>129</v>
      </c>
      <c r="O343" s="594" t="s">
        <v>129</v>
      </c>
      <c r="P343" s="745"/>
      <c r="Q343" s="431">
        <v>0.1</v>
      </c>
      <c r="R343" s="430">
        <v>1862.5</v>
      </c>
      <c r="S343" s="175"/>
      <c r="T343" s="753" t="s">
        <v>129</v>
      </c>
      <c r="U343" s="440">
        <v>104.72499999999999</v>
      </c>
      <c r="V343" s="757"/>
      <c r="W343" s="755"/>
      <c r="X343" s="440">
        <v>2.8000000000000003</v>
      </c>
      <c r="Y343" s="764" t="s">
        <v>129</v>
      </c>
      <c r="Z343" s="778"/>
      <c r="AA343" s="780"/>
      <c r="AB343" s="634"/>
      <c r="AC343" s="820" t="s">
        <v>129</v>
      </c>
      <c r="AD343" s="822"/>
      <c r="AE343" s="822"/>
      <c r="AF343" s="633"/>
    </row>
    <row r="344" spans="1:32" ht="15.75">
      <c r="A344" s="643">
        <v>5131</v>
      </c>
      <c r="B344" s="644"/>
      <c r="C344" s="644" t="s">
        <v>891</v>
      </c>
      <c r="D344" s="559">
        <v>191</v>
      </c>
      <c r="E344" s="545">
        <v>2000</v>
      </c>
      <c r="F344" s="546">
        <v>17</v>
      </c>
      <c r="G344" s="653">
        <v>9.1</v>
      </c>
      <c r="H344" s="654">
        <v>8</v>
      </c>
      <c r="I344" s="654">
        <v>11</v>
      </c>
      <c r="J344" s="561">
        <v>60</v>
      </c>
      <c r="K344" s="554" t="s">
        <v>221</v>
      </c>
      <c r="L344" s="562">
        <v>15</v>
      </c>
      <c r="M344" s="561">
        <v>1400</v>
      </c>
      <c r="N344" s="592">
        <v>0.1</v>
      </c>
      <c r="O344" s="594">
        <v>1.5</v>
      </c>
      <c r="P344" s="590">
        <v>32</v>
      </c>
      <c r="Q344" s="431">
        <v>0.05</v>
      </c>
      <c r="R344" s="430">
        <v>819.5</v>
      </c>
      <c r="S344" s="496"/>
      <c r="T344" s="751">
        <v>367.2</v>
      </c>
      <c r="U344" s="440">
        <v>48.024999999999999</v>
      </c>
      <c r="V344" s="654">
        <v>2.1428571428571428</v>
      </c>
      <c r="W344" s="636"/>
      <c r="X344" s="440">
        <v>1.4000000000000001</v>
      </c>
      <c r="Y344" s="764">
        <v>2.1428571428571428</v>
      </c>
      <c r="Z344" s="776">
        <v>17.36026285714286</v>
      </c>
      <c r="AA344" s="780">
        <v>9.0891428571428587</v>
      </c>
      <c r="AB344" s="811"/>
      <c r="AC344" s="818">
        <v>4</v>
      </c>
      <c r="AD344" s="811" t="s">
        <v>667</v>
      </c>
      <c r="AE344" s="811">
        <v>0</v>
      </c>
      <c r="AF344" s="643">
        <v>5131</v>
      </c>
    </row>
    <row r="345" spans="1:32" ht="15.75">
      <c r="A345" s="643">
        <v>5132</v>
      </c>
      <c r="B345" s="644"/>
      <c r="C345" s="644" t="s">
        <v>892</v>
      </c>
      <c r="D345" s="559">
        <v>278</v>
      </c>
      <c r="E345" s="545">
        <v>2900</v>
      </c>
      <c r="F345" s="546">
        <v>24</v>
      </c>
      <c r="G345" s="653">
        <v>8.6</v>
      </c>
      <c r="H345" s="654">
        <v>7</v>
      </c>
      <c r="I345" s="654">
        <v>11</v>
      </c>
      <c r="J345" s="561">
        <v>80</v>
      </c>
      <c r="K345" s="554" t="s">
        <v>221</v>
      </c>
      <c r="L345" s="562">
        <v>15</v>
      </c>
      <c r="M345" s="561">
        <v>2000</v>
      </c>
      <c r="N345" s="592">
        <v>0.1</v>
      </c>
      <c r="O345" s="594">
        <v>1.35</v>
      </c>
      <c r="P345" s="590">
        <v>37</v>
      </c>
      <c r="Q345" s="431">
        <v>0.05</v>
      </c>
      <c r="R345" s="430">
        <v>6779.5</v>
      </c>
      <c r="S345" s="175"/>
      <c r="T345" s="751">
        <v>466.64</v>
      </c>
      <c r="U345" s="440">
        <v>369.77499999999998</v>
      </c>
      <c r="V345" s="654">
        <v>1.9575</v>
      </c>
      <c r="W345" s="636"/>
      <c r="X345" s="440">
        <v>1.4000000000000001</v>
      </c>
      <c r="Y345" s="764">
        <v>1.9575</v>
      </c>
      <c r="Z345" s="776">
        <v>23.823348999999997</v>
      </c>
      <c r="AA345" s="780">
        <v>8.5695499999999996</v>
      </c>
      <c r="AB345" s="811"/>
      <c r="AC345" s="818">
        <v>5.8</v>
      </c>
      <c r="AD345" s="811" t="s">
        <v>667</v>
      </c>
      <c r="AE345" s="811">
        <v>0</v>
      </c>
      <c r="AF345" s="643">
        <v>5132</v>
      </c>
    </row>
    <row r="346" spans="1:32" ht="15.75">
      <c r="A346" s="643">
        <v>5133</v>
      </c>
      <c r="B346" s="644"/>
      <c r="C346" s="644" t="s">
        <v>893</v>
      </c>
      <c r="D346" s="559">
        <v>142</v>
      </c>
      <c r="E346" s="545">
        <v>5500</v>
      </c>
      <c r="F346" s="546">
        <v>28</v>
      </c>
      <c r="G346" s="653">
        <v>20</v>
      </c>
      <c r="H346" s="654">
        <v>17</v>
      </c>
      <c r="I346" s="654">
        <v>25</v>
      </c>
      <c r="J346" s="561">
        <v>40</v>
      </c>
      <c r="K346" s="554" t="s">
        <v>221</v>
      </c>
      <c r="L346" s="562">
        <v>15</v>
      </c>
      <c r="M346" s="561">
        <v>1200</v>
      </c>
      <c r="N346" s="592">
        <v>0.25</v>
      </c>
      <c r="O346" s="594">
        <v>1.1000000000000001</v>
      </c>
      <c r="P346" s="590">
        <v>26</v>
      </c>
      <c r="Q346" s="429"/>
      <c r="R346" s="430" t="s">
        <v>129</v>
      </c>
      <c r="S346" s="497">
        <v>78</v>
      </c>
      <c r="T346" s="751">
        <v>525.75</v>
      </c>
      <c r="U346" s="438"/>
      <c r="V346" s="654">
        <v>5.041666666666667</v>
      </c>
      <c r="W346" s="636"/>
      <c r="X346" s="438"/>
      <c r="Y346" s="764">
        <v>5.041666666666667</v>
      </c>
      <c r="Z346" s="776">
        <v>28.405620833333337</v>
      </c>
      <c r="AA346" s="780">
        <v>20.003958333333337</v>
      </c>
      <c r="AB346" s="811"/>
      <c r="AC346" s="818">
        <v>11</v>
      </c>
      <c r="AD346" s="811" t="s">
        <v>667</v>
      </c>
      <c r="AE346" s="811">
        <v>0</v>
      </c>
      <c r="AF346" s="643">
        <v>5133</v>
      </c>
    </row>
    <row r="347" spans="1:32" ht="15.75">
      <c r="A347" s="643">
        <v>5134</v>
      </c>
      <c r="B347" s="644"/>
      <c r="C347" s="644" t="s">
        <v>894</v>
      </c>
      <c r="D347" s="559">
        <v>280</v>
      </c>
      <c r="E347" s="545">
        <v>12000</v>
      </c>
      <c r="F347" s="546">
        <v>55</v>
      </c>
      <c r="G347" s="653">
        <v>19.5</v>
      </c>
      <c r="H347" s="654">
        <v>17</v>
      </c>
      <c r="I347" s="654">
        <v>24</v>
      </c>
      <c r="J347" s="561">
        <v>80</v>
      </c>
      <c r="K347" s="554" t="s">
        <v>221</v>
      </c>
      <c r="L347" s="562">
        <v>15</v>
      </c>
      <c r="M347" s="561">
        <v>2400</v>
      </c>
      <c r="N347" s="592">
        <v>0.25</v>
      </c>
      <c r="O347" s="594">
        <v>0.95</v>
      </c>
      <c r="P347" s="590">
        <v>42</v>
      </c>
      <c r="Q347" s="429"/>
      <c r="R347" s="430" t="s">
        <v>129</v>
      </c>
      <c r="S347" s="175">
        <v>114</v>
      </c>
      <c r="T347" s="751">
        <v>1044</v>
      </c>
      <c r="U347" s="438"/>
      <c r="V347" s="654">
        <v>4.75</v>
      </c>
      <c r="W347" s="636"/>
      <c r="X347" s="438"/>
      <c r="Y347" s="764">
        <v>4.75</v>
      </c>
      <c r="Z347" s="776">
        <v>54.824000000000005</v>
      </c>
      <c r="AA347" s="780">
        <v>19.580000000000002</v>
      </c>
      <c r="AB347" s="811"/>
      <c r="AC347" s="818">
        <v>24</v>
      </c>
      <c r="AD347" s="811" t="s">
        <v>667</v>
      </c>
      <c r="AE347" s="811">
        <v>0</v>
      </c>
      <c r="AF347" s="643">
        <v>5134</v>
      </c>
    </row>
    <row r="348" spans="1:32" ht="15.75">
      <c r="A348" s="643">
        <v>5135</v>
      </c>
      <c r="B348" s="644"/>
      <c r="C348" s="644" t="s">
        <v>895</v>
      </c>
      <c r="D348" s="559">
        <v>130</v>
      </c>
      <c r="E348" s="545">
        <v>12500</v>
      </c>
      <c r="F348" s="546">
        <v>35</v>
      </c>
      <c r="G348" s="653">
        <v>27</v>
      </c>
      <c r="H348" s="654">
        <v>23</v>
      </c>
      <c r="I348" s="654">
        <v>32</v>
      </c>
      <c r="J348" s="561">
        <v>60</v>
      </c>
      <c r="K348" s="554" t="s">
        <v>221</v>
      </c>
      <c r="L348" s="562">
        <v>15</v>
      </c>
      <c r="M348" s="561">
        <v>2000</v>
      </c>
      <c r="N348" s="592">
        <v>0.25</v>
      </c>
      <c r="O348" s="594">
        <v>1.3</v>
      </c>
      <c r="P348" s="590">
        <v>26</v>
      </c>
      <c r="Q348" s="431"/>
      <c r="R348" s="430" t="s">
        <v>129</v>
      </c>
      <c r="S348" s="497">
        <v>156</v>
      </c>
      <c r="T348" s="751">
        <v>963.25</v>
      </c>
      <c r="U348" s="440"/>
      <c r="V348" s="654">
        <v>8.125</v>
      </c>
      <c r="W348" s="636"/>
      <c r="X348" s="440"/>
      <c r="Y348" s="764">
        <v>8.125</v>
      </c>
      <c r="Z348" s="776">
        <v>34.576208333333341</v>
      </c>
      <c r="AA348" s="780">
        <v>26.597083333333337</v>
      </c>
      <c r="AB348" s="811"/>
      <c r="AC348" s="818">
        <v>25</v>
      </c>
      <c r="AD348" s="811" t="s">
        <v>667</v>
      </c>
      <c r="AE348" s="811">
        <v>0</v>
      </c>
      <c r="AF348" s="643">
        <v>5135</v>
      </c>
    </row>
    <row r="349" spans="1:32" ht="15.75">
      <c r="A349" s="643">
        <v>5136</v>
      </c>
      <c r="B349" s="644"/>
      <c r="C349" s="644" t="s">
        <v>896</v>
      </c>
      <c r="D349" s="559">
        <v>260</v>
      </c>
      <c r="E349" s="545">
        <v>24000</v>
      </c>
      <c r="F349" s="546">
        <v>80</v>
      </c>
      <c r="G349" s="653">
        <v>31</v>
      </c>
      <c r="H349" s="654">
        <v>26</v>
      </c>
      <c r="I349" s="654">
        <v>38</v>
      </c>
      <c r="J349" s="561">
        <v>90</v>
      </c>
      <c r="K349" s="554" t="s">
        <v>221</v>
      </c>
      <c r="L349" s="562">
        <v>15</v>
      </c>
      <c r="M349" s="561">
        <v>3000</v>
      </c>
      <c r="N349" s="592">
        <v>0.25</v>
      </c>
      <c r="O349" s="594">
        <v>1</v>
      </c>
      <c r="P349" s="590">
        <v>42</v>
      </c>
      <c r="Q349" s="431">
        <v>0.25</v>
      </c>
      <c r="R349" s="430">
        <v>675.68000000000006</v>
      </c>
      <c r="S349" s="175">
        <v>192</v>
      </c>
      <c r="T349" s="751">
        <v>1794</v>
      </c>
      <c r="U349" s="440">
        <v>30.069333333333336</v>
      </c>
      <c r="V349" s="654">
        <v>8</v>
      </c>
      <c r="W349" s="636"/>
      <c r="X349" s="440">
        <v>7</v>
      </c>
      <c r="Y349" s="764">
        <v>8</v>
      </c>
      <c r="Z349" s="776">
        <v>79.88933333333334</v>
      </c>
      <c r="AA349" s="780">
        <v>30.72666666666667</v>
      </c>
      <c r="AB349" s="811"/>
      <c r="AC349" s="818">
        <v>48</v>
      </c>
      <c r="AD349" s="811" t="s">
        <v>667</v>
      </c>
      <c r="AE349" s="811">
        <v>0</v>
      </c>
      <c r="AF349" s="643">
        <v>5136</v>
      </c>
    </row>
    <row r="350" spans="1:32" ht="15.75">
      <c r="A350" s="643">
        <v>5137</v>
      </c>
      <c r="B350" s="644"/>
      <c r="C350" s="644" t="s">
        <v>851</v>
      </c>
      <c r="D350" s="559">
        <v>110</v>
      </c>
      <c r="E350" s="545">
        <v>12000</v>
      </c>
      <c r="F350" s="546">
        <v>28</v>
      </c>
      <c r="G350" s="653">
        <v>26</v>
      </c>
      <c r="H350" s="654">
        <v>22</v>
      </c>
      <c r="I350" s="654">
        <v>31</v>
      </c>
      <c r="J350" s="561">
        <v>60</v>
      </c>
      <c r="K350" s="554" t="s">
        <v>221</v>
      </c>
      <c r="L350" s="562">
        <v>15</v>
      </c>
      <c r="M350" s="561">
        <v>2000</v>
      </c>
      <c r="N350" s="592">
        <v>0.25</v>
      </c>
      <c r="O350" s="594">
        <v>1.3</v>
      </c>
      <c r="P350" s="590">
        <v>26</v>
      </c>
      <c r="Q350" s="431">
        <v>0.1</v>
      </c>
      <c r="R350" s="430">
        <v>871.65</v>
      </c>
      <c r="S350" s="497">
        <v>90</v>
      </c>
      <c r="T350" s="751">
        <v>932</v>
      </c>
      <c r="U350" s="440">
        <v>37.535000000000004</v>
      </c>
      <c r="V350" s="654">
        <v>7.8000000000000007</v>
      </c>
      <c r="W350" s="636"/>
      <c r="X350" s="440">
        <v>2.8000000000000003</v>
      </c>
      <c r="Y350" s="764">
        <v>7.8000000000000007</v>
      </c>
      <c r="Z350" s="776">
        <v>28.233333333333338</v>
      </c>
      <c r="AA350" s="780">
        <v>25.666666666666671</v>
      </c>
      <c r="AB350" s="811"/>
      <c r="AC350" s="818">
        <v>24</v>
      </c>
      <c r="AD350" s="811" t="s">
        <v>667</v>
      </c>
      <c r="AE350" s="811">
        <v>0</v>
      </c>
      <c r="AF350" s="643">
        <v>5137</v>
      </c>
    </row>
    <row r="351" spans="1:32" ht="15.75">
      <c r="A351" s="643">
        <v>5138</v>
      </c>
      <c r="B351" s="644" t="s">
        <v>411</v>
      </c>
      <c r="C351" s="644" t="s">
        <v>897</v>
      </c>
      <c r="D351" s="551">
        <v>2</v>
      </c>
      <c r="E351" s="545">
        <v>2000</v>
      </c>
      <c r="F351" s="558">
        <v>14.5</v>
      </c>
      <c r="G351" s="645" t="s">
        <v>129</v>
      </c>
      <c r="H351" s="636">
        <v>13.5</v>
      </c>
      <c r="I351" s="636">
        <v>15.5</v>
      </c>
      <c r="J351" s="549">
        <v>80</v>
      </c>
      <c r="K351" s="554">
        <v>60</v>
      </c>
      <c r="L351" s="562">
        <v>10</v>
      </c>
      <c r="M351" s="549">
        <v>4000</v>
      </c>
      <c r="N351" s="592">
        <v>0.25</v>
      </c>
      <c r="O351" s="594">
        <v>2.2000000000000002</v>
      </c>
      <c r="P351" s="590">
        <v>7</v>
      </c>
      <c r="Q351" s="431">
        <v>6.7000000000000004E-2</v>
      </c>
      <c r="R351" s="430">
        <v>894</v>
      </c>
      <c r="S351" s="175">
        <v>126</v>
      </c>
      <c r="T351" s="751">
        <v>280</v>
      </c>
      <c r="U351" s="440">
        <v>45.68</v>
      </c>
      <c r="V351" s="636">
        <v>1.1000000000000001</v>
      </c>
      <c r="W351" s="636">
        <v>8.51</v>
      </c>
      <c r="X351" s="440">
        <v>1.8760000000000001</v>
      </c>
      <c r="Y351" s="761">
        <v>9.61</v>
      </c>
      <c r="Z351" s="776">
        <v>14.421000000000001</v>
      </c>
      <c r="AA351" s="777"/>
      <c r="AB351" s="811">
        <v>2</v>
      </c>
      <c r="AC351" s="818">
        <v>4</v>
      </c>
      <c r="AD351" s="811" t="s">
        <v>633</v>
      </c>
      <c r="AE351" s="811">
        <v>2</v>
      </c>
      <c r="AF351" s="643">
        <v>5138</v>
      </c>
    </row>
    <row r="352" spans="1:32" ht="15.75">
      <c r="A352" s="633"/>
      <c r="B352" s="634"/>
      <c r="C352" s="634"/>
      <c r="D352" s="570"/>
      <c r="E352" s="556"/>
      <c r="F352" s="571"/>
      <c r="G352" s="635" t="s">
        <v>129</v>
      </c>
      <c r="H352" s="636"/>
      <c r="I352" s="636"/>
      <c r="J352" s="549"/>
      <c r="K352" s="637"/>
      <c r="L352" s="635"/>
      <c r="M352" s="549"/>
      <c r="N352" s="592" t="s">
        <v>129</v>
      </c>
      <c r="O352" s="594" t="s">
        <v>129</v>
      </c>
      <c r="P352" s="745"/>
      <c r="Q352" s="431">
        <v>0.25</v>
      </c>
      <c r="R352" s="430">
        <v>906.4</v>
      </c>
      <c r="S352" s="497">
        <v>174</v>
      </c>
      <c r="T352" s="753" t="s">
        <v>129</v>
      </c>
      <c r="U352" s="440">
        <v>43.856000000000002</v>
      </c>
      <c r="V352" s="755"/>
      <c r="W352" s="755"/>
      <c r="X352" s="440">
        <v>7</v>
      </c>
      <c r="Y352" s="761" t="s">
        <v>129</v>
      </c>
      <c r="Z352" s="778"/>
      <c r="AA352" s="777"/>
      <c r="AB352" s="634"/>
      <c r="AC352" s="820" t="s">
        <v>129</v>
      </c>
      <c r="AD352" s="822"/>
      <c r="AE352" s="822"/>
      <c r="AF352" s="633"/>
    </row>
    <row r="353" spans="1:32" ht="15.75">
      <c r="A353" s="624">
        <v>5140</v>
      </c>
      <c r="B353" s="625" t="s">
        <v>411</v>
      </c>
      <c r="C353" s="626" t="s">
        <v>898</v>
      </c>
      <c r="D353" s="627"/>
      <c r="E353" s="628"/>
      <c r="F353" s="629"/>
      <c r="G353" s="630" t="s">
        <v>129</v>
      </c>
      <c r="H353" s="631"/>
      <c r="I353" s="631"/>
      <c r="J353" s="632"/>
      <c r="K353" s="632"/>
      <c r="L353" s="627"/>
      <c r="M353" s="632"/>
      <c r="N353" s="739" t="s">
        <v>129</v>
      </c>
      <c r="O353" s="744" t="s">
        <v>129</v>
      </c>
      <c r="P353" s="742"/>
      <c r="Q353" s="431"/>
      <c r="R353" s="430" t="s">
        <v>129</v>
      </c>
      <c r="S353" s="175">
        <v>198</v>
      </c>
      <c r="T353" s="750" t="s">
        <v>129</v>
      </c>
      <c r="U353" s="440"/>
      <c r="V353" s="631"/>
      <c r="W353" s="631"/>
      <c r="X353" s="440"/>
      <c r="Y353" s="763" t="s">
        <v>129</v>
      </c>
      <c r="Z353" s="774"/>
      <c r="AA353" s="775"/>
      <c r="AB353" s="810"/>
      <c r="AC353" s="817" t="s">
        <v>129</v>
      </c>
      <c r="AD353" s="810"/>
      <c r="AE353" s="810"/>
      <c r="AF353" s="624">
        <v>5140</v>
      </c>
    </row>
    <row r="354" spans="1:32" ht="15.75">
      <c r="A354" s="633"/>
      <c r="B354" s="634"/>
      <c r="C354" s="633"/>
      <c r="D354" s="551"/>
      <c r="E354" s="545"/>
      <c r="F354" s="572"/>
      <c r="G354" s="633" t="s">
        <v>129</v>
      </c>
      <c r="H354" s="636"/>
      <c r="I354" s="636"/>
      <c r="J354" s="549"/>
      <c r="K354" s="635"/>
      <c r="L354" s="633"/>
      <c r="M354" s="549"/>
      <c r="N354" s="592" t="s">
        <v>129</v>
      </c>
      <c r="O354" s="748" t="s">
        <v>129</v>
      </c>
      <c r="P354" s="743"/>
      <c r="Q354" s="429"/>
      <c r="R354" s="430" t="s">
        <v>129</v>
      </c>
      <c r="S354" s="175"/>
      <c r="T354" s="751" t="s">
        <v>129</v>
      </c>
      <c r="U354" s="438"/>
      <c r="V354" s="636"/>
      <c r="W354" s="636"/>
      <c r="X354" s="438"/>
      <c r="Y354" s="761" t="s">
        <v>129</v>
      </c>
      <c r="Z354" s="776"/>
      <c r="AA354" s="781"/>
      <c r="AB354" s="633"/>
      <c r="AC354" s="818" t="s">
        <v>129</v>
      </c>
      <c r="AD354" s="811"/>
      <c r="AE354" s="811"/>
      <c r="AF354" s="633"/>
    </row>
    <row r="355" spans="1:32" ht="15.75">
      <c r="A355" s="541">
        <v>5141</v>
      </c>
      <c r="B355" s="644"/>
      <c r="C355" s="542" t="s">
        <v>899</v>
      </c>
      <c r="D355" s="559">
        <v>52</v>
      </c>
      <c r="E355" s="545">
        <v>7600</v>
      </c>
      <c r="F355" s="546">
        <v>14</v>
      </c>
      <c r="G355" s="653">
        <v>28</v>
      </c>
      <c r="H355" s="654">
        <v>25</v>
      </c>
      <c r="I355" s="654">
        <v>32</v>
      </c>
      <c r="J355" s="561">
        <v>50</v>
      </c>
      <c r="K355" s="554" t="s">
        <v>221</v>
      </c>
      <c r="L355" s="562">
        <v>12</v>
      </c>
      <c r="M355" s="561">
        <v>1600</v>
      </c>
      <c r="N355" s="592">
        <v>0.25</v>
      </c>
      <c r="O355" s="594">
        <v>2.5</v>
      </c>
      <c r="P355" s="590">
        <v>13</v>
      </c>
      <c r="Q355" s="431"/>
      <c r="R355" s="430" t="s">
        <v>129</v>
      </c>
      <c r="S355" s="496"/>
      <c r="T355" s="751">
        <v>661</v>
      </c>
      <c r="U355" s="440"/>
      <c r="V355" s="654">
        <v>11.875</v>
      </c>
      <c r="W355" s="636"/>
      <c r="X355" s="440"/>
      <c r="Y355" s="764">
        <v>11.875</v>
      </c>
      <c r="Z355" s="776">
        <v>14.354340000000002</v>
      </c>
      <c r="AA355" s="780">
        <v>27.604500000000002</v>
      </c>
      <c r="AB355" s="811"/>
      <c r="AC355" s="818">
        <v>15.200000000000001</v>
      </c>
      <c r="AD355" s="811" t="s">
        <v>667</v>
      </c>
      <c r="AE355" s="811">
        <v>0</v>
      </c>
      <c r="AF355" s="541">
        <v>5141</v>
      </c>
    </row>
    <row r="356" spans="1:32" ht="15.75">
      <c r="A356" s="541">
        <v>5142</v>
      </c>
      <c r="B356" s="644" t="s">
        <v>411</v>
      </c>
      <c r="C356" s="542" t="s">
        <v>900</v>
      </c>
      <c r="D356" s="559">
        <v>87</v>
      </c>
      <c r="E356" s="545">
        <v>12000</v>
      </c>
      <c r="F356" s="546">
        <v>32</v>
      </c>
      <c r="G356" s="653">
        <v>37</v>
      </c>
      <c r="H356" s="654">
        <v>33</v>
      </c>
      <c r="I356" s="654">
        <v>43</v>
      </c>
      <c r="J356" s="561">
        <v>60</v>
      </c>
      <c r="K356" s="554" t="s">
        <v>221</v>
      </c>
      <c r="L356" s="562">
        <v>12</v>
      </c>
      <c r="M356" s="561">
        <v>1800</v>
      </c>
      <c r="N356" s="592">
        <v>0.25</v>
      </c>
      <c r="O356" s="594">
        <v>2.4</v>
      </c>
      <c r="P356" s="590">
        <v>19</v>
      </c>
      <c r="Q356" s="431">
        <v>0.05</v>
      </c>
      <c r="R356" s="430">
        <v>230.72000000000003</v>
      </c>
      <c r="S356" s="175"/>
      <c r="T356" s="751">
        <v>1033</v>
      </c>
      <c r="U356" s="440">
        <v>10.458000000000002</v>
      </c>
      <c r="V356" s="654">
        <v>16</v>
      </c>
      <c r="W356" s="636"/>
      <c r="X356" s="440">
        <v>1.4000000000000001</v>
      </c>
      <c r="Y356" s="764">
        <v>16</v>
      </c>
      <c r="Z356" s="776">
        <v>31.788350000000005</v>
      </c>
      <c r="AA356" s="780">
        <v>36.538333333333341</v>
      </c>
      <c r="AB356" s="811"/>
      <c r="AC356" s="818">
        <v>24</v>
      </c>
      <c r="AD356" s="811" t="s">
        <v>667</v>
      </c>
      <c r="AE356" s="811">
        <v>0</v>
      </c>
      <c r="AF356" s="541">
        <v>5142</v>
      </c>
    </row>
    <row r="357" spans="1:32" ht="15.75">
      <c r="A357" s="541">
        <v>5143</v>
      </c>
      <c r="B357" s="644" t="s">
        <v>411</v>
      </c>
      <c r="C357" s="542" t="s">
        <v>901</v>
      </c>
      <c r="D357" s="559">
        <v>102</v>
      </c>
      <c r="E357" s="545">
        <v>13000</v>
      </c>
      <c r="F357" s="546">
        <v>35</v>
      </c>
      <c r="G357" s="653">
        <v>34</v>
      </c>
      <c r="H357" s="654">
        <v>30</v>
      </c>
      <c r="I357" s="654">
        <v>40</v>
      </c>
      <c r="J357" s="561">
        <v>70</v>
      </c>
      <c r="K357" s="554" t="s">
        <v>221</v>
      </c>
      <c r="L357" s="562">
        <v>12</v>
      </c>
      <c r="M357" s="561">
        <v>2200</v>
      </c>
      <c r="N357" s="592">
        <v>0.25</v>
      </c>
      <c r="O357" s="594">
        <v>2.4500000000000002</v>
      </c>
      <c r="P357" s="590">
        <v>26</v>
      </c>
      <c r="Q357" s="431">
        <v>3.3329999999999999E-2</v>
      </c>
      <c r="R357" s="430">
        <v>296.64000000000004</v>
      </c>
      <c r="S357" s="497">
        <v>24</v>
      </c>
      <c r="T357" s="751">
        <v>1157</v>
      </c>
      <c r="U357" s="440">
        <v>8.7973333333333361</v>
      </c>
      <c r="V357" s="654">
        <v>14.477272727272728</v>
      </c>
      <c r="W357" s="636"/>
      <c r="X357" s="440">
        <v>0.93323999999999996</v>
      </c>
      <c r="Y357" s="764">
        <v>14.477272727272728</v>
      </c>
      <c r="Z357" s="776">
        <v>34.788557142857151</v>
      </c>
      <c r="AA357" s="780">
        <v>34.10642857142858</v>
      </c>
      <c r="AB357" s="811"/>
      <c r="AC357" s="818">
        <v>26</v>
      </c>
      <c r="AD357" s="811" t="s">
        <v>667</v>
      </c>
      <c r="AE357" s="811">
        <v>0</v>
      </c>
      <c r="AF357" s="541">
        <v>5143</v>
      </c>
    </row>
    <row r="358" spans="1:32" ht="15.75">
      <c r="A358" s="541">
        <v>5144</v>
      </c>
      <c r="B358" s="644" t="s">
        <v>411</v>
      </c>
      <c r="C358" s="542" t="s">
        <v>902</v>
      </c>
      <c r="D358" s="559">
        <v>115</v>
      </c>
      <c r="E358" s="545">
        <v>20000</v>
      </c>
      <c r="F358" s="546">
        <v>49</v>
      </c>
      <c r="G358" s="653">
        <v>43</v>
      </c>
      <c r="H358" s="654">
        <v>38</v>
      </c>
      <c r="I358" s="654">
        <v>50</v>
      </c>
      <c r="J358" s="561">
        <v>80</v>
      </c>
      <c r="K358" s="554" t="s">
        <v>221</v>
      </c>
      <c r="L358" s="562">
        <v>12</v>
      </c>
      <c r="M358" s="561">
        <v>2800</v>
      </c>
      <c r="N358" s="592">
        <v>0.25</v>
      </c>
      <c r="O358" s="594">
        <v>2.4</v>
      </c>
      <c r="P358" s="590">
        <v>32</v>
      </c>
      <c r="Q358" s="431">
        <v>2.5000000000000001E-2</v>
      </c>
      <c r="R358" s="430">
        <v>494.4</v>
      </c>
      <c r="S358" s="497">
        <v>90</v>
      </c>
      <c r="T358" s="751">
        <v>1724</v>
      </c>
      <c r="U358" s="440">
        <v>9.567499999999999</v>
      </c>
      <c r="V358" s="654">
        <v>17.142857142857142</v>
      </c>
      <c r="W358" s="636"/>
      <c r="X358" s="440">
        <v>0.70000000000000007</v>
      </c>
      <c r="Y358" s="764">
        <v>17.142857142857142</v>
      </c>
      <c r="Z358" s="776">
        <v>48.946464285714292</v>
      </c>
      <c r="AA358" s="780">
        <v>42.562142857142859</v>
      </c>
      <c r="AB358" s="811"/>
      <c r="AC358" s="818">
        <v>40</v>
      </c>
      <c r="AD358" s="811" t="s">
        <v>667</v>
      </c>
      <c r="AE358" s="811">
        <v>0</v>
      </c>
      <c r="AF358" s="541">
        <v>5144</v>
      </c>
    </row>
    <row r="359" spans="1:32" ht="15.75">
      <c r="A359" s="541">
        <v>5145</v>
      </c>
      <c r="B359" s="644"/>
      <c r="C359" s="542" t="s">
        <v>903</v>
      </c>
      <c r="D359" s="566"/>
      <c r="E359" s="545">
        <v>11000</v>
      </c>
      <c r="F359" s="546">
        <v>25</v>
      </c>
      <c r="G359" s="680" t="s">
        <v>129</v>
      </c>
      <c r="H359" s="636">
        <v>23</v>
      </c>
      <c r="I359" s="636">
        <v>28.5</v>
      </c>
      <c r="J359" s="549">
        <v>100</v>
      </c>
      <c r="K359" s="554" t="s">
        <v>221</v>
      </c>
      <c r="L359" s="562">
        <v>12</v>
      </c>
      <c r="M359" s="549">
        <v>3000</v>
      </c>
      <c r="N359" s="592">
        <v>0.25</v>
      </c>
      <c r="O359" s="594">
        <v>3.65</v>
      </c>
      <c r="P359" s="590">
        <v>15</v>
      </c>
      <c r="Q359" s="431">
        <v>2.5000000000000001E-2</v>
      </c>
      <c r="R359" s="430">
        <v>208.95</v>
      </c>
      <c r="S359" s="175">
        <v>102</v>
      </c>
      <c r="T359" s="751">
        <v>930</v>
      </c>
      <c r="U359" s="439">
        <v>3.9768749999999997</v>
      </c>
      <c r="V359" s="636">
        <v>13.383333333333333</v>
      </c>
      <c r="W359" s="636"/>
      <c r="X359" s="439">
        <v>0.70000000000000007</v>
      </c>
      <c r="Y359" s="761">
        <v>13.383333333333333</v>
      </c>
      <c r="Z359" s="776">
        <v>24.951666666666668</v>
      </c>
      <c r="AA359" s="788"/>
      <c r="AB359" s="811"/>
      <c r="AC359" s="818">
        <v>22</v>
      </c>
      <c r="AD359" s="811" t="s">
        <v>633</v>
      </c>
      <c r="AE359" s="811">
        <v>0</v>
      </c>
      <c r="AF359" s="541">
        <v>5145</v>
      </c>
    </row>
    <row r="360" spans="1:32" ht="15.75">
      <c r="A360" s="541">
        <v>5146</v>
      </c>
      <c r="B360" s="644"/>
      <c r="C360" s="542" t="s">
        <v>904</v>
      </c>
      <c r="D360" s="566"/>
      <c r="E360" s="545">
        <v>12500</v>
      </c>
      <c r="F360" s="546">
        <v>28</v>
      </c>
      <c r="G360" s="680" t="s">
        <v>129</v>
      </c>
      <c r="H360" s="636">
        <v>26</v>
      </c>
      <c r="I360" s="636">
        <v>32</v>
      </c>
      <c r="J360" s="549">
        <v>100</v>
      </c>
      <c r="K360" s="554" t="s">
        <v>221</v>
      </c>
      <c r="L360" s="562">
        <v>12</v>
      </c>
      <c r="M360" s="549">
        <v>3000</v>
      </c>
      <c r="N360" s="592">
        <v>0.25</v>
      </c>
      <c r="O360" s="594">
        <v>3.55</v>
      </c>
      <c r="P360" s="590">
        <v>21</v>
      </c>
      <c r="Q360" s="431"/>
      <c r="R360" s="430" t="s">
        <v>129</v>
      </c>
      <c r="S360" s="497">
        <v>174</v>
      </c>
      <c r="T360" s="751">
        <v>1084.5</v>
      </c>
      <c r="U360" s="439"/>
      <c r="V360" s="636">
        <v>14.791666666666668</v>
      </c>
      <c r="W360" s="636"/>
      <c r="X360" s="439"/>
      <c r="Y360" s="761">
        <v>14.791666666666668</v>
      </c>
      <c r="Z360" s="776">
        <v>28.20033333333334</v>
      </c>
      <c r="AA360" s="788"/>
      <c r="AB360" s="811"/>
      <c r="AC360" s="818">
        <v>25</v>
      </c>
      <c r="AD360" s="811" t="s">
        <v>633</v>
      </c>
      <c r="AE360" s="811">
        <v>0</v>
      </c>
      <c r="AF360" s="541">
        <v>5146</v>
      </c>
    </row>
    <row r="361" spans="1:32" ht="15.75">
      <c r="A361" s="541">
        <v>5147</v>
      </c>
      <c r="B361" s="644"/>
      <c r="C361" s="644" t="s">
        <v>905</v>
      </c>
      <c r="D361" s="566"/>
      <c r="E361" s="545">
        <v>24000</v>
      </c>
      <c r="F361" s="546">
        <v>40</v>
      </c>
      <c r="G361" s="680" t="s">
        <v>129</v>
      </c>
      <c r="H361" s="636">
        <v>40</v>
      </c>
      <c r="I361" s="636">
        <v>50</v>
      </c>
      <c r="J361" s="549">
        <v>120</v>
      </c>
      <c r="K361" s="554" t="s">
        <v>221</v>
      </c>
      <c r="L361" s="562">
        <v>10</v>
      </c>
      <c r="M361" s="549">
        <v>3000</v>
      </c>
      <c r="N361" s="592">
        <v>0.25</v>
      </c>
      <c r="O361" s="594">
        <v>2.2000000000000002</v>
      </c>
      <c r="P361" s="590">
        <v>29</v>
      </c>
      <c r="Q361" s="429"/>
      <c r="R361" s="430" t="s">
        <v>129</v>
      </c>
      <c r="S361" s="175">
        <v>204</v>
      </c>
      <c r="T361" s="751">
        <v>2303</v>
      </c>
      <c r="U361" s="438"/>
      <c r="V361" s="636">
        <v>17.600000000000001</v>
      </c>
      <c r="W361" s="636"/>
      <c r="X361" s="438"/>
      <c r="Y361" s="761">
        <v>17.600000000000001</v>
      </c>
      <c r="Z361" s="776">
        <v>40.470833333333339</v>
      </c>
      <c r="AA361" s="788"/>
      <c r="AB361" s="811"/>
      <c r="AC361" s="818">
        <v>48</v>
      </c>
      <c r="AD361" s="811" t="s">
        <v>633</v>
      </c>
      <c r="AE361" s="811">
        <v>0</v>
      </c>
      <c r="AF361" s="541">
        <v>5147</v>
      </c>
    </row>
    <row r="362" spans="1:32" ht="15.75">
      <c r="A362" s="541">
        <v>5148</v>
      </c>
      <c r="B362" s="644"/>
      <c r="C362" s="644" t="s">
        <v>906</v>
      </c>
      <c r="D362" s="566"/>
      <c r="E362" s="545">
        <v>41000</v>
      </c>
      <c r="F362" s="546">
        <v>33</v>
      </c>
      <c r="G362" s="680" t="s">
        <v>129</v>
      </c>
      <c r="H362" s="636">
        <v>30</v>
      </c>
      <c r="I362" s="636">
        <v>40</v>
      </c>
      <c r="J362" s="549">
        <v>240</v>
      </c>
      <c r="K362" s="554" t="s">
        <v>221</v>
      </c>
      <c r="L362" s="562">
        <v>10</v>
      </c>
      <c r="M362" s="549">
        <v>4000</v>
      </c>
      <c r="N362" s="592">
        <v>0.1</v>
      </c>
      <c r="O362" s="594">
        <v>1.1000000000000001</v>
      </c>
      <c r="P362" s="590">
        <v>33</v>
      </c>
      <c r="Q362" s="431"/>
      <c r="R362" s="430" t="s">
        <v>129</v>
      </c>
      <c r="S362" s="497">
        <v>546</v>
      </c>
      <c r="T362" s="751">
        <v>4396.6000000000004</v>
      </c>
      <c r="U362" s="439"/>
      <c r="V362" s="636">
        <v>11.275</v>
      </c>
      <c r="W362" s="636"/>
      <c r="X362" s="439"/>
      <c r="Y362" s="761">
        <v>11.275</v>
      </c>
      <c r="Z362" s="776">
        <v>32.553583333333336</v>
      </c>
      <c r="AA362" s="788"/>
      <c r="AB362" s="811"/>
      <c r="AC362" s="818">
        <v>82</v>
      </c>
      <c r="AD362" s="811" t="s">
        <v>633</v>
      </c>
      <c r="AE362" s="811">
        <v>0</v>
      </c>
      <c r="AF362" s="541">
        <v>5148</v>
      </c>
    </row>
    <row r="363" spans="1:32" ht="15.75">
      <c r="A363" s="643"/>
      <c r="B363" s="644"/>
      <c r="C363" s="644"/>
      <c r="D363" s="551"/>
      <c r="E363" s="545"/>
      <c r="F363" s="572"/>
      <c r="G363" s="645" t="s">
        <v>129</v>
      </c>
      <c r="H363" s="636"/>
      <c r="I363" s="636"/>
      <c r="J363" s="549"/>
      <c r="K363" s="554"/>
      <c r="L363" s="562"/>
      <c r="M363" s="549"/>
      <c r="N363" s="592" t="s">
        <v>129</v>
      </c>
      <c r="O363" s="594" t="s">
        <v>129</v>
      </c>
      <c r="P363" s="590"/>
      <c r="Q363" s="431">
        <v>0.05</v>
      </c>
      <c r="R363" s="430">
        <v>652.5</v>
      </c>
      <c r="S363" s="399"/>
      <c r="T363" s="751" t="s">
        <v>129</v>
      </c>
      <c r="U363" s="440">
        <v>15.17</v>
      </c>
      <c r="V363" s="636"/>
      <c r="W363" s="636"/>
      <c r="X363" s="440">
        <v>1.4000000000000001</v>
      </c>
      <c r="Y363" s="761" t="s">
        <v>129</v>
      </c>
      <c r="Z363" s="776"/>
      <c r="AA363" s="781"/>
      <c r="AB363" s="811"/>
      <c r="AC363" s="818" t="s">
        <v>129</v>
      </c>
      <c r="AD363" s="811"/>
      <c r="AE363" s="811"/>
      <c r="AF363" s="643"/>
    </row>
    <row r="364" spans="1:32" ht="15.75">
      <c r="A364" s="624">
        <v>5150</v>
      </c>
      <c r="B364" s="625" t="s">
        <v>411</v>
      </c>
      <c r="C364" s="626" t="s">
        <v>907</v>
      </c>
      <c r="D364" s="627"/>
      <c r="E364" s="628"/>
      <c r="F364" s="629"/>
      <c r="G364" s="630" t="s">
        <v>129</v>
      </c>
      <c r="H364" s="631"/>
      <c r="I364" s="631"/>
      <c r="J364" s="632"/>
      <c r="K364" s="632"/>
      <c r="L364" s="627"/>
      <c r="M364" s="632"/>
      <c r="N364" s="739" t="s">
        <v>129</v>
      </c>
      <c r="O364" s="744" t="s">
        <v>129</v>
      </c>
      <c r="P364" s="742"/>
      <c r="Q364" s="431">
        <v>0.05</v>
      </c>
      <c r="R364" s="430">
        <v>1052.7</v>
      </c>
      <c r="S364" s="498"/>
      <c r="T364" s="750" t="s">
        <v>129</v>
      </c>
      <c r="U364" s="440">
        <v>24.198</v>
      </c>
      <c r="V364" s="631"/>
      <c r="W364" s="631"/>
      <c r="X364" s="440">
        <v>1.4000000000000001</v>
      </c>
      <c r="Y364" s="763" t="s">
        <v>129</v>
      </c>
      <c r="Z364" s="774"/>
      <c r="AA364" s="775"/>
      <c r="AB364" s="810"/>
      <c r="AC364" s="817" t="s">
        <v>129</v>
      </c>
      <c r="AD364" s="810"/>
      <c r="AE364" s="810"/>
      <c r="AF364" s="624">
        <v>5150</v>
      </c>
    </row>
    <row r="365" spans="1:32" ht="15.75">
      <c r="A365" s="633"/>
      <c r="B365" s="634"/>
      <c r="C365" s="634"/>
      <c r="D365" s="570"/>
      <c r="E365" s="556"/>
      <c r="F365" s="571"/>
      <c r="G365" s="635" t="s">
        <v>129</v>
      </c>
      <c r="H365" s="636"/>
      <c r="I365" s="636"/>
      <c r="J365" s="549"/>
      <c r="K365" s="637"/>
      <c r="L365" s="635"/>
      <c r="M365" s="561"/>
      <c r="N365" s="592" t="s">
        <v>129</v>
      </c>
      <c r="O365" s="594" t="s">
        <v>129</v>
      </c>
      <c r="P365" s="745"/>
      <c r="Q365" s="431">
        <v>0.05</v>
      </c>
      <c r="R365" s="430">
        <v>1226.7</v>
      </c>
      <c r="S365" s="175"/>
      <c r="T365" s="753" t="s">
        <v>129</v>
      </c>
      <c r="U365" s="440">
        <v>28.738000000000003</v>
      </c>
      <c r="V365" s="755"/>
      <c r="W365" s="755"/>
      <c r="X365" s="440">
        <v>1.4000000000000001</v>
      </c>
      <c r="Y365" s="761" t="s">
        <v>129</v>
      </c>
      <c r="Z365" s="778"/>
      <c r="AA365" s="777"/>
      <c r="AB365" s="634"/>
      <c r="AC365" s="820" t="s">
        <v>129</v>
      </c>
      <c r="AD365" s="822"/>
      <c r="AE365" s="822"/>
      <c r="AF365" s="633"/>
    </row>
    <row r="366" spans="1:32" ht="15.75">
      <c r="A366" s="643">
        <v>5151</v>
      </c>
      <c r="B366" s="644"/>
      <c r="C366" s="644" t="s">
        <v>908</v>
      </c>
      <c r="D366" s="559">
        <v>200</v>
      </c>
      <c r="E366" s="545">
        <v>2100</v>
      </c>
      <c r="F366" s="546">
        <v>36</v>
      </c>
      <c r="G366" s="653">
        <v>18</v>
      </c>
      <c r="H366" s="654">
        <v>15</v>
      </c>
      <c r="I366" s="654">
        <v>23</v>
      </c>
      <c r="J366" s="561">
        <v>15</v>
      </c>
      <c r="K366" s="554" t="s">
        <v>221</v>
      </c>
      <c r="L366" s="562">
        <v>12</v>
      </c>
      <c r="M366" s="561">
        <v>2000</v>
      </c>
      <c r="N366" s="592">
        <v>0.25</v>
      </c>
      <c r="O366" s="594">
        <v>3.8</v>
      </c>
      <c r="P366" s="590">
        <v>4</v>
      </c>
      <c r="Q366" s="431">
        <v>0.05</v>
      </c>
      <c r="R366" s="430">
        <v>1566</v>
      </c>
      <c r="S366" s="496"/>
      <c r="T366" s="751">
        <v>185.5</v>
      </c>
      <c r="U366" s="440">
        <v>36.520000000000003</v>
      </c>
      <c r="V366" s="654">
        <v>3.9899999999999998</v>
      </c>
      <c r="W366" s="636"/>
      <c r="X366" s="440">
        <v>1.4000000000000001</v>
      </c>
      <c r="Y366" s="764">
        <v>3.9899999999999998</v>
      </c>
      <c r="Z366" s="776">
        <v>35.984666666666669</v>
      </c>
      <c r="AA366" s="780">
        <v>17.992333333333335</v>
      </c>
      <c r="AB366" s="811"/>
      <c r="AC366" s="818">
        <v>4.2</v>
      </c>
      <c r="AD366" s="811" t="s">
        <v>667</v>
      </c>
      <c r="AE366" s="811">
        <v>0</v>
      </c>
      <c r="AF366" s="643">
        <v>5151</v>
      </c>
    </row>
    <row r="367" spans="1:32" ht="15.75">
      <c r="A367" s="643">
        <v>5153</v>
      </c>
      <c r="B367" s="644" t="s">
        <v>411</v>
      </c>
      <c r="C367" s="644" t="s">
        <v>909</v>
      </c>
      <c r="D367" s="559">
        <v>253</v>
      </c>
      <c r="E367" s="545">
        <v>28000</v>
      </c>
      <c r="F367" s="546">
        <v>150</v>
      </c>
      <c r="G367" s="653">
        <v>59</v>
      </c>
      <c r="H367" s="654">
        <v>51</v>
      </c>
      <c r="I367" s="654">
        <v>72</v>
      </c>
      <c r="J367" s="561">
        <v>50</v>
      </c>
      <c r="K367" s="554" t="s">
        <v>221</v>
      </c>
      <c r="L367" s="562">
        <v>15</v>
      </c>
      <c r="M367" s="561">
        <v>3000</v>
      </c>
      <c r="N367" s="592">
        <v>0.25</v>
      </c>
      <c r="O367" s="594">
        <v>1.75</v>
      </c>
      <c r="P367" s="590">
        <v>15</v>
      </c>
      <c r="Q367" s="431">
        <v>0.05</v>
      </c>
      <c r="R367" s="430">
        <v>1044</v>
      </c>
      <c r="S367" s="175"/>
      <c r="T367" s="751">
        <v>1855</v>
      </c>
      <c r="U367" s="439">
        <v>11.73</v>
      </c>
      <c r="V367" s="654">
        <v>16.333333333333336</v>
      </c>
      <c r="W367" s="636"/>
      <c r="X367" s="439">
        <v>1.4000000000000001</v>
      </c>
      <c r="Y367" s="764">
        <v>16.333333333333336</v>
      </c>
      <c r="Z367" s="776"/>
      <c r="AA367" s="780">
        <v>58.776666666666678</v>
      </c>
      <c r="AB367" s="811"/>
      <c r="AC367" s="818">
        <v>56</v>
      </c>
      <c r="AD367" s="811" t="s">
        <v>667</v>
      </c>
      <c r="AE367" s="811">
        <v>0</v>
      </c>
      <c r="AF367" s="643">
        <v>5153</v>
      </c>
    </row>
    <row r="368" spans="1:32" ht="15.75">
      <c r="A368" s="643">
        <v>5154</v>
      </c>
      <c r="B368" s="644" t="s">
        <v>411</v>
      </c>
      <c r="C368" s="644" t="s">
        <v>910</v>
      </c>
      <c r="D368" s="559">
        <v>358</v>
      </c>
      <c r="E368" s="545">
        <v>29000</v>
      </c>
      <c r="F368" s="546">
        <v>105</v>
      </c>
      <c r="G368" s="653">
        <v>29</v>
      </c>
      <c r="H368" s="654">
        <v>25</v>
      </c>
      <c r="I368" s="654">
        <v>36</v>
      </c>
      <c r="J368" s="561">
        <v>100</v>
      </c>
      <c r="K368" s="554" t="s">
        <v>221</v>
      </c>
      <c r="L368" s="562">
        <v>15</v>
      </c>
      <c r="M368" s="561">
        <v>4000</v>
      </c>
      <c r="N368" s="592">
        <v>0.25</v>
      </c>
      <c r="O368" s="594">
        <v>1</v>
      </c>
      <c r="P368" s="590">
        <v>17</v>
      </c>
      <c r="Q368" s="431">
        <v>0.05</v>
      </c>
      <c r="R368" s="430">
        <v>1218</v>
      </c>
      <c r="S368" s="497">
        <v>96</v>
      </c>
      <c r="T368" s="751">
        <v>1931.5</v>
      </c>
      <c r="U368" s="439">
        <v>13.93</v>
      </c>
      <c r="V368" s="654">
        <v>7.25</v>
      </c>
      <c r="W368" s="636"/>
      <c r="X368" s="439">
        <v>1.4000000000000001</v>
      </c>
      <c r="Y368" s="764">
        <v>7.25</v>
      </c>
      <c r="Z368" s="776"/>
      <c r="AA368" s="780">
        <v>29.221500000000002</v>
      </c>
      <c r="AB368" s="811"/>
      <c r="AC368" s="818">
        <v>58</v>
      </c>
      <c r="AD368" s="811" t="s">
        <v>667</v>
      </c>
      <c r="AE368" s="811">
        <v>0</v>
      </c>
      <c r="AF368" s="643">
        <v>5154</v>
      </c>
    </row>
    <row r="369" spans="1:32" ht="15.75">
      <c r="A369" s="643">
        <v>5156</v>
      </c>
      <c r="B369" s="644" t="s">
        <v>411</v>
      </c>
      <c r="C369" s="644" t="s">
        <v>911</v>
      </c>
      <c r="D369" s="559">
        <v>402</v>
      </c>
      <c r="E369" s="545">
        <v>40000</v>
      </c>
      <c r="F369" s="546">
        <v>90</v>
      </c>
      <c r="G369" s="653">
        <v>22</v>
      </c>
      <c r="H369" s="654">
        <v>20</v>
      </c>
      <c r="I369" s="654">
        <v>27</v>
      </c>
      <c r="J369" s="561">
        <v>250</v>
      </c>
      <c r="K369" s="554" t="s">
        <v>221</v>
      </c>
      <c r="L369" s="562">
        <v>15</v>
      </c>
      <c r="M369" s="561">
        <v>5000</v>
      </c>
      <c r="N369" s="592">
        <v>0.1</v>
      </c>
      <c r="O369" s="594">
        <v>1</v>
      </c>
      <c r="P369" s="590">
        <v>29</v>
      </c>
      <c r="Q369" s="431">
        <v>0.05</v>
      </c>
      <c r="R369" s="430">
        <v>3582</v>
      </c>
      <c r="S369" s="175"/>
      <c r="T369" s="751">
        <v>3067</v>
      </c>
      <c r="U369" s="439">
        <v>25.713333333333335</v>
      </c>
      <c r="V369" s="654">
        <v>8</v>
      </c>
      <c r="W369" s="636"/>
      <c r="X369" s="439">
        <v>1.4000000000000001</v>
      </c>
      <c r="Y369" s="764">
        <v>8</v>
      </c>
      <c r="Z369" s="776"/>
      <c r="AA369" s="780">
        <v>22.294800000000002</v>
      </c>
      <c r="AB369" s="811"/>
      <c r="AC369" s="818">
        <v>80</v>
      </c>
      <c r="AD369" s="811" t="s">
        <v>667</v>
      </c>
      <c r="AE369" s="811">
        <v>0</v>
      </c>
      <c r="AF369" s="643">
        <v>5156</v>
      </c>
    </row>
    <row r="370" spans="1:32" ht="15.75">
      <c r="A370" s="643">
        <v>5157</v>
      </c>
      <c r="B370" s="644" t="s">
        <v>411</v>
      </c>
      <c r="C370" s="644" t="s">
        <v>912</v>
      </c>
      <c r="D370" s="559">
        <v>323</v>
      </c>
      <c r="E370" s="545">
        <v>60000</v>
      </c>
      <c r="F370" s="546">
        <v>180</v>
      </c>
      <c r="G370" s="653">
        <v>55</v>
      </c>
      <c r="H370" s="654">
        <v>49</v>
      </c>
      <c r="I370" s="654">
        <v>66</v>
      </c>
      <c r="J370" s="561">
        <v>150</v>
      </c>
      <c r="K370" s="554" t="s">
        <v>221</v>
      </c>
      <c r="L370" s="562">
        <v>15</v>
      </c>
      <c r="M370" s="561">
        <v>3000</v>
      </c>
      <c r="N370" s="592">
        <v>0.1</v>
      </c>
      <c r="O370" s="594">
        <v>1</v>
      </c>
      <c r="P370" s="590">
        <v>34</v>
      </c>
      <c r="Q370" s="431"/>
      <c r="R370" s="430" t="s">
        <v>129</v>
      </c>
      <c r="S370" s="497">
        <v>60</v>
      </c>
      <c r="T370" s="751">
        <v>4534</v>
      </c>
      <c r="U370" s="439"/>
      <c r="V370" s="654">
        <v>20</v>
      </c>
      <c r="W370" s="636"/>
      <c r="X370" s="439"/>
      <c r="Y370" s="764">
        <v>20</v>
      </c>
      <c r="Z370" s="776"/>
      <c r="AA370" s="780">
        <v>55.24933333333334</v>
      </c>
      <c r="AB370" s="811"/>
      <c r="AC370" s="818">
        <v>120</v>
      </c>
      <c r="AD370" s="811" t="s">
        <v>667</v>
      </c>
      <c r="AE370" s="811">
        <v>0</v>
      </c>
      <c r="AF370" s="643">
        <v>5157</v>
      </c>
    </row>
    <row r="371" spans="1:32" ht="15.75">
      <c r="A371" s="643">
        <v>5158</v>
      </c>
      <c r="B371" s="644" t="s">
        <v>411</v>
      </c>
      <c r="C371" s="644" t="s">
        <v>913</v>
      </c>
      <c r="D371" s="559">
        <v>412</v>
      </c>
      <c r="E371" s="545">
        <v>69000</v>
      </c>
      <c r="F371" s="546">
        <v>155</v>
      </c>
      <c r="G371" s="653">
        <v>37</v>
      </c>
      <c r="H371" s="654">
        <v>33</v>
      </c>
      <c r="I371" s="654">
        <v>44</v>
      </c>
      <c r="J371" s="561">
        <v>300</v>
      </c>
      <c r="K371" s="554" t="s">
        <v>221</v>
      </c>
      <c r="L371" s="562">
        <v>15</v>
      </c>
      <c r="M371" s="561">
        <v>5000</v>
      </c>
      <c r="N371" s="592">
        <v>0</v>
      </c>
      <c r="O371" s="594">
        <v>1</v>
      </c>
      <c r="P371" s="590">
        <v>91</v>
      </c>
      <c r="Q371" s="429"/>
      <c r="R371" s="430" t="s">
        <v>129</v>
      </c>
      <c r="S371" s="175">
        <v>102</v>
      </c>
      <c r="T371" s="751">
        <v>5996</v>
      </c>
      <c r="U371" s="438"/>
      <c r="V371" s="654">
        <v>13.8</v>
      </c>
      <c r="W371" s="636"/>
      <c r="X371" s="438"/>
      <c r="Y371" s="764">
        <v>13.8</v>
      </c>
      <c r="Z371" s="776"/>
      <c r="AA371" s="780">
        <v>37.165333333333336</v>
      </c>
      <c r="AB371" s="811"/>
      <c r="AC371" s="818">
        <v>138</v>
      </c>
      <c r="AD371" s="811" t="s">
        <v>667</v>
      </c>
      <c r="AE371" s="811">
        <v>0</v>
      </c>
      <c r="AF371" s="643">
        <v>5158</v>
      </c>
    </row>
    <row r="372" spans="1:32" ht="15.75">
      <c r="A372" s="643">
        <v>5160</v>
      </c>
      <c r="B372" s="644"/>
      <c r="C372" s="644" t="s">
        <v>914</v>
      </c>
      <c r="D372" s="559">
        <v>700</v>
      </c>
      <c r="E372" s="545">
        <v>336000</v>
      </c>
      <c r="F372" s="546">
        <v>1050</v>
      </c>
      <c r="G372" s="653">
        <v>150</v>
      </c>
      <c r="H372" s="654">
        <v>134</v>
      </c>
      <c r="I372" s="654">
        <v>173</v>
      </c>
      <c r="J372" s="561">
        <v>600</v>
      </c>
      <c r="K372" s="554">
        <v>30</v>
      </c>
      <c r="L372" s="562">
        <v>10</v>
      </c>
      <c r="M372" s="561">
        <v>7000</v>
      </c>
      <c r="N372" s="592">
        <v>0</v>
      </c>
      <c r="O372" s="594">
        <v>1</v>
      </c>
      <c r="P372" s="590">
        <v>151</v>
      </c>
      <c r="Q372" s="431"/>
      <c r="R372" s="430" t="s">
        <v>129</v>
      </c>
      <c r="S372" s="497">
        <v>168</v>
      </c>
      <c r="T372" s="751">
        <v>39921</v>
      </c>
      <c r="U372" s="439"/>
      <c r="V372" s="654">
        <v>48</v>
      </c>
      <c r="W372" s="636">
        <v>20.587500000000002</v>
      </c>
      <c r="X372" s="439"/>
      <c r="Y372" s="764">
        <v>68.587500000000006</v>
      </c>
      <c r="Z372" s="776"/>
      <c r="AA372" s="780">
        <v>148.63475000000003</v>
      </c>
      <c r="AB372" s="811">
        <v>125</v>
      </c>
      <c r="AC372" s="818">
        <v>1032</v>
      </c>
      <c r="AD372" s="811" t="s">
        <v>667</v>
      </c>
      <c r="AE372" s="811">
        <v>1</v>
      </c>
      <c r="AF372" s="643">
        <v>5160</v>
      </c>
    </row>
    <row r="373" spans="1:32" ht="31.5">
      <c r="A373" s="643">
        <v>5161</v>
      </c>
      <c r="B373" s="644"/>
      <c r="C373" s="644" t="s">
        <v>915</v>
      </c>
      <c r="D373" s="559">
        <v>300</v>
      </c>
      <c r="E373" s="545">
        <v>143000</v>
      </c>
      <c r="F373" s="546">
        <v>260</v>
      </c>
      <c r="G373" s="653">
        <v>86</v>
      </c>
      <c r="H373" s="654">
        <v>74</v>
      </c>
      <c r="I373" s="654">
        <v>107</v>
      </c>
      <c r="J373" s="561">
        <v>300</v>
      </c>
      <c r="K373" s="554"/>
      <c r="L373" s="562">
        <v>10</v>
      </c>
      <c r="M373" s="561">
        <v>3000</v>
      </c>
      <c r="N373" s="592">
        <v>0</v>
      </c>
      <c r="O373" s="594">
        <v>0.5</v>
      </c>
      <c r="P373" s="590">
        <v>36</v>
      </c>
      <c r="Q373" s="431">
        <v>0.1</v>
      </c>
      <c r="R373" s="430">
        <v>121.8</v>
      </c>
      <c r="S373" s="175">
        <v>96</v>
      </c>
      <c r="T373" s="751">
        <v>16425</v>
      </c>
      <c r="U373" s="440">
        <v>10.173333333333336</v>
      </c>
      <c r="V373" s="654">
        <v>23.833333333333332</v>
      </c>
      <c r="W373" s="636"/>
      <c r="X373" s="440">
        <v>2.8000000000000003</v>
      </c>
      <c r="Y373" s="764">
        <v>23.833333333333332</v>
      </c>
      <c r="Z373" s="776"/>
      <c r="AA373" s="780">
        <v>86.441666666666663</v>
      </c>
      <c r="AB373" s="811">
        <v>0</v>
      </c>
      <c r="AC373" s="818">
        <v>586</v>
      </c>
      <c r="AD373" s="811" t="s">
        <v>667</v>
      </c>
      <c r="AE373" s="811">
        <v>0</v>
      </c>
      <c r="AF373" s="643">
        <v>5161</v>
      </c>
    </row>
    <row r="374" spans="1:32" ht="15.75">
      <c r="A374" s="633"/>
      <c r="B374" s="634"/>
      <c r="C374" s="634"/>
      <c r="D374" s="637"/>
      <c r="E374" s="556"/>
      <c r="F374" s="637"/>
      <c r="G374" s="692" t="s">
        <v>129</v>
      </c>
      <c r="H374" s="635"/>
      <c r="I374" s="635"/>
      <c r="J374" s="637"/>
      <c r="K374" s="637"/>
      <c r="L374" s="635"/>
      <c r="M374" s="637"/>
      <c r="N374" s="592" t="s">
        <v>129</v>
      </c>
      <c r="O374" s="594" t="s">
        <v>129</v>
      </c>
      <c r="P374" s="745"/>
      <c r="Q374" s="431">
        <v>0.1</v>
      </c>
      <c r="R374" s="430">
        <v>745</v>
      </c>
      <c r="S374" s="175"/>
      <c r="T374" s="753" t="s">
        <v>129</v>
      </c>
      <c r="U374" s="440">
        <v>21.75</v>
      </c>
      <c r="V374" s="637"/>
      <c r="W374" s="637"/>
      <c r="X374" s="440">
        <v>2.8000000000000003</v>
      </c>
      <c r="Y374" s="764" t="s">
        <v>129</v>
      </c>
      <c r="Z374" s="637"/>
      <c r="AA374" s="637"/>
      <c r="AB374" s="634"/>
      <c r="AC374" s="820" t="s">
        <v>129</v>
      </c>
      <c r="AD374" s="822"/>
      <c r="AE374" s="637"/>
      <c r="AF374" s="633"/>
    </row>
    <row r="375" spans="1:32" ht="15.75">
      <c r="A375" s="663"/>
      <c r="B375" s="664"/>
      <c r="C375" s="665" t="s">
        <v>916</v>
      </c>
      <c r="D375" s="688"/>
      <c r="E375" s="667"/>
      <c r="F375" s="668"/>
      <c r="G375" s="694" t="s">
        <v>129</v>
      </c>
      <c r="H375" s="690"/>
      <c r="I375" s="690"/>
      <c r="J375" s="691"/>
      <c r="K375" s="672"/>
      <c r="L375" s="737"/>
      <c r="M375" s="691"/>
      <c r="N375" s="740" t="s">
        <v>129</v>
      </c>
      <c r="O375" s="746" t="s">
        <v>129</v>
      </c>
      <c r="P375" s="747"/>
      <c r="Q375" s="431">
        <v>0.1</v>
      </c>
      <c r="R375" s="430">
        <v>1013.2</v>
      </c>
      <c r="S375" s="496"/>
      <c r="T375" s="754" t="s">
        <v>129</v>
      </c>
      <c r="U375" s="440">
        <v>22.908000000000001</v>
      </c>
      <c r="V375" s="690"/>
      <c r="W375" s="670"/>
      <c r="X375" s="440">
        <v>2.8000000000000003</v>
      </c>
      <c r="Y375" s="769" t="s">
        <v>129</v>
      </c>
      <c r="Z375" s="785"/>
      <c r="AA375" s="792"/>
      <c r="AB375" s="813"/>
      <c r="AC375" s="821" t="s">
        <v>129</v>
      </c>
      <c r="AD375" s="813"/>
      <c r="AE375" s="813"/>
      <c r="AF375" s="663"/>
    </row>
    <row r="376" spans="1:32" ht="15.75">
      <c r="A376" s="633"/>
      <c r="B376" s="634"/>
      <c r="C376" s="685"/>
      <c r="D376" s="559"/>
      <c r="E376" s="545"/>
      <c r="F376" s="546"/>
      <c r="G376" s="653" t="s">
        <v>129</v>
      </c>
      <c r="H376" s="654"/>
      <c r="I376" s="654"/>
      <c r="J376" s="561"/>
      <c r="K376" s="635"/>
      <c r="L376" s="633"/>
      <c r="M376" s="561"/>
      <c r="N376" s="592" t="s">
        <v>129</v>
      </c>
      <c r="O376" s="594" t="s">
        <v>129</v>
      </c>
      <c r="P376" s="743"/>
      <c r="Q376" s="431">
        <v>0.1</v>
      </c>
      <c r="R376" s="430">
        <v>1601.75</v>
      </c>
      <c r="S376" s="399"/>
      <c r="T376" s="751" t="s">
        <v>129</v>
      </c>
      <c r="U376" s="440">
        <v>17.637499999999999</v>
      </c>
      <c r="V376" s="654"/>
      <c r="W376" s="636"/>
      <c r="X376" s="440">
        <v>2.8000000000000003</v>
      </c>
      <c r="Y376" s="764" t="s">
        <v>129</v>
      </c>
      <c r="Z376" s="776"/>
      <c r="AA376" s="780"/>
      <c r="AB376" s="633"/>
      <c r="AC376" s="818" t="s">
        <v>129</v>
      </c>
      <c r="AD376" s="811"/>
      <c r="AE376" s="811"/>
      <c r="AF376" s="633"/>
    </row>
    <row r="377" spans="1:32" ht="15.75">
      <c r="A377" s="624">
        <v>6000</v>
      </c>
      <c r="B377" s="625"/>
      <c r="C377" s="626" t="s">
        <v>917</v>
      </c>
      <c r="D377" s="627"/>
      <c r="E377" s="628"/>
      <c r="F377" s="629"/>
      <c r="G377" s="687" t="s">
        <v>129</v>
      </c>
      <c r="H377" s="631"/>
      <c r="I377" s="631"/>
      <c r="J377" s="632"/>
      <c r="K377" s="632"/>
      <c r="L377" s="627"/>
      <c r="M377" s="632"/>
      <c r="N377" s="739" t="s">
        <v>129</v>
      </c>
      <c r="O377" s="744" t="s">
        <v>129</v>
      </c>
      <c r="P377" s="742"/>
      <c r="Q377" s="431">
        <v>6.7000000000000004E-2</v>
      </c>
      <c r="R377" s="430">
        <v>3378.4</v>
      </c>
      <c r="S377" s="497">
        <v>186</v>
      </c>
      <c r="T377" s="750" t="s">
        <v>129</v>
      </c>
      <c r="U377" s="440">
        <v>14.653600000000001</v>
      </c>
      <c r="V377" s="631"/>
      <c r="W377" s="631"/>
      <c r="X377" s="440">
        <v>1.8760000000000001</v>
      </c>
      <c r="Y377" s="768" t="s">
        <v>129</v>
      </c>
      <c r="Z377" s="774"/>
      <c r="AA377" s="775"/>
      <c r="AB377" s="810"/>
      <c r="AC377" s="817" t="s">
        <v>129</v>
      </c>
      <c r="AD377" s="810"/>
      <c r="AE377" s="810"/>
      <c r="AF377" s="624">
        <v>6000</v>
      </c>
    </row>
    <row r="378" spans="1:32" ht="15.75">
      <c r="A378" s="633"/>
      <c r="B378" s="634"/>
      <c r="C378" s="633"/>
      <c r="D378" s="559"/>
      <c r="E378" s="545"/>
      <c r="F378" s="546"/>
      <c r="G378" s="653" t="s">
        <v>129</v>
      </c>
      <c r="H378" s="654"/>
      <c r="I378" s="654"/>
      <c r="J378" s="561"/>
      <c r="K378" s="635"/>
      <c r="L378" s="633"/>
      <c r="M378" s="561"/>
      <c r="N378" s="592" t="s">
        <v>129</v>
      </c>
      <c r="O378" s="594" t="s">
        <v>129</v>
      </c>
      <c r="P378" s="743"/>
      <c r="Q378" s="431">
        <v>6.7000000000000004E-2</v>
      </c>
      <c r="R378" s="430">
        <v>3296</v>
      </c>
      <c r="S378" s="175">
        <v>192</v>
      </c>
      <c r="T378" s="751" t="s">
        <v>129</v>
      </c>
      <c r="U378" s="440">
        <v>24.093333333333334</v>
      </c>
      <c r="V378" s="654"/>
      <c r="W378" s="636"/>
      <c r="X378" s="440">
        <v>1.8760000000000001</v>
      </c>
      <c r="Y378" s="764" t="s">
        <v>129</v>
      </c>
      <c r="Z378" s="776"/>
      <c r="AA378" s="780"/>
      <c r="AB378" s="633"/>
      <c r="AC378" s="818" t="s">
        <v>129</v>
      </c>
      <c r="AD378" s="811"/>
      <c r="AE378" s="811"/>
      <c r="AF378" s="633"/>
    </row>
    <row r="379" spans="1:32" ht="15.75">
      <c r="A379" s="643">
        <v>6001</v>
      </c>
      <c r="B379" s="644"/>
      <c r="C379" s="644" t="s">
        <v>918</v>
      </c>
      <c r="D379" s="559"/>
      <c r="E379" s="545">
        <v>6800</v>
      </c>
      <c r="F379" s="546"/>
      <c r="G379" s="653">
        <v>19.5</v>
      </c>
      <c r="H379" s="560">
        <v>17</v>
      </c>
      <c r="I379" s="654">
        <v>23</v>
      </c>
      <c r="J379" s="561">
        <v>60</v>
      </c>
      <c r="K379" s="554" t="s">
        <v>221</v>
      </c>
      <c r="L379" s="562">
        <v>15</v>
      </c>
      <c r="M379" s="561">
        <v>1500</v>
      </c>
      <c r="N379" s="592">
        <v>0.1</v>
      </c>
      <c r="O379" s="594">
        <v>1.7</v>
      </c>
      <c r="P379" s="590">
        <v>16</v>
      </c>
      <c r="Q379" s="431">
        <v>6.7000000000000004E-2</v>
      </c>
      <c r="R379" s="430">
        <v>5347.6666666666661</v>
      </c>
      <c r="S379" s="497">
        <v>192</v>
      </c>
      <c r="T379" s="751">
        <v>598.88</v>
      </c>
      <c r="U379" s="440">
        <v>20.355555555555554</v>
      </c>
      <c r="V379" s="654">
        <v>7.7066666666666661</v>
      </c>
      <c r="W379" s="636"/>
      <c r="X379" s="440">
        <v>1.8760000000000001</v>
      </c>
      <c r="Y379" s="764">
        <v>7.7066666666666661</v>
      </c>
      <c r="Z379" s="776"/>
      <c r="AA379" s="780">
        <v>19.456800000000001</v>
      </c>
      <c r="AB379" s="811"/>
      <c r="AC379" s="818">
        <v>13.6</v>
      </c>
      <c r="AD379" s="811" t="s">
        <v>667</v>
      </c>
      <c r="AE379" s="811">
        <v>0</v>
      </c>
      <c r="AF379" s="643">
        <v>6001</v>
      </c>
    </row>
    <row r="380" spans="1:32" ht="15.75">
      <c r="A380" s="643">
        <v>6002</v>
      </c>
      <c r="B380" s="644"/>
      <c r="C380" s="644" t="s">
        <v>919</v>
      </c>
      <c r="D380" s="559">
        <v>80</v>
      </c>
      <c r="E380" s="545">
        <v>16000</v>
      </c>
      <c r="F380" s="546">
        <v>34</v>
      </c>
      <c r="G380" s="653">
        <v>43</v>
      </c>
      <c r="H380" s="560">
        <v>37</v>
      </c>
      <c r="I380" s="654">
        <v>52</v>
      </c>
      <c r="J380" s="561">
        <v>40</v>
      </c>
      <c r="K380" s="554" t="s">
        <v>221</v>
      </c>
      <c r="L380" s="562">
        <v>15</v>
      </c>
      <c r="M380" s="561">
        <v>1500</v>
      </c>
      <c r="N380" s="592">
        <v>0.25</v>
      </c>
      <c r="O380" s="594">
        <v>1.3</v>
      </c>
      <c r="P380" s="590"/>
      <c r="Q380" s="431">
        <v>0.2</v>
      </c>
      <c r="R380" s="430">
        <v>9642.6</v>
      </c>
      <c r="S380" s="175">
        <v>342</v>
      </c>
      <c r="T380" s="751">
        <v>1000</v>
      </c>
      <c r="U380" s="440">
        <v>44.2224</v>
      </c>
      <c r="V380" s="654">
        <v>13.866666666666667</v>
      </c>
      <c r="W380" s="636"/>
      <c r="X380" s="440">
        <v>5.6000000000000005</v>
      </c>
      <c r="Y380" s="764">
        <v>13.866666666666667</v>
      </c>
      <c r="Z380" s="776">
        <v>34.202666666666666</v>
      </c>
      <c r="AA380" s="780">
        <v>42.753333333333337</v>
      </c>
      <c r="AB380" s="811"/>
      <c r="AC380" s="818">
        <v>32</v>
      </c>
      <c r="AD380" s="811" t="s">
        <v>667</v>
      </c>
      <c r="AE380" s="811">
        <v>0</v>
      </c>
      <c r="AF380" s="643">
        <v>6002</v>
      </c>
    </row>
    <row r="381" spans="1:32" ht="15.75">
      <c r="A381" s="643">
        <v>6003</v>
      </c>
      <c r="B381" s="644"/>
      <c r="C381" s="644" t="s">
        <v>920</v>
      </c>
      <c r="D381" s="559">
        <v>100</v>
      </c>
      <c r="E381" s="545">
        <v>6000</v>
      </c>
      <c r="F381" s="546">
        <v>10.5</v>
      </c>
      <c r="G381" s="653">
        <v>10.5</v>
      </c>
      <c r="H381" s="560">
        <v>9</v>
      </c>
      <c r="I381" s="654">
        <v>13</v>
      </c>
      <c r="J381" s="561">
        <v>80</v>
      </c>
      <c r="K381" s="554" t="s">
        <v>221</v>
      </c>
      <c r="L381" s="562">
        <v>12</v>
      </c>
      <c r="M381" s="561">
        <v>2000</v>
      </c>
      <c r="N381" s="592">
        <v>0.25</v>
      </c>
      <c r="O381" s="594">
        <v>1</v>
      </c>
      <c r="P381" s="590">
        <v>10</v>
      </c>
      <c r="Q381" s="432"/>
      <c r="R381" s="430" t="s">
        <v>129</v>
      </c>
      <c r="S381" s="497">
        <v>366</v>
      </c>
      <c r="T381" s="751">
        <v>520</v>
      </c>
      <c r="U381" s="432"/>
      <c r="V381" s="654">
        <v>3</v>
      </c>
      <c r="W381" s="636"/>
      <c r="X381" s="432"/>
      <c r="Y381" s="764">
        <v>3</v>
      </c>
      <c r="Z381" s="776"/>
      <c r="AA381" s="780">
        <v>10.450000000000001</v>
      </c>
      <c r="AB381" s="811"/>
      <c r="AC381" s="818">
        <v>12</v>
      </c>
      <c r="AD381" s="811" t="s">
        <v>667</v>
      </c>
      <c r="AE381" s="811">
        <v>0</v>
      </c>
      <c r="AF381" s="643">
        <v>6003</v>
      </c>
    </row>
    <row r="382" spans="1:32" ht="15.75">
      <c r="A382" s="643">
        <v>6004</v>
      </c>
      <c r="B382" s="644"/>
      <c r="C382" s="644" t="s">
        <v>921</v>
      </c>
      <c r="D382" s="559">
        <v>200</v>
      </c>
      <c r="E382" s="545">
        <v>6700</v>
      </c>
      <c r="F382" s="546">
        <v>20</v>
      </c>
      <c r="G382" s="653">
        <v>10</v>
      </c>
      <c r="H382" s="560">
        <v>9</v>
      </c>
      <c r="I382" s="654">
        <v>12</v>
      </c>
      <c r="J382" s="561">
        <v>100</v>
      </c>
      <c r="K382" s="554" t="s">
        <v>221</v>
      </c>
      <c r="L382" s="562">
        <v>12</v>
      </c>
      <c r="M382" s="561">
        <v>2400</v>
      </c>
      <c r="N382" s="592">
        <v>0.25</v>
      </c>
      <c r="O382" s="594">
        <v>1.05</v>
      </c>
      <c r="P382" s="590">
        <v>17</v>
      </c>
      <c r="Q382" s="431"/>
      <c r="R382" s="430" t="s">
        <v>129</v>
      </c>
      <c r="S382" s="175">
        <v>420</v>
      </c>
      <c r="T382" s="751">
        <v>621.5</v>
      </c>
      <c r="U382" s="440"/>
      <c r="V382" s="654">
        <v>2.9312499999999999</v>
      </c>
      <c r="W382" s="636"/>
      <c r="X382" s="440"/>
      <c r="Y382" s="764">
        <v>2.9312499999999999</v>
      </c>
      <c r="Z382" s="776"/>
      <c r="AA382" s="780">
        <v>10.060875000000001</v>
      </c>
      <c r="AB382" s="811"/>
      <c r="AC382" s="818">
        <v>13.4</v>
      </c>
      <c r="AD382" s="811" t="s">
        <v>667</v>
      </c>
      <c r="AE382" s="811">
        <v>0</v>
      </c>
      <c r="AF382" s="643">
        <v>6004</v>
      </c>
    </row>
    <row r="383" spans="1:32" ht="31.5">
      <c r="A383" s="643">
        <v>6005</v>
      </c>
      <c r="B383" s="644"/>
      <c r="C383" s="644" t="s">
        <v>922</v>
      </c>
      <c r="D383" s="559">
        <v>300</v>
      </c>
      <c r="E383" s="545">
        <v>19000</v>
      </c>
      <c r="F383" s="546">
        <v>59</v>
      </c>
      <c r="G383" s="653">
        <v>19.5</v>
      </c>
      <c r="H383" s="560">
        <v>17</v>
      </c>
      <c r="I383" s="654">
        <v>24</v>
      </c>
      <c r="J383" s="561">
        <v>120</v>
      </c>
      <c r="K383" s="554" t="s">
        <v>221</v>
      </c>
      <c r="L383" s="562">
        <v>12</v>
      </c>
      <c r="M383" s="561">
        <v>3600</v>
      </c>
      <c r="N383" s="592">
        <v>0.25</v>
      </c>
      <c r="O383" s="594">
        <v>0.8</v>
      </c>
      <c r="P383" s="590">
        <v>28</v>
      </c>
      <c r="Q383" s="431"/>
      <c r="R383" s="430" t="s">
        <v>129</v>
      </c>
      <c r="S383" s="497">
        <v>636</v>
      </c>
      <c r="T383" s="751">
        <v>1621</v>
      </c>
      <c r="U383" s="440"/>
      <c r="V383" s="654">
        <v>4.2222222222222223</v>
      </c>
      <c r="W383" s="636"/>
      <c r="X383" s="440"/>
      <c r="Y383" s="764">
        <v>4.2222222222222223</v>
      </c>
      <c r="Z383" s="776"/>
      <c r="AA383" s="780">
        <v>19.503611111111113</v>
      </c>
      <c r="AB383" s="811"/>
      <c r="AC383" s="818">
        <v>38</v>
      </c>
      <c r="AD383" s="811" t="s">
        <v>667</v>
      </c>
      <c r="AE383" s="811">
        <v>0</v>
      </c>
      <c r="AF383" s="643">
        <v>6005</v>
      </c>
    </row>
    <row r="384" spans="1:32" ht="31.5">
      <c r="A384" s="643">
        <v>6006</v>
      </c>
      <c r="B384" s="644"/>
      <c r="C384" s="644" t="s">
        <v>923</v>
      </c>
      <c r="D384" s="559"/>
      <c r="E384" s="545">
        <v>4100</v>
      </c>
      <c r="F384" s="546"/>
      <c r="G384" s="653">
        <v>18.5</v>
      </c>
      <c r="H384" s="560">
        <v>15</v>
      </c>
      <c r="I384" s="654">
        <v>24</v>
      </c>
      <c r="J384" s="561">
        <v>30</v>
      </c>
      <c r="K384" s="554" t="s">
        <v>221</v>
      </c>
      <c r="L384" s="562">
        <v>12</v>
      </c>
      <c r="M384" s="561">
        <v>1500</v>
      </c>
      <c r="N384" s="592">
        <v>0.25</v>
      </c>
      <c r="O384" s="594">
        <v>1.05</v>
      </c>
      <c r="P384" s="590">
        <v>16</v>
      </c>
      <c r="Q384" s="429"/>
      <c r="R384" s="430" t="s">
        <v>129</v>
      </c>
      <c r="S384" s="175">
        <v>792</v>
      </c>
      <c r="T384" s="751">
        <v>419.5</v>
      </c>
      <c r="U384" s="438"/>
      <c r="V384" s="654">
        <v>2.87</v>
      </c>
      <c r="W384" s="636"/>
      <c r="X384" s="438"/>
      <c r="Y384" s="764">
        <v>2.87</v>
      </c>
      <c r="Z384" s="776"/>
      <c r="AA384" s="780">
        <v>18.538666666666668</v>
      </c>
      <c r="AB384" s="811"/>
      <c r="AC384" s="818">
        <v>8.1999999999999993</v>
      </c>
      <c r="AD384" s="811" t="s">
        <v>667</v>
      </c>
      <c r="AE384" s="811">
        <v>0</v>
      </c>
      <c r="AF384" s="643">
        <v>6006</v>
      </c>
    </row>
    <row r="385" spans="1:32" ht="15.75">
      <c r="A385" s="633"/>
      <c r="B385" s="634"/>
      <c r="C385" s="633"/>
      <c r="D385" s="559"/>
      <c r="E385" s="545"/>
      <c r="F385" s="546"/>
      <c r="G385" s="655" t="s">
        <v>129</v>
      </c>
      <c r="H385" s="654"/>
      <c r="I385" s="654"/>
      <c r="J385" s="561"/>
      <c r="K385" s="635"/>
      <c r="L385" s="633"/>
      <c r="M385" s="561"/>
      <c r="N385" s="592" t="s">
        <v>129</v>
      </c>
      <c r="O385" s="594" t="s">
        <v>129</v>
      </c>
      <c r="P385" s="743"/>
      <c r="Q385" s="431"/>
      <c r="R385" s="430" t="s">
        <v>129</v>
      </c>
      <c r="S385" s="497">
        <v>564</v>
      </c>
      <c r="T385" s="751" t="s">
        <v>129</v>
      </c>
      <c r="U385" s="440"/>
      <c r="V385" s="654"/>
      <c r="W385" s="636"/>
      <c r="X385" s="440"/>
      <c r="Y385" s="761" t="s">
        <v>129</v>
      </c>
      <c r="Z385" s="776"/>
      <c r="AA385" s="780"/>
      <c r="AB385" s="633"/>
      <c r="AC385" s="818" t="s">
        <v>129</v>
      </c>
      <c r="AD385" s="811"/>
      <c r="AE385" s="811"/>
      <c r="AF385" s="633"/>
    </row>
    <row r="386" spans="1:32" ht="15.75">
      <c r="A386" s="624">
        <v>6020</v>
      </c>
      <c r="B386" s="625" t="s">
        <v>411</v>
      </c>
      <c r="C386" s="626" t="s">
        <v>924</v>
      </c>
      <c r="D386" s="627"/>
      <c r="E386" s="628"/>
      <c r="F386" s="629"/>
      <c r="G386" s="630" t="s">
        <v>129</v>
      </c>
      <c r="H386" s="631"/>
      <c r="I386" s="631"/>
      <c r="J386" s="632"/>
      <c r="K386" s="632"/>
      <c r="L386" s="627"/>
      <c r="M386" s="632"/>
      <c r="N386" s="739" t="s">
        <v>129</v>
      </c>
      <c r="O386" s="744" t="s">
        <v>129</v>
      </c>
      <c r="P386" s="742"/>
      <c r="Q386" s="431">
        <v>0.1</v>
      </c>
      <c r="R386" s="430">
        <v>321.35999999999996</v>
      </c>
      <c r="S386" s="175">
        <v>642</v>
      </c>
      <c r="T386" s="750" t="s">
        <v>129</v>
      </c>
      <c r="U386" s="440">
        <v>7.352666666666666</v>
      </c>
      <c r="V386" s="631"/>
      <c r="W386" s="631"/>
      <c r="X386" s="440">
        <v>2.8000000000000003</v>
      </c>
      <c r="Y386" s="763" t="s">
        <v>129</v>
      </c>
      <c r="Z386" s="774"/>
      <c r="AA386" s="775"/>
      <c r="AB386" s="810"/>
      <c r="AC386" s="817" t="s">
        <v>129</v>
      </c>
      <c r="AD386" s="810"/>
      <c r="AE386" s="810"/>
      <c r="AF386" s="624">
        <v>6020</v>
      </c>
    </row>
    <row r="387" spans="1:32" ht="15.75">
      <c r="A387" s="633"/>
      <c r="B387" s="634"/>
      <c r="C387" s="634"/>
      <c r="D387" s="569"/>
      <c r="E387" s="556"/>
      <c r="F387" s="557"/>
      <c r="G387" s="635" t="s">
        <v>129</v>
      </c>
      <c r="H387" s="635"/>
      <c r="I387" s="635"/>
      <c r="J387" s="637"/>
      <c r="K387" s="637"/>
      <c r="L387" s="635"/>
      <c r="M387" s="637"/>
      <c r="N387" s="592" t="s">
        <v>129</v>
      </c>
      <c r="O387" s="594" t="s">
        <v>129</v>
      </c>
      <c r="P387" s="745"/>
      <c r="Q387" s="431">
        <v>0.1</v>
      </c>
      <c r="R387" s="430">
        <v>201.15</v>
      </c>
      <c r="S387" s="497">
        <v>720</v>
      </c>
      <c r="T387" s="753" t="s">
        <v>129</v>
      </c>
      <c r="U387" s="440">
        <v>5.1637500000000003</v>
      </c>
      <c r="V387" s="637"/>
      <c r="W387" s="637"/>
      <c r="X387" s="440">
        <v>2.8000000000000003</v>
      </c>
      <c r="Y387" s="761" t="s">
        <v>129</v>
      </c>
      <c r="Z387" s="637"/>
      <c r="AA387" s="637"/>
      <c r="AB387" s="634"/>
      <c r="AC387" s="820" t="s">
        <v>129</v>
      </c>
      <c r="AD387" s="822"/>
      <c r="AE387" s="637"/>
      <c r="AF387" s="633"/>
    </row>
    <row r="388" spans="1:32" ht="15.75">
      <c r="A388" s="643">
        <v>6021</v>
      </c>
      <c r="B388" s="644"/>
      <c r="C388" s="644" t="s">
        <v>925</v>
      </c>
      <c r="D388" s="890">
        <v>2.8</v>
      </c>
      <c r="E388" s="545">
        <v>19500</v>
      </c>
      <c r="F388" s="546">
        <v>91</v>
      </c>
      <c r="G388" s="891">
        <v>33</v>
      </c>
      <c r="H388" s="892">
        <v>27</v>
      </c>
      <c r="I388" s="892">
        <v>41.5</v>
      </c>
      <c r="J388" s="893">
        <v>80</v>
      </c>
      <c r="K388" s="573"/>
      <c r="L388" s="562">
        <v>10</v>
      </c>
      <c r="M388" s="893">
        <v>3000</v>
      </c>
      <c r="N388" s="592">
        <v>0.25</v>
      </c>
      <c r="O388" s="594">
        <v>0.85</v>
      </c>
      <c r="P388" s="590">
        <v>31</v>
      </c>
      <c r="Q388" s="431">
        <v>0.05</v>
      </c>
      <c r="R388" s="430">
        <v>382.8</v>
      </c>
      <c r="S388" s="175"/>
      <c r="T388" s="751">
        <v>1923.25</v>
      </c>
      <c r="U388" s="440">
        <v>5.7700000000000005</v>
      </c>
      <c r="V388" s="892">
        <v>5.5249999999999995</v>
      </c>
      <c r="W388" s="636"/>
      <c r="X388" s="440">
        <v>1.4000000000000001</v>
      </c>
      <c r="Y388" s="894">
        <v>5.5249999999999995</v>
      </c>
      <c r="Z388" s="776">
        <v>91.062124999999995</v>
      </c>
      <c r="AA388" s="788">
        <v>32.522187500000001</v>
      </c>
      <c r="AB388" s="811"/>
      <c r="AC388" s="818">
        <v>39</v>
      </c>
      <c r="AD388" s="811" t="s">
        <v>784</v>
      </c>
      <c r="AE388" s="811">
        <v>0</v>
      </c>
      <c r="AF388" s="643">
        <v>6021</v>
      </c>
    </row>
    <row r="389" spans="1:32" ht="15.75">
      <c r="A389" s="643">
        <v>6022</v>
      </c>
      <c r="B389" s="644"/>
      <c r="C389" s="644" t="s">
        <v>926</v>
      </c>
      <c r="D389" s="890">
        <v>2.4</v>
      </c>
      <c r="E389" s="545">
        <v>25000</v>
      </c>
      <c r="F389" s="546">
        <v>98</v>
      </c>
      <c r="G389" s="891">
        <v>41</v>
      </c>
      <c r="H389" s="892">
        <v>34</v>
      </c>
      <c r="I389" s="892">
        <v>52</v>
      </c>
      <c r="J389" s="893">
        <v>80</v>
      </c>
      <c r="K389" s="573"/>
      <c r="L389" s="562">
        <v>10</v>
      </c>
      <c r="M389" s="893">
        <v>3000</v>
      </c>
      <c r="N389" s="592">
        <v>0.25</v>
      </c>
      <c r="O389" s="594">
        <v>0.85</v>
      </c>
      <c r="P389" s="590">
        <v>32</v>
      </c>
      <c r="Q389" s="431">
        <v>0.05</v>
      </c>
      <c r="R389" s="430">
        <v>539.4</v>
      </c>
      <c r="S389" s="496"/>
      <c r="T389" s="751">
        <v>2411.5</v>
      </c>
      <c r="U389" s="440">
        <v>6.7079999999999993</v>
      </c>
      <c r="V389" s="892">
        <v>7.0833333333333339</v>
      </c>
      <c r="W389" s="636"/>
      <c r="X389" s="440">
        <v>1.4000000000000001</v>
      </c>
      <c r="Y389" s="894">
        <v>7.0833333333333339</v>
      </c>
      <c r="Z389" s="776">
        <v>98.279499999999999</v>
      </c>
      <c r="AA389" s="788">
        <v>40.94979166666667</v>
      </c>
      <c r="AB389" s="811"/>
      <c r="AC389" s="818">
        <v>50</v>
      </c>
      <c r="AD389" s="811" t="s">
        <v>784</v>
      </c>
      <c r="AE389" s="811">
        <v>0</v>
      </c>
      <c r="AF389" s="643">
        <v>6022</v>
      </c>
    </row>
    <row r="390" spans="1:32" ht="15.75">
      <c r="A390" s="643">
        <v>6023</v>
      </c>
      <c r="B390" s="644"/>
      <c r="C390" s="644" t="s">
        <v>927</v>
      </c>
      <c r="D390" s="890">
        <v>2.2999999999999998</v>
      </c>
      <c r="E390" s="545">
        <v>30000</v>
      </c>
      <c r="F390" s="546">
        <v>90</v>
      </c>
      <c r="G390" s="891">
        <v>39</v>
      </c>
      <c r="H390" s="892">
        <v>33</v>
      </c>
      <c r="I390" s="892">
        <v>49</v>
      </c>
      <c r="J390" s="893">
        <v>100</v>
      </c>
      <c r="K390" s="573"/>
      <c r="L390" s="562">
        <v>10</v>
      </c>
      <c r="M390" s="893">
        <v>3000</v>
      </c>
      <c r="N390" s="592">
        <v>0.25</v>
      </c>
      <c r="O390" s="594">
        <v>0.7</v>
      </c>
      <c r="P390" s="590">
        <v>32</v>
      </c>
      <c r="Q390" s="431">
        <v>0.05</v>
      </c>
      <c r="R390" s="430">
        <v>1609.5</v>
      </c>
      <c r="S390" s="175"/>
      <c r="T390" s="751">
        <v>2849</v>
      </c>
      <c r="U390" s="440">
        <v>15.354166666666666</v>
      </c>
      <c r="V390" s="892">
        <v>7</v>
      </c>
      <c r="W390" s="636"/>
      <c r="X390" s="440">
        <v>1.4000000000000001</v>
      </c>
      <c r="Y390" s="894">
        <v>7</v>
      </c>
      <c r="Z390" s="776">
        <v>89.789699999999982</v>
      </c>
      <c r="AA390" s="788">
        <v>39.038999999999994</v>
      </c>
      <c r="AB390" s="811"/>
      <c r="AC390" s="818">
        <v>60</v>
      </c>
      <c r="AD390" s="811" t="s">
        <v>784</v>
      </c>
      <c r="AE390" s="811">
        <v>0</v>
      </c>
      <c r="AF390" s="643">
        <v>6023</v>
      </c>
    </row>
    <row r="391" spans="1:32" ht="15.75">
      <c r="A391" s="643">
        <v>6024</v>
      </c>
      <c r="B391" s="644"/>
      <c r="C391" s="644" t="s">
        <v>928</v>
      </c>
      <c r="D391" s="890">
        <v>2.1</v>
      </c>
      <c r="E391" s="545">
        <v>37000</v>
      </c>
      <c r="F391" s="546">
        <v>87</v>
      </c>
      <c r="G391" s="891">
        <v>41</v>
      </c>
      <c r="H391" s="892">
        <v>35</v>
      </c>
      <c r="I391" s="892">
        <v>53</v>
      </c>
      <c r="J391" s="893">
        <v>120</v>
      </c>
      <c r="K391" s="573"/>
      <c r="L391" s="562">
        <v>10</v>
      </c>
      <c r="M391" s="893">
        <v>3000</v>
      </c>
      <c r="N391" s="592">
        <v>0.25</v>
      </c>
      <c r="O391" s="594">
        <v>0.6</v>
      </c>
      <c r="P391" s="590">
        <v>57</v>
      </c>
      <c r="Q391" s="431">
        <v>0.05</v>
      </c>
      <c r="R391" s="430">
        <v>304.5</v>
      </c>
      <c r="S391" s="497">
        <v>180</v>
      </c>
      <c r="T391" s="751">
        <v>3636.5</v>
      </c>
      <c r="U391" s="440">
        <v>14.116666666666667</v>
      </c>
      <c r="V391" s="892">
        <v>7.4</v>
      </c>
      <c r="W391" s="636"/>
      <c r="X391" s="440">
        <v>1.4000000000000001</v>
      </c>
      <c r="Y391" s="894">
        <v>7.4</v>
      </c>
      <c r="Z391" s="776"/>
      <c r="AA391" s="788">
        <v>41.474583333333335</v>
      </c>
      <c r="AB391" s="811"/>
      <c r="AC391" s="818">
        <v>74</v>
      </c>
      <c r="AD391" s="811" t="s">
        <v>784</v>
      </c>
      <c r="AE391" s="811">
        <v>0</v>
      </c>
      <c r="AF391" s="643">
        <v>6024</v>
      </c>
    </row>
    <row r="392" spans="1:32" ht="15.75">
      <c r="A392" s="643">
        <v>6025</v>
      </c>
      <c r="B392" s="644"/>
      <c r="C392" s="644" t="s">
        <v>929</v>
      </c>
      <c r="D392" s="890">
        <v>1.7</v>
      </c>
      <c r="E392" s="545">
        <v>48000</v>
      </c>
      <c r="F392" s="546">
        <v>73</v>
      </c>
      <c r="G392" s="891">
        <v>43</v>
      </c>
      <c r="H392" s="892">
        <v>36</v>
      </c>
      <c r="I392" s="892">
        <v>54</v>
      </c>
      <c r="J392" s="893">
        <v>150</v>
      </c>
      <c r="K392" s="573"/>
      <c r="L392" s="562">
        <v>10</v>
      </c>
      <c r="M392" s="893">
        <v>3000</v>
      </c>
      <c r="N392" s="592">
        <v>0.25</v>
      </c>
      <c r="O392" s="594">
        <v>0.5</v>
      </c>
      <c r="P392" s="590">
        <v>61</v>
      </c>
      <c r="Q392" s="431"/>
      <c r="R392" s="430" t="s">
        <v>129</v>
      </c>
      <c r="S392" s="175">
        <v>342</v>
      </c>
      <c r="T392" s="751">
        <v>4627</v>
      </c>
      <c r="U392" s="440"/>
      <c r="V392" s="892">
        <v>8</v>
      </c>
      <c r="W392" s="636"/>
      <c r="X392" s="440"/>
      <c r="Y392" s="894">
        <v>8</v>
      </c>
      <c r="Z392" s="776"/>
      <c r="AA392" s="788">
        <v>42.731333333333332</v>
      </c>
      <c r="AB392" s="811"/>
      <c r="AC392" s="818">
        <v>96</v>
      </c>
      <c r="AD392" s="811" t="s">
        <v>784</v>
      </c>
      <c r="AE392" s="811">
        <v>0</v>
      </c>
      <c r="AF392" s="643">
        <v>6025</v>
      </c>
    </row>
    <row r="393" spans="1:32" ht="15.75">
      <c r="A393" s="643">
        <v>6026</v>
      </c>
      <c r="B393" s="644"/>
      <c r="C393" s="644" t="s">
        <v>930</v>
      </c>
      <c r="D393" s="890">
        <v>1.6</v>
      </c>
      <c r="E393" s="545">
        <v>36000</v>
      </c>
      <c r="F393" s="546">
        <v>53</v>
      </c>
      <c r="G393" s="891">
        <v>33</v>
      </c>
      <c r="H393" s="892">
        <v>28</v>
      </c>
      <c r="I393" s="892">
        <v>42</v>
      </c>
      <c r="J393" s="893">
        <v>150</v>
      </c>
      <c r="K393" s="573"/>
      <c r="L393" s="562">
        <v>10</v>
      </c>
      <c r="M393" s="893">
        <v>3500</v>
      </c>
      <c r="N393" s="592">
        <v>0.25</v>
      </c>
      <c r="O393" s="594">
        <v>0.55000000000000004</v>
      </c>
      <c r="P393" s="590">
        <v>70</v>
      </c>
      <c r="Q393" s="429"/>
      <c r="R393" s="430" t="s">
        <v>129</v>
      </c>
      <c r="S393" s="497">
        <v>342</v>
      </c>
      <c r="T393" s="751">
        <v>3640</v>
      </c>
      <c r="U393" s="438"/>
      <c r="V393" s="892">
        <v>5.6571428571428584</v>
      </c>
      <c r="W393" s="636"/>
      <c r="X393" s="438"/>
      <c r="Y393" s="894">
        <v>5.6571428571428584</v>
      </c>
      <c r="Z393" s="776"/>
      <c r="AA393" s="788">
        <v>32.916190476190479</v>
      </c>
      <c r="AB393" s="811"/>
      <c r="AC393" s="818">
        <v>72</v>
      </c>
      <c r="AD393" s="811" t="s">
        <v>784</v>
      </c>
      <c r="AE393" s="811">
        <v>0</v>
      </c>
      <c r="AF393" s="643">
        <v>6026</v>
      </c>
    </row>
    <row r="394" spans="1:32" ht="15.75">
      <c r="A394" s="643">
        <v>6027</v>
      </c>
      <c r="B394" s="644"/>
      <c r="C394" s="644" t="s">
        <v>931</v>
      </c>
      <c r="D394" s="890">
        <v>1.4</v>
      </c>
      <c r="E394" s="545">
        <v>55000</v>
      </c>
      <c r="F394" s="546">
        <v>47</v>
      </c>
      <c r="G394" s="891">
        <v>34</v>
      </c>
      <c r="H394" s="892">
        <v>28</v>
      </c>
      <c r="I394" s="892">
        <v>43</v>
      </c>
      <c r="J394" s="893">
        <v>250</v>
      </c>
      <c r="K394" s="573"/>
      <c r="L394" s="562">
        <v>10</v>
      </c>
      <c r="M394" s="893">
        <v>4000</v>
      </c>
      <c r="N394" s="592">
        <v>0.1</v>
      </c>
      <c r="O394" s="594">
        <v>0.4</v>
      </c>
      <c r="P394" s="590">
        <v>106</v>
      </c>
      <c r="Q394" s="432"/>
      <c r="R394" s="430" t="s">
        <v>129</v>
      </c>
      <c r="S394" s="175"/>
      <c r="T394" s="751">
        <v>6330</v>
      </c>
      <c r="U394" s="432"/>
      <c r="V394" s="892">
        <v>5.5</v>
      </c>
      <c r="W394" s="636"/>
      <c r="X394" s="432"/>
      <c r="Y394" s="894">
        <v>5.5</v>
      </c>
      <c r="Z394" s="776"/>
      <c r="AA394" s="788">
        <v>33.902000000000001</v>
      </c>
      <c r="AB394" s="811"/>
      <c r="AC394" s="818">
        <v>110</v>
      </c>
      <c r="AD394" s="811" t="s">
        <v>784</v>
      </c>
      <c r="AE394" s="811">
        <v>0</v>
      </c>
      <c r="AF394" s="643">
        <v>6027</v>
      </c>
    </row>
    <row r="395" spans="1:32" ht="15.75">
      <c r="A395" s="643">
        <v>6028</v>
      </c>
      <c r="B395" s="644"/>
      <c r="C395" s="644" t="s">
        <v>932</v>
      </c>
      <c r="D395" s="890">
        <v>1.3</v>
      </c>
      <c r="E395" s="545">
        <v>62000</v>
      </c>
      <c r="F395" s="546">
        <v>43</v>
      </c>
      <c r="G395" s="891">
        <v>33</v>
      </c>
      <c r="H395" s="892">
        <v>28</v>
      </c>
      <c r="I395" s="892">
        <v>42</v>
      </c>
      <c r="J395" s="893">
        <v>300</v>
      </c>
      <c r="K395" s="573"/>
      <c r="L395" s="562">
        <v>10</v>
      </c>
      <c r="M395" s="893">
        <v>4000</v>
      </c>
      <c r="N395" s="592">
        <v>0.1</v>
      </c>
      <c r="O395" s="594">
        <v>0.4</v>
      </c>
      <c r="P395" s="590">
        <v>132</v>
      </c>
      <c r="Q395" s="431">
        <v>0.125</v>
      </c>
      <c r="R395" s="430">
        <v>1442.75</v>
      </c>
      <c r="S395" s="496"/>
      <c r="T395" s="751">
        <v>7223.2</v>
      </c>
      <c r="U395" s="442">
        <v>21.109375</v>
      </c>
      <c r="V395" s="892">
        <v>6.2</v>
      </c>
      <c r="W395" s="636"/>
      <c r="X395" s="444">
        <v>3.5</v>
      </c>
      <c r="Y395" s="894">
        <v>6.2</v>
      </c>
      <c r="Z395" s="776"/>
      <c r="AA395" s="788">
        <v>33.305066666666669</v>
      </c>
      <c r="AB395" s="811"/>
      <c r="AC395" s="818">
        <v>124</v>
      </c>
      <c r="AD395" s="811" t="s">
        <v>784</v>
      </c>
      <c r="AE395" s="811">
        <v>0</v>
      </c>
      <c r="AF395" s="643">
        <v>6028</v>
      </c>
    </row>
    <row r="396" spans="1:32" ht="15.75">
      <c r="A396" s="643">
        <v>6029</v>
      </c>
      <c r="B396" s="644"/>
      <c r="C396" s="644" t="s">
        <v>933</v>
      </c>
      <c r="D396" s="890">
        <v>1.1000000000000001</v>
      </c>
      <c r="E396" s="545">
        <v>80000</v>
      </c>
      <c r="F396" s="546">
        <v>33</v>
      </c>
      <c r="G396" s="891">
        <v>30</v>
      </c>
      <c r="H396" s="892">
        <v>25</v>
      </c>
      <c r="I396" s="892">
        <v>38</v>
      </c>
      <c r="J396" s="893">
        <v>350</v>
      </c>
      <c r="K396" s="573"/>
      <c r="L396" s="562">
        <v>10</v>
      </c>
      <c r="M396" s="893">
        <v>6000</v>
      </c>
      <c r="N396" s="592">
        <v>0.25</v>
      </c>
      <c r="O396" s="594">
        <v>0.4</v>
      </c>
      <c r="P396" s="590">
        <v>94</v>
      </c>
      <c r="Q396" s="431">
        <v>0.125</v>
      </c>
      <c r="R396" s="430">
        <v>1791</v>
      </c>
      <c r="S396" s="175"/>
      <c r="T396" s="751">
        <v>7658</v>
      </c>
      <c r="U396" s="442">
        <v>25.637499999999999</v>
      </c>
      <c r="V396" s="892">
        <v>5.3333333333333339</v>
      </c>
      <c r="W396" s="636"/>
      <c r="X396" s="444">
        <v>3.5</v>
      </c>
      <c r="Y396" s="894">
        <v>5.3333333333333339</v>
      </c>
      <c r="Z396" s="776"/>
      <c r="AA396" s="788">
        <v>29.934666666666665</v>
      </c>
      <c r="AB396" s="811"/>
      <c r="AC396" s="818">
        <v>160</v>
      </c>
      <c r="AD396" s="811" t="s">
        <v>784</v>
      </c>
      <c r="AE396" s="811">
        <v>0</v>
      </c>
      <c r="AF396" s="643">
        <v>6029</v>
      </c>
    </row>
    <row r="397" spans="1:32" ht="15.75">
      <c r="A397" s="643">
        <v>6030</v>
      </c>
      <c r="B397" s="644"/>
      <c r="C397" s="644" t="s">
        <v>934</v>
      </c>
      <c r="D397" s="890">
        <v>1</v>
      </c>
      <c r="E397" s="545">
        <v>91000</v>
      </c>
      <c r="F397" s="546">
        <v>34</v>
      </c>
      <c r="G397" s="891">
        <v>34</v>
      </c>
      <c r="H397" s="892">
        <v>29</v>
      </c>
      <c r="I397" s="892">
        <v>43</v>
      </c>
      <c r="J397" s="893">
        <v>400</v>
      </c>
      <c r="K397" s="573"/>
      <c r="L397" s="562">
        <v>10</v>
      </c>
      <c r="M397" s="893">
        <v>6000</v>
      </c>
      <c r="N397" s="592">
        <v>0.1</v>
      </c>
      <c r="O397" s="594">
        <v>0.4</v>
      </c>
      <c r="P397" s="590">
        <v>107</v>
      </c>
      <c r="Q397" s="431">
        <v>0.125</v>
      </c>
      <c r="R397" s="430">
        <v>2189</v>
      </c>
      <c r="S397" s="497">
        <v>222</v>
      </c>
      <c r="T397" s="751">
        <v>9994.6</v>
      </c>
      <c r="U397" s="442">
        <v>24.57</v>
      </c>
      <c r="V397" s="892">
        <v>6.0666666666666664</v>
      </c>
      <c r="W397" s="636"/>
      <c r="X397" s="444">
        <v>3.5</v>
      </c>
      <c r="Y397" s="894">
        <v>6.0666666666666664</v>
      </c>
      <c r="Z397" s="776"/>
      <c r="AA397" s="788">
        <v>34.158483333333336</v>
      </c>
      <c r="AB397" s="811"/>
      <c r="AC397" s="818">
        <v>182</v>
      </c>
      <c r="AD397" s="811" t="s">
        <v>784</v>
      </c>
      <c r="AE397" s="811">
        <v>0</v>
      </c>
      <c r="AF397" s="643">
        <v>6030</v>
      </c>
    </row>
    <row r="398" spans="1:32" ht="15.75">
      <c r="A398" s="643">
        <v>6031</v>
      </c>
      <c r="B398" s="644"/>
      <c r="C398" s="542" t="s">
        <v>935</v>
      </c>
      <c r="D398" s="890">
        <v>0.8</v>
      </c>
      <c r="E398" s="545">
        <v>116000</v>
      </c>
      <c r="F398" s="546">
        <v>31</v>
      </c>
      <c r="G398" s="891">
        <v>39</v>
      </c>
      <c r="H398" s="892">
        <v>33</v>
      </c>
      <c r="I398" s="892">
        <v>50</v>
      </c>
      <c r="J398" s="893">
        <v>450</v>
      </c>
      <c r="K398" s="573"/>
      <c r="L398" s="562">
        <v>10</v>
      </c>
      <c r="M398" s="893">
        <v>6000</v>
      </c>
      <c r="N398" s="592">
        <v>0.1</v>
      </c>
      <c r="O398" s="594">
        <v>0.4</v>
      </c>
      <c r="P398" s="590">
        <v>120</v>
      </c>
      <c r="Q398" s="431">
        <v>0.125</v>
      </c>
      <c r="R398" s="430">
        <v>2686.5</v>
      </c>
      <c r="S398" s="175">
        <v>282</v>
      </c>
      <c r="T398" s="751">
        <v>12625.6</v>
      </c>
      <c r="U398" s="442">
        <v>26.162500000000001</v>
      </c>
      <c r="V398" s="892">
        <v>7.7333333333333334</v>
      </c>
      <c r="W398" s="636"/>
      <c r="X398" s="444">
        <v>3.5</v>
      </c>
      <c r="Y398" s="894">
        <v>7.7333333333333334</v>
      </c>
      <c r="Z398" s="776"/>
      <c r="AA398" s="788">
        <v>39.369244444444448</v>
      </c>
      <c r="AB398" s="811"/>
      <c r="AC398" s="818">
        <v>232</v>
      </c>
      <c r="AD398" s="811" t="s">
        <v>784</v>
      </c>
      <c r="AE398" s="811">
        <v>0</v>
      </c>
      <c r="AF398" s="643">
        <v>6031</v>
      </c>
    </row>
    <row r="399" spans="1:32" ht="15.75">
      <c r="A399" s="633"/>
      <c r="B399" s="634"/>
      <c r="C399" s="677"/>
      <c r="D399" s="569"/>
      <c r="E399" s="556"/>
      <c r="F399" s="557"/>
      <c r="G399" s="695" t="s">
        <v>129</v>
      </c>
      <c r="H399" s="682"/>
      <c r="I399" s="682"/>
      <c r="J399" s="554"/>
      <c r="K399" s="637"/>
      <c r="L399" s="635"/>
      <c r="M399" s="568"/>
      <c r="N399" s="592" t="s">
        <v>129</v>
      </c>
      <c r="O399" s="594" t="s">
        <v>129</v>
      </c>
      <c r="P399" s="745"/>
      <c r="Q399" s="431">
        <v>0.125</v>
      </c>
      <c r="R399" s="430">
        <v>3383</v>
      </c>
      <c r="S399" s="497">
        <v>348</v>
      </c>
      <c r="T399" s="753" t="s">
        <v>129</v>
      </c>
      <c r="U399" s="442">
        <v>25.853333333333332</v>
      </c>
      <c r="V399" s="758"/>
      <c r="W399" s="755"/>
      <c r="X399" s="444">
        <v>3.5</v>
      </c>
      <c r="Y399" s="761" t="s">
        <v>129</v>
      </c>
      <c r="Z399" s="778"/>
      <c r="AA399" s="788"/>
      <c r="AB399" s="634"/>
      <c r="AC399" s="820" t="s">
        <v>129</v>
      </c>
      <c r="AD399" s="822"/>
      <c r="AE399" s="822"/>
      <c r="AF399" s="633"/>
    </row>
    <row r="400" spans="1:32" ht="15.75">
      <c r="A400" s="624">
        <v>6040</v>
      </c>
      <c r="B400" s="625"/>
      <c r="C400" s="626" t="s">
        <v>936</v>
      </c>
      <c r="D400" s="627"/>
      <c r="E400" s="628"/>
      <c r="F400" s="629"/>
      <c r="G400" s="630" t="s">
        <v>129</v>
      </c>
      <c r="H400" s="631"/>
      <c r="I400" s="631"/>
      <c r="J400" s="632"/>
      <c r="K400" s="632"/>
      <c r="L400" s="627"/>
      <c r="M400" s="632"/>
      <c r="N400" s="739" t="s">
        <v>129</v>
      </c>
      <c r="O400" s="744" t="s">
        <v>129</v>
      </c>
      <c r="P400" s="742"/>
      <c r="Q400" s="434">
        <v>0.125</v>
      </c>
      <c r="R400" s="430">
        <v>2089.5</v>
      </c>
      <c r="S400" s="175">
        <v>384</v>
      </c>
      <c r="T400" s="750" t="s">
        <v>129</v>
      </c>
      <c r="U400" s="442">
        <v>17.476666666666667</v>
      </c>
      <c r="V400" s="631"/>
      <c r="W400" s="631"/>
      <c r="X400" s="444">
        <v>3.5</v>
      </c>
      <c r="Y400" s="763" t="s">
        <v>129</v>
      </c>
      <c r="Z400" s="774"/>
      <c r="AA400" s="775"/>
      <c r="AB400" s="810"/>
      <c r="AC400" s="817" t="s">
        <v>129</v>
      </c>
      <c r="AD400" s="810"/>
      <c r="AE400" s="810"/>
      <c r="AF400" s="624">
        <v>6040</v>
      </c>
    </row>
    <row r="401" spans="1:32" ht="15.75">
      <c r="A401" s="633"/>
      <c r="B401" s="634"/>
      <c r="C401" s="634"/>
      <c r="D401" s="569"/>
      <c r="E401" s="556"/>
      <c r="F401" s="557"/>
      <c r="G401" s="695" t="s">
        <v>129</v>
      </c>
      <c r="H401" s="682"/>
      <c r="I401" s="682"/>
      <c r="J401" s="554"/>
      <c r="K401" s="637"/>
      <c r="L401" s="635"/>
      <c r="M401" s="554"/>
      <c r="N401" s="592" t="s">
        <v>129</v>
      </c>
      <c r="O401" s="594" t="s">
        <v>129</v>
      </c>
      <c r="P401" s="745"/>
      <c r="Q401" s="434">
        <v>0.05</v>
      </c>
      <c r="R401" s="430">
        <v>3821.6</v>
      </c>
      <c r="S401" s="497">
        <v>420</v>
      </c>
      <c r="T401" s="753" t="s">
        <v>129</v>
      </c>
      <c r="U401" s="442">
        <v>15.438666666666668</v>
      </c>
      <c r="V401" s="758"/>
      <c r="W401" s="755"/>
      <c r="X401" s="444">
        <v>1.4000000000000001</v>
      </c>
      <c r="Y401" s="761" t="s">
        <v>129</v>
      </c>
      <c r="Z401" s="778"/>
      <c r="AA401" s="788"/>
      <c r="AB401" s="634"/>
      <c r="AC401" s="820" t="s">
        <v>129</v>
      </c>
      <c r="AD401" s="822"/>
      <c r="AE401" s="822"/>
      <c r="AF401" s="633"/>
    </row>
    <row r="402" spans="1:32" ht="15.75">
      <c r="A402" s="643">
        <v>6041</v>
      </c>
      <c r="B402" s="644"/>
      <c r="C402" s="644" t="s">
        <v>937</v>
      </c>
      <c r="D402" s="612">
        <v>13</v>
      </c>
      <c r="E402" s="545">
        <v>14000</v>
      </c>
      <c r="F402" s="648">
        <v>25</v>
      </c>
      <c r="G402" s="696">
        <v>1.9</v>
      </c>
      <c r="H402" s="636">
        <v>21</v>
      </c>
      <c r="I402" s="636">
        <v>32</v>
      </c>
      <c r="J402" s="549">
        <v>60</v>
      </c>
      <c r="K402" s="554" t="s">
        <v>221</v>
      </c>
      <c r="L402" s="562">
        <v>15</v>
      </c>
      <c r="M402" s="549">
        <v>2000</v>
      </c>
      <c r="N402" s="592">
        <v>0.25</v>
      </c>
      <c r="O402" s="594">
        <v>0.7</v>
      </c>
      <c r="P402" s="590">
        <v>30</v>
      </c>
      <c r="Q402" s="434">
        <v>0.05</v>
      </c>
      <c r="R402" s="430">
        <v>4945.6000000000004</v>
      </c>
      <c r="S402" s="175">
        <v>462</v>
      </c>
      <c r="T402" s="751">
        <v>1085</v>
      </c>
      <c r="U402" s="442">
        <v>19.858666666666668</v>
      </c>
      <c r="V402" s="636">
        <v>4.8999999999999995</v>
      </c>
      <c r="W402" s="636"/>
      <c r="X402" s="444">
        <v>1.4000000000000001</v>
      </c>
      <c r="Y402" s="761">
        <v>4.8999999999999995</v>
      </c>
      <c r="Z402" s="776">
        <v>25.281666666666666</v>
      </c>
      <c r="AA402" s="793">
        <v>1.9447435897435896</v>
      </c>
      <c r="AB402" s="811"/>
      <c r="AC402" s="818">
        <v>28</v>
      </c>
      <c r="AD402" s="811" t="s">
        <v>633</v>
      </c>
      <c r="AE402" s="811">
        <v>0</v>
      </c>
      <c r="AF402" s="643">
        <v>6041</v>
      </c>
    </row>
    <row r="403" spans="1:32" ht="15.75">
      <c r="A403" s="643">
        <v>6042</v>
      </c>
      <c r="B403" s="644"/>
      <c r="C403" s="644" t="s">
        <v>938</v>
      </c>
      <c r="D403" s="612">
        <v>13</v>
      </c>
      <c r="E403" s="545">
        <v>31000</v>
      </c>
      <c r="F403" s="648">
        <v>51</v>
      </c>
      <c r="G403" s="696">
        <v>4</v>
      </c>
      <c r="H403" s="636">
        <v>43</v>
      </c>
      <c r="I403" s="636">
        <v>66</v>
      </c>
      <c r="J403" s="549">
        <v>60</v>
      </c>
      <c r="K403" s="554" t="s">
        <v>221</v>
      </c>
      <c r="L403" s="562">
        <v>15</v>
      </c>
      <c r="M403" s="549">
        <v>2000</v>
      </c>
      <c r="N403" s="592">
        <v>0.25</v>
      </c>
      <c r="O403" s="594">
        <v>0.5</v>
      </c>
      <c r="P403" s="590">
        <v>57</v>
      </c>
      <c r="Q403" s="434">
        <v>0.05</v>
      </c>
      <c r="R403" s="430">
        <v>6865.5</v>
      </c>
      <c r="S403" s="497">
        <v>570</v>
      </c>
      <c r="T403" s="751">
        <v>2336.5</v>
      </c>
      <c r="U403" s="442">
        <v>21.89</v>
      </c>
      <c r="V403" s="636">
        <v>7.75</v>
      </c>
      <c r="W403" s="636"/>
      <c r="X403" s="444">
        <v>1.4000000000000001</v>
      </c>
      <c r="Y403" s="761">
        <v>7.75</v>
      </c>
      <c r="Z403" s="776">
        <v>51.360833333333339</v>
      </c>
      <c r="AA403" s="793">
        <v>3.9508333333333336</v>
      </c>
      <c r="AB403" s="811"/>
      <c r="AC403" s="818">
        <v>62</v>
      </c>
      <c r="AD403" s="811" t="s">
        <v>633</v>
      </c>
      <c r="AE403" s="811">
        <v>0</v>
      </c>
      <c r="AF403" s="643">
        <v>6042</v>
      </c>
    </row>
    <row r="404" spans="1:32" ht="15.75">
      <c r="A404" s="643">
        <v>6043</v>
      </c>
      <c r="B404" s="644"/>
      <c r="C404" s="644" t="s">
        <v>939</v>
      </c>
      <c r="D404" s="612">
        <v>13</v>
      </c>
      <c r="E404" s="545">
        <v>28000</v>
      </c>
      <c r="F404" s="648">
        <v>50</v>
      </c>
      <c r="G404" s="696">
        <v>3.9</v>
      </c>
      <c r="H404" s="636">
        <v>42</v>
      </c>
      <c r="I404" s="636">
        <v>63</v>
      </c>
      <c r="J404" s="549">
        <v>60</v>
      </c>
      <c r="K404" s="554" t="s">
        <v>221</v>
      </c>
      <c r="L404" s="562">
        <v>15</v>
      </c>
      <c r="M404" s="549">
        <v>2000</v>
      </c>
      <c r="N404" s="592">
        <v>0.25</v>
      </c>
      <c r="O404" s="594">
        <v>0.7</v>
      </c>
      <c r="P404" s="590">
        <v>57</v>
      </c>
      <c r="Q404" s="434">
        <v>0.05</v>
      </c>
      <c r="R404" s="430">
        <v>8317.6</v>
      </c>
      <c r="S404" s="175">
        <v>624</v>
      </c>
      <c r="T404" s="751">
        <v>2149</v>
      </c>
      <c r="U404" s="442">
        <v>23.0365</v>
      </c>
      <c r="V404" s="636">
        <v>9.7999999999999989</v>
      </c>
      <c r="W404" s="636"/>
      <c r="X404" s="444">
        <v>1.4000000000000001</v>
      </c>
      <c r="Y404" s="761">
        <v>9.7999999999999989</v>
      </c>
      <c r="Z404" s="776">
        <v>50.178333333333335</v>
      </c>
      <c r="AA404" s="793">
        <v>3.8598717948717951</v>
      </c>
      <c r="AB404" s="811"/>
      <c r="AC404" s="818">
        <v>56</v>
      </c>
      <c r="AD404" s="811" t="s">
        <v>633</v>
      </c>
      <c r="AE404" s="811">
        <v>0</v>
      </c>
      <c r="AF404" s="643">
        <v>6043</v>
      </c>
    </row>
    <row r="405" spans="1:32" ht="15.75">
      <c r="A405" s="633"/>
      <c r="B405" s="634"/>
      <c r="C405" s="697"/>
      <c r="D405" s="637"/>
      <c r="E405" s="556"/>
      <c r="F405" s="637"/>
      <c r="G405" s="635" t="s">
        <v>129</v>
      </c>
      <c r="H405" s="635"/>
      <c r="I405" s="635"/>
      <c r="J405" s="637"/>
      <c r="K405" s="637"/>
      <c r="L405" s="635"/>
      <c r="M405" s="637"/>
      <c r="N405" s="592" t="s">
        <v>129</v>
      </c>
      <c r="O405" s="594" t="s">
        <v>129</v>
      </c>
      <c r="P405" s="745"/>
      <c r="Q405" s="434">
        <v>0.05</v>
      </c>
      <c r="R405" s="430">
        <v>11127.6</v>
      </c>
      <c r="S405" s="497">
        <v>0</v>
      </c>
      <c r="T405" s="753" t="s">
        <v>129</v>
      </c>
      <c r="U405" s="442">
        <v>27.034666666666666</v>
      </c>
      <c r="V405" s="637"/>
      <c r="W405" s="637"/>
      <c r="X405" s="444">
        <v>1.4000000000000001</v>
      </c>
      <c r="Y405" s="761" t="s">
        <v>129</v>
      </c>
      <c r="Z405" s="777"/>
      <c r="AA405" s="777"/>
      <c r="AB405" s="634"/>
      <c r="AC405" s="820" t="s">
        <v>129</v>
      </c>
      <c r="AD405" s="822"/>
      <c r="AE405" s="822"/>
      <c r="AF405" s="633"/>
    </row>
    <row r="406" spans="1:32" ht="15.75">
      <c r="A406" s="624">
        <v>6050</v>
      </c>
      <c r="B406" s="625"/>
      <c r="C406" s="626" t="s">
        <v>940</v>
      </c>
      <c r="D406" s="627"/>
      <c r="E406" s="628"/>
      <c r="F406" s="629"/>
      <c r="G406" s="630" t="s">
        <v>129</v>
      </c>
      <c r="H406" s="631"/>
      <c r="I406" s="631"/>
      <c r="J406" s="632"/>
      <c r="K406" s="632"/>
      <c r="L406" s="627"/>
      <c r="M406" s="632"/>
      <c r="N406" s="739" t="s">
        <v>129</v>
      </c>
      <c r="O406" s="744" t="s">
        <v>129</v>
      </c>
      <c r="P406" s="742"/>
      <c r="Q406" s="431"/>
      <c r="R406" s="430" t="s">
        <v>129</v>
      </c>
      <c r="S406" s="175"/>
      <c r="T406" s="750" t="s">
        <v>129</v>
      </c>
      <c r="U406" s="444"/>
      <c r="V406" s="631"/>
      <c r="W406" s="631"/>
      <c r="X406" s="444"/>
      <c r="Y406" s="763" t="s">
        <v>129</v>
      </c>
      <c r="Z406" s="774"/>
      <c r="AA406" s="775"/>
      <c r="AB406" s="810"/>
      <c r="AC406" s="817" t="s">
        <v>129</v>
      </c>
      <c r="AD406" s="810"/>
      <c r="AE406" s="810"/>
      <c r="AF406" s="624">
        <v>6050</v>
      </c>
    </row>
    <row r="407" spans="1:32" ht="15.75">
      <c r="A407" s="633"/>
      <c r="B407" s="634"/>
      <c r="C407" s="634"/>
      <c r="D407" s="569"/>
      <c r="E407" s="556"/>
      <c r="F407" s="557"/>
      <c r="G407" s="660" t="s">
        <v>129</v>
      </c>
      <c r="H407" s="636"/>
      <c r="I407" s="636"/>
      <c r="J407" s="549"/>
      <c r="K407" s="637"/>
      <c r="L407" s="635"/>
      <c r="M407" s="549"/>
      <c r="N407" s="592" t="s">
        <v>129</v>
      </c>
      <c r="O407" s="594" t="s">
        <v>129</v>
      </c>
      <c r="P407" s="745"/>
      <c r="Q407" s="429"/>
      <c r="R407" s="430" t="s">
        <v>129</v>
      </c>
      <c r="S407" s="496"/>
      <c r="T407" s="753" t="s">
        <v>129</v>
      </c>
      <c r="U407" s="438"/>
      <c r="V407" s="755"/>
      <c r="W407" s="755"/>
      <c r="X407" s="438"/>
      <c r="Y407" s="761" t="s">
        <v>129</v>
      </c>
      <c r="Z407" s="778"/>
      <c r="AA407" s="788"/>
      <c r="AB407" s="634"/>
      <c r="AC407" s="820" t="s">
        <v>129</v>
      </c>
      <c r="AD407" s="822"/>
      <c r="AE407" s="822"/>
      <c r="AF407" s="633"/>
    </row>
    <row r="408" spans="1:32" ht="15.75">
      <c r="A408" s="643">
        <v>6051</v>
      </c>
      <c r="B408" s="644"/>
      <c r="C408" s="644" t="s">
        <v>941</v>
      </c>
      <c r="D408" s="612">
        <v>6</v>
      </c>
      <c r="E408" s="545">
        <v>18000</v>
      </c>
      <c r="F408" s="546">
        <v>18</v>
      </c>
      <c r="G408" s="698">
        <v>3</v>
      </c>
      <c r="H408" s="699">
        <v>2.6</v>
      </c>
      <c r="I408" s="699">
        <v>3.8</v>
      </c>
      <c r="J408" s="615">
        <v>800</v>
      </c>
      <c r="K408" s="554" t="s">
        <v>221</v>
      </c>
      <c r="L408" s="562">
        <v>12</v>
      </c>
      <c r="M408" s="615">
        <v>28000</v>
      </c>
      <c r="N408" s="592">
        <v>0.25</v>
      </c>
      <c r="O408" s="594">
        <v>1.1499999999999999</v>
      </c>
      <c r="P408" s="590">
        <v>37</v>
      </c>
      <c r="Q408" s="431"/>
      <c r="R408" s="430" t="s">
        <v>129</v>
      </c>
      <c r="S408" s="175"/>
      <c r="T408" s="751">
        <v>1609</v>
      </c>
      <c r="U408" s="444"/>
      <c r="V408" s="699">
        <v>0.73928571428571432</v>
      </c>
      <c r="W408" s="636"/>
      <c r="X408" s="444"/>
      <c r="Y408" s="770">
        <v>0.73928571428571432</v>
      </c>
      <c r="Z408" s="776">
        <v>18.153535714285717</v>
      </c>
      <c r="AA408" s="793">
        <v>3.0255892857142861</v>
      </c>
      <c r="AB408" s="811">
        <v>2</v>
      </c>
      <c r="AC408" s="818">
        <v>36</v>
      </c>
      <c r="AD408" s="811" t="s">
        <v>383</v>
      </c>
      <c r="AE408" s="811">
        <v>0</v>
      </c>
      <c r="AF408" s="643">
        <v>6051</v>
      </c>
    </row>
    <row r="409" spans="1:32" ht="15.75">
      <c r="A409" s="643">
        <v>6053</v>
      </c>
      <c r="B409" s="644"/>
      <c r="C409" s="644" t="s">
        <v>942</v>
      </c>
      <c r="D409" s="612">
        <v>18</v>
      </c>
      <c r="E409" s="545">
        <v>22000</v>
      </c>
      <c r="F409" s="546">
        <v>41</v>
      </c>
      <c r="G409" s="698">
        <v>2.2999999999999998</v>
      </c>
      <c r="H409" s="699">
        <v>1.9</v>
      </c>
      <c r="I409" s="699">
        <v>2.8</v>
      </c>
      <c r="J409" s="615">
        <v>1300</v>
      </c>
      <c r="K409" s="554" t="s">
        <v>221</v>
      </c>
      <c r="L409" s="562">
        <v>12</v>
      </c>
      <c r="M409" s="615">
        <v>30000</v>
      </c>
      <c r="N409" s="592">
        <v>0.25</v>
      </c>
      <c r="O409" s="594">
        <v>0.65</v>
      </c>
      <c r="P409" s="590">
        <v>58</v>
      </c>
      <c r="Q409" s="431">
        <v>0.05</v>
      </c>
      <c r="R409" s="430">
        <v>1117.5</v>
      </c>
      <c r="S409" s="497">
        <v>222</v>
      </c>
      <c r="T409" s="751">
        <v>2056</v>
      </c>
      <c r="U409" s="439">
        <v>22.625</v>
      </c>
      <c r="V409" s="699">
        <v>0.47666666666666663</v>
      </c>
      <c r="W409" s="636"/>
      <c r="X409" s="439">
        <v>1.4000000000000001</v>
      </c>
      <c r="Y409" s="770">
        <v>0.47666666666666663</v>
      </c>
      <c r="Z409" s="776">
        <v>40.752461538461539</v>
      </c>
      <c r="AA409" s="793">
        <v>2.2640256410256412</v>
      </c>
      <c r="AB409" s="811">
        <v>4</v>
      </c>
      <c r="AC409" s="818">
        <v>44</v>
      </c>
      <c r="AD409" s="811" t="s">
        <v>383</v>
      </c>
      <c r="AE409" s="811">
        <v>0</v>
      </c>
      <c r="AF409" s="643">
        <v>6053</v>
      </c>
    </row>
    <row r="410" spans="1:32" ht="15.75">
      <c r="A410" s="643">
        <v>6054</v>
      </c>
      <c r="B410" s="644"/>
      <c r="C410" s="644" t="s">
        <v>943</v>
      </c>
      <c r="D410" s="612">
        <v>19.8</v>
      </c>
      <c r="E410" s="545">
        <v>26000</v>
      </c>
      <c r="F410" s="546">
        <v>40</v>
      </c>
      <c r="G410" s="698">
        <v>2</v>
      </c>
      <c r="H410" s="699">
        <v>1.7</v>
      </c>
      <c r="I410" s="699">
        <v>2.5</v>
      </c>
      <c r="J410" s="615">
        <v>1700</v>
      </c>
      <c r="K410" s="554" t="s">
        <v>221</v>
      </c>
      <c r="L410" s="562">
        <v>12</v>
      </c>
      <c r="M410" s="615">
        <v>36000</v>
      </c>
      <c r="N410" s="592">
        <v>0.25</v>
      </c>
      <c r="O410" s="594">
        <v>0.6</v>
      </c>
      <c r="P410" s="590">
        <v>64</v>
      </c>
      <c r="Q410" s="431">
        <v>0.05</v>
      </c>
      <c r="R410" s="430">
        <v>1895.2</v>
      </c>
      <c r="S410" s="175">
        <v>240</v>
      </c>
      <c r="T410" s="751">
        <v>2398</v>
      </c>
      <c r="U410" s="439">
        <v>29.252499999999998</v>
      </c>
      <c r="V410" s="699">
        <v>0.43333333333333329</v>
      </c>
      <c r="W410" s="636"/>
      <c r="X410" s="439">
        <v>1.4000000000000001</v>
      </c>
      <c r="Y410" s="770">
        <v>0.43333333333333329</v>
      </c>
      <c r="Z410" s="776">
        <v>40.160611764705884</v>
      </c>
      <c r="AA410" s="793">
        <v>2.0283137254901962</v>
      </c>
      <c r="AB410" s="811">
        <v>5</v>
      </c>
      <c r="AC410" s="818">
        <v>52</v>
      </c>
      <c r="AD410" s="811" t="s">
        <v>383</v>
      </c>
      <c r="AE410" s="811">
        <v>0</v>
      </c>
      <c r="AF410" s="643">
        <v>6054</v>
      </c>
    </row>
    <row r="411" spans="1:32" ht="15.75">
      <c r="A411" s="643">
        <v>6055</v>
      </c>
      <c r="B411" s="644"/>
      <c r="C411" s="644" t="s">
        <v>944</v>
      </c>
      <c r="D411" s="612">
        <v>22.2</v>
      </c>
      <c r="E411" s="545">
        <v>29000</v>
      </c>
      <c r="F411" s="546">
        <v>39</v>
      </c>
      <c r="G411" s="698">
        <v>1.8</v>
      </c>
      <c r="H411" s="699">
        <v>1.5</v>
      </c>
      <c r="I411" s="699">
        <v>2.2000000000000002</v>
      </c>
      <c r="J411" s="615">
        <v>2200</v>
      </c>
      <c r="K411" s="554" t="s">
        <v>221</v>
      </c>
      <c r="L411" s="562">
        <v>12</v>
      </c>
      <c r="M411" s="615">
        <v>50000</v>
      </c>
      <c r="N411" s="592">
        <v>0.25</v>
      </c>
      <c r="O411" s="594">
        <v>0.7</v>
      </c>
      <c r="P411" s="590">
        <v>70</v>
      </c>
      <c r="Q411" s="431">
        <v>0.05</v>
      </c>
      <c r="R411" s="430">
        <v>1750.75</v>
      </c>
      <c r="S411" s="497">
        <v>252</v>
      </c>
      <c r="T411" s="751">
        <v>2665</v>
      </c>
      <c r="U411" s="439">
        <v>36.612499999999997</v>
      </c>
      <c r="V411" s="699">
        <v>0.40599999999999997</v>
      </c>
      <c r="W411" s="636"/>
      <c r="X411" s="439">
        <v>1.4000000000000001</v>
      </c>
      <c r="Y411" s="770">
        <v>0.40599999999999997</v>
      </c>
      <c r="Z411" s="776">
        <v>39.496020000000001</v>
      </c>
      <c r="AA411" s="793">
        <v>1.7791000000000001</v>
      </c>
      <c r="AB411" s="811">
        <v>6</v>
      </c>
      <c r="AC411" s="818">
        <v>58</v>
      </c>
      <c r="AD411" s="811" t="s">
        <v>383</v>
      </c>
      <c r="AE411" s="811">
        <v>0</v>
      </c>
      <c r="AF411" s="643">
        <v>6055</v>
      </c>
    </row>
    <row r="412" spans="1:32" ht="15.75">
      <c r="A412" s="643">
        <v>6056</v>
      </c>
      <c r="B412" s="644"/>
      <c r="C412" s="644" t="s">
        <v>945</v>
      </c>
      <c r="D412" s="612">
        <v>25.8</v>
      </c>
      <c r="E412" s="545">
        <v>40000</v>
      </c>
      <c r="F412" s="546">
        <v>46</v>
      </c>
      <c r="G412" s="698">
        <v>1.8</v>
      </c>
      <c r="H412" s="699">
        <v>1.5</v>
      </c>
      <c r="I412" s="699">
        <v>2.2000000000000002</v>
      </c>
      <c r="J412" s="615">
        <v>3000</v>
      </c>
      <c r="K412" s="554" t="s">
        <v>221</v>
      </c>
      <c r="L412" s="562">
        <v>12</v>
      </c>
      <c r="M412" s="615">
        <v>75000</v>
      </c>
      <c r="N412" s="592">
        <v>0.25</v>
      </c>
      <c r="O412" s="594">
        <v>0.8</v>
      </c>
      <c r="P412" s="590">
        <v>77</v>
      </c>
      <c r="Q412" s="432"/>
      <c r="R412" s="430" t="s">
        <v>129</v>
      </c>
      <c r="S412" s="175">
        <v>282</v>
      </c>
      <c r="T412" s="751">
        <v>3539</v>
      </c>
      <c r="U412" s="432"/>
      <c r="V412" s="699">
        <v>0.42666666666666669</v>
      </c>
      <c r="W412" s="636"/>
      <c r="X412" s="432"/>
      <c r="Y412" s="770">
        <v>0.42666666666666669</v>
      </c>
      <c r="Z412" s="776">
        <v>45.587740000000004</v>
      </c>
      <c r="AA412" s="793">
        <v>1.7669666666666668</v>
      </c>
      <c r="AB412" s="811">
        <v>8</v>
      </c>
      <c r="AC412" s="818">
        <v>80</v>
      </c>
      <c r="AD412" s="811" t="s">
        <v>383</v>
      </c>
      <c r="AE412" s="811">
        <v>0</v>
      </c>
      <c r="AF412" s="643">
        <v>6056</v>
      </c>
    </row>
    <row r="413" spans="1:32" ht="15.75">
      <c r="A413" s="643">
        <v>6057</v>
      </c>
      <c r="B413" s="644"/>
      <c r="C413" s="644" t="s">
        <v>946</v>
      </c>
      <c r="D413" s="612">
        <v>28.5</v>
      </c>
      <c r="E413" s="545">
        <v>46000</v>
      </c>
      <c r="F413" s="546">
        <v>44</v>
      </c>
      <c r="G413" s="698">
        <v>1.6</v>
      </c>
      <c r="H413" s="699">
        <v>1.3</v>
      </c>
      <c r="I413" s="699">
        <v>1.9</v>
      </c>
      <c r="J413" s="615">
        <v>4000</v>
      </c>
      <c r="K413" s="554" t="s">
        <v>221</v>
      </c>
      <c r="L413" s="562">
        <v>12</v>
      </c>
      <c r="M413" s="615">
        <v>95000</v>
      </c>
      <c r="N413" s="592">
        <v>0.25</v>
      </c>
      <c r="O413" s="594">
        <v>0.8</v>
      </c>
      <c r="P413" s="590">
        <v>95</v>
      </c>
      <c r="Q413" s="429"/>
      <c r="R413" s="430" t="s">
        <v>129</v>
      </c>
      <c r="S413" s="497">
        <v>348</v>
      </c>
      <c r="T413" s="751">
        <v>4115</v>
      </c>
      <c r="U413" s="438"/>
      <c r="V413" s="699">
        <v>0.38736842105263158</v>
      </c>
      <c r="W413" s="636"/>
      <c r="X413" s="438"/>
      <c r="Y413" s="770">
        <v>0.38736842105263158</v>
      </c>
      <c r="Z413" s="776">
        <v>44.395312500000003</v>
      </c>
      <c r="AA413" s="793">
        <v>1.5577302631578949</v>
      </c>
      <c r="AB413" s="811">
        <v>10</v>
      </c>
      <c r="AC413" s="818">
        <v>92</v>
      </c>
      <c r="AD413" s="811" t="s">
        <v>383</v>
      </c>
      <c r="AE413" s="811">
        <v>0</v>
      </c>
      <c r="AF413" s="643">
        <v>6057</v>
      </c>
    </row>
    <row r="414" spans="1:32" ht="15.75">
      <c r="A414" s="643">
        <v>6058</v>
      </c>
      <c r="B414" s="644"/>
      <c r="C414" s="644" t="s">
        <v>947</v>
      </c>
      <c r="D414" s="612">
        <v>30.6</v>
      </c>
      <c r="E414" s="545">
        <v>50000</v>
      </c>
      <c r="F414" s="546">
        <v>43</v>
      </c>
      <c r="G414" s="698">
        <v>1.4</v>
      </c>
      <c r="H414" s="699">
        <v>1.2</v>
      </c>
      <c r="I414" s="699">
        <v>1.8</v>
      </c>
      <c r="J414" s="615">
        <v>4800</v>
      </c>
      <c r="K414" s="554" t="s">
        <v>221</v>
      </c>
      <c r="L414" s="562">
        <v>12</v>
      </c>
      <c r="M414" s="615">
        <v>115000</v>
      </c>
      <c r="N414" s="592">
        <v>0.25</v>
      </c>
      <c r="O414" s="594">
        <v>0.8</v>
      </c>
      <c r="P414" s="590">
        <v>104</v>
      </c>
      <c r="Q414" s="431"/>
      <c r="R414" s="430" t="s">
        <v>129</v>
      </c>
      <c r="S414" s="175">
        <v>384</v>
      </c>
      <c r="T414" s="751">
        <v>4478</v>
      </c>
      <c r="U414" s="439"/>
      <c r="V414" s="699">
        <v>0.34782608695652173</v>
      </c>
      <c r="W414" s="636"/>
      <c r="X414" s="439"/>
      <c r="Y414" s="770">
        <v>0.34782608695652173</v>
      </c>
      <c r="Z414" s="776">
        <v>43.109801086956523</v>
      </c>
      <c r="AA414" s="793">
        <v>1.4088170289855073</v>
      </c>
      <c r="AB414" s="811">
        <v>12</v>
      </c>
      <c r="AC414" s="818">
        <v>100</v>
      </c>
      <c r="AD414" s="811" t="s">
        <v>383</v>
      </c>
      <c r="AE414" s="811">
        <v>0</v>
      </c>
      <c r="AF414" s="643">
        <v>6058</v>
      </c>
    </row>
    <row r="415" spans="1:32" ht="15.75">
      <c r="A415" s="633"/>
      <c r="B415" s="634"/>
      <c r="C415" s="634"/>
      <c r="D415" s="569"/>
      <c r="E415" s="556"/>
      <c r="F415" s="546"/>
      <c r="G415" s="660" t="s">
        <v>129</v>
      </c>
      <c r="H415" s="636"/>
      <c r="I415" s="636"/>
      <c r="J415" s="549"/>
      <c r="K415" s="637"/>
      <c r="L415" s="635"/>
      <c r="M415" s="549"/>
      <c r="N415" s="592" t="s">
        <v>129</v>
      </c>
      <c r="O415" s="594" t="s">
        <v>129</v>
      </c>
      <c r="P415" s="745"/>
      <c r="Q415" s="434">
        <v>0.01</v>
      </c>
      <c r="R415" s="430">
        <v>957</v>
      </c>
      <c r="S415" s="497">
        <v>420</v>
      </c>
      <c r="T415" s="753" t="s">
        <v>129</v>
      </c>
      <c r="U415" s="445">
        <v>1.5475000000000001</v>
      </c>
      <c r="V415" s="755"/>
      <c r="W415" s="755"/>
      <c r="X415" s="445">
        <v>0.28000000000000003</v>
      </c>
      <c r="Y415" s="761" t="s">
        <v>129</v>
      </c>
      <c r="Z415" s="778"/>
      <c r="AA415" s="788"/>
      <c r="AB415" s="634"/>
      <c r="AC415" s="820" t="s">
        <v>129</v>
      </c>
      <c r="AD415" s="822"/>
      <c r="AE415" s="822"/>
      <c r="AF415" s="633"/>
    </row>
    <row r="416" spans="1:32" ht="15.75">
      <c r="A416" s="624">
        <v>6070</v>
      </c>
      <c r="B416" s="625"/>
      <c r="C416" s="626" t="s">
        <v>948</v>
      </c>
      <c r="D416" s="627"/>
      <c r="E416" s="628"/>
      <c r="F416" s="629"/>
      <c r="G416" s="630" t="s">
        <v>129</v>
      </c>
      <c r="H416" s="631"/>
      <c r="I416" s="631"/>
      <c r="J416" s="632"/>
      <c r="K416" s="632"/>
      <c r="L416" s="627"/>
      <c r="M416" s="632"/>
      <c r="N416" s="739" t="s">
        <v>129</v>
      </c>
      <c r="O416" s="744" t="s">
        <v>129</v>
      </c>
      <c r="P416" s="742"/>
      <c r="Q416" s="434">
        <v>6.6660000000000001E-3</v>
      </c>
      <c r="R416" s="430">
        <v>1392</v>
      </c>
      <c r="S416" s="175">
        <v>462</v>
      </c>
      <c r="T416" s="750" t="s">
        <v>129</v>
      </c>
      <c r="U416" s="445">
        <v>1.7529999999999999</v>
      </c>
      <c r="V416" s="631"/>
      <c r="W416" s="631"/>
      <c r="X416" s="445">
        <v>0.18664800000000001</v>
      </c>
      <c r="Y416" s="763" t="s">
        <v>129</v>
      </c>
      <c r="Z416" s="774"/>
      <c r="AA416" s="775"/>
      <c r="AB416" s="810"/>
      <c r="AC416" s="817" t="s">
        <v>129</v>
      </c>
      <c r="AD416" s="810"/>
      <c r="AE416" s="810"/>
      <c r="AF416" s="624">
        <v>6070</v>
      </c>
    </row>
    <row r="417" spans="1:32" ht="15.75">
      <c r="A417" s="633"/>
      <c r="B417" s="634"/>
      <c r="C417" s="634"/>
      <c r="D417" s="569"/>
      <c r="E417" s="556"/>
      <c r="F417" s="546"/>
      <c r="G417" s="660" t="s">
        <v>129</v>
      </c>
      <c r="H417" s="636"/>
      <c r="I417" s="636"/>
      <c r="J417" s="549"/>
      <c r="K417" s="637"/>
      <c r="L417" s="635"/>
      <c r="M417" s="549"/>
      <c r="N417" s="592" t="s">
        <v>129</v>
      </c>
      <c r="O417" s="594" t="s">
        <v>129</v>
      </c>
      <c r="P417" s="745"/>
      <c r="Q417" s="434">
        <v>5.0000000000000001E-3</v>
      </c>
      <c r="R417" s="430">
        <v>1522.5</v>
      </c>
      <c r="S417" s="497">
        <v>570</v>
      </c>
      <c r="T417" s="753" t="s">
        <v>129</v>
      </c>
      <c r="U417" s="445">
        <v>1.5103846153846154</v>
      </c>
      <c r="V417" s="755"/>
      <c r="W417" s="755"/>
      <c r="X417" s="445">
        <v>0.14000000000000001</v>
      </c>
      <c r="Y417" s="761" t="s">
        <v>129</v>
      </c>
      <c r="Z417" s="778"/>
      <c r="AA417" s="788"/>
      <c r="AB417" s="634"/>
      <c r="AC417" s="820" t="s">
        <v>129</v>
      </c>
      <c r="AD417" s="822"/>
      <c r="AE417" s="822"/>
      <c r="AF417" s="633"/>
    </row>
    <row r="418" spans="1:32" ht="15.75">
      <c r="A418" s="643">
        <v>6069</v>
      </c>
      <c r="B418" s="644"/>
      <c r="C418" s="644" t="s">
        <v>949</v>
      </c>
      <c r="D418" s="612">
        <v>6</v>
      </c>
      <c r="E418" s="545">
        <v>23000</v>
      </c>
      <c r="F418" s="546">
        <v>25</v>
      </c>
      <c r="G418" s="698">
        <v>4.2</v>
      </c>
      <c r="H418" s="699">
        <v>3.6</v>
      </c>
      <c r="I418" s="699">
        <v>5.0999999999999996</v>
      </c>
      <c r="J418" s="615">
        <v>800</v>
      </c>
      <c r="K418" s="554" t="s">
        <v>221</v>
      </c>
      <c r="L418" s="562">
        <v>12</v>
      </c>
      <c r="M418" s="615">
        <v>20000</v>
      </c>
      <c r="N418" s="592">
        <v>0.25</v>
      </c>
      <c r="O418" s="594">
        <v>1.1499999999999999</v>
      </c>
      <c r="P418" s="590">
        <v>37</v>
      </c>
      <c r="Q418" s="434">
        <v>4.0000000000000001E-3</v>
      </c>
      <c r="R418" s="430">
        <v>1827</v>
      </c>
      <c r="S418" s="175">
        <v>624</v>
      </c>
      <c r="T418" s="751">
        <v>1984</v>
      </c>
      <c r="U418" s="445">
        <v>1.3629411764705883</v>
      </c>
      <c r="V418" s="699">
        <v>1.3224999999999998</v>
      </c>
      <c r="W418" s="636"/>
      <c r="X418" s="445">
        <v>0.112</v>
      </c>
      <c r="Y418" s="770">
        <v>1.3224999999999998</v>
      </c>
      <c r="Z418" s="776">
        <v>25.096500000000002</v>
      </c>
      <c r="AA418" s="793">
        <v>4.1827500000000004</v>
      </c>
      <c r="AB418" s="811">
        <v>2</v>
      </c>
      <c r="AC418" s="818">
        <v>46</v>
      </c>
      <c r="AD418" s="811" t="s">
        <v>383</v>
      </c>
      <c r="AE418" s="811">
        <v>0</v>
      </c>
      <c r="AF418" s="643">
        <v>6069</v>
      </c>
    </row>
    <row r="419" spans="1:32" ht="15.75">
      <c r="A419" s="643">
        <v>6071</v>
      </c>
      <c r="B419" s="644"/>
      <c r="C419" s="644" t="s">
        <v>950</v>
      </c>
      <c r="D419" s="612">
        <v>12</v>
      </c>
      <c r="E419" s="545">
        <v>24000</v>
      </c>
      <c r="F419" s="546">
        <v>39</v>
      </c>
      <c r="G419" s="698">
        <v>3.2</v>
      </c>
      <c r="H419" s="699">
        <v>2.8</v>
      </c>
      <c r="I419" s="699">
        <v>4</v>
      </c>
      <c r="J419" s="615">
        <v>1000</v>
      </c>
      <c r="K419" s="554" t="s">
        <v>221</v>
      </c>
      <c r="L419" s="562">
        <v>12</v>
      </c>
      <c r="M419" s="615">
        <v>22000</v>
      </c>
      <c r="N419" s="592">
        <v>0.25</v>
      </c>
      <c r="O419" s="594">
        <v>0.8</v>
      </c>
      <c r="P419" s="590">
        <v>40</v>
      </c>
      <c r="Q419" s="434">
        <v>3.3333E-3</v>
      </c>
      <c r="R419" s="430">
        <v>2001</v>
      </c>
      <c r="S419" s="399"/>
      <c r="T419" s="751">
        <v>2080</v>
      </c>
      <c r="U419" s="445">
        <v>1.1531818181818181</v>
      </c>
      <c r="V419" s="699">
        <v>0.87272727272727268</v>
      </c>
      <c r="W419" s="636"/>
      <c r="X419" s="445">
        <v>9.3332399999999996E-2</v>
      </c>
      <c r="Y419" s="770">
        <v>0.87272727272727268</v>
      </c>
      <c r="Z419" s="776">
        <v>38.975999999999999</v>
      </c>
      <c r="AA419" s="793">
        <v>3.2480000000000002</v>
      </c>
      <c r="AB419" s="811">
        <v>3</v>
      </c>
      <c r="AC419" s="818">
        <v>48</v>
      </c>
      <c r="AD419" s="811" t="s">
        <v>383</v>
      </c>
      <c r="AE419" s="811">
        <v>0</v>
      </c>
      <c r="AF419" s="643">
        <v>6071</v>
      </c>
    </row>
    <row r="420" spans="1:32" ht="15.75">
      <c r="A420" s="643">
        <v>6072</v>
      </c>
      <c r="B420" s="644"/>
      <c r="C420" s="644" t="s">
        <v>951</v>
      </c>
      <c r="D420" s="612">
        <v>15</v>
      </c>
      <c r="E420" s="545">
        <v>24000</v>
      </c>
      <c r="F420" s="546">
        <v>44</v>
      </c>
      <c r="G420" s="698">
        <v>2.9</v>
      </c>
      <c r="H420" s="699">
        <v>2.5</v>
      </c>
      <c r="I420" s="699">
        <v>3.7</v>
      </c>
      <c r="J420" s="615">
        <v>1200</v>
      </c>
      <c r="K420" s="554" t="s">
        <v>221</v>
      </c>
      <c r="L420" s="562">
        <v>12</v>
      </c>
      <c r="M420" s="615">
        <v>24000</v>
      </c>
      <c r="N420" s="592">
        <v>0.1</v>
      </c>
      <c r="O420" s="594">
        <v>0.7</v>
      </c>
      <c r="P420" s="590">
        <v>42</v>
      </c>
      <c r="Q420" s="434">
        <v>2.5000000000000001E-3</v>
      </c>
      <c r="R420" s="430">
        <v>2784</v>
      </c>
      <c r="S420" s="496"/>
      <c r="T420" s="751">
        <v>2372.4</v>
      </c>
      <c r="U420" s="445">
        <v>1.129</v>
      </c>
      <c r="V420" s="699">
        <v>0.7</v>
      </c>
      <c r="W420" s="636"/>
      <c r="X420" s="445">
        <v>7.0000000000000007E-2</v>
      </c>
      <c r="Y420" s="770">
        <v>0.7</v>
      </c>
      <c r="Z420" s="776">
        <v>44.170500000000004</v>
      </c>
      <c r="AA420" s="793">
        <v>2.9447000000000001</v>
      </c>
      <c r="AB420" s="811">
        <v>3.5</v>
      </c>
      <c r="AC420" s="818">
        <v>48</v>
      </c>
      <c r="AD420" s="811" t="s">
        <v>383</v>
      </c>
      <c r="AE420" s="811">
        <v>0</v>
      </c>
      <c r="AF420" s="643">
        <v>6072</v>
      </c>
    </row>
    <row r="421" spans="1:32" ht="15.75">
      <c r="A421" s="643">
        <v>6073</v>
      </c>
      <c r="B421" s="644"/>
      <c r="C421" s="644" t="s">
        <v>952</v>
      </c>
      <c r="D421" s="612">
        <v>18</v>
      </c>
      <c r="E421" s="545">
        <v>28000</v>
      </c>
      <c r="F421" s="546">
        <v>52</v>
      </c>
      <c r="G421" s="698">
        <v>2.9</v>
      </c>
      <c r="H421" s="614">
        <v>2.5</v>
      </c>
      <c r="I421" s="699">
        <v>3.6</v>
      </c>
      <c r="J421" s="615">
        <v>1300</v>
      </c>
      <c r="K421" s="554" t="s">
        <v>221</v>
      </c>
      <c r="L421" s="562">
        <v>12</v>
      </c>
      <c r="M421" s="615">
        <v>30000</v>
      </c>
      <c r="N421" s="592">
        <v>0.25</v>
      </c>
      <c r="O421" s="594">
        <v>0.75</v>
      </c>
      <c r="P421" s="590">
        <v>58</v>
      </c>
      <c r="Q421" s="434">
        <v>2E-3</v>
      </c>
      <c r="R421" s="430">
        <v>3741</v>
      </c>
      <c r="S421" s="175"/>
      <c r="T421" s="751">
        <v>2506</v>
      </c>
      <c r="U421" s="445">
        <v>1.123</v>
      </c>
      <c r="V421" s="699">
        <v>0.7</v>
      </c>
      <c r="W421" s="636"/>
      <c r="X421" s="445">
        <v>5.6000000000000001E-2</v>
      </c>
      <c r="Y421" s="770">
        <v>0.7</v>
      </c>
      <c r="Z421" s="776">
        <v>52.028307692307692</v>
      </c>
      <c r="AA421" s="793">
        <v>2.8904615384615386</v>
      </c>
      <c r="AB421" s="811">
        <v>4</v>
      </c>
      <c r="AC421" s="818">
        <v>56</v>
      </c>
      <c r="AD421" s="811" t="s">
        <v>383</v>
      </c>
      <c r="AE421" s="811">
        <v>0</v>
      </c>
      <c r="AF421" s="643">
        <v>6073</v>
      </c>
    </row>
    <row r="422" spans="1:32" ht="15.75">
      <c r="A422" s="643">
        <v>6074</v>
      </c>
      <c r="B422" s="644"/>
      <c r="C422" s="644" t="s">
        <v>953</v>
      </c>
      <c r="D422" s="612">
        <v>19.8</v>
      </c>
      <c r="E422" s="545">
        <v>30000</v>
      </c>
      <c r="F422" s="546">
        <v>47</v>
      </c>
      <c r="G422" s="698">
        <v>2.4</v>
      </c>
      <c r="H422" s="614">
        <v>2</v>
      </c>
      <c r="I422" s="699">
        <v>3</v>
      </c>
      <c r="J422" s="615">
        <v>1700</v>
      </c>
      <c r="K422" s="554" t="s">
        <v>221</v>
      </c>
      <c r="L422" s="562">
        <v>12</v>
      </c>
      <c r="M422" s="615">
        <v>36000</v>
      </c>
      <c r="N422" s="592">
        <v>0.25</v>
      </c>
      <c r="O422" s="594">
        <v>0.7</v>
      </c>
      <c r="P422" s="590">
        <v>64</v>
      </c>
      <c r="Q422" s="434">
        <v>1.6666000000000001E-3</v>
      </c>
      <c r="R422" s="430">
        <v>4002</v>
      </c>
      <c r="S422" s="497">
        <v>270</v>
      </c>
      <c r="T422" s="751">
        <v>2698</v>
      </c>
      <c r="U422" s="445">
        <v>1.0045833333333334</v>
      </c>
      <c r="V422" s="699">
        <v>0.58333333333333337</v>
      </c>
      <c r="W422" s="636"/>
      <c r="X422" s="445">
        <v>4.6664799999999999E-2</v>
      </c>
      <c r="Y422" s="770">
        <v>0.58333333333333337</v>
      </c>
      <c r="Z422" s="776">
        <v>47.2711411764706</v>
      </c>
      <c r="AA422" s="793">
        <v>2.3874313725490199</v>
      </c>
      <c r="AB422" s="811">
        <v>5</v>
      </c>
      <c r="AC422" s="818">
        <v>60</v>
      </c>
      <c r="AD422" s="811" t="s">
        <v>383</v>
      </c>
      <c r="AE422" s="811">
        <v>0</v>
      </c>
      <c r="AF422" s="643">
        <v>6074</v>
      </c>
    </row>
    <row r="423" spans="1:32" ht="15.75">
      <c r="A423" s="643">
        <v>6075</v>
      </c>
      <c r="B423" s="644"/>
      <c r="C423" s="644" t="s">
        <v>954</v>
      </c>
      <c r="D423" s="612">
        <v>22.2</v>
      </c>
      <c r="E423" s="545">
        <v>37000</v>
      </c>
      <c r="F423" s="546">
        <v>51</v>
      </c>
      <c r="G423" s="698">
        <v>2.2999999999999998</v>
      </c>
      <c r="H423" s="614">
        <v>2</v>
      </c>
      <c r="I423" s="699">
        <v>2.8</v>
      </c>
      <c r="J423" s="615">
        <v>2200</v>
      </c>
      <c r="K423" s="554" t="s">
        <v>221</v>
      </c>
      <c r="L423" s="562">
        <v>12</v>
      </c>
      <c r="M423" s="615">
        <v>50000</v>
      </c>
      <c r="N423" s="592">
        <v>0.25</v>
      </c>
      <c r="O423" s="594">
        <v>0.8</v>
      </c>
      <c r="P423" s="590">
        <v>70</v>
      </c>
      <c r="Q423" s="434">
        <v>0.01</v>
      </c>
      <c r="R423" s="430">
        <v>428.55999999999995</v>
      </c>
      <c r="S423" s="175">
        <v>414</v>
      </c>
      <c r="T423" s="751">
        <v>3265</v>
      </c>
      <c r="U423" s="445">
        <v>0.14578666666666665</v>
      </c>
      <c r="V423" s="699">
        <v>0.59199999999999997</v>
      </c>
      <c r="W423" s="636"/>
      <c r="X423" s="445">
        <v>0.28000000000000003</v>
      </c>
      <c r="Y423" s="770">
        <v>0.59199999999999997</v>
      </c>
      <c r="Z423" s="776">
        <v>50.698140000000002</v>
      </c>
      <c r="AA423" s="793">
        <v>2.2837000000000001</v>
      </c>
      <c r="AB423" s="811">
        <v>6</v>
      </c>
      <c r="AC423" s="818">
        <v>74</v>
      </c>
      <c r="AD423" s="811" t="s">
        <v>383</v>
      </c>
      <c r="AE423" s="811">
        <v>0</v>
      </c>
      <c r="AF423" s="643">
        <v>6075</v>
      </c>
    </row>
    <row r="424" spans="1:32" ht="15.75">
      <c r="A424" s="643">
        <v>6076</v>
      </c>
      <c r="B424" s="644"/>
      <c r="C424" s="644" t="s">
        <v>955</v>
      </c>
      <c r="D424" s="612">
        <v>25.8</v>
      </c>
      <c r="E424" s="545">
        <v>48000</v>
      </c>
      <c r="F424" s="546">
        <v>53</v>
      </c>
      <c r="G424" s="698">
        <v>2.1</v>
      </c>
      <c r="H424" s="699">
        <v>1.8</v>
      </c>
      <c r="I424" s="699">
        <v>2.5</v>
      </c>
      <c r="J424" s="615">
        <v>3200</v>
      </c>
      <c r="K424" s="554" t="s">
        <v>221</v>
      </c>
      <c r="L424" s="562">
        <v>12</v>
      </c>
      <c r="M424" s="615">
        <v>75000</v>
      </c>
      <c r="N424" s="592">
        <v>0.25</v>
      </c>
      <c r="O424" s="594">
        <v>0.9</v>
      </c>
      <c r="P424" s="590">
        <v>77</v>
      </c>
      <c r="Q424" s="431"/>
      <c r="R424" s="430" t="s">
        <v>129</v>
      </c>
      <c r="S424" s="497">
        <v>480</v>
      </c>
      <c r="T424" s="751">
        <v>4139</v>
      </c>
      <c r="U424" s="439"/>
      <c r="V424" s="699">
        <v>0.57600000000000007</v>
      </c>
      <c r="W424" s="636"/>
      <c r="X424" s="439"/>
      <c r="Y424" s="770">
        <v>0.57600000000000007</v>
      </c>
      <c r="Z424" s="776">
        <v>53.054636250000009</v>
      </c>
      <c r="AA424" s="793">
        <v>2.0563812500000003</v>
      </c>
      <c r="AB424" s="811">
        <v>8</v>
      </c>
      <c r="AC424" s="818">
        <v>96</v>
      </c>
      <c r="AD424" s="811" t="s">
        <v>383</v>
      </c>
      <c r="AE424" s="811">
        <v>0</v>
      </c>
      <c r="AF424" s="643">
        <v>6076</v>
      </c>
    </row>
    <row r="425" spans="1:32" ht="15.75">
      <c r="A425" s="643">
        <v>6077</v>
      </c>
      <c r="B425" s="644"/>
      <c r="C425" s="644" t="s">
        <v>956</v>
      </c>
      <c r="D425" s="612">
        <v>28.5</v>
      </c>
      <c r="E425" s="545">
        <v>59000</v>
      </c>
      <c r="F425" s="546">
        <v>57</v>
      </c>
      <c r="G425" s="698">
        <v>2</v>
      </c>
      <c r="H425" s="699">
        <v>1.7</v>
      </c>
      <c r="I425" s="699">
        <v>2.5</v>
      </c>
      <c r="J425" s="615">
        <v>4000</v>
      </c>
      <c r="K425" s="554" t="s">
        <v>221</v>
      </c>
      <c r="L425" s="562">
        <v>12</v>
      </c>
      <c r="M425" s="615">
        <v>95000</v>
      </c>
      <c r="N425" s="592">
        <v>0.25</v>
      </c>
      <c r="O425" s="594">
        <v>0.9</v>
      </c>
      <c r="P425" s="590">
        <v>95</v>
      </c>
      <c r="Q425" s="429"/>
      <c r="R425" s="430" t="s">
        <v>129</v>
      </c>
      <c r="S425" s="175">
        <v>498</v>
      </c>
      <c r="T425" s="751">
        <v>5090</v>
      </c>
      <c r="U425" s="438"/>
      <c r="V425" s="699">
        <v>0.55894736842105264</v>
      </c>
      <c r="W425" s="636"/>
      <c r="X425" s="438"/>
      <c r="Y425" s="770">
        <v>0.55894736842105264</v>
      </c>
      <c r="Z425" s="776">
        <v>57.415875000000007</v>
      </c>
      <c r="AA425" s="793">
        <v>2.0145921052631581</v>
      </c>
      <c r="AB425" s="811">
        <v>10</v>
      </c>
      <c r="AC425" s="818">
        <v>118</v>
      </c>
      <c r="AD425" s="811" t="s">
        <v>383</v>
      </c>
      <c r="AE425" s="811">
        <v>0</v>
      </c>
      <c r="AF425" s="643">
        <v>6077</v>
      </c>
    </row>
    <row r="426" spans="1:32" ht="15.75">
      <c r="A426" s="643">
        <v>6078</v>
      </c>
      <c r="B426" s="644"/>
      <c r="C426" s="644" t="s">
        <v>957</v>
      </c>
      <c r="D426" s="612">
        <v>30.6</v>
      </c>
      <c r="E426" s="545">
        <v>67000</v>
      </c>
      <c r="F426" s="546">
        <v>61</v>
      </c>
      <c r="G426" s="698">
        <v>2</v>
      </c>
      <c r="H426" s="699">
        <v>1.7</v>
      </c>
      <c r="I426" s="699">
        <v>2.5</v>
      </c>
      <c r="J426" s="615">
        <v>4500</v>
      </c>
      <c r="K426" s="554" t="s">
        <v>221</v>
      </c>
      <c r="L426" s="562">
        <v>12</v>
      </c>
      <c r="M426" s="615">
        <v>115000</v>
      </c>
      <c r="N426" s="592">
        <v>0.25</v>
      </c>
      <c r="O426" s="594">
        <v>0.9</v>
      </c>
      <c r="P426" s="590">
        <v>104</v>
      </c>
      <c r="Q426" s="431"/>
      <c r="R426" s="430" t="s">
        <v>129</v>
      </c>
      <c r="S426" s="497">
        <v>738</v>
      </c>
      <c r="T426" s="751">
        <v>5753</v>
      </c>
      <c r="U426" s="439"/>
      <c r="V426" s="699">
        <v>0.52434782608695651</v>
      </c>
      <c r="W426" s="636"/>
      <c r="X426" s="439"/>
      <c r="Y426" s="770">
        <v>0.52434782608695651</v>
      </c>
      <c r="Z426" s="776">
        <v>60.681987826086967</v>
      </c>
      <c r="AA426" s="793">
        <v>1.9830714975845414</v>
      </c>
      <c r="AB426" s="811">
        <v>12</v>
      </c>
      <c r="AC426" s="818">
        <v>134</v>
      </c>
      <c r="AD426" s="811" t="s">
        <v>383</v>
      </c>
      <c r="AE426" s="811">
        <v>0</v>
      </c>
      <c r="AF426" s="643">
        <v>6078</v>
      </c>
    </row>
    <row r="427" spans="1:32" ht="15.75">
      <c r="A427" s="643">
        <v>6079</v>
      </c>
      <c r="B427" s="644"/>
      <c r="C427" s="644" t="s">
        <v>958</v>
      </c>
      <c r="D427" s="612">
        <v>35</v>
      </c>
      <c r="E427" s="545">
        <v>93000</v>
      </c>
      <c r="F427" s="546">
        <v>84</v>
      </c>
      <c r="G427" s="698">
        <v>2.4</v>
      </c>
      <c r="H427" s="699">
        <v>2</v>
      </c>
      <c r="I427" s="699">
        <v>3</v>
      </c>
      <c r="J427" s="615">
        <v>5000</v>
      </c>
      <c r="K427" s="554" t="s">
        <v>221</v>
      </c>
      <c r="L427" s="562">
        <v>12</v>
      </c>
      <c r="M427" s="615">
        <v>135000</v>
      </c>
      <c r="N427" s="592">
        <v>0.25</v>
      </c>
      <c r="O427" s="594">
        <v>0.9</v>
      </c>
      <c r="P427" s="590">
        <v>112</v>
      </c>
      <c r="Q427" s="434">
        <v>0.01</v>
      </c>
      <c r="R427" s="430">
        <v>1653</v>
      </c>
      <c r="S427" s="175">
        <v>804</v>
      </c>
      <c r="T427" s="751">
        <v>7759</v>
      </c>
      <c r="U427" s="445">
        <v>2.4375</v>
      </c>
      <c r="V427" s="699">
        <v>0.62</v>
      </c>
      <c r="W427" s="636"/>
      <c r="X427" s="445">
        <v>0.28000000000000003</v>
      </c>
      <c r="Y427" s="770">
        <v>0.62</v>
      </c>
      <c r="Z427" s="776">
        <v>83.614300000000014</v>
      </c>
      <c r="AA427" s="793">
        <v>2.3889800000000005</v>
      </c>
      <c r="AB427" s="811">
        <v>15</v>
      </c>
      <c r="AC427" s="818">
        <v>186</v>
      </c>
      <c r="AD427" s="811" t="s">
        <v>383</v>
      </c>
      <c r="AE427" s="811">
        <v>0</v>
      </c>
      <c r="AF427" s="643">
        <v>6079</v>
      </c>
    </row>
    <row r="428" spans="1:32" ht="15.75">
      <c r="A428" s="633"/>
      <c r="B428" s="634"/>
      <c r="C428" s="634"/>
      <c r="D428" s="637"/>
      <c r="E428" s="545"/>
      <c r="F428" s="635"/>
      <c r="G428" s="692"/>
      <c r="H428" s="635"/>
      <c r="I428" s="635"/>
      <c r="J428" s="637"/>
      <c r="K428" s="637"/>
      <c r="L428" s="635"/>
      <c r="M428" s="637"/>
      <c r="N428" s="592"/>
      <c r="O428" s="594"/>
      <c r="P428" s="743"/>
      <c r="Q428" s="434">
        <v>0.01</v>
      </c>
      <c r="R428" s="430">
        <v>1914</v>
      </c>
      <c r="S428" s="175"/>
      <c r="T428" s="751"/>
      <c r="U428" s="445">
        <v>2.238</v>
      </c>
      <c r="V428" s="635"/>
      <c r="W428" s="635"/>
      <c r="X428" s="445">
        <v>0.28000000000000003</v>
      </c>
      <c r="Y428" s="761"/>
      <c r="Z428" s="635"/>
      <c r="AA428" s="637"/>
      <c r="AB428" s="633"/>
      <c r="AC428" s="818"/>
      <c r="AD428" s="811"/>
      <c r="AE428" s="633"/>
      <c r="AF428" s="633"/>
    </row>
    <row r="429" spans="1:32" ht="15.75">
      <c r="A429" s="624">
        <v>6080</v>
      </c>
      <c r="B429" s="625"/>
      <c r="C429" s="626" t="s">
        <v>959</v>
      </c>
      <c r="D429" s="632"/>
      <c r="E429" s="628"/>
      <c r="F429" s="629"/>
      <c r="G429" s="687" t="s">
        <v>129</v>
      </c>
      <c r="H429" s="631"/>
      <c r="I429" s="631"/>
      <c r="J429" s="632"/>
      <c r="K429" s="632"/>
      <c r="L429" s="627"/>
      <c r="M429" s="632"/>
      <c r="N429" s="739" t="s">
        <v>129</v>
      </c>
      <c r="O429" s="744" t="s">
        <v>129</v>
      </c>
      <c r="P429" s="742"/>
      <c r="Q429" s="434">
        <v>0.01</v>
      </c>
      <c r="R429" s="430">
        <v>2191.5</v>
      </c>
      <c r="S429" s="496"/>
      <c r="T429" s="750" t="s">
        <v>129</v>
      </c>
      <c r="U429" s="445">
        <v>2.1087500000000001</v>
      </c>
      <c r="V429" s="631"/>
      <c r="W429" s="631"/>
      <c r="X429" s="445">
        <v>0.28000000000000003</v>
      </c>
      <c r="Y429" s="763" t="s">
        <v>129</v>
      </c>
      <c r="Z429" s="774"/>
      <c r="AA429" s="775"/>
      <c r="AB429" s="810"/>
      <c r="AC429" s="817" t="s">
        <v>129</v>
      </c>
      <c r="AD429" s="810"/>
      <c r="AE429" s="810"/>
      <c r="AF429" s="624">
        <v>6080</v>
      </c>
    </row>
    <row r="430" spans="1:32" ht="15.75">
      <c r="A430" s="633"/>
      <c r="B430" s="634"/>
      <c r="C430" s="634"/>
      <c r="D430" s="569"/>
      <c r="E430" s="556"/>
      <c r="F430" s="546"/>
      <c r="G430" s="700"/>
      <c r="H430" s="636"/>
      <c r="I430" s="636"/>
      <c r="J430" s="549"/>
      <c r="K430" s="637"/>
      <c r="L430" s="635"/>
      <c r="M430" s="549"/>
      <c r="N430" s="592"/>
      <c r="O430" s="594"/>
      <c r="P430" s="745"/>
      <c r="Q430" s="434">
        <v>6.6660000000000001E-3</v>
      </c>
      <c r="R430" s="430">
        <v>1870.5</v>
      </c>
      <c r="S430" s="175"/>
      <c r="T430" s="753"/>
      <c r="U430" s="445">
        <v>2.2425000000000002</v>
      </c>
      <c r="V430" s="755"/>
      <c r="W430" s="755"/>
      <c r="X430" s="445">
        <v>0.18664800000000001</v>
      </c>
      <c r="Y430" s="761"/>
      <c r="Z430" s="778"/>
      <c r="AA430" s="788"/>
      <c r="AB430" s="634"/>
      <c r="AC430" s="820"/>
      <c r="AD430" s="822"/>
      <c r="AE430" s="822"/>
      <c r="AF430" s="633"/>
    </row>
    <row r="431" spans="1:32" ht="15.75">
      <c r="A431" s="541">
        <v>6081</v>
      </c>
      <c r="B431" s="644"/>
      <c r="C431" s="644" t="s">
        <v>960</v>
      </c>
      <c r="D431" s="616">
        <v>20</v>
      </c>
      <c r="E431" s="545">
        <v>62000</v>
      </c>
      <c r="F431" s="546">
        <v>57</v>
      </c>
      <c r="G431" s="698">
        <v>2.8</v>
      </c>
      <c r="H431" s="699">
        <v>2.5</v>
      </c>
      <c r="I431" s="699">
        <v>3.5</v>
      </c>
      <c r="J431" s="615">
        <v>3400</v>
      </c>
      <c r="K431" s="554"/>
      <c r="L431" s="562">
        <v>12</v>
      </c>
      <c r="M431" s="615">
        <v>50000</v>
      </c>
      <c r="N431" s="592">
        <v>0.1</v>
      </c>
      <c r="O431" s="594">
        <v>0.7</v>
      </c>
      <c r="P431" s="590">
        <v>69</v>
      </c>
      <c r="Q431" s="434">
        <v>5.0000000000000001E-3</v>
      </c>
      <c r="R431" s="430">
        <v>2088</v>
      </c>
      <c r="S431" s="497">
        <v>54</v>
      </c>
      <c r="T431" s="751">
        <v>5852.2</v>
      </c>
      <c r="U431" s="445">
        <v>1.9553846153846153</v>
      </c>
      <c r="V431" s="699">
        <v>0.86799999999999999</v>
      </c>
      <c r="W431" s="636"/>
      <c r="X431" s="445">
        <v>0.14000000000000001</v>
      </c>
      <c r="Y431" s="770">
        <v>0.86799999999999999</v>
      </c>
      <c r="Z431" s="776">
        <v>56.963176470588238</v>
      </c>
      <c r="AA431" s="793">
        <v>2.848158823529412</v>
      </c>
      <c r="AB431" s="811">
        <v>5</v>
      </c>
      <c r="AC431" s="818">
        <v>124</v>
      </c>
      <c r="AD431" s="811" t="s">
        <v>383</v>
      </c>
      <c r="AE431" s="811">
        <v>0</v>
      </c>
      <c r="AF431" s="541">
        <v>6081</v>
      </c>
    </row>
    <row r="432" spans="1:32" ht="15.75">
      <c r="A432" s="541">
        <v>6082</v>
      </c>
      <c r="B432" s="701"/>
      <c r="C432" s="542" t="s">
        <v>961</v>
      </c>
      <c r="D432" s="616">
        <v>22.2</v>
      </c>
      <c r="E432" s="545">
        <v>95000</v>
      </c>
      <c r="F432" s="546">
        <v>79</v>
      </c>
      <c r="G432" s="698">
        <v>3.6</v>
      </c>
      <c r="H432" s="614">
        <v>3.1</v>
      </c>
      <c r="I432" s="699">
        <v>4.4000000000000004</v>
      </c>
      <c r="J432" s="615">
        <v>3850</v>
      </c>
      <c r="K432" s="554" t="s">
        <v>221</v>
      </c>
      <c r="L432" s="562">
        <v>12</v>
      </c>
      <c r="M432" s="615">
        <v>60000</v>
      </c>
      <c r="N432" s="592">
        <v>0.1</v>
      </c>
      <c r="O432" s="594">
        <v>0.6</v>
      </c>
      <c r="P432" s="590">
        <v>80</v>
      </c>
      <c r="Q432" s="434">
        <v>4.0000000000000001E-3</v>
      </c>
      <c r="R432" s="430">
        <v>2523</v>
      </c>
      <c r="S432" s="175">
        <v>54</v>
      </c>
      <c r="T432" s="751">
        <v>8787</v>
      </c>
      <c r="U432" s="445">
        <v>1.7817647058823529</v>
      </c>
      <c r="V432" s="699">
        <v>0.95</v>
      </c>
      <c r="W432" s="636"/>
      <c r="X432" s="445">
        <v>0.112</v>
      </c>
      <c r="Y432" s="770">
        <v>0.95</v>
      </c>
      <c r="Z432" s="776">
        <v>78.933685714285716</v>
      </c>
      <c r="AA432" s="793">
        <v>3.5555714285714286</v>
      </c>
      <c r="AB432" s="811">
        <v>6</v>
      </c>
      <c r="AC432" s="818">
        <v>190</v>
      </c>
      <c r="AD432" s="811" t="s">
        <v>383</v>
      </c>
      <c r="AE432" s="811">
        <v>0</v>
      </c>
      <c r="AF432" s="541">
        <v>6082</v>
      </c>
    </row>
    <row r="433" spans="1:32" ht="15.75">
      <c r="A433" s="541">
        <v>6083</v>
      </c>
      <c r="B433" s="701"/>
      <c r="C433" s="542" t="s">
        <v>962</v>
      </c>
      <c r="D433" s="616">
        <v>25.8</v>
      </c>
      <c r="E433" s="545">
        <v>109000</v>
      </c>
      <c r="F433" s="546">
        <v>92</v>
      </c>
      <c r="G433" s="698">
        <v>3.5</v>
      </c>
      <c r="H433" s="699">
        <v>3</v>
      </c>
      <c r="I433" s="699">
        <v>4.4000000000000004</v>
      </c>
      <c r="J433" s="615">
        <v>4160</v>
      </c>
      <c r="K433" s="554" t="s">
        <v>221</v>
      </c>
      <c r="L433" s="562">
        <v>12</v>
      </c>
      <c r="M433" s="615">
        <v>80000</v>
      </c>
      <c r="N433" s="592">
        <v>0.1</v>
      </c>
      <c r="O433" s="594">
        <v>0.6</v>
      </c>
      <c r="P433" s="590">
        <v>83</v>
      </c>
      <c r="Q433" s="434">
        <v>3.3333E-3</v>
      </c>
      <c r="R433" s="430">
        <v>2610</v>
      </c>
      <c r="S433" s="497">
        <v>66</v>
      </c>
      <c r="T433" s="751">
        <v>10020.4</v>
      </c>
      <c r="U433" s="445">
        <v>1.4363636363636363</v>
      </c>
      <c r="V433" s="699">
        <v>0.8175</v>
      </c>
      <c r="W433" s="636"/>
      <c r="X433" s="445">
        <v>9.3332399999999996E-2</v>
      </c>
      <c r="Y433" s="770">
        <v>0.8175</v>
      </c>
      <c r="Z433" s="776">
        <v>91.560975000000013</v>
      </c>
      <c r="AA433" s="793">
        <v>3.5488750000000002</v>
      </c>
      <c r="AB433" s="811">
        <v>8</v>
      </c>
      <c r="AC433" s="818">
        <v>218</v>
      </c>
      <c r="AD433" s="811" t="s">
        <v>383</v>
      </c>
      <c r="AE433" s="811">
        <v>0</v>
      </c>
      <c r="AF433" s="541">
        <v>6083</v>
      </c>
    </row>
    <row r="434" spans="1:32" ht="15.75">
      <c r="A434" s="643">
        <v>6084</v>
      </c>
      <c r="B434" s="634"/>
      <c r="C434" s="542" t="s">
        <v>963</v>
      </c>
      <c r="D434" s="616">
        <v>29</v>
      </c>
      <c r="E434" s="545">
        <v>123000</v>
      </c>
      <c r="F434" s="546">
        <v>85</v>
      </c>
      <c r="G434" s="698">
        <v>2.9</v>
      </c>
      <c r="H434" s="699">
        <v>2.5</v>
      </c>
      <c r="I434" s="699">
        <v>3.6</v>
      </c>
      <c r="J434" s="615">
        <v>6000</v>
      </c>
      <c r="K434" s="554"/>
      <c r="L434" s="562">
        <v>12</v>
      </c>
      <c r="M434" s="615">
        <v>100000</v>
      </c>
      <c r="N434" s="592">
        <v>0.1</v>
      </c>
      <c r="O434" s="594">
        <v>0.6</v>
      </c>
      <c r="P434" s="590">
        <v>123</v>
      </c>
      <c r="Q434" s="434">
        <v>2.5000000000000001E-3</v>
      </c>
      <c r="R434" s="430">
        <v>3567</v>
      </c>
      <c r="S434" s="175">
        <v>66</v>
      </c>
      <c r="T434" s="751">
        <v>11512.8</v>
      </c>
      <c r="U434" s="445">
        <v>1.3087500000000001</v>
      </c>
      <c r="V434" s="699">
        <v>0.73799999999999999</v>
      </c>
      <c r="W434" s="636"/>
      <c r="X434" s="445">
        <v>7.0000000000000007E-2</v>
      </c>
      <c r="Y434" s="770">
        <v>0.73799999999999999</v>
      </c>
      <c r="Z434" s="776">
        <v>84.751919999999998</v>
      </c>
      <c r="AA434" s="793">
        <v>2.9224799999999997</v>
      </c>
      <c r="AB434" s="811">
        <v>10</v>
      </c>
      <c r="AC434" s="818">
        <v>246</v>
      </c>
      <c r="AD434" s="811" t="s">
        <v>383</v>
      </c>
      <c r="AE434" s="811">
        <v>0</v>
      </c>
      <c r="AF434" s="643">
        <v>6084</v>
      </c>
    </row>
    <row r="435" spans="1:32" ht="15.75">
      <c r="A435" s="643">
        <v>6085</v>
      </c>
      <c r="B435" s="634"/>
      <c r="C435" s="644" t="s">
        <v>964</v>
      </c>
      <c r="D435" s="616">
        <v>30.6</v>
      </c>
      <c r="E435" s="545">
        <v>150000</v>
      </c>
      <c r="F435" s="546">
        <v>93</v>
      </c>
      <c r="G435" s="698">
        <v>3</v>
      </c>
      <c r="H435" s="699">
        <v>2.6</v>
      </c>
      <c r="I435" s="699">
        <v>3.8</v>
      </c>
      <c r="J435" s="615">
        <v>6750</v>
      </c>
      <c r="K435" s="554" t="s">
        <v>221</v>
      </c>
      <c r="L435" s="562">
        <v>12</v>
      </c>
      <c r="M435" s="615">
        <v>120000</v>
      </c>
      <c r="N435" s="592">
        <v>0.1</v>
      </c>
      <c r="O435" s="594">
        <v>0.55000000000000004</v>
      </c>
      <c r="P435" s="590">
        <v>134</v>
      </c>
      <c r="Q435" s="434">
        <v>2E-3</v>
      </c>
      <c r="R435" s="430">
        <v>4263</v>
      </c>
      <c r="S435" s="497">
        <v>78</v>
      </c>
      <c r="T435" s="751">
        <v>13928</v>
      </c>
      <c r="U435" s="445">
        <v>1.2565</v>
      </c>
      <c r="V435" s="699">
        <v>0.6875</v>
      </c>
      <c r="W435" s="636"/>
      <c r="X435" s="445">
        <v>5.6000000000000001E-2</v>
      </c>
      <c r="Y435" s="770">
        <v>0.6875</v>
      </c>
      <c r="Z435" s="776">
        <v>92.595543333333339</v>
      </c>
      <c r="AA435" s="793">
        <v>3.0259981481481484</v>
      </c>
      <c r="AB435" s="811">
        <v>12</v>
      </c>
      <c r="AC435" s="818">
        <v>300</v>
      </c>
      <c r="AD435" s="811" t="s">
        <v>383</v>
      </c>
      <c r="AE435" s="811">
        <v>0</v>
      </c>
      <c r="AF435" s="643">
        <v>6085</v>
      </c>
    </row>
    <row r="436" spans="1:32" ht="15.75">
      <c r="A436" s="643">
        <v>6086</v>
      </c>
      <c r="B436" s="634"/>
      <c r="C436" s="644" t="s">
        <v>965</v>
      </c>
      <c r="D436" s="616">
        <v>35</v>
      </c>
      <c r="E436" s="545">
        <v>164000</v>
      </c>
      <c r="F436" s="546">
        <v>100</v>
      </c>
      <c r="G436" s="698">
        <v>2.9</v>
      </c>
      <c r="H436" s="699">
        <v>2.5</v>
      </c>
      <c r="I436" s="699">
        <v>3.6</v>
      </c>
      <c r="J436" s="615">
        <v>7500</v>
      </c>
      <c r="K436" s="562"/>
      <c r="L436" s="617">
        <v>12</v>
      </c>
      <c r="M436" s="615">
        <v>150000</v>
      </c>
      <c r="N436" s="592">
        <v>0.1</v>
      </c>
      <c r="O436" s="594">
        <v>0.55000000000000004</v>
      </c>
      <c r="P436" s="590">
        <v>149</v>
      </c>
      <c r="Q436" s="434">
        <v>1.6666000000000001E-3</v>
      </c>
      <c r="R436" s="430">
        <v>5133</v>
      </c>
      <c r="S436" s="175">
        <v>72</v>
      </c>
      <c r="T436" s="751">
        <v>15245.4</v>
      </c>
      <c r="U436" s="445">
        <v>1.245625</v>
      </c>
      <c r="V436" s="699">
        <v>0.60133333333333339</v>
      </c>
      <c r="W436" s="636"/>
      <c r="X436" s="445">
        <v>4.6664799999999999E-2</v>
      </c>
      <c r="Y436" s="770">
        <v>0.60133333333333339</v>
      </c>
      <c r="Z436" s="776">
        <v>101.41105333333333</v>
      </c>
      <c r="AA436" s="793">
        <v>2.8974586666666666</v>
      </c>
      <c r="AB436" s="811">
        <v>15</v>
      </c>
      <c r="AC436" s="818">
        <v>328</v>
      </c>
      <c r="AD436" s="811" t="s">
        <v>383</v>
      </c>
      <c r="AE436" s="811">
        <v>0</v>
      </c>
      <c r="AF436" s="643">
        <v>6086</v>
      </c>
    </row>
    <row r="437" spans="1:32" ht="15.75">
      <c r="A437" s="643"/>
      <c r="B437" s="634"/>
      <c r="C437" s="644"/>
      <c r="D437" s="616"/>
      <c r="E437" s="545"/>
      <c r="F437" s="546"/>
      <c r="G437" s="698"/>
      <c r="H437" s="699"/>
      <c r="I437" s="699"/>
      <c r="J437" s="615"/>
      <c r="K437" s="554"/>
      <c r="L437" s="562"/>
      <c r="M437" s="615"/>
      <c r="N437" s="592"/>
      <c r="O437" s="594"/>
      <c r="P437" s="590"/>
      <c r="Q437" s="432"/>
      <c r="R437" s="430" t="s">
        <v>129</v>
      </c>
      <c r="S437" s="497">
        <v>96</v>
      </c>
      <c r="T437" s="751"/>
      <c r="U437" s="432"/>
      <c r="V437" s="699"/>
      <c r="W437" s="636"/>
      <c r="X437" s="432"/>
      <c r="Y437" s="770"/>
      <c r="Z437" s="776"/>
      <c r="AA437" s="793"/>
      <c r="AB437" s="811"/>
      <c r="AC437" s="818"/>
      <c r="AD437" s="811"/>
      <c r="AE437" s="811"/>
      <c r="AF437" s="643"/>
    </row>
    <row r="438" spans="1:32" ht="15.75">
      <c r="A438" s="624">
        <v>6090</v>
      </c>
      <c r="B438" s="625"/>
      <c r="C438" s="626" t="s">
        <v>966</v>
      </c>
      <c r="D438" s="632"/>
      <c r="E438" s="628"/>
      <c r="F438" s="629"/>
      <c r="G438" s="687" t="s">
        <v>129</v>
      </c>
      <c r="H438" s="631"/>
      <c r="I438" s="631"/>
      <c r="J438" s="632"/>
      <c r="K438" s="632"/>
      <c r="L438" s="627"/>
      <c r="M438" s="632"/>
      <c r="N438" s="739" t="s">
        <v>129</v>
      </c>
      <c r="O438" s="744" t="s">
        <v>129</v>
      </c>
      <c r="P438" s="742"/>
      <c r="Q438" s="429"/>
      <c r="R438" s="430" t="s">
        <v>129</v>
      </c>
      <c r="S438" s="175">
        <v>114</v>
      </c>
      <c r="T438" s="750" t="s">
        <v>129</v>
      </c>
      <c r="U438" s="438"/>
      <c r="V438" s="631"/>
      <c r="W438" s="631"/>
      <c r="X438" s="438"/>
      <c r="Y438" s="763" t="s">
        <v>129</v>
      </c>
      <c r="Z438" s="774"/>
      <c r="AA438" s="775"/>
      <c r="AB438" s="810"/>
      <c r="AC438" s="817" t="s">
        <v>129</v>
      </c>
      <c r="AD438" s="810"/>
      <c r="AE438" s="810"/>
      <c r="AF438" s="624">
        <v>6090</v>
      </c>
    </row>
    <row r="439" spans="1:32" ht="15.75">
      <c r="A439" s="633"/>
      <c r="B439" s="634"/>
      <c r="C439" s="684"/>
      <c r="D439" s="637"/>
      <c r="E439" s="556"/>
      <c r="F439" s="635"/>
      <c r="G439" s="692" t="s">
        <v>129</v>
      </c>
      <c r="H439" s="635"/>
      <c r="I439" s="635"/>
      <c r="J439" s="637"/>
      <c r="K439" s="637"/>
      <c r="L439" s="635"/>
      <c r="M439" s="637"/>
      <c r="N439" s="592" t="s">
        <v>129</v>
      </c>
      <c r="O439" s="594" t="s">
        <v>129</v>
      </c>
      <c r="P439" s="745"/>
      <c r="Q439" s="432"/>
      <c r="R439" s="430" t="s">
        <v>129</v>
      </c>
      <c r="S439" s="497">
        <v>114</v>
      </c>
      <c r="T439" s="753" t="s">
        <v>129</v>
      </c>
      <c r="U439" s="432"/>
      <c r="V439" s="637"/>
      <c r="W439" s="637"/>
      <c r="X439" s="446"/>
      <c r="Y439" s="761" t="s">
        <v>129</v>
      </c>
      <c r="Z439" s="777"/>
      <c r="AA439" s="777"/>
      <c r="AB439" s="634"/>
      <c r="AC439" s="820" t="s">
        <v>129</v>
      </c>
      <c r="AD439" s="822"/>
      <c r="AE439" s="822"/>
      <c r="AF439" s="633"/>
    </row>
    <row r="440" spans="1:32" ht="31.5">
      <c r="A440" s="643">
        <v>6096</v>
      </c>
      <c r="B440" s="644"/>
      <c r="C440" s="644" t="s">
        <v>967</v>
      </c>
      <c r="D440" s="612">
        <v>15</v>
      </c>
      <c r="E440" s="545">
        <v>42000</v>
      </c>
      <c r="F440" s="546">
        <v>49</v>
      </c>
      <c r="G440" s="698">
        <v>3.3</v>
      </c>
      <c r="H440" s="699">
        <v>2.8</v>
      </c>
      <c r="I440" s="699">
        <v>4.0999999999999996</v>
      </c>
      <c r="J440" s="615">
        <v>1500</v>
      </c>
      <c r="K440" s="554" t="s">
        <v>221</v>
      </c>
      <c r="L440" s="562">
        <v>12</v>
      </c>
      <c r="M440" s="615">
        <v>40000</v>
      </c>
      <c r="N440" s="592">
        <v>0.25</v>
      </c>
      <c r="O440" s="594">
        <v>0.65</v>
      </c>
      <c r="P440" s="590">
        <v>45</v>
      </c>
      <c r="Q440" s="434">
        <v>4.0000000000000001E-3</v>
      </c>
      <c r="R440" s="430">
        <v>4383</v>
      </c>
      <c r="S440" s="175">
        <v>120</v>
      </c>
      <c r="T440" s="751">
        <v>3465</v>
      </c>
      <c r="U440" s="445">
        <v>1.4159999999999999</v>
      </c>
      <c r="V440" s="699">
        <v>0.68250000000000011</v>
      </c>
      <c r="W440" s="636"/>
      <c r="X440" s="445">
        <v>0.112</v>
      </c>
      <c r="Y440" s="770">
        <v>0.68250000000000011</v>
      </c>
      <c r="Z440" s="776">
        <v>49.376250000000006</v>
      </c>
      <c r="AA440" s="793">
        <v>3.2917500000000004</v>
      </c>
      <c r="AB440" s="811">
        <v>3</v>
      </c>
      <c r="AC440" s="818">
        <v>84</v>
      </c>
      <c r="AD440" s="811" t="s">
        <v>383</v>
      </c>
      <c r="AE440" s="811">
        <v>0</v>
      </c>
      <c r="AF440" s="643">
        <v>6096</v>
      </c>
    </row>
    <row r="441" spans="1:32" ht="31.5">
      <c r="A441" s="643">
        <v>6091</v>
      </c>
      <c r="B441" s="634"/>
      <c r="C441" s="644" t="s">
        <v>968</v>
      </c>
      <c r="D441" s="616">
        <v>19.8</v>
      </c>
      <c r="E441" s="545">
        <v>55000</v>
      </c>
      <c r="F441" s="546">
        <v>48</v>
      </c>
      <c r="G441" s="698">
        <v>2.4</v>
      </c>
      <c r="H441" s="614">
        <v>2.1</v>
      </c>
      <c r="I441" s="699">
        <v>3</v>
      </c>
      <c r="J441" s="615">
        <v>3400</v>
      </c>
      <c r="K441" s="554" t="s">
        <v>221</v>
      </c>
      <c r="L441" s="562">
        <v>12</v>
      </c>
      <c r="M441" s="615">
        <v>50000</v>
      </c>
      <c r="N441" s="592">
        <v>0.1</v>
      </c>
      <c r="O441" s="594">
        <v>0.6</v>
      </c>
      <c r="P441" s="590">
        <v>69</v>
      </c>
      <c r="Q441" s="434">
        <v>3.333E-3</v>
      </c>
      <c r="R441" s="430">
        <v>4967.3999999999996</v>
      </c>
      <c r="S441" s="497">
        <v>234</v>
      </c>
      <c r="T441" s="751">
        <v>5246</v>
      </c>
      <c r="U441" s="445">
        <v>1.4073499999999999</v>
      </c>
      <c r="V441" s="699">
        <v>0.66</v>
      </c>
      <c r="W441" s="636"/>
      <c r="X441" s="445">
        <v>9.3324000000000004E-2</v>
      </c>
      <c r="Y441" s="770">
        <v>0.66</v>
      </c>
      <c r="Z441" s="776">
        <v>47.980058823529426</v>
      </c>
      <c r="AA441" s="793">
        <v>2.4232352941176476</v>
      </c>
      <c r="AB441" s="811">
        <v>5</v>
      </c>
      <c r="AC441" s="818">
        <v>110</v>
      </c>
      <c r="AD441" s="811" t="s">
        <v>383</v>
      </c>
      <c r="AE441" s="811">
        <v>0</v>
      </c>
      <c r="AF441" s="643">
        <v>6091</v>
      </c>
    </row>
    <row r="442" spans="1:32" ht="31.5">
      <c r="A442" s="643">
        <v>6092</v>
      </c>
      <c r="B442" s="634"/>
      <c r="C442" s="644" t="s">
        <v>969</v>
      </c>
      <c r="D442" s="616">
        <v>22.2</v>
      </c>
      <c r="E442" s="545">
        <v>69000</v>
      </c>
      <c r="F442" s="546">
        <v>57</v>
      </c>
      <c r="G442" s="698">
        <v>2.6</v>
      </c>
      <c r="H442" s="614">
        <v>2.2000000000000002</v>
      </c>
      <c r="I442" s="699">
        <v>3.2</v>
      </c>
      <c r="J442" s="615">
        <v>3850</v>
      </c>
      <c r="K442" s="554" t="s">
        <v>221</v>
      </c>
      <c r="L442" s="562">
        <v>12</v>
      </c>
      <c r="M442" s="615">
        <v>60000</v>
      </c>
      <c r="N442" s="592">
        <v>0.1</v>
      </c>
      <c r="O442" s="594">
        <v>0.55000000000000004</v>
      </c>
      <c r="P442" s="590">
        <v>80</v>
      </c>
      <c r="Q442" s="434">
        <v>2.5000000000000001E-3</v>
      </c>
      <c r="R442" s="430">
        <v>7207.6</v>
      </c>
      <c r="S442" s="175">
        <v>168</v>
      </c>
      <c r="T442" s="751">
        <v>6535.4</v>
      </c>
      <c r="U442" s="445">
        <v>1.4392</v>
      </c>
      <c r="V442" s="699">
        <v>0.63249999999999995</v>
      </c>
      <c r="W442" s="636"/>
      <c r="X442" s="445">
        <v>7.0000000000000007E-2</v>
      </c>
      <c r="Y442" s="770">
        <v>0.63249999999999995</v>
      </c>
      <c r="Z442" s="776">
        <v>56.898758571428566</v>
      </c>
      <c r="AA442" s="793">
        <v>2.5630071428571428</v>
      </c>
      <c r="AB442" s="811">
        <v>6</v>
      </c>
      <c r="AC442" s="818">
        <v>138</v>
      </c>
      <c r="AD442" s="811" t="s">
        <v>383</v>
      </c>
      <c r="AE442" s="811">
        <v>0</v>
      </c>
      <c r="AF442" s="643">
        <v>6092</v>
      </c>
    </row>
    <row r="443" spans="1:32" ht="31.5">
      <c r="A443" s="643">
        <v>6093</v>
      </c>
      <c r="B443" s="634"/>
      <c r="C443" s="644" t="s">
        <v>970</v>
      </c>
      <c r="D443" s="616">
        <v>25.8</v>
      </c>
      <c r="E443" s="545">
        <v>80000</v>
      </c>
      <c r="F443" s="546">
        <v>67</v>
      </c>
      <c r="G443" s="698">
        <v>2.6</v>
      </c>
      <c r="H443" s="699">
        <v>2.2000000000000002</v>
      </c>
      <c r="I443" s="699">
        <v>3.3</v>
      </c>
      <c r="J443" s="615">
        <v>4160</v>
      </c>
      <c r="K443" s="554" t="s">
        <v>221</v>
      </c>
      <c r="L443" s="562">
        <v>12</v>
      </c>
      <c r="M443" s="615">
        <v>80000</v>
      </c>
      <c r="N443" s="592">
        <v>0.1</v>
      </c>
      <c r="O443" s="594">
        <v>0.55000000000000004</v>
      </c>
      <c r="P443" s="590">
        <v>83</v>
      </c>
      <c r="Q443" s="434">
        <v>2E-3</v>
      </c>
      <c r="R443" s="430">
        <v>7792</v>
      </c>
      <c r="S443" s="497">
        <v>138</v>
      </c>
      <c r="T443" s="751">
        <v>7509</v>
      </c>
      <c r="U443" s="445">
        <v>1.3095384615384615</v>
      </c>
      <c r="V443" s="699">
        <v>0.55000000000000004</v>
      </c>
      <c r="W443" s="636"/>
      <c r="X443" s="445">
        <v>5.6000000000000001E-2</v>
      </c>
      <c r="Y443" s="770">
        <v>0.55000000000000004</v>
      </c>
      <c r="Z443" s="776">
        <v>66.836264423076926</v>
      </c>
      <c r="AA443" s="793">
        <v>2.5905528846153847</v>
      </c>
      <c r="AB443" s="811">
        <v>8</v>
      </c>
      <c r="AC443" s="818">
        <v>160</v>
      </c>
      <c r="AD443" s="811" t="s">
        <v>383</v>
      </c>
      <c r="AE443" s="811">
        <v>0</v>
      </c>
      <c r="AF443" s="643">
        <v>6093</v>
      </c>
    </row>
    <row r="444" spans="1:32" ht="31.5">
      <c r="A444" s="643">
        <v>6094</v>
      </c>
      <c r="B444" s="634"/>
      <c r="C444" s="644" t="s">
        <v>971</v>
      </c>
      <c r="D444" s="616">
        <v>28.5</v>
      </c>
      <c r="E444" s="545">
        <v>91000</v>
      </c>
      <c r="F444" s="546">
        <v>61</v>
      </c>
      <c r="G444" s="698">
        <v>2.2000000000000002</v>
      </c>
      <c r="H444" s="699">
        <v>1.8</v>
      </c>
      <c r="I444" s="699">
        <v>2.7</v>
      </c>
      <c r="J444" s="615">
        <v>6000</v>
      </c>
      <c r="K444" s="554" t="s">
        <v>221</v>
      </c>
      <c r="L444" s="562">
        <v>12</v>
      </c>
      <c r="M444" s="615">
        <v>100000</v>
      </c>
      <c r="N444" s="592">
        <v>0.1</v>
      </c>
      <c r="O444" s="594">
        <v>0.55000000000000004</v>
      </c>
      <c r="P444" s="590">
        <v>123</v>
      </c>
      <c r="Q444" s="434">
        <v>1.6666700000000001E-3</v>
      </c>
      <c r="R444" s="430">
        <v>8376.4</v>
      </c>
      <c r="S444" s="175"/>
      <c r="T444" s="751">
        <v>8741.6</v>
      </c>
      <c r="U444" s="445">
        <v>1.13855</v>
      </c>
      <c r="V444" s="699">
        <v>0.50050000000000006</v>
      </c>
      <c r="W444" s="636"/>
      <c r="X444" s="445">
        <v>4.6666760000000002E-2</v>
      </c>
      <c r="Y444" s="770">
        <v>0.50050000000000006</v>
      </c>
      <c r="Z444" s="776">
        <v>61.365535000000008</v>
      </c>
      <c r="AA444" s="793">
        <v>2.153176666666667</v>
      </c>
      <c r="AB444" s="811">
        <v>10</v>
      </c>
      <c r="AC444" s="818">
        <v>182</v>
      </c>
      <c r="AD444" s="811" t="s">
        <v>383</v>
      </c>
      <c r="AE444" s="811">
        <v>0</v>
      </c>
      <c r="AF444" s="643">
        <v>6094</v>
      </c>
    </row>
    <row r="445" spans="1:32" ht="31.5">
      <c r="A445" s="643">
        <v>6095</v>
      </c>
      <c r="B445" s="634"/>
      <c r="C445" s="644" t="s">
        <v>972</v>
      </c>
      <c r="D445" s="616">
        <v>30.6</v>
      </c>
      <c r="E445" s="545">
        <v>96000</v>
      </c>
      <c r="F445" s="546">
        <v>61</v>
      </c>
      <c r="G445" s="698">
        <v>2</v>
      </c>
      <c r="H445" s="699">
        <v>1.7</v>
      </c>
      <c r="I445" s="699">
        <v>2.5</v>
      </c>
      <c r="J445" s="615">
        <v>6750</v>
      </c>
      <c r="K445" s="554" t="s">
        <v>221</v>
      </c>
      <c r="L445" s="562">
        <v>12</v>
      </c>
      <c r="M445" s="615">
        <v>120000</v>
      </c>
      <c r="N445" s="592">
        <v>0.1</v>
      </c>
      <c r="O445" s="594">
        <v>0.55000000000000004</v>
      </c>
      <c r="P445" s="590">
        <v>134</v>
      </c>
      <c r="Q445" s="431"/>
      <c r="R445" s="430" t="s">
        <v>129</v>
      </c>
      <c r="S445" s="496"/>
      <c r="T445" s="751">
        <v>9251.6</v>
      </c>
      <c r="U445" s="446"/>
      <c r="V445" s="699">
        <v>0.44000000000000006</v>
      </c>
      <c r="W445" s="636"/>
      <c r="X445" s="446"/>
      <c r="Y445" s="770">
        <v>0.44000000000000006</v>
      </c>
      <c r="Z445" s="776">
        <v>60.945045333333347</v>
      </c>
      <c r="AA445" s="793">
        <v>1.9916681481481484</v>
      </c>
      <c r="AB445" s="811">
        <v>12</v>
      </c>
      <c r="AC445" s="818">
        <v>192</v>
      </c>
      <c r="AD445" s="811" t="s">
        <v>383</v>
      </c>
      <c r="AE445" s="811">
        <v>0</v>
      </c>
      <c r="AF445" s="643">
        <v>6095</v>
      </c>
    </row>
    <row r="446" spans="1:32" ht="31.5">
      <c r="A446" s="643">
        <v>6097</v>
      </c>
      <c r="B446" s="634"/>
      <c r="C446" s="644" t="s">
        <v>973</v>
      </c>
      <c r="D446" s="616">
        <v>35</v>
      </c>
      <c r="E446" s="545">
        <v>131000</v>
      </c>
      <c r="F446" s="546">
        <v>82</v>
      </c>
      <c r="G446" s="698">
        <v>2.2999999999999998</v>
      </c>
      <c r="H446" s="699">
        <v>2</v>
      </c>
      <c r="I446" s="699">
        <v>3</v>
      </c>
      <c r="J446" s="615">
        <v>7500</v>
      </c>
      <c r="K446" s="562"/>
      <c r="L446" s="617">
        <v>12</v>
      </c>
      <c r="M446" s="615">
        <v>150000</v>
      </c>
      <c r="N446" s="592">
        <v>0.1</v>
      </c>
      <c r="O446" s="594">
        <v>0.55000000000000004</v>
      </c>
      <c r="P446" s="590">
        <v>149</v>
      </c>
      <c r="Q446" s="429"/>
      <c r="R446" s="430" t="s">
        <v>129</v>
      </c>
      <c r="S446" s="175"/>
      <c r="T446" s="751">
        <v>12387.6</v>
      </c>
      <c r="U446" s="438"/>
      <c r="V446" s="699">
        <v>0.48033333333333333</v>
      </c>
      <c r="W446" s="636"/>
      <c r="X446" s="438"/>
      <c r="Y446" s="770">
        <v>0.48033333333333333</v>
      </c>
      <c r="Z446" s="776">
        <v>82.082513333333353</v>
      </c>
      <c r="AA446" s="793">
        <v>2.3452146666666671</v>
      </c>
      <c r="AB446" s="811">
        <v>15</v>
      </c>
      <c r="AC446" s="818">
        <v>262</v>
      </c>
      <c r="AD446" s="811" t="s">
        <v>383</v>
      </c>
      <c r="AE446" s="811">
        <v>0</v>
      </c>
      <c r="AF446" s="643">
        <v>6097</v>
      </c>
    </row>
    <row r="447" spans="1:32" ht="15.75">
      <c r="A447" s="633"/>
      <c r="B447" s="634"/>
      <c r="C447" s="633"/>
      <c r="D447" s="574"/>
      <c r="E447" s="545"/>
      <c r="F447" s="546"/>
      <c r="G447" s="702" t="s">
        <v>129</v>
      </c>
      <c r="H447" s="703"/>
      <c r="I447" s="703"/>
      <c r="J447" s="554"/>
      <c r="K447" s="635"/>
      <c r="L447" s="633"/>
      <c r="M447" s="589"/>
      <c r="N447" s="592" t="s">
        <v>129</v>
      </c>
      <c r="O447" s="594" t="s">
        <v>129</v>
      </c>
      <c r="P447" s="743"/>
      <c r="Q447" s="431"/>
      <c r="R447" s="430" t="s">
        <v>129</v>
      </c>
      <c r="S447" s="497">
        <v>60</v>
      </c>
      <c r="T447" s="751" t="s">
        <v>129</v>
      </c>
      <c r="U447" s="439"/>
      <c r="V447" s="703"/>
      <c r="W447" s="636"/>
      <c r="X447" s="439"/>
      <c r="Y447" s="761" t="s">
        <v>129</v>
      </c>
      <c r="Z447" s="776"/>
      <c r="AA447" s="794"/>
      <c r="AB447" s="633"/>
      <c r="AC447" s="818" t="s">
        <v>129</v>
      </c>
      <c r="AD447" s="811"/>
      <c r="AE447" s="811"/>
      <c r="AF447" s="633"/>
    </row>
    <row r="448" spans="1:32" ht="15.75">
      <c r="A448" s="624">
        <v>6100</v>
      </c>
      <c r="B448" s="625"/>
      <c r="C448" s="626" t="s">
        <v>974</v>
      </c>
      <c r="D448" s="632"/>
      <c r="E448" s="628"/>
      <c r="F448" s="629"/>
      <c r="G448" s="630" t="s">
        <v>129</v>
      </c>
      <c r="H448" s="631"/>
      <c r="I448" s="631"/>
      <c r="J448" s="632"/>
      <c r="K448" s="632"/>
      <c r="L448" s="627"/>
      <c r="M448" s="632"/>
      <c r="N448" s="739" t="s">
        <v>129</v>
      </c>
      <c r="O448" s="744" t="s">
        <v>129</v>
      </c>
      <c r="P448" s="742"/>
      <c r="Q448" s="431">
        <v>0.05</v>
      </c>
      <c r="R448" s="430">
        <v>254.23333333333335</v>
      </c>
      <c r="S448" s="175">
        <v>60</v>
      </c>
      <c r="T448" s="750" t="s">
        <v>129</v>
      </c>
      <c r="U448" s="439">
        <v>10.767777777777779</v>
      </c>
      <c r="V448" s="631"/>
      <c r="W448" s="631"/>
      <c r="X448" s="439">
        <v>1.4000000000000001</v>
      </c>
      <c r="Y448" s="763" t="s">
        <v>129</v>
      </c>
      <c r="Z448" s="774"/>
      <c r="AA448" s="775"/>
      <c r="AB448" s="810"/>
      <c r="AC448" s="817" t="s">
        <v>129</v>
      </c>
      <c r="AD448" s="810"/>
      <c r="AE448" s="810"/>
      <c r="AF448" s="624">
        <v>6100</v>
      </c>
    </row>
    <row r="449" spans="1:32" ht="15.75">
      <c r="A449" s="633"/>
      <c r="B449" s="634"/>
      <c r="C449" s="633"/>
      <c r="D449" s="637"/>
      <c r="E449" s="545"/>
      <c r="F449" s="546"/>
      <c r="G449" s="635" t="s">
        <v>129</v>
      </c>
      <c r="H449" s="636"/>
      <c r="I449" s="636"/>
      <c r="J449" s="575"/>
      <c r="K449" s="635"/>
      <c r="L449" s="633"/>
      <c r="M449" s="549"/>
      <c r="N449" s="592" t="s">
        <v>129</v>
      </c>
      <c r="O449" s="594" t="s">
        <v>129</v>
      </c>
      <c r="P449" s="743"/>
      <c r="Q449" s="431">
        <v>0.1</v>
      </c>
      <c r="R449" s="430">
        <v>1227.3333333333335</v>
      </c>
      <c r="S449" s="497">
        <v>60</v>
      </c>
      <c r="T449" s="751" t="s">
        <v>129</v>
      </c>
      <c r="U449" s="439">
        <v>26.366666666666671</v>
      </c>
      <c r="V449" s="636"/>
      <c r="W449" s="633"/>
      <c r="X449" s="439">
        <v>2.8000000000000003</v>
      </c>
      <c r="Y449" s="761" t="s">
        <v>129</v>
      </c>
      <c r="Z449" s="776"/>
      <c r="AA449" s="777"/>
      <c r="AB449" s="633"/>
      <c r="AC449" s="818" t="s">
        <v>129</v>
      </c>
      <c r="AD449" s="811"/>
      <c r="AE449" s="811"/>
      <c r="AF449" s="633"/>
    </row>
    <row r="450" spans="1:32" ht="31.5">
      <c r="A450" s="643">
        <v>6103</v>
      </c>
      <c r="B450" s="644"/>
      <c r="C450" s="644" t="s">
        <v>975</v>
      </c>
      <c r="D450" s="612">
        <v>20</v>
      </c>
      <c r="E450" s="545">
        <v>13000</v>
      </c>
      <c r="F450" s="648">
        <v>33</v>
      </c>
      <c r="G450" s="696" t="s">
        <v>129</v>
      </c>
      <c r="H450" s="636">
        <v>28</v>
      </c>
      <c r="I450" s="636">
        <v>40</v>
      </c>
      <c r="J450" s="549">
        <v>50</v>
      </c>
      <c r="K450" s="554" t="s">
        <v>221</v>
      </c>
      <c r="L450" s="562">
        <v>15</v>
      </c>
      <c r="M450" s="549">
        <v>2000</v>
      </c>
      <c r="N450" s="592">
        <v>0</v>
      </c>
      <c r="O450" s="594">
        <v>1.25</v>
      </c>
      <c r="P450" s="590">
        <v>9</v>
      </c>
      <c r="Q450" s="431">
        <v>0.1</v>
      </c>
      <c r="R450" s="430">
        <v>1315</v>
      </c>
      <c r="S450" s="175">
        <v>432</v>
      </c>
      <c r="T450" s="751">
        <v>1072.6666666666665</v>
      </c>
      <c r="U450" s="439">
        <v>28.44</v>
      </c>
      <c r="V450" s="636">
        <v>8.125</v>
      </c>
      <c r="W450" s="636"/>
      <c r="X450" s="439">
        <v>2.8000000000000003</v>
      </c>
      <c r="Y450" s="761">
        <v>8.125</v>
      </c>
      <c r="Z450" s="776">
        <v>32.536166666666666</v>
      </c>
      <c r="AA450" s="793"/>
      <c r="AB450" s="811"/>
      <c r="AC450" s="818">
        <v>26</v>
      </c>
      <c r="AD450" s="811" t="s">
        <v>633</v>
      </c>
      <c r="AE450" s="811">
        <v>0</v>
      </c>
      <c r="AF450" s="643">
        <v>6103</v>
      </c>
    </row>
    <row r="451" spans="1:32" ht="31.5">
      <c r="A451" s="643">
        <v>6105</v>
      </c>
      <c r="B451" s="644"/>
      <c r="C451" s="644" t="s">
        <v>976</v>
      </c>
      <c r="D451" s="612">
        <v>20</v>
      </c>
      <c r="E451" s="545">
        <v>15500</v>
      </c>
      <c r="F451" s="648">
        <v>35</v>
      </c>
      <c r="G451" s="696">
        <v>1.7</v>
      </c>
      <c r="H451" s="636">
        <v>29</v>
      </c>
      <c r="I451" s="636">
        <v>44</v>
      </c>
      <c r="J451" s="549">
        <v>50</v>
      </c>
      <c r="K451" s="554" t="s">
        <v>221</v>
      </c>
      <c r="L451" s="562">
        <v>15</v>
      </c>
      <c r="M451" s="549">
        <v>2000</v>
      </c>
      <c r="N451" s="592">
        <v>0</v>
      </c>
      <c r="O451" s="594">
        <v>0.8</v>
      </c>
      <c r="P451" s="590">
        <v>11</v>
      </c>
      <c r="Q451" s="431">
        <v>0.1</v>
      </c>
      <c r="R451" s="430">
        <v>2498.5</v>
      </c>
      <c r="S451" s="497">
        <v>552</v>
      </c>
      <c r="T451" s="751">
        <v>1280.8333333333333</v>
      </c>
      <c r="U451" s="439">
        <v>43.875</v>
      </c>
      <c r="V451" s="636">
        <v>6.2</v>
      </c>
      <c r="W451" s="636"/>
      <c r="X451" s="439">
        <v>2.8000000000000003</v>
      </c>
      <c r="Y451" s="761">
        <v>6.2</v>
      </c>
      <c r="Z451" s="776">
        <v>34.998333333333335</v>
      </c>
      <c r="AA451" s="793">
        <v>1.7499166666666668</v>
      </c>
      <c r="AB451" s="811"/>
      <c r="AC451" s="818">
        <v>31</v>
      </c>
      <c r="AD451" s="811" t="s">
        <v>633</v>
      </c>
      <c r="AE451" s="811">
        <v>0</v>
      </c>
      <c r="AF451" s="643">
        <v>6105</v>
      </c>
    </row>
    <row r="452" spans="1:32" ht="31.5">
      <c r="A452" s="643">
        <v>6107</v>
      </c>
      <c r="B452" s="644"/>
      <c r="C452" s="644" t="s">
        <v>977</v>
      </c>
      <c r="D452" s="612">
        <v>50</v>
      </c>
      <c r="E452" s="545">
        <v>32000</v>
      </c>
      <c r="F452" s="648">
        <v>58</v>
      </c>
      <c r="G452" s="696">
        <v>1.2</v>
      </c>
      <c r="H452" s="636">
        <v>48</v>
      </c>
      <c r="I452" s="636">
        <v>73</v>
      </c>
      <c r="J452" s="549">
        <v>60</v>
      </c>
      <c r="K452" s="554" t="s">
        <v>221</v>
      </c>
      <c r="L452" s="562">
        <v>15</v>
      </c>
      <c r="M452" s="549">
        <v>2000</v>
      </c>
      <c r="N452" s="592">
        <v>0</v>
      </c>
      <c r="O452" s="594">
        <v>0.6</v>
      </c>
      <c r="P452" s="590">
        <v>11</v>
      </c>
      <c r="Q452" s="431">
        <v>0.1</v>
      </c>
      <c r="R452" s="430">
        <v>1928.6666666666667</v>
      </c>
      <c r="S452" s="175">
        <v>666</v>
      </c>
      <c r="T452" s="751">
        <v>2562.3333333333335</v>
      </c>
      <c r="U452" s="439">
        <v>41.273333333333341</v>
      </c>
      <c r="V452" s="636">
        <v>9.6</v>
      </c>
      <c r="W452" s="636"/>
      <c r="X452" s="439">
        <v>2.8000000000000003</v>
      </c>
      <c r="Y452" s="761">
        <v>9.6</v>
      </c>
      <c r="Z452" s="776">
        <v>57.536111111111119</v>
      </c>
      <c r="AA452" s="793">
        <v>1.1507222222222224</v>
      </c>
      <c r="AB452" s="811"/>
      <c r="AC452" s="818">
        <v>64</v>
      </c>
      <c r="AD452" s="811" t="s">
        <v>633</v>
      </c>
      <c r="AE452" s="811">
        <v>0</v>
      </c>
      <c r="AF452" s="643">
        <v>6107</v>
      </c>
    </row>
    <row r="453" spans="1:32" ht="15.75">
      <c r="A453" s="643">
        <v>6109</v>
      </c>
      <c r="B453" s="644"/>
      <c r="C453" s="644" t="s">
        <v>978</v>
      </c>
      <c r="D453" s="612">
        <v>60</v>
      </c>
      <c r="E453" s="545">
        <v>7400</v>
      </c>
      <c r="F453" s="648">
        <v>22</v>
      </c>
      <c r="G453" s="696">
        <v>0.35</v>
      </c>
      <c r="H453" s="636">
        <v>19</v>
      </c>
      <c r="I453" s="636">
        <v>27</v>
      </c>
      <c r="J453" s="549">
        <v>50</v>
      </c>
      <c r="K453" s="554" t="s">
        <v>221</v>
      </c>
      <c r="L453" s="562">
        <v>15</v>
      </c>
      <c r="M453" s="549">
        <v>2000</v>
      </c>
      <c r="N453" s="592">
        <v>0</v>
      </c>
      <c r="O453" s="594">
        <v>1.85</v>
      </c>
      <c r="P453" s="590">
        <v>12</v>
      </c>
      <c r="Q453" s="431">
        <v>0.1</v>
      </c>
      <c r="R453" s="430">
        <v>789</v>
      </c>
      <c r="S453" s="175"/>
      <c r="T453" s="751">
        <v>658.73333333333323</v>
      </c>
      <c r="U453" s="439">
        <v>17.82</v>
      </c>
      <c r="V453" s="636">
        <v>6.8450000000000006</v>
      </c>
      <c r="W453" s="636"/>
      <c r="X453" s="439">
        <v>2.8000000000000003</v>
      </c>
      <c r="Y453" s="761">
        <v>6.8450000000000006</v>
      </c>
      <c r="Z453" s="776">
        <v>22.021633333333334</v>
      </c>
      <c r="AA453" s="793">
        <v>0.36702722222222223</v>
      </c>
      <c r="AB453" s="811"/>
      <c r="AC453" s="818">
        <v>14.8</v>
      </c>
      <c r="AD453" s="811" t="s">
        <v>633</v>
      </c>
      <c r="AE453" s="811">
        <v>0</v>
      </c>
      <c r="AF453" s="643">
        <v>6109</v>
      </c>
    </row>
    <row r="454" spans="1:32" ht="15.75">
      <c r="A454" s="643">
        <v>6117</v>
      </c>
      <c r="B454" s="644"/>
      <c r="C454" s="644" t="s">
        <v>979</v>
      </c>
      <c r="D454" s="612">
        <v>60</v>
      </c>
      <c r="E454" s="545">
        <v>16500</v>
      </c>
      <c r="F454" s="648">
        <v>33</v>
      </c>
      <c r="G454" s="696">
        <v>0.55000000000000004</v>
      </c>
      <c r="H454" s="636">
        <v>28</v>
      </c>
      <c r="I454" s="636">
        <v>41</v>
      </c>
      <c r="J454" s="549">
        <v>60</v>
      </c>
      <c r="K454" s="554" t="s">
        <v>221</v>
      </c>
      <c r="L454" s="562">
        <v>15</v>
      </c>
      <c r="M454" s="549">
        <v>2500</v>
      </c>
      <c r="N454" s="592">
        <v>0</v>
      </c>
      <c r="O454" s="594">
        <v>1</v>
      </c>
      <c r="P454" s="590">
        <v>16</v>
      </c>
      <c r="Q454" s="431">
        <v>0.05</v>
      </c>
      <c r="R454" s="430">
        <v>1420.2</v>
      </c>
      <c r="S454" s="496"/>
      <c r="T454" s="751">
        <v>1393.5</v>
      </c>
      <c r="U454" s="439">
        <v>26.076666666666668</v>
      </c>
      <c r="V454" s="636">
        <v>6.6</v>
      </c>
      <c r="W454" s="636"/>
      <c r="X454" s="439">
        <v>1.4000000000000001</v>
      </c>
      <c r="Y454" s="761">
        <v>6.6</v>
      </c>
      <c r="Z454" s="776">
        <v>32.807500000000005</v>
      </c>
      <c r="AA454" s="793">
        <v>0.54679166666666679</v>
      </c>
      <c r="AB454" s="811"/>
      <c r="AC454" s="818">
        <v>33</v>
      </c>
      <c r="AD454" s="811" t="s">
        <v>633</v>
      </c>
      <c r="AE454" s="811">
        <v>0</v>
      </c>
      <c r="AF454" s="643">
        <v>6117</v>
      </c>
    </row>
    <row r="455" spans="1:32" ht="31.5">
      <c r="A455" s="643">
        <v>6110</v>
      </c>
      <c r="B455" s="644"/>
      <c r="C455" s="644" t="s">
        <v>980</v>
      </c>
      <c r="D455" s="612">
        <v>60</v>
      </c>
      <c r="E455" s="545">
        <v>19000</v>
      </c>
      <c r="F455" s="648">
        <v>49</v>
      </c>
      <c r="G455" s="696">
        <v>0.8</v>
      </c>
      <c r="H455" s="636">
        <v>42</v>
      </c>
      <c r="I455" s="636">
        <v>61</v>
      </c>
      <c r="J455" s="549">
        <v>50</v>
      </c>
      <c r="K455" s="554" t="s">
        <v>221</v>
      </c>
      <c r="L455" s="562">
        <v>15</v>
      </c>
      <c r="M455" s="549">
        <v>2000</v>
      </c>
      <c r="N455" s="592">
        <v>0</v>
      </c>
      <c r="O455" s="594">
        <v>1.35</v>
      </c>
      <c r="P455" s="590">
        <v>19</v>
      </c>
      <c r="Q455" s="431">
        <v>0.05</v>
      </c>
      <c r="R455" s="430">
        <v>1490.3333333333333</v>
      </c>
      <c r="S455" s="175"/>
      <c r="T455" s="751">
        <v>1608.6666666666667</v>
      </c>
      <c r="U455" s="439">
        <v>33.146666666666668</v>
      </c>
      <c r="V455" s="636">
        <v>12.825000000000001</v>
      </c>
      <c r="W455" s="636"/>
      <c r="X455" s="439">
        <v>1.4000000000000001</v>
      </c>
      <c r="Y455" s="761">
        <v>12.825000000000001</v>
      </c>
      <c r="Z455" s="776">
        <v>49.49816666666667</v>
      </c>
      <c r="AA455" s="793">
        <v>0.82496944444444453</v>
      </c>
      <c r="AB455" s="811"/>
      <c r="AC455" s="818">
        <v>38</v>
      </c>
      <c r="AD455" s="811" t="s">
        <v>633</v>
      </c>
      <c r="AE455" s="811">
        <v>0</v>
      </c>
      <c r="AF455" s="643">
        <v>6110</v>
      </c>
    </row>
    <row r="456" spans="1:32" ht="15.75">
      <c r="A456" s="643">
        <v>6111</v>
      </c>
      <c r="B456" s="644"/>
      <c r="C456" s="644" t="s">
        <v>981</v>
      </c>
      <c r="D456" s="612">
        <v>60</v>
      </c>
      <c r="E456" s="545">
        <v>18000</v>
      </c>
      <c r="F456" s="648">
        <v>45</v>
      </c>
      <c r="G456" s="696">
        <v>0.75</v>
      </c>
      <c r="H456" s="636">
        <v>38</v>
      </c>
      <c r="I456" s="636">
        <v>56</v>
      </c>
      <c r="J456" s="549">
        <v>50</v>
      </c>
      <c r="K456" s="554" t="s">
        <v>221</v>
      </c>
      <c r="L456" s="562">
        <v>15</v>
      </c>
      <c r="M456" s="549">
        <v>2000</v>
      </c>
      <c r="N456" s="592">
        <v>0</v>
      </c>
      <c r="O456" s="594">
        <v>1.1499999999999999</v>
      </c>
      <c r="P456" s="590">
        <v>19</v>
      </c>
      <c r="Q456" s="431">
        <v>0.1</v>
      </c>
      <c r="R456" s="430">
        <v>1139.6666666666665</v>
      </c>
      <c r="S456" s="497">
        <v>0</v>
      </c>
      <c r="T456" s="751">
        <v>1531</v>
      </c>
      <c r="U456" s="439">
        <v>25.973333333333329</v>
      </c>
      <c r="V456" s="636">
        <v>10.35</v>
      </c>
      <c r="W456" s="636"/>
      <c r="X456" s="439">
        <v>2.8000000000000003</v>
      </c>
      <c r="Y456" s="761">
        <v>10.35</v>
      </c>
      <c r="Z456" s="776">
        <v>45.067</v>
      </c>
      <c r="AA456" s="793">
        <v>0.75111666666666665</v>
      </c>
      <c r="AB456" s="811"/>
      <c r="AC456" s="818">
        <v>36</v>
      </c>
      <c r="AD456" s="811" t="s">
        <v>633</v>
      </c>
      <c r="AE456" s="811">
        <v>0</v>
      </c>
      <c r="AF456" s="643">
        <v>6111</v>
      </c>
    </row>
    <row r="457" spans="1:32" ht="15.75">
      <c r="A457" s="643">
        <v>6113</v>
      </c>
      <c r="B457" s="644"/>
      <c r="C457" s="644" t="s">
        <v>982</v>
      </c>
      <c r="D457" s="559" t="s">
        <v>221</v>
      </c>
      <c r="E457" s="545">
        <v>5700</v>
      </c>
      <c r="F457" s="648">
        <v>11</v>
      </c>
      <c r="G457" s="660" t="s">
        <v>129</v>
      </c>
      <c r="H457" s="636">
        <v>10</v>
      </c>
      <c r="I457" s="636">
        <v>13</v>
      </c>
      <c r="J457" s="549">
        <v>120</v>
      </c>
      <c r="K457" s="554" t="s">
        <v>221</v>
      </c>
      <c r="L457" s="562">
        <v>12</v>
      </c>
      <c r="M457" s="549">
        <v>2000</v>
      </c>
      <c r="N457" s="592">
        <v>0</v>
      </c>
      <c r="O457" s="594">
        <v>1.55</v>
      </c>
      <c r="P457" s="590">
        <v>20</v>
      </c>
      <c r="Q457" s="431">
        <v>0.05</v>
      </c>
      <c r="R457" s="430">
        <v>500.8</v>
      </c>
      <c r="S457" s="175">
        <v>78</v>
      </c>
      <c r="T457" s="751">
        <v>677.69999999999993</v>
      </c>
      <c r="U457" s="439">
        <v>5.42</v>
      </c>
      <c r="V457" s="636">
        <v>4.4175000000000004</v>
      </c>
      <c r="W457" s="636"/>
      <c r="X457" s="439">
        <v>1.4000000000000001</v>
      </c>
      <c r="Y457" s="761">
        <v>4.4175000000000004</v>
      </c>
      <c r="Z457" s="776">
        <v>11.0715</v>
      </c>
      <c r="AA457" s="793"/>
      <c r="AB457" s="811"/>
      <c r="AC457" s="818">
        <v>11.4</v>
      </c>
      <c r="AD457" s="811" t="s">
        <v>633</v>
      </c>
      <c r="AE457" s="811">
        <v>0</v>
      </c>
      <c r="AF457" s="643">
        <v>6113</v>
      </c>
    </row>
    <row r="458" spans="1:32" ht="15.75">
      <c r="A458" s="643">
        <v>6114</v>
      </c>
      <c r="B458" s="644"/>
      <c r="C458" s="644" t="s">
        <v>983</v>
      </c>
      <c r="D458" s="559" t="s">
        <v>221</v>
      </c>
      <c r="E458" s="545">
        <v>4900</v>
      </c>
      <c r="F458" s="648">
        <v>11</v>
      </c>
      <c r="G458" s="660" t="s">
        <v>129</v>
      </c>
      <c r="H458" s="636">
        <v>10</v>
      </c>
      <c r="I458" s="636">
        <v>13.5</v>
      </c>
      <c r="J458" s="549">
        <v>120</v>
      </c>
      <c r="K458" s="554" t="s">
        <v>221</v>
      </c>
      <c r="L458" s="562">
        <v>12</v>
      </c>
      <c r="M458" s="549">
        <v>2000</v>
      </c>
      <c r="N458" s="592">
        <v>0</v>
      </c>
      <c r="O458" s="594">
        <v>1.65</v>
      </c>
      <c r="P458" s="590">
        <v>39</v>
      </c>
      <c r="Q458" s="431">
        <v>0.05</v>
      </c>
      <c r="R458" s="430">
        <v>490.36666666666667</v>
      </c>
      <c r="S458" s="497">
        <v>120</v>
      </c>
      <c r="T458" s="751">
        <v>735.23333333333323</v>
      </c>
      <c r="U458" s="439">
        <v>6.4397222222222217</v>
      </c>
      <c r="V458" s="636">
        <v>4.0425000000000004</v>
      </c>
      <c r="W458" s="636"/>
      <c r="X458" s="439">
        <v>1.4000000000000001</v>
      </c>
      <c r="Y458" s="761">
        <v>4.0425000000000004</v>
      </c>
      <c r="Z458" s="776">
        <v>11.18638888888889</v>
      </c>
      <c r="AA458" s="793"/>
      <c r="AB458" s="811"/>
      <c r="AC458" s="818">
        <v>9.8000000000000007</v>
      </c>
      <c r="AD458" s="811" t="s">
        <v>633</v>
      </c>
      <c r="AE458" s="811">
        <v>0</v>
      </c>
      <c r="AF458" s="643">
        <v>6114</v>
      </c>
    </row>
    <row r="459" spans="1:32" ht="15.75">
      <c r="A459" s="643">
        <v>6115</v>
      </c>
      <c r="B459" s="644"/>
      <c r="C459" s="644" t="s">
        <v>984</v>
      </c>
      <c r="D459" s="562" t="s">
        <v>221</v>
      </c>
      <c r="E459" s="545">
        <v>13000</v>
      </c>
      <c r="F459" s="648">
        <v>22</v>
      </c>
      <c r="G459" s="645" t="s">
        <v>129</v>
      </c>
      <c r="H459" s="636">
        <v>19</v>
      </c>
      <c r="I459" s="636">
        <v>26</v>
      </c>
      <c r="J459" s="575">
        <v>120</v>
      </c>
      <c r="K459" s="554" t="s">
        <v>221</v>
      </c>
      <c r="L459" s="562">
        <v>12</v>
      </c>
      <c r="M459" s="549">
        <v>2000</v>
      </c>
      <c r="N459" s="592">
        <v>0</v>
      </c>
      <c r="O459" s="594">
        <v>1.2</v>
      </c>
      <c r="P459" s="590">
        <v>28</v>
      </c>
      <c r="Q459" s="431">
        <v>0.05</v>
      </c>
      <c r="R459" s="430">
        <v>1199.8333333333335</v>
      </c>
      <c r="S459" s="175">
        <v>90</v>
      </c>
      <c r="T459" s="751">
        <v>1422.3333333333333</v>
      </c>
      <c r="U459" s="439">
        <v>11.823611111111113</v>
      </c>
      <c r="V459" s="636">
        <v>7.8</v>
      </c>
      <c r="W459" s="657"/>
      <c r="X459" s="439">
        <v>1.4000000000000001</v>
      </c>
      <c r="Y459" s="761">
        <v>7.8</v>
      </c>
      <c r="Z459" s="776">
        <v>21.618055555555557</v>
      </c>
      <c r="AA459" s="777"/>
      <c r="AB459" s="811"/>
      <c r="AC459" s="818">
        <v>26</v>
      </c>
      <c r="AD459" s="811" t="s">
        <v>633</v>
      </c>
      <c r="AE459" s="811">
        <v>0</v>
      </c>
      <c r="AF459" s="643">
        <v>6115</v>
      </c>
    </row>
    <row r="460" spans="1:32" ht="31.5">
      <c r="A460" s="643">
        <v>6116</v>
      </c>
      <c r="B460" s="644"/>
      <c r="C460" s="644" t="s">
        <v>985</v>
      </c>
      <c r="D460" s="612">
        <v>20</v>
      </c>
      <c r="E460" s="545">
        <v>27000</v>
      </c>
      <c r="F460" s="648">
        <v>10.5</v>
      </c>
      <c r="G460" s="696">
        <v>0.5</v>
      </c>
      <c r="H460" s="636">
        <v>9</v>
      </c>
      <c r="I460" s="636">
        <v>12</v>
      </c>
      <c r="J460" s="549">
        <v>700</v>
      </c>
      <c r="K460" s="554" t="s">
        <v>221</v>
      </c>
      <c r="L460" s="562">
        <v>12</v>
      </c>
      <c r="M460" s="549">
        <v>10000</v>
      </c>
      <c r="N460" s="592">
        <v>0</v>
      </c>
      <c r="O460" s="594">
        <v>2.0499999999999998</v>
      </c>
      <c r="P460" s="590">
        <v>23</v>
      </c>
      <c r="Q460" s="431">
        <v>0.05</v>
      </c>
      <c r="R460" s="430">
        <v>4695</v>
      </c>
      <c r="S460" s="497">
        <v>144</v>
      </c>
      <c r="T460" s="751">
        <v>2708</v>
      </c>
      <c r="U460" s="439">
        <v>7.0657142857142858</v>
      </c>
      <c r="V460" s="636">
        <v>5.5350000000000001</v>
      </c>
      <c r="W460" s="636"/>
      <c r="X460" s="439">
        <v>1.4000000000000001</v>
      </c>
      <c r="Y460" s="761">
        <v>5.5350000000000001</v>
      </c>
      <c r="Z460" s="776">
        <v>10.343928571428572</v>
      </c>
      <c r="AA460" s="793">
        <v>0.51719642857142856</v>
      </c>
      <c r="AB460" s="811"/>
      <c r="AC460" s="818">
        <v>54</v>
      </c>
      <c r="AD460" s="811" t="s">
        <v>633</v>
      </c>
      <c r="AE460" s="811">
        <v>0</v>
      </c>
      <c r="AF460" s="643">
        <v>6116</v>
      </c>
    </row>
    <row r="461" spans="1:32" ht="15.75">
      <c r="A461" s="643"/>
      <c r="B461" s="644"/>
      <c r="C461" s="644"/>
      <c r="D461" s="612"/>
      <c r="E461" s="545"/>
      <c r="F461" s="558"/>
      <c r="G461" s="696" t="s">
        <v>129</v>
      </c>
      <c r="H461" s="704"/>
      <c r="I461" s="636"/>
      <c r="J461" s="549"/>
      <c r="K461" s="554"/>
      <c r="L461" s="562"/>
      <c r="M461" s="549"/>
      <c r="N461" s="592"/>
      <c r="O461" s="594" t="s">
        <v>129</v>
      </c>
      <c r="P461" s="590"/>
      <c r="Q461" s="431"/>
      <c r="R461" s="430" t="s">
        <v>129</v>
      </c>
      <c r="S461" s="175">
        <v>0</v>
      </c>
      <c r="T461" s="751" t="s">
        <v>129</v>
      </c>
      <c r="U461" s="439"/>
      <c r="V461" s="636"/>
      <c r="W461" s="636"/>
      <c r="X461" s="439"/>
      <c r="Y461" s="761" t="s">
        <v>129</v>
      </c>
      <c r="Z461" s="776"/>
      <c r="AA461" s="793"/>
      <c r="AB461" s="811"/>
      <c r="AC461" s="818" t="s">
        <v>129</v>
      </c>
      <c r="AD461" s="811"/>
      <c r="AE461" s="811"/>
      <c r="AF461" s="643"/>
    </row>
    <row r="462" spans="1:32" ht="15.75">
      <c r="A462" s="624">
        <v>6130</v>
      </c>
      <c r="B462" s="625"/>
      <c r="C462" s="626" t="s">
        <v>986</v>
      </c>
      <c r="D462" s="627"/>
      <c r="E462" s="628"/>
      <c r="F462" s="629"/>
      <c r="G462" s="630" t="s">
        <v>129</v>
      </c>
      <c r="H462" s="631"/>
      <c r="I462" s="631"/>
      <c r="J462" s="632"/>
      <c r="K462" s="632"/>
      <c r="L462" s="627"/>
      <c r="M462" s="632"/>
      <c r="N462" s="739" t="s">
        <v>129</v>
      </c>
      <c r="O462" s="744" t="s">
        <v>129</v>
      </c>
      <c r="P462" s="742"/>
      <c r="Q462" s="429"/>
      <c r="R462" s="430" t="s">
        <v>129</v>
      </c>
      <c r="S462" s="497">
        <v>186</v>
      </c>
      <c r="T462" s="750" t="s">
        <v>129</v>
      </c>
      <c r="U462" s="438"/>
      <c r="V462" s="631"/>
      <c r="W462" s="631"/>
      <c r="X462" s="438"/>
      <c r="Y462" s="763" t="s">
        <v>129</v>
      </c>
      <c r="Z462" s="774"/>
      <c r="AA462" s="775"/>
      <c r="AB462" s="810"/>
      <c r="AC462" s="817" t="s">
        <v>129</v>
      </c>
      <c r="AD462" s="810"/>
      <c r="AE462" s="810"/>
      <c r="AF462" s="624">
        <v>6130</v>
      </c>
    </row>
    <row r="463" spans="1:32" ht="15.75">
      <c r="A463" s="633"/>
      <c r="B463" s="634"/>
      <c r="C463" s="633"/>
      <c r="D463" s="559"/>
      <c r="E463" s="545"/>
      <c r="F463" s="546"/>
      <c r="G463" s="660" t="s">
        <v>129</v>
      </c>
      <c r="H463" s="636"/>
      <c r="I463" s="636"/>
      <c r="J463" s="549"/>
      <c r="K463" s="635"/>
      <c r="L463" s="633"/>
      <c r="M463" s="549"/>
      <c r="N463" s="592" t="s">
        <v>129</v>
      </c>
      <c r="O463" s="594" t="s">
        <v>129</v>
      </c>
      <c r="P463" s="743"/>
      <c r="Q463" s="431"/>
      <c r="R463" s="430" t="s">
        <v>129</v>
      </c>
      <c r="S463" s="175">
        <v>0</v>
      </c>
      <c r="T463" s="751" t="s">
        <v>129</v>
      </c>
      <c r="U463" s="439"/>
      <c r="V463" s="636"/>
      <c r="W463" s="636"/>
      <c r="X463" s="439">
        <v>0</v>
      </c>
      <c r="Y463" s="761" t="s">
        <v>129</v>
      </c>
      <c r="Z463" s="776"/>
      <c r="AA463" s="788"/>
      <c r="AB463" s="633"/>
      <c r="AC463" s="818" t="s">
        <v>129</v>
      </c>
      <c r="AD463" s="811"/>
      <c r="AE463" s="811"/>
      <c r="AF463" s="633"/>
    </row>
    <row r="464" spans="1:32" ht="15.75">
      <c r="A464" s="643">
        <v>6131</v>
      </c>
      <c r="B464" s="644"/>
      <c r="C464" s="644" t="s">
        <v>987</v>
      </c>
      <c r="D464" s="612">
        <v>60</v>
      </c>
      <c r="E464" s="545">
        <v>2700</v>
      </c>
      <c r="F464" s="546">
        <v>18</v>
      </c>
      <c r="G464" s="698">
        <v>0.3</v>
      </c>
      <c r="H464" s="699">
        <v>0.3</v>
      </c>
      <c r="I464" s="699">
        <v>0.3</v>
      </c>
      <c r="J464" s="615">
        <v>2200</v>
      </c>
      <c r="K464" s="554" t="s">
        <v>221</v>
      </c>
      <c r="L464" s="562">
        <v>12</v>
      </c>
      <c r="M464" s="615">
        <v>35000</v>
      </c>
      <c r="N464" s="592">
        <v>0.1</v>
      </c>
      <c r="O464" s="594">
        <v>1.7</v>
      </c>
      <c r="P464" s="590">
        <v>10</v>
      </c>
      <c r="Q464" s="434">
        <v>1.25E-3</v>
      </c>
      <c r="R464" s="430">
        <v>253.23999999999998</v>
      </c>
      <c r="S464" s="497">
        <v>78</v>
      </c>
      <c r="T464" s="751">
        <v>303.82</v>
      </c>
      <c r="U464" s="445">
        <v>0.14929090909090909</v>
      </c>
      <c r="V464" s="699">
        <v>0.13114285714285714</v>
      </c>
      <c r="W464" s="636"/>
      <c r="X464" s="445">
        <v>3.5000000000000003E-2</v>
      </c>
      <c r="Y464" s="770">
        <v>0.13114285714285714</v>
      </c>
      <c r="Z464" s="789"/>
      <c r="AA464" s="778">
        <v>0.29616714285714285</v>
      </c>
      <c r="AB464" s="811"/>
      <c r="AC464" s="818">
        <v>5.4</v>
      </c>
      <c r="AD464" s="811" t="s">
        <v>383</v>
      </c>
      <c r="AE464" s="811">
        <v>0</v>
      </c>
      <c r="AF464" s="643">
        <v>6131</v>
      </c>
    </row>
    <row r="465" spans="1:32" ht="15.75">
      <c r="A465" s="643">
        <v>6132</v>
      </c>
      <c r="B465" s="644"/>
      <c r="C465" s="644" t="s">
        <v>988</v>
      </c>
      <c r="D465" s="612">
        <v>60</v>
      </c>
      <c r="E465" s="545">
        <v>3800</v>
      </c>
      <c r="F465" s="546">
        <v>23</v>
      </c>
      <c r="G465" s="698">
        <v>0.4</v>
      </c>
      <c r="H465" s="699">
        <v>0.3</v>
      </c>
      <c r="I465" s="699">
        <v>0.5</v>
      </c>
      <c r="J465" s="615">
        <v>2200</v>
      </c>
      <c r="K465" s="554" t="s">
        <v>221</v>
      </c>
      <c r="L465" s="562">
        <v>12</v>
      </c>
      <c r="M465" s="615">
        <v>35000</v>
      </c>
      <c r="N465" s="592">
        <v>0.1</v>
      </c>
      <c r="O465" s="594">
        <v>1.55</v>
      </c>
      <c r="P465" s="590">
        <v>10</v>
      </c>
      <c r="Q465" s="434">
        <v>1.25E-3</v>
      </c>
      <c r="R465" s="430">
        <v>360.38</v>
      </c>
      <c r="S465" s="175"/>
      <c r="T465" s="751">
        <v>399.08000000000004</v>
      </c>
      <c r="U465" s="445">
        <v>0.19899090909090908</v>
      </c>
      <c r="V465" s="699">
        <v>0.16828571428571429</v>
      </c>
      <c r="W465" s="636"/>
      <c r="X465" s="445">
        <v>3.5000000000000003E-2</v>
      </c>
      <c r="Y465" s="770">
        <v>0.16828571428571429</v>
      </c>
      <c r="Z465" s="789"/>
      <c r="AA465" s="778">
        <v>0.38465428571428573</v>
      </c>
      <c r="AB465" s="811"/>
      <c r="AC465" s="818">
        <v>7.6000000000000005</v>
      </c>
      <c r="AD465" s="811" t="s">
        <v>383</v>
      </c>
      <c r="AE465" s="811">
        <v>0</v>
      </c>
      <c r="AF465" s="643">
        <v>6132</v>
      </c>
    </row>
    <row r="466" spans="1:32" ht="15.75">
      <c r="A466" s="643">
        <v>6133</v>
      </c>
      <c r="B466" s="644"/>
      <c r="C466" s="644" t="s">
        <v>989</v>
      </c>
      <c r="D466" s="612">
        <v>60</v>
      </c>
      <c r="E466" s="545">
        <v>5900</v>
      </c>
      <c r="F466" s="546">
        <v>33</v>
      </c>
      <c r="G466" s="698">
        <v>0.55000000000000004</v>
      </c>
      <c r="H466" s="699">
        <v>0.5</v>
      </c>
      <c r="I466" s="699">
        <v>0.6</v>
      </c>
      <c r="J466" s="615">
        <v>2200</v>
      </c>
      <c r="K466" s="554" t="s">
        <v>221</v>
      </c>
      <c r="L466" s="562">
        <v>12</v>
      </c>
      <c r="M466" s="615">
        <v>35000</v>
      </c>
      <c r="N466" s="592">
        <v>0.1</v>
      </c>
      <c r="O466" s="594">
        <v>1.4</v>
      </c>
      <c r="P466" s="590">
        <v>10</v>
      </c>
      <c r="Q466" s="434">
        <v>1.25E-3</v>
      </c>
      <c r="R466" s="430">
        <v>487</v>
      </c>
      <c r="S466" s="496"/>
      <c r="T466" s="751">
        <v>580.93999999999994</v>
      </c>
      <c r="U466" s="445">
        <v>0.25772727272727275</v>
      </c>
      <c r="V466" s="699">
        <v>0.23599999999999999</v>
      </c>
      <c r="W466" s="636"/>
      <c r="X466" s="445">
        <v>3.5000000000000003E-2</v>
      </c>
      <c r="Y466" s="770">
        <v>0.23599999999999999</v>
      </c>
      <c r="Z466" s="789"/>
      <c r="AA466" s="778">
        <v>0.55007000000000006</v>
      </c>
      <c r="AB466" s="811"/>
      <c r="AC466" s="818">
        <v>11.8</v>
      </c>
      <c r="AD466" s="811" t="s">
        <v>383</v>
      </c>
      <c r="AE466" s="811">
        <v>0</v>
      </c>
      <c r="AF466" s="643">
        <v>6133</v>
      </c>
    </row>
    <row r="467" spans="1:32" ht="15.75">
      <c r="A467" s="643">
        <v>6137</v>
      </c>
      <c r="B467" s="644"/>
      <c r="C467" s="644" t="s">
        <v>990</v>
      </c>
      <c r="D467" s="612">
        <v>60</v>
      </c>
      <c r="E467" s="545">
        <v>16000</v>
      </c>
      <c r="F467" s="546">
        <v>61</v>
      </c>
      <c r="G467" s="698">
        <v>1</v>
      </c>
      <c r="H467" s="699">
        <v>0.9</v>
      </c>
      <c r="I467" s="699">
        <v>1.3</v>
      </c>
      <c r="J467" s="615">
        <v>2350</v>
      </c>
      <c r="K467" s="554" t="s">
        <v>221</v>
      </c>
      <c r="L467" s="562">
        <v>12</v>
      </c>
      <c r="M467" s="615">
        <v>40000</v>
      </c>
      <c r="N467" s="592">
        <v>0.1</v>
      </c>
      <c r="O467" s="594">
        <v>0.5</v>
      </c>
      <c r="P467" s="590">
        <v>45</v>
      </c>
      <c r="Q467" s="434">
        <v>1.6666700000000001E-3</v>
      </c>
      <c r="R467" s="430">
        <v>1704.5</v>
      </c>
      <c r="S467" s="175"/>
      <c r="T467" s="751">
        <v>1700.6</v>
      </c>
      <c r="U467" s="445">
        <v>0.89739999999999998</v>
      </c>
      <c r="V467" s="699">
        <v>0.2</v>
      </c>
      <c r="W467" s="636"/>
      <c r="X467" s="445">
        <v>4.6666760000000002E-2</v>
      </c>
      <c r="Y467" s="770">
        <v>0.2</v>
      </c>
      <c r="Z467" s="789"/>
      <c r="AA467" s="778">
        <v>1.0160255319148936</v>
      </c>
      <c r="AB467" s="811"/>
      <c r="AC467" s="818">
        <v>32</v>
      </c>
      <c r="AD467" s="811" t="s">
        <v>383</v>
      </c>
      <c r="AE467" s="811">
        <v>0</v>
      </c>
      <c r="AF467" s="643">
        <v>6137</v>
      </c>
    </row>
    <row r="468" spans="1:32" ht="15.75">
      <c r="A468" s="643">
        <v>6134</v>
      </c>
      <c r="B468" s="644"/>
      <c r="C468" s="644" t="s">
        <v>991</v>
      </c>
      <c r="D468" s="612">
        <v>60</v>
      </c>
      <c r="E468" s="545">
        <v>18500</v>
      </c>
      <c r="F468" s="546">
        <v>69</v>
      </c>
      <c r="G468" s="698">
        <v>1.2</v>
      </c>
      <c r="H468" s="699">
        <v>1</v>
      </c>
      <c r="I468" s="699">
        <v>1.5</v>
      </c>
      <c r="J468" s="615">
        <v>2500</v>
      </c>
      <c r="K468" s="554" t="s">
        <v>221</v>
      </c>
      <c r="L468" s="562">
        <v>12</v>
      </c>
      <c r="M468" s="615">
        <v>45000</v>
      </c>
      <c r="N468" s="592">
        <v>0.1</v>
      </c>
      <c r="O468" s="594">
        <v>0.5</v>
      </c>
      <c r="P468" s="590">
        <v>72</v>
      </c>
      <c r="Q468" s="434">
        <v>1.6666700000000001E-3</v>
      </c>
      <c r="R468" s="430">
        <v>1948</v>
      </c>
      <c r="S468" s="497">
        <v>54</v>
      </c>
      <c r="T468" s="751">
        <v>2106.1</v>
      </c>
      <c r="U468" s="445">
        <v>0.82250000000000001</v>
      </c>
      <c r="V468" s="699">
        <v>0.20555555555555555</v>
      </c>
      <c r="W468" s="636"/>
      <c r="X468" s="445">
        <v>4.6666760000000002E-2</v>
      </c>
      <c r="Y468" s="770">
        <v>0.20555555555555555</v>
      </c>
      <c r="Z468" s="789"/>
      <c r="AA468" s="778">
        <v>1.1527951111111112</v>
      </c>
      <c r="AB468" s="811"/>
      <c r="AC468" s="818">
        <v>37</v>
      </c>
      <c r="AD468" s="811" t="s">
        <v>383</v>
      </c>
      <c r="AE468" s="811">
        <v>0</v>
      </c>
      <c r="AF468" s="643">
        <v>6134</v>
      </c>
    </row>
    <row r="469" spans="1:32" ht="15.75">
      <c r="A469" s="643">
        <v>6135</v>
      </c>
      <c r="B469" s="644"/>
      <c r="C469" s="644" t="s">
        <v>992</v>
      </c>
      <c r="D469" s="612">
        <v>60</v>
      </c>
      <c r="E469" s="545">
        <v>26000</v>
      </c>
      <c r="F469" s="546">
        <v>80</v>
      </c>
      <c r="G469" s="698">
        <v>1.3</v>
      </c>
      <c r="H469" s="699">
        <v>1.1000000000000001</v>
      </c>
      <c r="I469" s="699">
        <v>1.7</v>
      </c>
      <c r="J469" s="615">
        <v>3200</v>
      </c>
      <c r="K469" s="554" t="s">
        <v>221</v>
      </c>
      <c r="L469" s="562">
        <v>12</v>
      </c>
      <c r="M469" s="615">
        <v>50000</v>
      </c>
      <c r="N469" s="592">
        <v>0.1</v>
      </c>
      <c r="O469" s="594">
        <v>0.6</v>
      </c>
      <c r="P469" s="590">
        <v>92</v>
      </c>
      <c r="Q469" s="434">
        <v>1.6666700000000001E-3</v>
      </c>
      <c r="R469" s="430">
        <v>2240.1999999999998</v>
      </c>
      <c r="S469" s="175">
        <v>54</v>
      </c>
      <c r="T469" s="751">
        <v>2895.6</v>
      </c>
      <c r="U469" s="445">
        <v>0.76579999999999993</v>
      </c>
      <c r="V469" s="699">
        <v>0.312</v>
      </c>
      <c r="W469" s="636"/>
      <c r="X469" s="445">
        <v>4.6666760000000002E-2</v>
      </c>
      <c r="Y469" s="770">
        <v>0.312</v>
      </c>
      <c r="Z469" s="789"/>
      <c r="AA469" s="778">
        <v>1.3385625000000001</v>
      </c>
      <c r="AB469" s="811"/>
      <c r="AC469" s="818">
        <v>52</v>
      </c>
      <c r="AD469" s="811" t="s">
        <v>383</v>
      </c>
      <c r="AE469" s="811">
        <v>0</v>
      </c>
      <c r="AF469" s="643">
        <v>6135</v>
      </c>
    </row>
    <row r="470" spans="1:32" ht="15.75">
      <c r="A470" s="643">
        <v>6136</v>
      </c>
      <c r="B470" s="644"/>
      <c r="C470" s="644" t="s">
        <v>993</v>
      </c>
      <c r="D470" s="612">
        <v>60</v>
      </c>
      <c r="E470" s="545">
        <v>31000</v>
      </c>
      <c r="F470" s="546">
        <v>78</v>
      </c>
      <c r="G470" s="698">
        <v>1.3</v>
      </c>
      <c r="H470" s="699">
        <v>1.1000000000000001</v>
      </c>
      <c r="I470" s="699">
        <v>1.6</v>
      </c>
      <c r="J470" s="615">
        <v>4000</v>
      </c>
      <c r="K470" s="554" t="s">
        <v>221</v>
      </c>
      <c r="L470" s="562">
        <v>12</v>
      </c>
      <c r="M470" s="615">
        <v>60000</v>
      </c>
      <c r="N470" s="592">
        <v>0.1</v>
      </c>
      <c r="O470" s="594">
        <v>0.6</v>
      </c>
      <c r="P470" s="590">
        <v>111</v>
      </c>
      <c r="Q470" s="431"/>
      <c r="R470" s="430" t="s">
        <v>129</v>
      </c>
      <c r="S470" s="497">
        <v>174</v>
      </c>
      <c r="T470" s="751">
        <v>3461.6</v>
      </c>
      <c r="U470" s="446"/>
      <c r="V470" s="699">
        <v>0.31</v>
      </c>
      <c r="W470" s="636"/>
      <c r="X470" s="446"/>
      <c r="Y470" s="770">
        <v>0.31</v>
      </c>
      <c r="Z470" s="789"/>
      <c r="AA470" s="778">
        <v>1.2929400000000002</v>
      </c>
      <c r="AB470" s="811"/>
      <c r="AC470" s="818">
        <v>62</v>
      </c>
      <c r="AD470" s="811" t="s">
        <v>383</v>
      </c>
      <c r="AE470" s="811">
        <v>0</v>
      </c>
      <c r="AF470" s="643">
        <v>6136</v>
      </c>
    </row>
    <row r="471" spans="1:32" ht="15.75">
      <c r="A471" s="643">
        <v>6138</v>
      </c>
      <c r="B471" s="705"/>
      <c r="C471" s="542" t="s">
        <v>994</v>
      </c>
      <c r="D471" s="612">
        <v>60</v>
      </c>
      <c r="E471" s="545">
        <v>25000</v>
      </c>
      <c r="F471" s="546">
        <v>86</v>
      </c>
      <c r="G471" s="698">
        <v>1.4</v>
      </c>
      <c r="H471" s="699">
        <v>1.2</v>
      </c>
      <c r="I471" s="699">
        <v>1.8</v>
      </c>
      <c r="J471" s="615">
        <v>2500</v>
      </c>
      <c r="K471" s="562"/>
      <c r="L471" s="617">
        <v>12</v>
      </c>
      <c r="M471" s="615">
        <v>45000</v>
      </c>
      <c r="N471" s="592">
        <v>0.1</v>
      </c>
      <c r="O471" s="594">
        <v>0.55000000000000004</v>
      </c>
      <c r="P471" s="590">
        <v>45</v>
      </c>
      <c r="Q471" s="429"/>
      <c r="R471" s="430" t="s">
        <v>129</v>
      </c>
      <c r="S471" s="175">
        <v>174</v>
      </c>
      <c r="T471" s="751">
        <v>2480</v>
      </c>
      <c r="U471" s="438"/>
      <c r="V471" s="699">
        <v>0.30555555555555558</v>
      </c>
      <c r="W471" s="636"/>
      <c r="X471" s="438"/>
      <c r="Y471" s="770">
        <v>0.30555555555555558</v>
      </c>
      <c r="Z471" s="789"/>
      <c r="AA471" s="778">
        <v>1.4273111111111112</v>
      </c>
      <c r="AB471" s="811"/>
      <c r="AC471" s="818">
        <v>50</v>
      </c>
      <c r="AD471" s="811" t="s">
        <v>383</v>
      </c>
      <c r="AE471" s="811">
        <v>0</v>
      </c>
      <c r="AF471" s="643">
        <v>6138</v>
      </c>
    </row>
    <row r="472" spans="1:32" ht="15.75">
      <c r="A472" s="643">
        <v>6139</v>
      </c>
      <c r="B472" s="705"/>
      <c r="C472" s="542" t="s">
        <v>995</v>
      </c>
      <c r="D472" s="612">
        <v>60</v>
      </c>
      <c r="E472" s="545">
        <v>30000</v>
      </c>
      <c r="F472" s="546">
        <v>85</v>
      </c>
      <c r="G472" s="698">
        <v>1.4</v>
      </c>
      <c r="H472" s="699">
        <v>1.2</v>
      </c>
      <c r="I472" s="699">
        <v>1.8</v>
      </c>
      <c r="J472" s="615">
        <v>3200</v>
      </c>
      <c r="K472" s="562"/>
      <c r="L472" s="617">
        <v>12</v>
      </c>
      <c r="M472" s="615">
        <v>50000</v>
      </c>
      <c r="N472" s="592">
        <v>0.1</v>
      </c>
      <c r="O472" s="594">
        <v>0.55000000000000004</v>
      </c>
      <c r="P472" s="590">
        <v>64</v>
      </c>
      <c r="Q472" s="431"/>
      <c r="R472" s="430" t="s">
        <v>129</v>
      </c>
      <c r="S472" s="497">
        <v>264</v>
      </c>
      <c r="T472" s="751">
        <v>3046</v>
      </c>
      <c r="U472" s="439"/>
      <c r="V472" s="699">
        <v>0.33</v>
      </c>
      <c r="W472" s="636"/>
      <c r="X472" s="439"/>
      <c r="Y472" s="770">
        <v>0.33</v>
      </c>
      <c r="Z472" s="789"/>
      <c r="AA472" s="778">
        <v>1.4100625000000002</v>
      </c>
      <c r="AB472" s="811"/>
      <c r="AC472" s="818">
        <v>60</v>
      </c>
      <c r="AD472" s="811" t="s">
        <v>383</v>
      </c>
      <c r="AE472" s="811">
        <v>0</v>
      </c>
      <c r="AF472" s="643">
        <v>6139</v>
      </c>
    </row>
    <row r="473" spans="1:32" ht="15.75">
      <c r="A473" s="643">
        <v>6140</v>
      </c>
      <c r="B473" s="705"/>
      <c r="C473" s="542" t="s">
        <v>996</v>
      </c>
      <c r="D473" s="612">
        <v>60</v>
      </c>
      <c r="E473" s="545">
        <v>55000</v>
      </c>
      <c r="F473" s="546">
        <v>120</v>
      </c>
      <c r="G473" s="698">
        <v>2</v>
      </c>
      <c r="H473" s="699">
        <v>1.7</v>
      </c>
      <c r="I473" s="699">
        <v>2.5</v>
      </c>
      <c r="J473" s="615">
        <v>4000</v>
      </c>
      <c r="K473" s="562"/>
      <c r="L473" s="617">
        <v>12</v>
      </c>
      <c r="M473" s="615">
        <v>60000</v>
      </c>
      <c r="N473" s="592">
        <v>0.1</v>
      </c>
      <c r="O473" s="594">
        <v>0.55000000000000004</v>
      </c>
      <c r="P473" s="590">
        <v>67</v>
      </c>
      <c r="Q473" s="434">
        <v>1.25E-3</v>
      </c>
      <c r="R473" s="430">
        <v>277.39999999999998</v>
      </c>
      <c r="S473" s="175">
        <v>378</v>
      </c>
      <c r="T473" s="751">
        <v>5232</v>
      </c>
      <c r="U473" s="445">
        <v>0.1406</v>
      </c>
      <c r="V473" s="699">
        <v>0.50416666666666665</v>
      </c>
      <c r="W473" s="636"/>
      <c r="X473" s="445">
        <v>3.5000000000000003E-2</v>
      </c>
      <c r="Y473" s="770">
        <v>0.50416666666666665</v>
      </c>
      <c r="Z473" s="789"/>
      <c r="AA473" s="778">
        <v>1.9933833333333335</v>
      </c>
      <c r="AB473" s="811"/>
      <c r="AC473" s="818">
        <v>110</v>
      </c>
      <c r="AD473" s="811" t="s">
        <v>383</v>
      </c>
      <c r="AE473" s="811">
        <v>0</v>
      </c>
      <c r="AF473" s="643">
        <v>6140</v>
      </c>
    </row>
    <row r="474" spans="1:32" ht="15.75">
      <c r="A474" s="643">
        <v>6141</v>
      </c>
      <c r="B474" s="705"/>
      <c r="C474" s="542" t="s">
        <v>997</v>
      </c>
      <c r="D474" s="612">
        <v>60</v>
      </c>
      <c r="E474" s="545">
        <v>71000</v>
      </c>
      <c r="F474" s="546">
        <v>135</v>
      </c>
      <c r="G474" s="698">
        <v>2.2000000000000002</v>
      </c>
      <c r="H474" s="699">
        <v>1.9</v>
      </c>
      <c r="I474" s="699">
        <v>2.8</v>
      </c>
      <c r="J474" s="615">
        <v>4500</v>
      </c>
      <c r="K474" s="562"/>
      <c r="L474" s="617">
        <v>12</v>
      </c>
      <c r="M474" s="615">
        <v>65000</v>
      </c>
      <c r="N474" s="592">
        <v>0.1</v>
      </c>
      <c r="O474" s="594">
        <v>0.5</v>
      </c>
      <c r="P474" s="590">
        <v>72</v>
      </c>
      <c r="Q474" s="434">
        <v>1.6666700000000001E-3</v>
      </c>
      <c r="R474" s="430">
        <v>1284.8</v>
      </c>
      <c r="S474" s="175"/>
      <c r="T474" s="751">
        <v>6652.6</v>
      </c>
      <c r="U474" s="445">
        <v>0.58058333333333323</v>
      </c>
      <c r="V474" s="699">
        <v>0.5461538461538461</v>
      </c>
      <c r="W474" s="636"/>
      <c r="X474" s="445">
        <v>4.6666760000000002E-2</v>
      </c>
      <c r="Y474" s="770">
        <v>0.5461538461538461</v>
      </c>
      <c r="Z474" s="789"/>
      <c r="AA474" s="778">
        <v>2.2269603418803423</v>
      </c>
      <c r="AB474" s="811"/>
      <c r="AC474" s="818">
        <v>142</v>
      </c>
      <c r="AD474" s="811" t="s">
        <v>383</v>
      </c>
      <c r="AE474" s="811">
        <v>0</v>
      </c>
      <c r="AF474" s="643">
        <v>6141</v>
      </c>
    </row>
    <row r="475" spans="1:32" ht="15.75">
      <c r="A475" s="643"/>
      <c r="B475" s="644"/>
      <c r="C475" s="643"/>
      <c r="D475" s="612"/>
      <c r="E475" s="545"/>
      <c r="F475" s="546"/>
      <c r="G475" s="698"/>
      <c r="H475" s="699"/>
      <c r="I475" s="699"/>
      <c r="J475" s="615"/>
      <c r="K475" s="562"/>
      <c r="L475" s="617"/>
      <c r="M475" s="615"/>
      <c r="N475" s="592"/>
      <c r="O475" s="594"/>
      <c r="P475" s="590"/>
      <c r="Q475" s="434">
        <v>1.6666700000000001E-3</v>
      </c>
      <c r="R475" s="430">
        <v>2263</v>
      </c>
      <c r="S475" s="496"/>
      <c r="T475" s="751"/>
      <c r="U475" s="445">
        <v>0.86928571428571433</v>
      </c>
      <c r="V475" s="699"/>
      <c r="W475" s="636"/>
      <c r="X475" s="445">
        <v>4.6666760000000002E-2</v>
      </c>
      <c r="Y475" s="770"/>
      <c r="Z475" s="789"/>
      <c r="AA475" s="778"/>
      <c r="AB475" s="811"/>
      <c r="AC475" s="818"/>
      <c r="AD475" s="811"/>
      <c r="AE475" s="811"/>
      <c r="AF475" s="643"/>
    </row>
    <row r="476" spans="1:32" ht="15.75">
      <c r="A476" s="624">
        <v>6150</v>
      </c>
      <c r="B476" s="625"/>
      <c r="C476" s="626" t="s">
        <v>998</v>
      </c>
      <c r="D476" s="627"/>
      <c r="E476" s="628"/>
      <c r="F476" s="629"/>
      <c r="G476" s="687" t="s">
        <v>129</v>
      </c>
      <c r="H476" s="631"/>
      <c r="I476" s="631"/>
      <c r="J476" s="632"/>
      <c r="K476" s="632"/>
      <c r="L476" s="627"/>
      <c r="M476" s="632"/>
      <c r="N476" s="739" t="s">
        <v>129</v>
      </c>
      <c r="O476" s="744" t="s">
        <v>129</v>
      </c>
      <c r="P476" s="742"/>
      <c r="Q476" s="434">
        <v>1.6666700000000001E-3</v>
      </c>
      <c r="R476" s="430">
        <v>1752</v>
      </c>
      <c r="S476" s="175"/>
      <c r="T476" s="750" t="s">
        <v>129</v>
      </c>
      <c r="U476" s="445">
        <v>0.58781249999999996</v>
      </c>
      <c r="V476" s="631"/>
      <c r="W476" s="631"/>
      <c r="X476" s="445">
        <v>4.6666760000000002E-2</v>
      </c>
      <c r="Y476" s="763" t="s">
        <v>129</v>
      </c>
      <c r="Z476" s="774"/>
      <c r="AA476" s="775"/>
      <c r="AB476" s="810"/>
      <c r="AC476" s="817" t="s">
        <v>129</v>
      </c>
      <c r="AD476" s="810"/>
      <c r="AE476" s="810"/>
      <c r="AF476" s="624">
        <v>6150</v>
      </c>
    </row>
    <row r="477" spans="1:32" ht="15.75">
      <c r="A477" s="633"/>
      <c r="B477" s="634"/>
      <c r="C477" s="633"/>
      <c r="D477" s="576"/>
      <c r="E477" s="545"/>
      <c r="F477" s="546"/>
      <c r="G477" s="700" t="s">
        <v>129</v>
      </c>
      <c r="H477" s="636"/>
      <c r="I477" s="636"/>
      <c r="J477" s="549"/>
      <c r="K477" s="635"/>
      <c r="L477" s="633"/>
      <c r="M477" s="549"/>
      <c r="N477" s="592" t="s">
        <v>129</v>
      </c>
      <c r="O477" s="594" t="s">
        <v>129</v>
      </c>
      <c r="P477" s="743"/>
      <c r="Q477" s="434">
        <v>1.6666700000000001E-3</v>
      </c>
      <c r="R477" s="430">
        <v>3066</v>
      </c>
      <c r="S477" s="497">
        <v>234</v>
      </c>
      <c r="T477" s="751" t="s">
        <v>129</v>
      </c>
      <c r="U477" s="445">
        <v>0.81899999999999995</v>
      </c>
      <c r="V477" s="636"/>
      <c r="W477" s="636"/>
      <c r="X477" s="445">
        <v>4.6666760000000002E-2</v>
      </c>
      <c r="Y477" s="761" t="s">
        <v>129</v>
      </c>
      <c r="Z477" s="776"/>
      <c r="AA477" s="788"/>
      <c r="AB477" s="633"/>
      <c r="AC477" s="818" t="s">
        <v>129</v>
      </c>
      <c r="AD477" s="811"/>
      <c r="AE477" s="811"/>
      <c r="AF477" s="633"/>
    </row>
    <row r="478" spans="1:32" ht="15.75">
      <c r="A478" s="643">
        <v>6151</v>
      </c>
      <c r="B478" s="644"/>
      <c r="C478" s="644" t="s">
        <v>999</v>
      </c>
      <c r="D478" s="612">
        <v>25</v>
      </c>
      <c r="E478" s="545">
        <v>1700</v>
      </c>
      <c r="F478" s="546">
        <v>5</v>
      </c>
      <c r="G478" s="698">
        <v>0.2</v>
      </c>
      <c r="H478" s="699">
        <v>0.2</v>
      </c>
      <c r="I478" s="699">
        <v>0.3</v>
      </c>
      <c r="J478" s="615">
        <v>2000</v>
      </c>
      <c r="K478" s="554" t="s">
        <v>221</v>
      </c>
      <c r="L478" s="562">
        <v>8</v>
      </c>
      <c r="M478" s="615">
        <v>25000</v>
      </c>
      <c r="N478" s="592">
        <v>0</v>
      </c>
      <c r="O478" s="594">
        <v>1.1499999999999999</v>
      </c>
      <c r="P478" s="590"/>
      <c r="Q478" s="431">
        <v>3.3300000000000003E-2</v>
      </c>
      <c r="R478" s="430">
        <v>113.96666666666667</v>
      </c>
      <c r="S478" s="175">
        <v>715</v>
      </c>
      <c r="T478" s="751">
        <v>231.20000000000002</v>
      </c>
      <c r="U478" s="439">
        <v>1.4570833333333333</v>
      </c>
      <c r="V478" s="699">
        <v>7.8200000000000006E-2</v>
      </c>
      <c r="W478" s="636"/>
      <c r="X478" s="439">
        <v>0.93240000000000012</v>
      </c>
      <c r="Y478" s="770">
        <v>7.8200000000000006E-2</v>
      </c>
      <c r="Z478" s="776"/>
      <c r="AA478" s="778">
        <v>0.21318000000000004</v>
      </c>
      <c r="AB478" s="811"/>
      <c r="AC478" s="818">
        <v>3.4</v>
      </c>
      <c r="AD478" s="811" t="s">
        <v>383</v>
      </c>
      <c r="AE478" s="811">
        <v>0</v>
      </c>
      <c r="AF478" s="643">
        <v>6151</v>
      </c>
    </row>
    <row r="479" spans="1:32" ht="15.75">
      <c r="A479" s="643">
        <v>6152</v>
      </c>
      <c r="B479" s="644"/>
      <c r="C479" s="644" t="s">
        <v>1000</v>
      </c>
      <c r="D479" s="612">
        <v>60</v>
      </c>
      <c r="E479" s="545">
        <v>9300</v>
      </c>
      <c r="F479" s="546">
        <v>45</v>
      </c>
      <c r="G479" s="698">
        <v>0.75</v>
      </c>
      <c r="H479" s="699">
        <v>0.6</v>
      </c>
      <c r="I479" s="699">
        <v>1</v>
      </c>
      <c r="J479" s="615">
        <v>2400</v>
      </c>
      <c r="K479" s="554" t="s">
        <v>221</v>
      </c>
      <c r="L479" s="562">
        <v>8</v>
      </c>
      <c r="M479" s="615">
        <v>35000</v>
      </c>
      <c r="N479" s="592">
        <v>0</v>
      </c>
      <c r="O479" s="594">
        <v>0.45</v>
      </c>
      <c r="P479" s="590">
        <v>13</v>
      </c>
      <c r="Q479" s="431">
        <v>0.05</v>
      </c>
      <c r="R479" s="430">
        <v>1271.1666666666665</v>
      </c>
      <c r="S479" s="497">
        <v>282</v>
      </c>
      <c r="T479" s="751">
        <v>1355.8</v>
      </c>
      <c r="U479" s="439">
        <v>18.96458333333333</v>
      </c>
      <c r="V479" s="699">
        <v>0.11957142857142858</v>
      </c>
      <c r="W479" s="636"/>
      <c r="X479" s="439">
        <v>1.4000000000000001</v>
      </c>
      <c r="Y479" s="770">
        <v>0.11957142857142858</v>
      </c>
      <c r="Z479" s="776"/>
      <c r="AA479" s="778">
        <v>0.75293690476190478</v>
      </c>
      <c r="AB479" s="811"/>
      <c r="AC479" s="818">
        <v>18.600000000000001</v>
      </c>
      <c r="AD479" s="811" t="s">
        <v>383</v>
      </c>
      <c r="AE479" s="811">
        <v>0</v>
      </c>
      <c r="AF479" s="643">
        <v>6152</v>
      </c>
    </row>
    <row r="480" spans="1:32" ht="15.75">
      <c r="A480" s="643">
        <v>6153</v>
      </c>
      <c r="B480" s="644"/>
      <c r="C480" s="644" t="s">
        <v>1001</v>
      </c>
      <c r="D480" s="612">
        <v>60</v>
      </c>
      <c r="E480" s="545">
        <v>16000</v>
      </c>
      <c r="F480" s="546">
        <v>65</v>
      </c>
      <c r="G480" s="698">
        <v>1.1000000000000001</v>
      </c>
      <c r="H480" s="699">
        <v>0.9</v>
      </c>
      <c r="I480" s="699">
        <v>1.4</v>
      </c>
      <c r="J480" s="615">
        <v>2800</v>
      </c>
      <c r="K480" s="554" t="s">
        <v>221</v>
      </c>
      <c r="L480" s="562">
        <v>8</v>
      </c>
      <c r="M480" s="615">
        <v>35000</v>
      </c>
      <c r="N480" s="592">
        <v>0</v>
      </c>
      <c r="O480" s="594">
        <v>0.35</v>
      </c>
      <c r="P480" s="590">
        <v>20</v>
      </c>
      <c r="Q480" s="431">
        <v>3.3300000000000003E-2</v>
      </c>
      <c r="R480" s="430">
        <v>192.86666666666665</v>
      </c>
      <c r="S480" s="175"/>
      <c r="T480" s="751">
        <v>2316</v>
      </c>
      <c r="U480" s="439">
        <v>2.4658333333333333</v>
      </c>
      <c r="V480" s="699">
        <v>0.15999999999999998</v>
      </c>
      <c r="W480" s="636"/>
      <c r="X480" s="439">
        <v>0.93240000000000012</v>
      </c>
      <c r="Y480" s="770">
        <v>0.15999999999999998</v>
      </c>
      <c r="Z480" s="776"/>
      <c r="AA480" s="778">
        <v>1.0858571428571429</v>
      </c>
      <c r="AB480" s="811"/>
      <c r="AC480" s="818">
        <v>32</v>
      </c>
      <c r="AD480" s="811" t="s">
        <v>383</v>
      </c>
      <c r="AE480" s="811">
        <v>0</v>
      </c>
      <c r="AF480" s="643">
        <v>6153</v>
      </c>
    </row>
    <row r="481" spans="1:32" ht="15.75">
      <c r="A481" s="643">
        <v>6154</v>
      </c>
      <c r="B481" s="644"/>
      <c r="C481" s="644" t="s">
        <v>1002</v>
      </c>
      <c r="D481" s="612">
        <v>90</v>
      </c>
      <c r="E481" s="545">
        <v>10000</v>
      </c>
      <c r="F481" s="546">
        <v>54</v>
      </c>
      <c r="G481" s="698">
        <v>0.6</v>
      </c>
      <c r="H481" s="699">
        <v>0.5</v>
      </c>
      <c r="I481" s="699">
        <v>0.8</v>
      </c>
      <c r="J481" s="615">
        <v>3200</v>
      </c>
      <c r="K481" s="554" t="s">
        <v>221</v>
      </c>
      <c r="L481" s="562">
        <v>8</v>
      </c>
      <c r="M481" s="615">
        <v>45000</v>
      </c>
      <c r="N481" s="592">
        <v>0</v>
      </c>
      <c r="O481" s="594">
        <v>0.4</v>
      </c>
      <c r="P481" s="590">
        <v>15</v>
      </c>
      <c r="Q481" s="431">
        <v>0.05</v>
      </c>
      <c r="R481" s="430">
        <v>111.75</v>
      </c>
      <c r="S481" s="498"/>
      <c r="T481" s="751">
        <v>1465</v>
      </c>
      <c r="U481" s="439">
        <v>4.1150000000000002</v>
      </c>
      <c r="V481" s="699">
        <v>8.8888888888888892E-2</v>
      </c>
      <c r="W481" s="636"/>
      <c r="X481" s="439">
        <v>1.4000000000000001</v>
      </c>
      <c r="Y481" s="770">
        <v>8.8888888888888892E-2</v>
      </c>
      <c r="Z481" s="776"/>
      <c r="AA481" s="778">
        <v>0.6013715277777778</v>
      </c>
      <c r="AB481" s="811"/>
      <c r="AC481" s="818">
        <v>20</v>
      </c>
      <c r="AD481" s="811" t="s">
        <v>383</v>
      </c>
      <c r="AE481" s="811">
        <v>0</v>
      </c>
      <c r="AF481" s="643">
        <v>6154</v>
      </c>
    </row>
    <row r="482" spans="1:32" ht="15.75">
      <c r="A482" s="643">
        <v>6155</v>
      </c>
      <c r="B482" s="644"/>
      <c r="C482" s="644" t="s">
        <v>1003</v>
      </c>
      <c r="D482" s="612">
        <v>90</v>
      </c>
      <c r="E482" s="545">
        <v>18000</v>
      </c>
      <c r="F482" s="546">
        <v>77</v>
      </c>
      <c r="G482" s="698">
        <v>0.85</v>
      </c>
      <c r="H482" s="699">
        <v>0.7</v>
      </c>
      <c r="I482" s="699">
        <v>1.1000000000000001</v>
      </c>
      <c r="J482" s="615">
        <v>4000</v>
      </c>
      <c r="K482" s="554" t="s">
        <v>221</v>
      </c>
      <c r="L482" s="562">
        <v>8</v>
      </c>
      <c r="M482" s="615">
        <v>45000</v>
      </c>
      <c r="N482" s="592">
        <v>0</v>
      </c>
      <c r="O482" s="594">
        <v>0.3</v>
      </c>
      <c r="P482" s="590">
        <v>24</v>
      </c>
      <c r="Q482" s="431"/>
      <c r="R482" s="430" t="s">
        <v>129</v>
      </c>
      <c r="S482" s="175"/>
      <c r="T482" s="751">
        <v>2616</v>
      </c>
      <c r="U482" s="439"/>
      <c r="V482" s="699">
        <v>0.12</v>
      </c>
      <c r="W482" s="636"/>
      <c r="X482" s="439"/>
      <c r="Y482" s="770">
        <v>0.12</v>
      </c>
      <c r="Z482" s="776"/>
      <c r="AA482" s="778">
        <v>0.85140000000000005</v>
      </c>
      <c r="AB482" s="811"/>
      <c r="AC482" s="818">
        <v>36</v>
      </c>
      <c r="AD482" s="811" t="s">
        <v>383</v>
      </c>
      <c r="AE482" s="811">
        <v>0</v>
      </c>
      <c r="AF482" s="643">
        <v>6155</v>
      </c>
    </row>
    <row r="483" spans="1:32" ht="15.75">
      <c r="A483" s="643">
        <v>6156</v>
      </c>
      <c r="B483" s="644"/>
      <c r="C483" s="644" t="s">
        <v>1004</v>
      </c>
      <c r="D483" s="559" t="s">
        <v>221</v>
      </c>
      <c r="E483" s="545">
        <v>1050</v>
      </c>
      <c r="F483" s="648">
        <v>2.6</v>
      </c>
      <c r="G483" s="660" t="s">
        <v>129</v>
      </c>
      <c r="H483" s="636">
        <v>2.2999999999999998</v>
      </c>
      <c r="I483" s="636">
        <v>2.9</v>
      </c>
      <c r="J483" s="549">
        <v>80</v>
      </c>
      <c r="K483" s="554" t="s">
        <v>221</v>
      </c>
      <c r="L483" s="562">
        <v>15</v>
      </c>
      <c r="M483" s="549">
        <v>2000</v>
      </c>
      <c r="N483" s="592">
        <v>0</v>
      </c>
      <c r="O483" s="594">
        <v>2.5</v>
      </c>
      <c r="P483" s="590"/>
      <c r="Q483" s="429"/>
      <c r="R483" s="430" t="s">
        <v>129</v>
      </c>
      <c r="S483" s="496"/>
      <c r="T483" s="751">
        <v>81.55</v>
      </c>
      <c r="U483" s="438"/>
      <c r="V483" s="636">
        <v>1.3125</v>
      </c>
      <c r="W483" s="636"/>
      <c r="X483" s="438"/>
      <c r="Y483" s="761">
        <v>1.3125</v>
      </c>
      <c r="Z483" s="776">
        <v>2.5650625000000002</v>
      </c>
      <c r="AA483" s="788"/>
      <c r="AB483" s="811"/>
      <c r="AC483" s="818">
        <v>2.1</v>
      </c>
      <c r="AD483" s="811" t="s">
        <v>633</v>
      </c>
      <c r="AE483" s="811">
        <v>0</v>
      </c>
      <c r="AF483" s="643">
        <v>6156</v>
      </c>
    </row>
    <row r="484" spans="1:32" ht="15.75">
      <c r="A484" s="643">
        <v>6159</v>
      </c>
      <c r="B484" s="644"/>
      <c r="C484" s="644" t="s">
        <v>1005</v>
      </c>
      <c r="D484" s="559" t="s">
        <v>221</v>
      </c>
      <c r="E484" s="545">
        <v>1800</v>
      </c>
      <c r="F484" s="648">
        <v>3.6</v>
      </c>
      <c r="G484" s="660" t="s">
        <v>129</v>
      </c>
      <c r="H484" s="636">
        <v>3.2</v>
      </c>
      <c r="I484" s="636">
        <v>4.2</v>
      </c>
      <c r="J484" s="549">
        <v>80</v>
      </c>
      <c r="K484" s="554" t="s">
        <v>221</v>
      </c>
      <c r="L484" s="562">
        <v>15</v>
      </c>
      <c r="M484" s="549">
        <v>2000</v>
      </c>
      <c r="N484" s="592">
        <v>0</v>
      </c>
      <c r="O484" s="594">
        <v>1.65</v>
      </c>
      <c r="P484" s="590"/>
      <c r="Q484" s="431"/>
      <c r="R484" s="430" t="s">
        <v>129</v>
      </c>
      <c r="S484" s="175"/>
      <c r="T484" s="751">
        <v>139.79999999999998</v>
      </c>
      <c r="U484" s="439"/>
      <c r="V484" s="636">
        <v>1.4849999999999999</v>
      </c>
      <c r="W484" s="636"/>
      <c r="X484" s="439"/>
      <c r="Y484" s="761">
        <v>1.4849999999999999</v>
      </c>
      <c r="Z484" s="776">
        <v>3.5557500000000002</v>
      </c>
      <c r="AA484" s="788"/>
      <c r="AB484" s="811"/>
      <c r="AC484" s="818">
        <v>3.6</v>
      </c>
      <c r="AD484" s="811" t="s">
        <v>633</v>
      </c>
      <c r="AE484" s="811">
        <v>0</v>
      </c>
      <c r="AF484" s="643">
        <v>6159</v>
      </c>
    </row>
    <row r="485" spans="1:32" ht="15.75">
      <c r="A485" s="643">
        <v>6160</v>
      </c>
      <c r="B485" s="644"/>
      <c r="C485" s="644" t="s">
        <v>1006</v>
      </c>
      <c r="D485" s="559" t="s">
        <v>221</v>
      </c>
      <c r="E485" s="545">
        <v>1600</v>
      </c>
      <c r="F485" s="648">
        <v>6.4</v>
      </c>
      <c r="G485" s="660" t="s">
        <v>129</v>
      </c>
      <c r="H485" s="636">
        <v>5.6</v>
      </c>
      <c r="I485" s="636">
        <v>7.8</v>
      </c>
      <c r="J485" s="549">
        <v>50</v>
      </c>
      <c r="K485" s="554" t="s">
        <v>221</v>
      </c>
      <c r="L485" s="562">
        <v>15</v>
      </c>
      <c r="M485" s="549">
        <v>2000</v>
      </c>
      <c r="N485" s="592">
        <v>0.25</v>
      </c>
      <c r="O485" s="594">
        <v>2.5</v>
      </c>
      <c r="P485" s="590">
        <v>13</v>
      </c>
      <c r="Q485" s="431">
        <v>0.04</v>
      </c>
      <c r="R485" s="430">
        <v>573.65</v>
      </c>
      <c r="S485" s="175">
        <v>948</v>
      </c>
      <c r="T485" s="751">
        <v>191</v>
      </c>
      <c r="U485" s="439">
        <v>3.2602499999999996</v>
      </c>
      <c r="V485" s="636">
        <v>2</v>
      </c>
      <c r="W485" s="636"/>
      <c r="X485" s="439">
        <v>1.1200000000000001</v>
      </c>
      <c r="Y485" s="761">
        <v>2</v>
      </c>
      <c r="Z485" s="776">
        <v>6.402000000000001</v>
      </c>
      <c r="AA485" s="788"/>
      <c r="AB485" s="811"/>
      <c r="AC485" s="818">
        <v>3.2</v>
      </c>
      <c r="AD485" s="811" t="s">
        <v>633</v>
      </c>
      <c r="AE485" s="811">
        <v>0</v>
      </c>
      <c r="AF485" s="643">
        <v>6160</v>
      </c>
    </row>
    <row r="486" spans="1:32" ht="15.75">
      <c r="A486" s="633"/>
      <c r="B486" s="634"/>
      <c r="C486" s="633"/>
      <c r="D486" s="559"/>
      <c r="E486" s="545"/>
      <c r="F486" s="649"/>
      <c r="G486" s="660" t="s">
        <v>129</v>
      </c>
      <c r="H486" s="636"/>
      <c r="I486" s="636"/>
      <c r="J486" s="549"/>
      <c r="K486" s="635"/>
      <c r="L486" s="633"/>
      <c r="M486" s="549"/>
      <c r="N486" s="592" t="s">
        <v>129</v>
      </c>
      <c r="O486" s="594" t="s">
        <v>129</v>
      </c>
      <c r="P486" s="743"/>
      <c r="Q486" s="431">
        <v>0.02</v>
      </c>
      <c r="R486" s="430">
        <v>1240</v>
      </c>
      <c r="S486" s="497">
        <v>972</v>
      </c>
      <c r="T486" s="751" t="s">
        <v>129</v>
      </c>
      <c r="U486" s="439">
        <v>5.3719999999999999</v>
      </c>
      <c r="V486" s="636"/>
      <c r="W486" s="636"/>
      <c r="X486" s="439">
        <v>0.56000000000000005</v>
      </c>
      <c r="Y486" s="761" t="s">
        <v>129</v>
      </c>
      <c r="Z486" s="776"/>
      <c r="AA486" s="788"/>
      <c r="AB486" s="633"/>
      <c r="AC486" s="818" t="s">
        <v>129</v>
      </c>
      <c r="AD486" s="811"/>
      <c r="AE486" s="811"/>
      <c r="AF486" s="633"/>
    </row>
    <row r="487" spans="1:32" ht="15.75">
      <c r="A487" s="624">
        <v>6170</v>
      </c>
      <c r="B487" s="625"/>
      <c r="C487" s="626" t="s">
        <v>1007</v>
      </c>
      <c r="D487" s="627"/>
      <c r="E487" s="628"/>
      <c r="F487" s="646"/>
      <c r="G487" s="630" t="s">
        <v>129</v>
      </c>
      <c r="H487" s="631"/>
      <c r="I487" s="631"/>
      <c r="J487" s="632"/>
      <c r="K487" s="632"/>
      <c r="L487" s="627"/>
      <c r="M487" s="632"/>
      <c r="N487" s="739" t="s">
        <v>129</v>
      </c>
      <c r="O487" s="744" t="s">
        <v>129</v>
      </c>
      <c r="P487" s="742"/>
      <c r="Q487" s="431">
        <v>0.05</v>
      </c>
      <c r="R487" s="430">
        <v>1080.25</v>
      </c>
      <c r="S487" s="175">
        <v>1056</v>
      </c>
      <c r="T487" s="750" t="s">
        <v>129</v>
      </c>
      <c r="U487" s="439">
        <v>6.5612500000000002</v>
      </c>
      <c r="V487" s="631"/>
      <c r="W487" s="631"/>
      <c r="X487" s="439">
        <v>1.4000000000000001</v>
      </c>
      <c r="Y487" s="763" t="s">
        <v>129</v>
      </c>
      <c r="Z487" s="774"/>
      <c r="AA487" s="775"/>
      <c r="AB487" s="810"/>
      <c r="AC487" s="817" t="s">
        <v>129</v>
      </c>
      <c r="AD487" s="810"/>
      <c r="AE487" s="810"/>
      <c r="AF487" s="624">
        <v>6170</v>
      </c>
    </row>
    <row r="488" spans="1:32" ht="15.75">
      <c r="A488" s="633"/>
      <c r="B488" s="634"/>
      <c r="C488" s="633"/>
      <c r="D488" s="612"/>
      <c r="E488" s="545"/>
      <c r="F488" s="649"/>
      <c r="G488" s="696" t="s">
        <v>129</v>
      </c>
      <c r="H488" s="636"/>
      <c r="I488" s="636"/>
      <c r="J488" s="549"/>
      <c r="K488" s="635"/>
      <c r="L488" s="633"/>
      <c r="M488" s="549"/>
      <c r="N488" s="592" t="s">
        <v>129</v>
      </c>
      <c r="O488" s="594" t="s">
        <v>129</v>
      </c>
      <c r="P488" s="743"/>
      <c r="Q488" s="431">
        <v>0.05</v>
      </c>
      <c r="R488" s="430">
        <v>765.6</v>
      </c>
      <c r="S488" s="497">
        <v>1080</v>
      </c>
      <c r="T488" s="751" t="s">
        <v>129</v>
      </c>
      <c r="U488" s="439">
        <v>4.931</v>
      </c>
      <c r="V488" s="636"/>
      <c r="W488" s="636"/>
      <c r="X488" s="439">
        <v>1.4000000000000001</v>
      </c>
      <c r="Y488" s="761" t="s">
        <v>129</v>
      </c>
      <c r="Z488" s="776"/>
      <c r="AA488" s="793"/>
      <c r="AB488" s="633"/>
      <c r="AC488" s="818" t="s">
        <v>129</v>
      </c>
      <c r="AD488" s="811"/>
      <c r="AE488" s="811"/>
      <c r="AF488" s="633"/>
    </row>
    <row r="489" spans="1:32" ht="15.75">
      <c r="A489" s="643">
        <v>6171</v>
      </c>
      <c r="B489" s="644"/>
      <c r="C489" s="644" t="s">
        <v>1008</v>
      </c>
      <c r="D489" s="612">
        <v>50</v>
      </c>
      <c r="E489" s="545">
        <v>6100</v>
      </c>
      <c r="F489" s="648">
        <v>4.0999999999999996</v>
      </c>
      <c r="G489" s="696" t="s">
        <v>129</v>
      </c>
      <c r="H489" s="636">
        <v>3.6</v>
      </c>
      <c r="I489" s="636">
        <v>4.9000000000000004</v>
      </c>
      <c r="J489" s="549">
        <v>200</v>
      </c>
      <c r="K489" s="554" t="s">
        <v>221</v>
      </c>
      <c r="L489" s="562">
        <v>15</v>
      </c>
      <c r="M489" s="549">
        <v>10000</v>
      </c>
      <c r="N489" s="592">
        <v>0.25</v>
      </c>
      <c r="O489" s="594">
        <v>2.4500000000000002</v>
      </c>
      <c r="P489" s="590">
        <v>9</v>
      </c>
      <c r="Q489" s="431">
        <v>0.05</v>
      </c>
      <c r="R489" s="430">
        <v>2349</v>
      </c>
      <c r="S489" s="175">
        <v>1110</v>
      </c>
      <c r="T489" s="751">
        <v>444.25</v>
      </c>
      <c r="U489" s="439">
        <v>10.843999999999999</v>
      </c>
      <c r="V489" s="636">
        <v>1.4945000000000002</v>
      </c>
      <c r="W489" s="636"/>
      <c r="X489" s="439">
        <v>1.4000000000000001</v>
      </c>
      <c r="Y489" s="761">
        <v>1.4945000000000002</v>
      </c>
      <c r="Z489" s="776">
        <v>4.0873249999999999</v>
      </c>
      <c r="AA489" s="788"/>
      <c r="AB489" s="811"/>
      <c r="AC489" s="818">
        <v>12.200000000000001</v>
      </c>
      <c r="AD489" s="811" t="s">
        <v>633</v>
      </c>
      <c r="AE489" s="811">
        <v>0</v>
      </c>
      <c r="AF489" s="643">
        <v>6171</v>
      </c>
    </row>
    <row r="490" spans="1:32" ht="15.75">
      <c r="A490" s="643">
        <v>6177</v>
      </c>
      <c r="B490" s="644"/>
      <c r="C490" s="644" t="s">
        <v>1009</v>
      </c>
      <c r="D490" s="612">
        <v>58</v>
      </c>
      <c r="E490" s="545">
        <v>18000</v>
      </c>
      <c r="F490" s="648">
        <v>5.5</v>
      </c>
      <c r="G490" s="696" t="s">
        <v>129</v>
      </c>
      <c r="H490" s="636">
        <v>4.7</v>
      </c>
      <c r="I490" s="636">
        <v>6.9</v>
      </c>
      <c r="J490" s="549">
        <v>250</v>
      </c>
      <c r="K490" s="554" t="s">
        <v>221</v>
      </c>
      <c r="L490" s="562">
        <v>20</v>
      </c>
      <c r="M490" s="549">
        <v>10000</v>
      </c>
      <c r="N490" s="592">
        <v>0.25</v>
      </c>
      <c r="O490" s="594">
        <v>0.65</v>
      </c>
      <c r="P490" s="590">
        <v>9</v>
      </c>
      <c r="Q490" s="431">
        <v>0.05</v>
      </c>
      <c r="R490" s="430">
        <v>3523.5</v>
      </c>
      <c r="S490" s="503">
        <v>1110</v>
      </c>
      <c r="T490" s="751">
        <v>963</v>
      </c>
      <c r="U490" s="439">
        <v>13.484999999999999</v>
      </c>
      <c r="V490" s="636">
        <v>1.1700000000000002</v>
      </c>
      <c r="W490" s="636"/>
      <c r="X490" s="439">
        <v>1.4000000000000001</v>
      </c>
      <c r="Y490" s="761">
        <v>1.1700000000000002</v>
      </c>
      <c r="Z490" s="776">
        <v>5.5242000000000004</v>
      </c>
      <c r="AA490" s="788"/>
      <c r="AB490" s="811"/>
      <c r="AC490" s="818">
        <v>36</v>
      </c>
      <c r="AD490" s="811" t="s">
        <v>633</v>
      </c>
      <c r="AE490" s="811">
        <v>0</v>
      </c>
      <c r="AF490" s="643">
        <v>6177</v>
      </c>
    </row>
    <row r="491" spans="1:32" ht="15.75">
      <c r="A491" s="643">
        <v>6172</v>
      </c>
      <c r="B491" s="644"/>
      <c r="C491" s="644" t="s">
        <v>1010</v>
      </c>
      <c r="D491" s="559" t="s">
        <v>221</v>
      </c>
      <c r="E491" s="545">
        <v>13000</v>
      </c>
      <c r="F491" s="648">
        <v>8</v>
      </c>
      <c r="G491" s="660" t="s">
        <v>129</v>
      </c>
      <c r="H491" s="636">
        <v>7</v>
      </c>
      <c r="I491" s="636">
        <v>10</v>
      </c>
      <c r="J491" s="549">
        <v>200</v>
      </c>
      <c r="K491" s="554" t="s">
        <v>221</v>
      </c>
      <c r="L491" s="562">
        <v>15</v>
      </c>
      <c r="M491" s="549">
        <v>10000</v>
      </c>
      <c r="N491" s="592">
        <v>0.25</v>
      </c>
      <c r="O491" s="594">
        <v>1.7</v>
      </c>
      <c r="P491" s="590">
        <v>29</v>
      </c>
      <c r="Q491" s="431"/>
      <c r="R491" s="430" t="s">
        <v>129</v>
      </c>
      <c r="S491" s="175"/>
      <c r="T491" s="751">
        <v>1015.5</v>
      </c>
      <c r="U491" s="439"/>
      <c r="V491" s="636">
        <v>2.21</v>
      </c>
      <c r="W491" s="636"/>
      <c r="X491" s="439"/>
      <c r="Y491" s="761">
        <v>2.21</v>
      </c>
      <c r="Z491" s="776">
        <v>8.0162499999999994</v>
      </c>
      <c r="AA491" s="788"/>
      <c r="AB491" s="811"/>
      <c r="AC491" s="818">
        <v>26</v>
      </c>
      <c r="AD491" s="811" t="s">
        <v>633</v>
      </c>
      <c r="AE491" s="811">
        <v>0</v>
      </c>
      <c r="AF491" s="643">
        <v>6172</v>
      </c>
    </row>
    <row r="492" spans="1:32" ht="15.75">
      <c r="A492" s="643">
        <v>6173</v>
      </c>
      <c r="B492" s="644"/>
      <c r="C492" s="542" t="s">
        <v>1011</v>
      </c>
      <c r="D492" s="559" t="s">
        <v>221</v>
      </c>
      <c r="E492" s="545">
        <v>8300</v>
      </c>
      <c r="F492" s="648">
        <v>6.9</v>
      </c>
      <c r="G492" s="660" t="s">
        <v>129</v>
      </c>
      <c r="H492" s="636">
        <v>6</v>
      </c>
      <c r="I492" s="636">
        <v>8.5</v>
      </c>
      <c r="J492" s="549">
        <v>200</v>
      </c>
      <c r="K492" s="554" t="s">
        <v>221</v>
      </c>
      <c r="L492" s="562">
        <v>12</v>
      </c>
      <c r="M492" s="549">
        <v>10000</v>
      </c>
      <c r="N492" s="592">
        <v>0.25</v>
      </c>
      <c r="O492" s="594">
        <v>2.6</v>
      </c>
      <c r="P492" s="590">
        <v>29</v>
      </c>
      <c r="Q492" s="429"/>
      <c r="R492" s="430" t="s">
        <v>129</v>
      </c>
      <c r="S492" s="496"/>
      <c r="T492" s="751">
        <v>825.5</v>
      </c>
      <c r="U492" s="438"/>
      <c r="V492" s="636">
        <v>2.1579999999999999</v>
      </c>
      <c r="W492" s="636"/>
      <c r="X492" s="438"/>
      <c r="Y492" s="761">
        <v>2.1579999999999999</v>
      </c>
      <c r="Z492" s="776">
        <v>6.9140500000000014</v>
      </c>
      <c r="AA492" s="788"/>
      <c r="AB492" s="811"/>
      <c r="AC492" s="818">
        <v>16.600000000000001</v>
      </c>
      <c r="AD492" s="811" t="s">
        <v>633</v>
      </c>
      <c r="AE492" s="811">
        <v>0</v>
      </c>
      <c r="AF492" s="643">
        <v>6173</v>
      </c>
    </row>
    <row r="493" spans="1:32" ht="15.75">
      <c r="A493" s="643">
        <v>6174</v>
      </c>
      <c r="B493" s="644"/>
      <c r="C493" s="644" t="s">
        <v>1012</v>
      </c>
      <c r="D493" s="559" t="s">
        <v>221</v>
      </c>
      <c r="E493" s="545">
        <v>25000</v>
      </c>
      <c r="F493" s="648">
        <v>13</v>
      </c>
      <c r="G493" s="660" t="s">
        <v>129</v>
      </c>
      <c r="H493" s="636">
        <v>10.5</v>
      </c>
      <c r="I493" s="636">
        <v>16</v>
      </c>
      <c r="J493" s="549">
        <v>250</v>
      </c>
      <c r="K493" s="554" t="s">
        <v>221</v>
      </c>
      <c r="L493" s="562">
        <v>12</v>
      </c>
      <c r="M493" s="549">
        <v>10000</v>
      </c>
      <c r="N493" s="592">
        <v>0.25</v>
      </c>
      <c r="O493" s="594">
        <v>1.1000000000000001</v>
      </c>
      <c r="P493" s="590">
        <v>44</v>
      </c>
      <c r="Q493" s="431"/>
      <c r="R493" s="430" t="s">
        <v>129</v>
      </c>
      <c r="S493" s="175"/>
      <c r="T493" s="751">
        <v>2183</v>
      </c>
      <c r="U493" s="439"/>
      <c r="V493" s="636">
        <v>2.75</v>
      </c>
      <c r="W493" s="636"/>
      <c r="X493" s="439"/>
      <c r="Y493" s="761">
        <v>2.75</v>
      </c>
      <c r="Z493" s="776">
        <v>12.6302</v>
      </c>
      <c r="AA493" s="788"/>
      <c r="AB493" s="811"/>
      <c r="AC493" s="818">
        <v>50</v>
      </c>
      <c r="AD493" s="811" t="s">
        <v>633</v>
      </c>
      <c r="AE493" s="811">
        <v>0</v>
      </c>
      <c r="AF493" s="643">
        <v>6174</v>
      </c>
    </row>
    <row r="494" spans="1:32" ht="15.75">
      <c r="A494" s="643">
        <v>6175</v>
      </c>
      <c r="B494" s="644"/>
      <c r="C494" s="542" t="s">
        <v>1013</v>
      </c>
      <c r="D494" s="559" t="s">
        <v>221</v>
      </c>
      <c r="E494" s="545">
        <v>35000</v>
      </c>
      <c r="F494" s="648">
        <v>15</v>
      </c>
      <c r="G494" s="660" t="s">
        <v>129</v>
      </c>
      <c r="H494" s="636">
        <v>12.5</v>
      </c>
      <c r="I494" s="636">
        <v>18.5</v>
      </c>
      <c r="J494" s="549">
        <v>300</v>
      </c>
      <c r="K494" s="554" t="s">
        <v>221</v>
      </c>
      <c r="L494" s="562">
        <v>12</v>
      </c>
      <c r="M494" s="549">
        <v>10000</v>
      </c>
      <c r="N494" s="592">
        <v>0.25</v>
      </c>
      <c r="O494" s="594">
        <v>0.85</v>
      </c>
      <c r="P494" s="590">
        <v>63</v>
      </c>
      <c r="Q494" s="431">
        <v>0.1</v>
      </c>
      <c r="R494" s="430">
        <v>3784</v>
      </c>
      <c r="S494" s="497">
        <v>372</v>
      </c>
      <c r="T494" s="751">
        <v>3066</v>
      </c>
      <c r="U494" s="439">
        <v>41.21</v>
      </c>
      <c r="V494" s="636">
        <v>2.9750000000000001</v>
      </c>
      <c r="W494" s="636"/>
      <c r="X494" s="439">
        <v>2.8000000000000003</v>
      </c>
      <c r="Y494" s="761">
        <v>2.9750000000000001</v>
      </c>
      <c r="Z494" s="776">
        <v>14.514500000000002</v>
      </c>
      <c r="AA494" s="788"/>
      <c r="AB494" s="811"/>
      <c r="AC494" s="818">
        <v>70</v>
      </c>
      <c r="AD494" s="811" t="s">
        <v>633</v>
      </c>
      <c r="AE494" s="811">
        <v>0</v>
      </c>
      <c r="AF494" s="643">
        <v>6175</v>
      </c>
    </row>
    <row r="495" spans="1:32" ht="15.75">
      <c r="A495" s="633"/>
      <c r="B495" s="634"/>
      <c r="C495" s="633"/>
      <c r="D495" s="559"/>
      <c r="E495" s="545"/>
      <c r="F495" s="649"/>
      <c r="G495" s="660" t="s">
        <v>129</v>
      </c>
      <c r="H495" s="636"/>
      <c r="I495" s="636"/>
      <c r="J495" s="549"/>
      <c r="K495" s="635"/>
      <c r="L495" s="633"/>
      <c r="M495" s="549"/>
      <c r="N495" s="592" t="s">
        <v>129</v>
      </c>
      <c r="O495" s="594" t="s">
        <v>129</v>
      </c>
      <c r="P495" s="743"/>
      <c r="Q495" s="431">
        <v>0.1</v>
      </c>
      <c r="R495" s="430">
        <v>6267.25</v>
      </c>
      <c r="S495" s="175">
        <v>414</v>
      </c>
      <c r="T495" s="751" t="s">
        <v>129</v>
      </c>
      <c r="U495" s="439">
        <v>47.988333333333337</v>
      </c>
      <c r="V495" s="636"/>
      <c r="W495" s="636"/>
      <c r="X495" s="439">
        <v>2.8000000000000003</v>
      </c>
      <c r="Y495" s="761" t="s">
        <v>129</v>
      </c>
      <c r="Z495" s="776"/>
      <c r="AA495" s="788"/>
      <c r="AB495" s="633"/>
      <c r="AC495" s="818" t="s">
        <v>129</v>
      </c>
      <c r="AD495" s="811"/>
      <c r="AE495" s="811"/>
      <c r="AF495" s="633"/>
    </row>
    <row r="496" spans="1:32" ht="15.75">
      <c r="A496" s="624">
        <v>6180</v>
      </c>
      <c r="B496" s="625"/>
      <c r="C496" s="626" t="s">
        <v>1014</v>
      </c>
      <c r="D496" s="627"/>
      <c r="E496" s="628"/>
      <c r="F496" s="646"/>
      <c r="G496" s="630" t="s">
        <v>129</v>
      </c>
      <c r="H496" s="631"/>
      <c r="I496" s="631"/>
      <c r="J496" s="632"/>
      <c r="K496" s="632"/>
      <c r="L496" s="627"/>
      <c r="M496" s="632"/>
      <c r="N496" s="739" t="s">
        <v>129</v>
      </c>
      <c r="O496" s="744" t="s">
        <v>129</v>
      </c>
      <c r="P496" s="742"/>
      <c r="Q496" s="431">
        <v>0.125</v>
      </c>
      <c r="R496" s="430">
        <v>4020.5</v>
      </c>
      <c r="S496" s="497">
        <v>456</v>
      </c>
      <c r="T496" s="750" t="s">
        <v>129</v>
      </c>
      <c r="U496" s="439">
        <v>36.8125</v>
      </c>
      <c r="V496" s="631"/>
      <c r="W496" s="631"/>
      <c r="X496" s="439">
        <v>3.5</v>
      </c>
      <c r="Y496" s="763" t="s">
        <v>129</v>
      </c>
      <c r="Z496" s="774"/>
      <c r="AA496" s="775"/>
      <c r="AB496" s="810"/>
      <c r="AC496" s="817" t="s">
        <v>129</v>
      </c>
      <c r="AD496" s="810"/>
      <c r="AE496" s="810"/>
      <c r="AF496" s="624">
        <v>6180</v>
      </c>
    </row>
    <row r="497" spans="1:32" ht="15.75">
      <c r="A497" s="633"/>
      <c r="B497" s="634"/>
      <c r="C497" s="633"/>
      <c r="D497" s="559"/>
      <c r="E497" s="545"/>
      <c r="F497" s="649"/>
      <c r="G497" s="660" t="s">
        <v>129</v>
      </c>
      <c r="H497" s="636"/>
      <c r="I497" s="636"/>
      <c r="J497" s="549"/>
      <c r="K497" s="635"/>
      <c r="L497" s="633"/>
      <c r="M497" s="549"/>
      <c r="N497" s="592" t="s">
        <v>129</v>
      </c>
      <c r="O497" s="594" t="s">
        <v>129</v>
      </c>
      <c r="P497" s="743"/>
      <c r="Q497" s="431"/>
      <c r="R497" s="430" t="s">
        <v>129</v>
      </c>
      <c r="S497" s="175">
        <v>480</v>
      </c>
      <c r="T497" s="751" t="s">
        <v>129</v>
      </c>
      <c r="U497" s="444"/>
      <c r="V497" s="636"/>
      <c r="W497" s="636"/>
      <c r="X497" s="444"/>
      <c r="Y497" s="761" t="s">
        <v>129</v>
      </c>
      <c r="Z497" s="776"/>
      <c r="AA497" s="788"/>
      <c r="AB497" s="633"/>
      <c r="AC497" s="818" t="s">
        <v>129</v>
      </c>
      <c r="AD497" s="811"/>
      <c r="AE497" s="811"/>
      <c r="AF497" s="633"/>
    </row>
    <row r="498" spans="1:32" ht="15.75">
      <c r="A498" s="643">
        <v>6181</v>
      </c>
      <c r="B498" s="644"/>
      <c r="C498" s="644" t="s">
        <v>1015</v>
      </c>
      <c r="D498" s="577"/>
      <c r="E498" s="545">
        <v>32000</v>
      </c>
      <c r="F498" s="648">
        <v>65</v>
      </c>
      <c r="G498" s="706" t="s">
        <v>129</v>
      </c>
      <c r="H498" s="636">
        <v>57</v>
      </c>
      <c r="I498" s="636">
        <v>79</v>
      </c>
      <c r="J498" s="549">
        <v>100</v>
      </c>
      <c r="K498" s="554" t="s">
        <v>221</v>
      </c>
      <c r="L498" s="562">
        <v>8</v>
      </c>
      <c r="M498" s="549">
        <v>2500</v>
      </c>
      <c r="N498" s="592">
        <v>0.25</v>
      </c>
      <c r="O498" s="594">
        <v>1.75</v>
      </c>
      <c r="P498" s="590">
        <v>39</v>
      </c>
      <c r="Q498" s="431"/>
      <c r="R498" s="430" t="s">
        <v>129</v>
      </c>
      <c r="S498" s="497">
        <v>510</v>
      </c>
      <c r="T498" s="751">
        <v>3673</v>
      </c>
      <c r="U498" s="439"/>
      <c r="V498" s="636">
        <v>22.400000000000002</v>
      </c>
      <c r="W498" s="636"/>
      <c r="X498" s="439"/>
      <c r="Y498" s="761">
        <v>22.400000000000002</v>
      </c>
      <c r="Z498" s="776">
        <v>65.043000000000006</v>
      </c>
      <c r="AA498" s="795"/>
      <c r="AB498" s="811"/>
      <c r="AC498" s="818">
        <v>64</v>
      </c>
      <c r="AD498" s="811" t="s">
        <v>633</v>
      </c>
      <c r="AE498" s="811">
        <v>0</v>
      </c>
      <c r="AF498" s="643">
        <v>6181</v>
      </c>
    </row>
    <row r="499" spans="1:32" ht="31.5">
      <c r="A499" s="643">
        <v>6182</v>
      </c>
      <c r="B499" s="644"/>
      <c r="C499" s="644" t="s">
        <v>1016</v>
      </c>
      <c r="D499" s="551">
        <v>30</v>
      </c>
      <c r="E499" s="545">
        <v>48000</v>
      </c>
      <c r="F499" s="648">
        <v>83</v>
      </c>
      <c r="G499" s="645" t="s">
        <v>129</v>
      </c>
      <c r="H499" s="636">
        <v>74</v>
      </c>
      <c r="I499" s="636">
        <v>97</v>
      </c>
      <c r="J499" s="549">
        <v>150</v>
      </c>
      <c r="K499" s="554">
        <v>60</v>
      </c>
      <c r="L499" s="562">
        <v>8</v>
      </c>
      <c r="M499" s="549">
        <v>2500</v>
      </c>
      <c r="N499" s="592">
        <v>0.25</v>
      </c>
      <c r="O499" s="594">
        <v>1.35</v>
      </c>
      <c r="P499" s="590">
        <v>55</v>
      </c>
      <c r="Q499" s="431"/>
      <c r="R499" s="430" t="s">
        <v>129</v>
      </c>
      <c r="S499" s="175">
        <v>510</v>
      </c>
      <c r="T499" s="751">
        <v>5925</v>
      </c>
      <c r="U499" s="440"/>
      <c r="V499" s="636">
        <v>25.92</v>
      </c>
      <c r="W499" s="636">
        <v>9.8820000000000014</v>
      </c>
      <c r="X499" s="440"/>
      <c r="Y499" s="761">
        <v>35.802000000000007</v>
      </c>
      <c r="Z499" s="776">
        <v>82.832200000000014</v>
      </c>
      <c r="AA499" s="777"/>
      <c r="AB499" s="811"/>
      <c r="AC499" s="818">
        <v>96</v>
      </c>
      <c r="AD499" s="811" t="s">
        <v>633</v>
      </c>
      <c r="AE499" s="811">
        <v>1</v>
      </c>
      <c r="AF499" s="643">
        <v>6182</v>
      </c>
    </row>
    <row r="500" spans="1:32" ht="15.75">
      <c r="A500" s="643">
        <v>6183</v>
      </c>
      <c r="B500" s="644"/>
      <c r="C500" s="644" t="s">
        <v>1017</v>
      </c>
      <c r="D500" s="578">
        <v>250</v>
      </c>
      <c r="E500" s="545">
        <v>27000</v>
      </c>
      <c r="F500" s="648">
        <v>43</v>
      </c>
      <c r="G500" s="707">
        <v>0.15</v>
      </c>
      <c r="H500" s="636">
        <v>37</v>
      </c>
      <c r="I500" s="636">
        <v>53</v>
      </c>
      <c r="J500" s="549">
        <v>120</v>
      </c>
      <c r="K500" s="554" t="s">
        <v>221</v>
      </c>
      <c r="L500" s="562">
        <v>8</v>
      </c>
      <c r="M500" s="549">
        <v>3000</v>
      </c>
      <c r="N500" s="592">
        <v>0.25</v>
      </c>
      <c r="O500" s="594">
        <v>1.4</v>
      </c>
      <c r="P500" s="590">
        <v>47</v>
      </c>
      <c r="Q500" s="429"/>
      <c r="R500" s="430" t="s">
        <v>129</v>
      </c>
      <c r="S500" s="175"/>
      <c r="T500" s="751">
        <v>3197.75</v>
      </c>
      <c r="U500" s="438"/>
      <c r="V500" s="636">
        <v>12.6</v>
      </c>
      <c r="W500" s="636"/>
      <c r="X500" s="438"/>
      <c r="Y500" s="761">
        <v>12.6</v>
      </c>
      <c r="Z500" s="776">
        <v>43.17270833333334</v>
      </c>
      <c r="AA500" s="796">
        <v>0.17269083333333335</v>
      </c>
      <c r="AB500" s="811"/>
      <c r="AC500" s="818">
        <v>54</v>
      </c>
      <c r="AD500" s="811" t="s">
        <v>633</v>
      </c>
      <c r="AE500" s="811">
        <v>0</v>
      </c>
      <c r="AF500" s="643">
        <v>6183</v>
      </c>
    </row>
    <row r="501" spans="1:32" ht="15.75">
      <c r="A501" s="643"/>
      <c r="B501" s="644"/>
      <c r="C501" s="643"/>
      <c r="D501" s="579"/>
      <c r="E501" s="545"/>
      <c r="F501" s="546"/>
      <c r="G501" s="680" t="s">
        <v>129</v>
      </c>
      <c r="H501" s="682"/>
      <c r="I501" s="682"/>
      <c r="J501" s="554"/>
      <c r="K501" s="554"/>
      <c r="L501" s="562"/>
      <c r="M501" s="554"/>
      <c r="N501" s="592" t="s">
        <v>129</v>
      </c>
      <c r="O501" s="594" t="s">
        <v>129</v>
      </c>
      <c r="P501" s="590"/>
      <c r="Q501" s="431"/>
      <c r="R501" s="430" t="s">
        <v>129</v>
      </c>
      <c r="S501" s="496"/>
      <c r="T501" s="751" t="s">
        <v>129</v>
      </c>
      <c r="U501" s="440"/>
      <c r="V501" s="682"/>
      <c r="W501" s="636"/>
      <c r="X501" s="440"/>
      <c r="Y501" s="761" t="s">
        <v>129</v>
      </c>
      <c r="Z501" s="776"/>
      <c r="AA501" s="797"/>
      <c r="AB501" s="811"/>
      <c r="AC501" s="818" t="s">
        <v>129</v>
      </c>
      <c r="AD501" s="811"/>
      <c r="AE501" s="811"/>
      <c r="AF501" s="643"/>
    </row>
    <row r="502" spans="1:32" ht="15.75">
      <c r="A502" s="663"/>
      <c r="B502" s="664"/>
      <c r="C502" s="665" t="s">
        <v>1018</v>
      </c>
      <c r="D502" s="666"/>
      <c r="E502" s="667"/>
      <c r="F502" s="668"/>
      <c r="G502" s="669" t="s">
        <v>129</v>
      </c>
      <c r="H502" s="670"/>
      <c r="I502" s="670"/>
      <c r="J502" s="671"/>
      <c r="K502" s="672"/>
      <c r="L502" s="737"/>
      <c r="M502" s="671"/>
      <c r="N502" s="740" t="s">
        <v>129</v>
      </c>
      <c r="O502" s="746" t="s">
        <v>129</v>
      </c>
      <c r="P502" s="747"/>
      <c r="Q502" s="431">
        <v>0.33</v>
      </c>
      <c r="R502" s="430">
        <v>15486.6</v>
      </c>
      <c r="S502" s="175"/>
      <c r="T502" s="754" t="s">
        <v>129</v>
      </c>
      <c r="U502" s="439">
        <v>215.70749999999998</v>
      </c>
      <c r="V502" s="670"/>
      <c r="W502" s="670"/>
      <c r="X502" s="439">
        <v>9.24</v>
      </c>
      <c r="Y502" s="766" t="s">
        <v>129</v>
      </c>
      <c r="Z502" s="785"/>
      <c r="AA502" s="786"/>
      <c r="AB502" s="813"/>
      <c r="AC502" s="821" t="s">
        <v>129</v>
      </c>
      <c r="AD502" s="813"/>
      <c r="AE502" s="813"/>
      <c r="AF502" s="663"/>
    </row>
    <row r="503" spans="1:32" ht="15.75">
      <c r="A503" s="633"/>
      <c r="B503" s="634"/>
      <c r="C503" s="633"/>
      <c r="D503" s="559"/>
      <c r="E503" s="545"/>
      <c r="F503" s="546"/>
      <c r="G503" s="655" t="s">
        <v>129</v>
      </c>
      <c r="H503" s="654"/>
      <c r="I503" s="654"/>
      <c r="J503" s="561"/>
      <c r="K503" s="635"/>
      <c r="L503" s="633"/>
      <c r="M503" s="561"/>
      <c r="N503" s="592" t="s">
        <v>129</v>
      </c>
      <c r="O503" s="594" t="s">
        <v>129</v>
      </c>
      <c r="P503" s="743"/>
      <c r="Q503" s="431">
        <v>0.33</v>
      </c>
      <c r="R503" s="430">
        <v>17921.599999999999</v>
      </c>
      <c r="S503" s="175">
        <v>294</v>
      </c>
      <c r="T503" s="751" t="s">
        <v>129</v>
      </c>
      <c r="U503" s="439">
        <v>248.69499999999999</v>
      </c>
      <c r="V503" s="654"/>
      <c r="W503" s="636"/>
      <c r="X503" s="439">
        <v>9.24</v>
      </c>
      <c r="Y503" s="761" t="s">
        <v>129</v>
      </c>
      <c r="Z503" s="776"/>
      <c r="AA503" s="780"/>
      <c r="AB503" s="633"/>
      <c r="AC503" s="818" t="s">
        <v>129</v>
      </c>
      <c r="AD503" s="811"/>
      <c r="AE503" s="811"/>
      <c r="AF503" s="633"/>
    </row>
    <row r="504" spans="1:32" ht="15.75">
      <c r="A504" s="624">
        <v>7000</v>
      </c>
      <c r="B504" s="625" t="s">
        <v>411</v>
      </c>
      <c r="C504" s="626" t="s">
        <v>1019</v>
      </c>
      <c r="D504" s="627"/>
      <c r="E504" s="628"/>
      <c r="F504" s="629"/>
      <c r="G504" s="630" t="s">
        <v>129</v>
      </c>
      <c r="H504" s="631"/>
      <c r="I504" s="631"/>
      <c r="J504" s="632"/>
      <c r="K504" s="632"/>
      <c r="L504" s="627"/>
      <c r="M504" s="632"/>
      <c r="N504" s="739"/>
      <c r="O504" s="744"/>
      <c r="P504" s="742"/>
      <c r="Q504" s="431">
        <v>0.25</v>
      </c>
      <c r="R504" s="430">
        <v>21817.599999999999</v>
      </c>
      <c r="S504" s="497">
        <v>294</v>
      </c>
      <c r="T504" s="750"/>
      <c r="U504" s="439">
        <v>281.17176470588231</v>
      </c>
      <c r="V504" s="631"/>
      <c r="W504" s="631"/>
      <c r="X504" s="439">
        <v>7</v>
      </c>
      <c r="Y504" s="763"/>
      <c r="Z504" s="774"/>
      <c r="AA504" s="775"/>
      <c r="AB504" s="810"/>
      <c r="AC504" s="817"/>
      <c r="AD504" s="810"/>
      <c r="AE504" s="810"/>
      <c r="AF504" s="624">
        <v>7000</v>
      </c>
    </row>
    <row r="505" spans="1:32" ht="15.75">
      <c r="A505" s="633"/>
      <c r="B505" s="634"/>
      <c r="C505" s="633"/>
      <c r="D505" s="559"/>
      <c r="E505" s="545"/>
      <c r="F505" s="546"/>
      <c r="G505" s="655" t="s">
        <v>129</v>
      </c>
      <c r="H505" s="654"/>
      <c r="I505" s="654"/>
      <c r="J505" s="561"/>
      <c r="K505" s="635"/>
      <c r="L505" s="633"/>
      <c r="M505" s="561"/>
      <c r="N505" s="592" t="s">
        <v>129</v>
      </c>
      <c r="O505" s="594" t="s">
        <v>129</v>
      </c>
      <c r="P505" s="743"/>
      <c r="Q505" s="431">
        <v>0.25</v>
      </c>
      <c r="R505" s="430">
        <v>24350</v>
      </c>
      <c r="S505" s="175">
        <v>294</v>
      </c>
      <c r="T505" s="751" t="s">
        <v>129</v>
      </c>
      <c r="U505" s="439">
        <v>295.35555555555555</v>
      </c>
      <c r="V505" s="654"/>
      <c r="W505" s="636"/>
      <c r="X505" s="439">
        <v>7</v>
      </c>
      <c r="Y505" s="761" t="s">
        <v>129</v>
      </c>
      <c r="Z505" s="776"/>
      <c r="AA505" s="780"/>
      <c r="AB505" s="633"/>
      <c r="AC505" s="818" t="s">
        <v>129</v>
      </c>
      <c r="AD505" s="811"/>
      <c r="AE505" s="811"/>
      <c r="AF505" s="633"/>
    </row>
    <row r="506" spans="1:32" ht="15.75">
      <c r="A506" s="643">
        <v>7002</v>
      </c>
      <c r="B506" s="644" t="s">
        <v>411</v>
      </c>
      <c r="C506" s="542" t="s">
        <v>1020</v>
      </c>
      <c r="D506" s="559">
        <v>133</v>
      </c>
      <c r="E506" s="545">
        <v>219000</v>
      </c>
      <c r="F506" s="649">
        <v>330</v>
      </c>
      <c r="G506" s="655">
        <v>250</v>
      </c>
      <c r="H506" s="654">
        <v>210</v>
      </c>
      <c r="I506" s="654">
        <v>310</v>
      </c>
      <c r="J506" s="549">
        <v>80</v>
      </c>
      <c r="K506" s="554">
        <v>60</v>
      </c>
      <c r="L506" s="562">
        <v>12</v>
      </c>
      <c r="M506" s="549">
        <v>2800</v>
      </c>
      <c r="N506" s="592">
        <v>0.25</v>
      </c>
      <c r="O506" s="594">
        <v>0.4</v>
      </c>
      <c r="P506" s="590">
        <v>158</v>
      </c>
      <c r="Q506" s="431">
        <v>0.2</v>
      </c>
      <c r="R506" s="430">
        <v>32142</v>
      </c>
      <c r="S506" s="497">
        <v>294</v>
      </c>
      <c r="T506" s="751">
        <v>17991</v>
      </c>
      <c r="U506" s="439">
        <v>345.62</v>
      </c>
      <c r="V506" s="636">
        <v>31.285714285714285</v>
      </c>
      <c r="W506" s="636">
        <v>41.175000000000004</v>
      </c>
      <c r="X506" s="439">
        <v>5.6000000000000005</v>
      </c>
      <c r="Y506" s="761">
        <v>72.460714285714289</v>
      </c>
      <c r="Z506" s="798">
        <v>327.08303571428576</v>
      </c>
      <c r="AA506" s="780">
        <v>245.92709452201939</v>
      </c>
      <c r="AB506" s="812">
        <v>125</v>
      </c>
      <c r="AC506" s="818">
        <v>898</v>
      </c>
      <c r="AD506" s="811" t="s">
        <v>633</v>
      </c>
      <c r="AE506" s="811">
        <v>1</v>
      </c>
      <c r="AF506" s="643">
        <v>7002</v>
      </c>
    </row>
    <row r="507" spans="1:32" ht="15.75">
      <c r="A507" s="643">
        <v>7003</v>
      </c>
      <c r="B507" s="644" t="s">
        <v>411</v>
      </c>
      <c r="C507" s="542" t="s">
        <v>1021</v>
      </c>
      <c r="D507" s="559">
        <v>143</v>
      </c>
      <c r="E507" s="545">
        <v>274000</v>
      </c>
      <c r="F507" s="649">
        <v>380</v>
      </c>
      <c r="G507" s="655">
        <v>260</v>
      </c>
      <c r="H507" s="654">
        <v>220</v>
      </c>
      <c r="I507" s="654">
        <v>330</v>
      </c>
      <c r="J507" s="549">
        <v>85</v>
      </c>
      <c r="K507" s="554">
        <v>60</v>
      </c>
      <c r="L507" s="562">
        <v>12</v>
      </c>
      <c r="M507" s="549">
        <v>2800</v>
      </c>
      <c r="N507" s="592">
        <v>0.25</v>
      </c>
      <c r="O507" s="594">
        <v>0.35</v>
      </c>
      <c r="P507" s="590">
        <v>162</v>
      </c>
      <c r="Q507" s="431">
        <v>0.2</v>
      </c>
      <c r="R507" s="430">
        <v>37693.800000000003</v>
      </c>
      <c r="S507" s="175"/>
      <c r="T507" s="751">
        <v>22144</v>
      </c>
      <c r="U507" s="439">
        <v>366.02545454545458</v>
      </c>
      <c r="V507" s="636">
        <v>34.25</v>
      </c>
      <c r="W507" s="636">
        <v>49.410000000000004</v>
      </c>
      <c r="X507" s="439">
        <v>5.6000000000000005</v>
      </c>
      <c r="Y507" s="761">
        <v>83.66</v>
      </c>
      <c r="Z507" s="798">
        <v>378.59541176470589</v>
      </c>
      <c r="AA507" s="780">
        <v>264.75203619909502</v>
      </c>
      <c r="AB507" s="812">
        <v>150</v>
      </c>
      <c r="AC507" s="818">
        <v>1008</v>
      </c>
      <c r="AD507" s="811" t="s">
        <v>633</v>
      </c>
      <c r="AE507" s="811">
        <v>1</v>
      </c>
      <c r="AF507" s="643">
        <v>7003</v>
      </c>
    </row>
    <row r="508" spans="1:32" ht="15.75">
      <c r="A508" s="643">
        <v>7004</v>
      </c>
      <c r="B508" s="644" t="s">
        <v>411</v>
      </c>
      <c r="C508" s="542" t="s">
        <v>1022</v>
      </c>
      <c r="D508" s="559">
        <v>162</v>
      </c>
      <c r="E508" s="545">
        <v>340000</v>
      </c>
      <c r="F508" s="649">
        <v>450</v>
      </c>
      <c r="G508" s="655">
        <v>280</v>
      </c>
      <c r="H508" s="654">
        <v>240</v>
      </c>
      <c r="I508" s="654">
        <v>350</v>
      </c>
      <c r="J508" s="549">
        <v>90</v>
      </c>
      <c r="K508" s="554">
        <v>70</v>
      </c>
      <c r="L508" s="562">
        <v>12</v>
      </c>
      <c r="M508" s="549">
        <v>2800</v>
      </c>
      <c r="N508" s="592">
        <v>0.25</v>
      </c>
      <c r="O508" s="594">
        <v>0.35</v>
      </c>
      <c r="P508" s="590">
        <v>176</v>
      </c>
      <c r="Q508" s="431"/>
      <c r="R508" s="430" t="s">
        <v>129</v>
      </c>
      <c r="S508" s="496"/>
      <c r="T508" s="751">
        <v>27192</v>
      </c>
      <c r="U508" s="440"/>
      <c r="V508" s="636">
        <v>42.5</v>
      </c>
      <c r="W508" s="636">
        <v>67.252499999999998</v>
      </c>
      <c r="X508" s="440"/>
      <c r="Y508" s="761">
        <v>109.7525</v>
      </c>
      <c r="Z508" s="798">
        <v>453.07441666666671</v>
      </c>
      <c r="AA508" s="780">
        <v>279.67556584362143</v>
      </c>
      <c r="AB508" s="812">
        <v>175</v>
      </c>
      <c r="AC508" s="818">
        <v>1140</v>
      </c>
      <c r="AD508" s="811" t="s">
        <v>633</v>
      </c>
      <c r="AE508" s="811">
        <v>1</v>
      </c>
      <c r="AF508" s="643">
        <v>7004</v>
      </c>
    </row>
    <row r="509" spans="1:32" ht="15.75">
      <c r="A509" s="643">
        <v>7005</v>
      </c>
      <c r="B509" s="644" t="s">
        <v>411</v>
      </c>
      <c r="C509" s="542" t="s">
        <v>1023</v>
      </c>
      <c r="D509" s="559">
        <v>175</v>
      </c>
      <c r="E509" s="545">
        <v>401000</v>
      </c>
      <c r="F509" s="649">
        <v>490</v>
      </c>
      <c r="G509" s="655">
        <v>280</v>
      </c>
      <c r="H509" s="654">
        <v>240</v>
      </c>
      <c r="I509" s="654">
        <v>350</v>
      </c>
      <c r="J509" s="549">
        <v>100</v>
      </c>
      <c r="K509" s="554">
        <v>70</v>
      </c>
      <c r="L509" s="562">
        <v>12</v>
      </c>
      <c r="M509" s="549">
        <v>2800</v>
      </c>
      <c r="N509" s="592">
        <v>0.25</v>
      </c>
      <c r="O509" s="594">
        <v>0.3</v>
      </c>
      <c r="P509" s="590">
        <v>180</v>
      </c>
      <c r="Q509" s="429"/>
      <c r="R509" s="430" t="s">
        <v>129</v>
      </c>
      <c r="S509" s="175"/>
      <c r="T509" s="751">
        <v>31795</v>
      </c>
      <c r="U509" s="438"/>
      <c r="V509" s="636">
        <v>42.964285714285715</v>
      </c>
      <c r="W509" s="636">
        <v>84.546000000000006</v>
      </c>
      <c r="X509" s="438"/>
      <c r="Y509" s="761">
        <v>127.51028571428571</v>
      </c>
      <c r="Z509" s="798">
        <v>490.00631428571432</v>
      </c>
      <c r="AA509" s="780">
        <v>280.00360816326537</v>
      </c>
      <c r="AB509" s="812">
        <v>220</v>
      </c>
      <c r="AC509" s="818">
        <v>1262</v>
      </c>
      <c r="AD509" s="811" t="s">
        <v>633</v>
      </c>
      <c r="AE509" s="811">
        <v>1</v>
      </c>
      <c r="AF509" s="643">
        <v>7005</v>
      </c>
    </row>
    <row r="510" spans="1:32" ht="15.75">
      <c r="A510" s="541">
        <v>7006</v>
      </c>
      <c r="B510" s="542" t="s">
        <v>411</v>
      </c>
      <c r="C510" s="542" t="s">
        <v>1024</v>
      </c>
      <c r="D510" s="559">
        <v>189</v>
      </c>
      <c r="E510" s="545">
        <v>461000</v>
      </c>
      <c r="F510" s="649">
        <v>530</v>
      </c>
      <c r="G510" s="655">
        <v>280</v>
      </c>
      <c r="H510" s="654">
        <v>240</v>
      </c>
      <c r="I510" s="654">
        <v>340</v>
      </c>
      <c r="J510" s="549">
        <v>110</v>
      </c>
      <c r="K510" s="554">
        <v>70</v>
      </c>
      <c r="L510" s="562">
        <v>12</v>
      </c>
      <c r="M510" s="549">
        <v>2800</v>
      </c>
      <c r="N510" s="592">
        <v>0.25</v>
      </c>
      <c r="O510" s="594">
        <v>0.3</v>
      </c>
      <c r="P510" s="590">
        <v>185</v>
      </c>
      <c r="Q510" s="431"/>
      <c r="R510" s="430" t="s">
        <v>129</v>
      </c>
      <c r="S510" s="497"/>
      <c r="T510" s="751">
        <v>36330</v>
      </c>
      <c r="U510" s="440"/>
      <c r="V510" s="636">
        <v>49.392857142857139</v>
      </c>
      <c r="W510" s="636">
        <v>98.765100000000004</v>
      </c>
      <c r="X510" s="440"/>
      <c r="Y510" s="761">
        <v>148.15795714285713</v>
      </c>
      <c r="Z510" s="798">
        <v>526.27375285714288</v>
      </c>
      <c r="AA510" s="780">
        <v>278.45172108843536</v>
      </c>
      <c r="AB510" s="812">
        <v>257</v>
      </c>
      <c r="AC510" s="818">
        <v>1382</v>
      </c>
      <c r="AD510" s="811" t="s">
        <v>633</v>
      </c>
      <c r="AE510" s="811">
        <v>1</v>
      </c>
      <c r="AF510" s="541">
        <v>7006</v>
      </c>
    </row>
    <row r="511" spans="1:32" ht="15.75">
      <c r="A511" s="541">
        <v>7007</v>
      </c>
      <c r="B511" s="542" t="s">
        <v>411</v>
      </c>
      <c r="C511" s="542" t="s">
        <v>1025</v>
      </c>
      <c r="D511" s="559">
        <v>200</v>
      </c>
      <c r="E511" s="545">
        <v>516000</v>
      </c>
      <c r="F511" s="649">
        <v>560</v>
      </c>
      <c r="G511" s="655">
        <v>280</v>
      </c>
      <c r="H511" s="654">
        <v>240</v>
      </c>
      <c r="I511" s="654">
        <v>340</v>
      </c>
      <c r="J511" s="549">
        <v>120</v>
      </c>
      <c r="K511" s="554">
        <v>70</v>
      </c>
      <c r="L511" s="562">
        <v>12</v>
      </c>
      <c r="M511" s="549">
        <v>2800</v>
      </c>
      <c r="N511" s="592">
        <v>0.25</v>
      </c>
      <c r="O511" s="594">
        <v>0.3</v>
      </c>
      <c r="P511" s="590">
        <v>185</v>
      </c>
      <c r="Q511" s="431">
        <v>0.25</v>
      </c>
      <c r="R511" s="430">
        <v>2629.8</v>
      </c>
      <c r="S511" s="175"/>
      <c r="T511" s="751">
        <v>40455</v>
      </c>
      <c r="U511" s="440">
        <v>36.68</v>
      </c>
      <c r="V511" s="636">
        <v>55.285714285714285</v>
      </c>
      <c r="W511" s="636">
        <v>112.9842</v>
      </c>
      <c r="X511" s="440">
        <v>7</v>
      </c>
      <c r="Y511" s="761">
        <v>168.26991428571429</v>
      </c>
      <c r="Z511" s="798">
        <v>555.93440571428584</v>
      </c>
      <c r="AA511" s="780">
        <v>277.96720285714292</v>
      </c>
      <c r="AB511" s="812">
        <v>294</v>
      </c>
      <c r="AC511" s="818">
        <v>1492</v>
      </c>
      <c r="AD511" s="811" t="s">
        <v>633</v>
      </c>
      <c r="AE511" s="811">
        <v>1</v>
      </c>
      <c r="AF511" s="541">
        <v>7007</v>
      </c>
    </row>
    <row r="512" spans="1:32" ht="15.75">
      <c r="A512" s="541">
        <v>7008</v>
      </c>
      <c r="B512" s="542" t="s">
        <v>411</v>
      </c>
      <c r="C512" s="542" t="s">
        <v>1026</v>
      </c>
      <c r="D512" s="559">
        <v>220</v>
      </c>
      <c r="E512" s="545">
        <v>553000</v>
      </c>
      <c r="F512" s="649">
        <v>580</v>
      </c>
      <c r="G512" s="655">
        <v>260</v>
      </c>
      <c r="H512" s="654">
        <v>230</v>
      </c>
      <c r="I512" s="654">
        <v>320</v>
      </c>
      <c r="J512" s="549">
        <v>130</v>
      </c>
      <c r="K512" s="562">
        <v>70</v>
      </c>
      <c r="L512" s="617">
        <v>12</v>
      </c>
      <c r="M512" s="549">
        <v>2800</v>
      </c>
      <c r="N512" s="592">
        <v>0.25</v>
      </c>
      <c r="O512" s="594">
        <v>0.3</v>
      </c>
      <c r="P512" s="590">
        <v>193</v>
      </c>
      <c r="Q512" s="431">
        <v>0.25</v>
      </c>
      <c r="R512" s="430">
        <v>3214.2</v>
      </c>
      <c r="S512" s="497"/>
      <c r="T512" s="751">
        <v>43286</v>
      </c>
      <c r="U512" s="440">
        <v>39.612631578947365</v>
      </c>
      <c r="V512" s="636">
        <v>59.25</v>
      </c>
      <c r="W512" s="636">
        <v>132.58350000000002</v>
      </c>
      <c r="X512" s="440">
        <v>7</v>
      </c>
      <c r="Y512" s="761">
        <v>191.83350000000002</v>
      </c>
      <c r="Z512" s="798">
        <v>577.28300384615386</v>
      </c>
      <c r="AA512" s="780">
        <v>262.40136538461536</v>
      </c>
      <c r="AB512" s="812">
        <v>345</v>
      </c>
      <c r="AC512" s="818">
        <v>1566</v>
      </c>
      <c r="AD512" s="811" t="s">
        <v>633</v>
      </c>
      <c r="AE512" s="811">
        <v>1</v>
      </c>
      <c r="AF512" s="541">
        <v>7008</v>
      </c>
    </row>
    <row r="513" spans="1:32" ht="15.75">
      <c r="A513" s="541">
        <v>7009</v>
      </c>
      <c r="B513" s="542" t="s">
        <v>411</v>
      </c>
      <c r="C513" s="542" t="s">
        <v>1027</v>
      </c>
      <c r="D513" s="559">
        <v>260</v>
      </c>
      <c r="E513" s="545">
        <v>630000</v>
      </c>
      <c r="F513" s="649">
        <v>690</v>
      </c>
      <c r="G513" s="655">
        <v>260</v>
      </c>
      <c r="H513" s="654">
        <v>230</v>
      </c>
      <c r="I513" s="654">
        <v>320</v>
      </c>
      <c r="J513" s="549">
        <v>140</v>
      </c>
      <c r="K513" s="562">
        <v>70</v>
      </c>
      <c r="L513" s="617">
        <v>12</v>
      </c>
      <c r="M513" s="549">
        <v>2800</v>
      </c>
      <c r="N513" s="592">
        <v>0.1</v>
      </c>
      <c r="O513" s="594">
        <v>0.3</v>
      </c>
      <c r="P513" s="590">
        <v>201</v>
      </c>
      <c r="Q513" s="431">
        <v>0.2</v>
      </c>
      <c r="R513" s="430">
        <v>4188.2</v>
      </c>
      <c r="S513" s="175">
        <v>510</v>
      </c>
      <c r="T513" s="751">
        <v>56425</v>
      </c>
      <c r="U513" s="440">
        <v>45.773333333333333</v>
      </c>
      <c r="V513" s="636">
        <v>67.5</v>
      </c>
      <c r="W513" s="636">
        <v>155.25720000000001</v>
      </c>
      <c r="X513" s="440">
        <v>5.6000000000000005</v>
      </c>
      <c r="Y513" s="761">
        <v>222.75720000000001</v>
      </c>
      <c r="Z513" s="798">
        <v>688.37220571428566</v>
      </c>
      <c r="AA513" s="780">
        <v>264.75854065934061</v>
      </c>
      <c r="AB513" s="812">
        <v>404</v>
      </c>
      <c r="AC513" s="818">
        <v>1720</v>
      </c>
      <c r="AD513" s="811" t="s">
        <v>633</v>
      </c>
      <c r="AE513" s="811">
        <v>1</v>
      </c>
      <c r="AF513" s="541">
        <v>7009</v>
      </c>
    </row>
    <row r="514" spans="1:32" ht="15.75">
      <c r="A514" s="633"/>
      <c r="B514" s="634"/>
      <c r="C514" s="633"/>
      <c r="D514" s="559"/>
      <c r="E514" s="545"/>
      <c r="F514" s="580"/>
      <c r="G514" s="655" t="s">
        <v>129</v>
      </c>
      <c r="H514" s="654"/>
      <c r="I514" s="654"/>
      <c r="J514" s="561"/>
      <c r="K514" s="635"/>
      <c r="L514" s="633"/>
      <c r="M514" s="561"/>
      <c r="N514" s="592" t="s">
        <v>129</v>
      </c>
      <c r="O514" s="594" t="s">
        <v>129</v>
      </c>
      <c r="P514" s="743"/>
      <c r="Q514" s="431">
        <v>0.2</v>
      </c>
      <c r="R514" s="430">
        <v>4675.2</v>
      </c>
      <c r="S514" s="175"/>
      <c r="T514" s="751" t="s">
        <v>129</v>
      </c>
      <c r="U514" s="440">
        <v>46.358260869565214</v>
      </c>
      <c r="V514" s="654"/>
      <c r="W514" s="654"/>
      <c r="X514" s="440">
        <v>5.6000000000000005</v>
      </c>
      <c r="Y514" s="761" t="s">
        <v>129</v>
      </c>
      <c r="Z514" s="789"/>
      <c r="AA514" s="780"/>
      <c r="AB514" s="633"/>
      <c r="AC514" s="818" t="s">
        <v>129</v>
      </c>
      <c r="AD514" s="811"/>
      <c r="AE514" s="811"/>
      <c r="AF514" s="633"/>
    </row>
    <row r="515" spans="1:32" ht="15.75">
      <c r="A515" s="624">
        <v>7020</v>
      </c>
      <c r="B515" s="625"/>
      <c r="C515" s="626" t="s">
        <v>1028</v>
      </c>
      <c r="D515" s="627"/>
      <c r="E515" s="628"/>
      <c r="F515" s="629"/>
      <c r="G515" s="630" t="s">
        <v>129</v>
      </c>
      <c r="H515" s="631"/>
      <c r="I515" s="631"/>
      <c r="J515" s="632"/>
      <c r="K515" s="632"/>
      <c r="L515" s="627"/>
      <c r="M515" s="632"/>
      <c r="N515" s="739" t="s">
        <v>129</v>
      </c>
      <c r="O515" s="744" t="s">
        <v>129</v>
      </c>
      <c r="P515" s="742"/>
      <c r="Q515" s="431">
        <v>0.2</v>
      </c>
      <c r="R515" s="430">
        <v>5649.2</v>
      </c>
      <c r="S515" s="498"/>
      <c r="T515" s="750" t="s">
        <v>129</v>
      </c>
      <c r="U515" s="440">
        <v>45.43</v>
      </c>
      <c r="V515" s="631"/>
      <c r="W515" s="631"/>
      <c r="X515" s="440">
        <v>5.6000000000000005</v>
      </c>
      <c r="Y515" s="763" t="s">
        <v>129</v>
      </c>
      <c r="Z515" s="774"/>
      <c r="AA515" s="775"/>
      <c r="AB515" s="810"/>
      <c r="AC515" s="817" t="s">
        <v>129</v>
      </c>
      <c r="AD515" s="810"/>
      <c r="AE515" s="810"/>
      <c r="AF515" s="624">
        <v>7020</v>
      </c>
    </row>
    <row r="516" spans="1:32" ht="15.75">
      <c r="A516" s="633"/>
      <c r="B516" s="634"/>
      <c r="C516" s="633"/>
      <c r="D516" s="559"/>
      <c r="E516" s="545"/>
      <c r="F516" s="580"/>
      <c r="G516" s="655" t="s">
        <v>129</v>
      </c>
      <c r="H516" s="654"/>
      <c r="I516" s="654"/>
      <c r="J516" s="561"/>
      <c r="K516" s="635"/>
      <c r="L516" s="633"/>
      <c r="M516" s="561"/>
      <c r="N516" s="592" t="s">
        <v>129</v>
      </c>
      <c r="O516" s="594" t="s">
        <v>129</v>
      </c>
      <c r="P516" s="743"/>
      <c r="Q516" s="431"/>
      <c r="R516" s="430"/>
      <c r="S516" s="175"/>
      <c r="T516" s="751" t="s">
        <v>129</v>
      </c>
      <c r="U516" s="440"/>
      <c r="V516" s="654"/>
      <c r="W516" s="654"/>
      <c r="X516" s="440"/>
      <c r="Y516" s="761" t="s">
        <v>129</v>
      </c>
      <c r="Z516" s="789"/>
      <c r="AA516" s="780"/>
      <c r="AB516" s="811"/>
      <c r="AC516" s="818" t="s">
        <v>129</v>
      </c>
      <c r="AD516" s="811"/>
      <c r="AE516" s="811"/>
      <c r="AF516" s="633"/>
    </row>
    <row r="517" spans="1:32" ht="15.75">
      <c r="A517" s="643">
        <v>7021</v>
      </c>
      <c r="B517" s="644"/>
      <c r="C517" s="644" t="s">
        <v>1029</v>
      </c>
      <c r="D517" s="559">
        <v>120</v>
      </c>
      <c r="E517" s="545">
        <v>35000</v>
      </c>
      <c r="F517" s="546">
        <v>67</v>
      </c>
      <c r="G517" s="653">
        <v>56</v>
      </c>
      <c r="H517" s="654">
        <v>48</v>
      </c>
      <c r="I517" s="654">
        <v>69</v>
      </c>
      <c r="J517" s="561">
        <v>85</v>
      </c>
      <c r="K517" s="554"/>
      <c r="L517" s="562">
        <v>12</v>
      </c>
      <c r="M517" s="561">
        <v>2500</v>
      </c>
      <c r="N517" s="592">
        <v>0.25</v>
      </c>
      <c r="O517" s="594">
        <v>1.05</v>
      </c>
      <c r="P517" s="590">
        <v>62</v>
      </c>
      <c r="Q517" s="429"/>
      <c r="R517" s="430" t="s">
        <v>129</v>
      </c>
      <c r="S517" s="496"/>
      <c r="T517" s="751">
        <v>3059</v>
      </c>
      <c r="U517" s="438"/>
      <c r="V517" s="654">
        <v>14.700000000000001</v>
      </c>
      <c r="W517" s="654"/>
      <c r="X517" s="438"/>
      <c r="Y517" s="764">
        <v>14.700000000000001</v>
      </c>
      <c r="Z517" s="776">
        <v>66.908470588235289</v>
      </c>
      <c r="AA517" s="780">
        <v>55.757058823529412</v>
      </c>
      <c r="AB517" s="814">
        <v>328.32625525210085</v>
      </c>
      <c r="AC517" s="818">
        <v>70</v>
      </c>
      <c r="AD517" s="811" t="s">
        <v>667</v>
      </c>
      <c r="AE517" s="811">
        <v>0</v>
      </c>
      <c r="AF517" s="643">
        <v>7021</v>
      </c>
    </row>
    <row r="518" spans="1:32" ht="15.75">
      <c r="A518" s="643">
        <v>7022</v>
      </c>
      <c r="B518" s="644"/>
      <c r="C518" s="644" t="s">
        <v>1030</v>
      </c>
      <c r="D518" s="559">
        <v>133</v>
      </c>
      <c r="E518" s="545">
        <v>38000</v>
      </c>
      <c r="F518" s="546">
        <v>72</v>
      </c>
      <c r="G518" s="653">
        <v>54</v>
      </c>
      <c r="H518" s="654">
        <v>47</v>
      </c>
      <c r="I518" s="654">
        <v>67</v>
      </c>
      <c r="J518" s="561">
        <v>95</v>
      </c>
      <c r="K518" s="554"/>
      <c r="L518" s="562">
        <v>12</v>
      </c>
      <c r="M518" s="561">
        <v>2800</v>
      </c>
      <c r="N518" s="592">
        <v>0.25</v>
      </c>
      <c r="O518" s="594">
        <v>1.05</v>
      </c>
      <c r="P518" s="590">
        <v>69</v>
      </c>
      <c r="Q518" s="431"/>
      <c r="R518" s="430" t="s">
        <v>129</v>
      </c>
      <c r="S518" s="175"/>
      <c r="T518" s="751">
        <v>3333</v>
      </c>
      <c r="U518" s="440"/>
      <c r="V518" s="654">
        <v>14.25</v>
      </c>
      <c r="W518" s="654"/>
      <c r="X518" s="440"/>
      <c r="Y518" s="764">
        <v>14.25</v>
      </c>
      <c r="Z518" s="776">
        <v>72.17595</v>
      </c>
      <c r="AA518" s="780">
        <v>54.267631578947366</v>
      </c>
      <c r="AB518" s="814">
        <v>300.1947261009667</v>
      </c>
      <c r="AC518" s="818">
        <v>76</v>
      </c>
      <c r="AD518" s="811" t="s">
        <v>667</v>
      </c>
      <c r="AE518" s="811">
        <v>0</v>
      </c>
      <c r="AF518" s="643">
        <v>7022</v>
      </c>
    </row>
    <row r="519" spans="1:32" ht="15.75">
      <c r="A519" s="643">
        <v>7023</v>
      </c>
      <c r="B519" s="644"/>
      <c r="C519" s="644" t="s">
        <v>1031</v>
      </c>
      <c r="D519" s="559">
        <v>143</v>
      </c>
      <c r="E519" s="545">
        <v>48000</v>
      </c>
      <c r="F519" s="546">
        <v>84</v>
      </c>
      <c r="G519" s="653">
        <v>59</v>
      </c>
      <c r="H519" s="654">
        <v>50</v>
      </c>
      <c r="I519" s="654">
        <v>73</v>
      </c>
      <c r="J519" s="561">
        <v>105</v>
      </c>
      <c r="K519" s="554"/>
      <c r="L519" s="562">
        <v>12</v>
      </c>
      <c r="M519" s="561">
        <v>3100</v>
      </c>
      <c r="N519" s="592">
        <v>0.25</v>
      </c>
      <c r="O519" s="594">
        <v>0.9</v>
      </c>
      <c r="P519" s="590">
        <v>76</v>
      </c>
      <c r="Q519" s="431">
        <v>0.5</v>
      </c>
      <c r="R519" s="430">
        <v>11103.6</v>
      </c>
      <c r="S519" s="497">
        <v>114</v>
      </c>
      <c r="T519" s="751">
        <v>4132</v>
      </c>
      <c r="U519" s="440">
        <v>211.19333333333333</v>
      </c>
      <c r="V519" s="654">
        <v>13.935483870967742</v>
      </c>
      <c r="W519" s="654"/>
      <c r="X519" s="440">
        <v>14</v>
      </c>
      <c r="Y519" s="764">
        <v>13.935483870967742</v>
      </c>
      <c r="Z519" s="776">
        <v>83.821811367127523</v>
      </c>
      <c r="AA519" s="780">
        <v>58.616651305683575</v>
      </c>
      <c r="AB519" s="814">
        <v>323.36868750477856</v>
      </c>
      <c r="AC519" s="818">
        <v>96</v>
      </c>
      <c r="AD519" s="811" t="s">
        <v>667</v>
      </c>
      <c r="AE519" s="811">
        <v>0</v>
      </c>
      <c r="AF519" s="643">
        <v>7023</v>
      </c>
    </row>
    <row r="520" spans="1:32" ht="15.75">
      <c r="A520" s="643">
        <v>7024</v>
      </c>
      <c r="B520" s="644"/>
      <c r="C520" s="644" t="s">
        <v>1032</v>
      </c>
      <c r="D520" s="559">
        <v>168</v>
      </c>
      <c r="E520" s="545">
        <v>59000</v>
      </c>
      <c r="F520" s="546">
        <v>105</v>
      </c>
      <c r="G520" s="653">
        <v>63</v>
      </c>
      <c r="H520" s="654">
        <v>54</v>
      </c>
      <c r="I520" s="654">
        <v>79</v>
      </c>
      <c r="J520" s="561">
        <v>115</v>
      </c>
      <c r="K520" s="554"/>
      <c r="L520" s="562">
        <v>12</v>
      </c>
      <c r="M520" s="561">
        <v>3700</v>
      </c>
      <c r="N520" s="592">
        <v>0.25</v>
      </c>
      <c r="O520" s="594">
        <v>0.9</v>
      </c>
      <c r="P520" s="590">
        <v>80</v>
      </c>
      <c r="Q520" s="431">
        <v>0.5</v>
      </c>
      <c r="R520" s="430">
        <v>16558</v>
      </c>
      <c r="S520" s="175">
        <v>180</v>
      </c>
      <c r="T520" s="751">
        <v>4985</v>
      </c>
      <c r="U520" s="440">
        <v>234.45</v>
      </c>
      <c r="V520" s="654">
        <v>14.351351351351351</v>
      </c>
      <c r="W520" s="654"/>
      <c r="X520" s="440">
        <v>14</v>
      </c>
      <c r="Y520" s="764">
        <v>14.351351351351351</v>
      </c>
      <c r="Z520" s="776">
        <v>106.62807990599296</v>
      </c>
      <c r="AA520" s="780">
        <v>63.469095182138666</v>
      </c>
      <c r="AB520" s="814">
        <v>333.15624795991647</v>
      </c>
      <c r="AC520" s="818">
        <v>118</v>
      </c>
      <c r="AD520" s="811" t="s">
        <v>667</v>
      </c>
      <c r="AE520" s="811">
        <v>0</v>
      </c>
      <c r="AF520" s="643">
        <v>7024</v>
      </c>
    </row>
    <row r="521" spans="1:32" ht="15.75">
      <c r="A521" s="643">
        <v>7025</v>
      </c>
      <c r="B521" s="644"/>
      <c r="C521" s="644" t="s">
        <v>1033</v>
      </c>
      <c r="D521" s="559">
        <v>189</v>
      </c>
      <c r="E521" s="545">
        <v>69000</v>
      </c>
      <c r="F521" s="546">
        <v>115</v>
      </c>
      <c r="G521" s="653">
        <v>61</v>
      </c>
      <c r="H521" s="654">
        <v>52</v>
      </c>
      <c r="I521" s="654">
        <v>76</v>
      </c>
      <c r="J521" s="561">
        <v>140</v>
      </c>
      <c r="K521" s="554"/>
      <c r="L521" s="562">
        <v>12</v>
      </c>
      <c r="M521" s="561">
        <v>4200</v>
      </c>
      <c r="N521" s="592">
        <v>0.25</v>
      </c>
      <c r="O521" s="594">
        <v>0.85</v>
      </c>
      <c r="P521" s="590">
        <v>85</v>
      </c>
      <c r="Q521" s="431">
        <v>0.5</v>
      </c>
      <c r="R521" s="430">
        <v>17726.8</v>
      </c>
      <c r="S521" s="497">
        <v>132</v>
      </c>
      <c r="T521" s="751">
        <v>5770</v>
      </c>
      <c r="U521" s="440">
        <v>249.35999999999999</v>
      </c>
      <c r="V521" s="654">
        <v>13.964285714285712</v>
      </c>
      <c r="W521" s="654"/>
      <c r="X521" s="440">
        <v>14</v>
      </c>
      <c r="Y521" s="764">
        <v>13.964285714285712</v>
      </c>
      <c r="Z521" s="776">
        <v>114.71625000000002</v>
      </c>
      <c r="AA521" s="780">
        <v>60.696428571428577</v>
      </c>
      <c r="AB521" s="814">
        <v>339.14814965986398</v>
      </c>
      <c r="AC521" s="818">
        <v>138</v>
      </c>
      <c r="AD521" s="811" t="s">
        <v>667</v>
      </c>
      <c r="AE521" s="811">
        <v>0</v>
      </c>
      <c r="AF521" s="643">
        <v>7025</v>
      </c>
    </row>
    <row r="522" spans="1:32" ht="15.75">
      <c r="A522" s="643">
        <v>7026</v>
      </c>
      <c r="B522" s="644"/>
      <c r="C522" s="644" t="s">
        <v>1034</v>
      </c>
      <c r="D522" s="559">
        <v>200</v>
      </c>
      <c r="E522" s="545">
        <v>77000</v>
      </c>
      <c r="F522" s="546">
        <v>125</v>
      </c>
      <c r="G522" s="653">
        <v>63</v>
      </c>
      <c r="H522" s="654">
        <v>54</v>
      </c>
      <c r="I522" s="654">
        <v>78</v>
      </c>
      <c r="J522" s="561">
        <v>150</v>
      </c>
      <c r="K522" s="554"/>
      <c r="L522" s="562">
        <v>12</v>
      </c>
      <c r="M522" s="561">
        <v>4200</v>
      </c>
      <c r="N522" s="592">
        <v>0.25</v>
      </c>
      <c r="O522" s="594">
        <v>0.8</v>
      </c>
      <c r="P522" s="590">
        <v>85</v>
      </c>
      <c r="Q522" s="431">
        <v>6.6600000000000006E-2</v>
      </c>
      <c r="R522" s="430">
        <v>5203</v>
      </c>
      <c r="S522" s="175"/>
      <c r="T522" s="751">
        <v>6370</v>
      </c>
      <c r="U522" s="440">
        <v>79.957142857142856</v>
      </c>
      <c r="V522" s="654">
        <v>14.666666666666666</v>
      </c>
      <c r="W522" s="654"/>
      <c r="X522" s="440">
        <v>1.8648000000000002</v>
      </c>
      <c r="Y522" s="764">
        <v>14.666666666666666</v>
      </c>
      <c r="Z522" s="776">
        <v>125.69333333333334</v>
      </c>
      <c r="AA522" s="780">
        <v>62.846666666666671</v>
      </c>
      <c r="AB522" s="814">
        <v>340.81386952380961</v>
      </c>
      <c r="AC522" s="818">
        <v>154</v>
      </c>
      <c r="AD522" s="811" t="s">
        <v>667</v>
      </c>
      <c r="AE522" s="811">
        <v>0</v>
      </c>
      <c r="AF522" s="643">
        <v>7026</v>
      </c>
    </row>
    <row r="523" spans="1:32" ht="15.75">
      <c r="A523" s="643">
        <v>7027</v>
      </c>
      <c r="B523" s="644"/>
      <c r="C523" s="644" t="s">
        <v>1035</v>
      </c>
      <c r="D523" s="559">
        <v>230</v>
      </c>
      <c r="E523" s="545">
        <v>78000</v>
      </c>
      <c r="F523" s="546">
        <v>130</v>
      </c>
      <c r="G523" s="653">
        <v>57</v>
      </c>
      <c r="H523" s="654">
        <v>49</v>
      </c>
      <c r="I523" s="654">
        <v>72</v>
      </c>
      <c r="J523" s="561">
        <v>170</v>
      </c>
      <c r="K523" s="554"/>
      <c r="L523" s="562">
        <v>12</v>
      </c>
      <c r="M523" s="561">
        <v>4760</v>
      </c>
      <c r="N523" s="592">
        <v>0.25</v>
      </c>
      <c r="O523" s="594">
        <v>0.85</v>
      </c>
      <c r="P523" s="590">
        <v>95</v>
      </c>
      <c r="Q523" s="431">
        <v>6.6600000000000006E-2</v>
      </c>
      <c r="R523" s="430">
        <v>6050</v>
      </c>
      <c r="S523" s="496"/>
      <c r="T523" s="751">
        <v>6515</v>
      </c>
      <c r="U523" s="440">
        <v>92.257142857142853</v>
      </c>
      <c r="V523" s="654">
        <v>13.928571428571427</v>
      </c>
      <c r="W523" s="654"/>
      <c r="X523" s="440">
        <v>1.8648000000000002</v>
      </c>
      <c r="Y523" s="764">
        <v>13.928571428571427</v>
      </c>
      <c r="Z523" s="776">
        <v>132.19781512605041</v>
      </c>
      <c r="AA523" s="780">
        <v>57.477310924369746</v>
      </c>
      <c r="AB523" s="814">
        <v>308.46992129226271</v>
      </c>
      <c r="AC523" s="818">
        <v>156</v>
      </c>
      <c r="AD523" s="811" t="s">
        <v>667</v>
      </c>
      <c r="AE523" s="811">
        <v>0</v>
      </c>
      <c r="AF523" s="643">
        <v>7027</v>
      </c>
    </row>
    <row r="524" spans="1:32" ht="15.75">
      <c r="A524" s="643">
        <v>7028</v>
      </c>
      <c r="B524" s="644"/>
      <c r="C524" s="644" t="s">
        <v>1036</v>
      </c>
      <c r="D524" s="559">
        <v>260</v>
      </c>
      <c r="E524" s="545">
        <v>91000</v>
      </c>
      <c r="F524" s="546">
        <v>155</v>
      </c>
      <c r="G524" s="653">
        <v>60</v>
      </c>
      <c r="H524" s="654">
        <v>51</v>
      </c>
      <c r="I524" s="654">
        <v>74</v>
      </c>
      <c r="J524" s="561">
        <v>190</v>
      </c>
      <c r="K524" s="554"/>
      <c r="L524" s="562">
        <v>12</v>
      </c>
      <c r="M524" s="561">
        <v>5320</v>
      </c>
      <c r="N524" s="592">
        <v>0.25</v>
      </c>
      <c r="O524" s="594">
        <v>0.85</v>
      </c>
      <c r="P524" s="590">
        <v>104</v>
      </c>
      <c r="Q524" s="431">
        <v>0.05</v>
      </c>
      <c r="R524" s="430">
        <v>8767.2000000000007</v>
      </c>
      <c r="S524" s="175"/>
      <c r="T524" s="751">
        <v>7553</v>
      </c>
      <c r="U524" s="440">
        <v>92.662000000000006</v>
      </c>
      <c r="V524" s="654">
        <v>14.539473684210526</v>
      </c>
      <c r="W524" s="654"/>
      <c r="X524" s="440">
        <v>1.4000000000000001</v>
      </c>
      <c r="Y524" s="764">
        <v>14.539473684210526</v>
      </c>
      <c r="Z524" s="776">
        <v>155.27542105263157</v>
      </c>
      <c r="AA524" s="780">
        <v>59.721315789473685</v>
      </c>
      <c r="AB524" s="814">
        <v>324.4798564488143</v>
      </c>
      <c r="AC524" s="818">
        <v>182</v>
      </c>
      <c r="AD524" s="811" t="s">
        <v>667</v>
      </c>
      <c r="AE524" s="811">
        <v>0</v>
      </c>
      <c r="AF524" s="643">
        <v>7028</v>
      </c>
    </row>
    <row r="525" spans="1:32" ht="15.75">
      <c r="A525" s="643"/>
      <c r="B525" s="644"/>
      <c r="C525" s="644"/>
      <c r="D525" s="559"/>
      <c r="E525" s="545"/>
      <c r="F525" s="546"/>
      <c r="G525" s="653" t="s">
        <v>129</v>
      </c>
      <c r="H525" s="654"/>
      <c r="I525" s="654"/>
      <c r="J525" s="561"/>
      <c r="K525" s="554"/>
      <c r="L525" s="562"/>
      <c r="M525" s="561"/>
      <c r="N525" s="592"/>
      <c r="O525" s="594" t="s">
        <v>129</v>
      </c>
      <c r="P525" s="590"/>
      <c r="Q525" s="431">
        <v>3.3300000000000003E-2</v>
      </c>
      <c r="R525" s="430">
        <v>12342</v>
      </c>
      <c r="S525" s="175">
        <v>468</v>
      </c>
      <c r="T525" s="751" t="s">
        <v>129</v>
      </c>
      <c r="U525" s="440">
        <v>99.146153846153851</v>
      </c>
      <c r="V525" s="654"/>
      <c r="W525" s="654"/>
      <c r="X525" s="440">
        <v>0.93240000000000012</v>
      </c>
      <c r="Y525" s="761" t="s">
        <v>129</v>
      </c>
      <c r="Z525" s="776"/>
      <c r="AA525" s="780"/>
      <c r="AB525" s="814"/>
      <c r="AC525" s="818"/>
      <c r="AD525" s="811"/>
      <c r="AE525" s="811"/>
      <c r="AF525" s="643"/>
    </row>
    <row r="526" spans="1:32" ht="15.75">
      <c r="A526" s="624">
        <v>7040</v>
      </c>
      <c r="B526" s="625"/>
      <c r="C526" s="650" t="s">
        <v>1037</v>
      </c>
      <c r="D526" s="708"/>
      <c r="E526" s="628"/>
      <c r="F526" s="629"/>
      <c r="G526" s="687" t="s">
        <v>129</v>
      </c>
      <c r="H526" s="631"/>
      <c r="I526" s="631"/>
      <c r="J526" s="632"/>
      <c r="K526" s="632"/>
      <c r="L526" s="627"/>
      <c r="M526" s="632"/>
      <c r="N526" s="739" t="s">
        <v>129</v>
      </c>
      <c r="O526" s="744" t="s">
        <v>129</v>
      </c>
      <c r="P526" s="742"/>
      <c r="Q526" s="431">
        <v>6.6600000000000006E-2</v>
      </c>
      <c r="R526" s="430">
        <v>1691.5</v>
      </c>
      <c r="S526" s="497">
        <v>522</v>
      </c>
      <c r="T526" s="750" t="s">
        <v>129</v>
      </c>
      <c r="U526" s="440">
        <v>68.95</v>
      </c>
      <c r="V526" s="631"/>
      <c r="W526" s="631"/>
      <c r="X526" s="440">
        <v>1.8648000000000002</v>
      </c>
      <c r="Y526" s="763" t="s">
        <v>129</v>
      </c>
      <c r="Z526" s="774"/>
      <c r="AA526" s="775"/>
      <c r="AB526" s="810"/>
      <c r="AC526" s="817" t="s">
        <v>129</v>
      </c>
      <c r="AD526" s="810"/>
      <c r="AE526" s="810"/>
      <c r="AF526" s="624">
        <v>7040</v>
      </c>
    </row>
    <row r="527" spans="1:32" ht="15.75">
      <c r="A527" s="633"/>
      <c r="B527" s="634"/>
      <c r="C527" s="633"/>
      <c r="D527" s="559"/>
      <c r="E527" s="545"/>
      <c r="F527" s="580"/>
      <c r="G527" s="653" t="s">
        <v>129</v>
      </c>
      <c r="H527" s="654"/>
      <c r="I527" s="654"/>
      <c r="J527" s="561"/>
      <c r="K527" s="635"/>
      <c r="L527" s="633"/>
      <c r="M527" s="561"/>
      <c r="N527" s="592" t="s">
        <v>129</v>
      </c>
      <c r="O527" s="594" t="s">
        <v>129</v>
      </c>
      <c r="P527" s="743"/>
      <c r="Q527" s="431">
        <v>6.6600000000000006E-2</v>
      </c>
      <c r="R527" s="430">
        <v>995</v>
      </c>
      <c r="S527" s="175">
        <v>522</v>
      </c>
      <c r="T527" s="751" t="s">
        <v>129</v>
      </c>
      <c r="U527" s="440">
        <v>45.266666666666666</v>
      </c>
      <c r="V527" s="654"/>
      <c r="W527" s="654"/>
      <c r="X527" s="440">
        <v>1.8648000000000002</v>
      </c>
      <c r="Y527" s="761" t="s">
        <v>129</v>
      </c>
      <c r="Z527" s="789"/>
      <c r="AA527" s="780"/>
      <c r="AB527" s="633"/>
      <c r="AC527" s="818" t="s">
        <v>129</v>
      </c>
      <c r="AD527" s="811"/>
      <c r="AE527" s="811"/>
      <c r="AF527" s="633"/>
    </row>
    <row r="528" spans="1:32" ht="15.75">
      <c r="A528" s="643">
        <v>7046</v>
      </c>
      <c r="B528" s="644"/>
      <c r="C528" s="644" t="s">
        <v>1038</v>
      </c>
      <c r="D528" s="559">
        <v>120</v>
      </c>
      <c r="E528" s="545">
        <v>77000</v>
      </c>
      <c r="F528" s="546">
        <v>175</v>
      </c>
      <c r="G528" s="653">
        <v>145</v>
      </c>
      <c r="H528" s="654">
        <v>130</v>
      </c>
      <c r="I528" s="654">
        <v>180</v>
      </c>
      <c r="J528" s="561">
        <v>100</v>
      </c>
      <c r="K528" s="554"/>
      <c r="L528" s="562">
        <v>10</v>
      </c>
      <c r="M528" s="561">
        <v>1200</v>
      </c>
      <c r="N528" s="592">
        <v>0.1</v>
      </c>
      <c r="O528" s="594">
        <v>0.8</v>
      </c>
      <c r="P528" s="590">
        <v>49</v>
      </c>
      <c r="Q528" s="435"/>
      <c r="R528" s="430" t="s">
        <v>129</v>
      </c>
      <c r="S528" s="497">
        <v>750</v>
      </c>
      <c r="T528" s="751">
        <v>8166.2</v>
      </c>
      <c r="U528" s="440"/>
      <c r="V528" s="654">
        <v>51.333333333333343</v>
      </c>
      <c r="W528" s="654"/>
      <c r="X528" s="440"/>
      <c r="Y528" s="764">
        <v>51.333333333333343</v>
      </c>
      <c r="Z528" s="776">
        <v>175.55384000000006</v>
      </c>
      <c r="AA528" s="780">
        <v>146.29486666666671</v>
      </c>
      <c r="AB528" s="811"/>
      <c r="AC528" s="818">
        <v>154</v>
      </c>
      <c r="AD528" s="811" t="s">
        <v>667</v>
      </c>
      <c r="AE528" s="811">
        <v>0</v>
      </c>
      <c r="AF528" s="643">
        <v>7046</v>
      </c>
    </row>
    <row r="529" spans="1:32" ht="15.75">
      <c r="A529" s="643">
        <v>7047</v>
      </c>
      <c r="B529" s="644"/>
      <c r="C529" s="644" t="s">
        <v>1039</v>
      </c>
      <c r="D529" s="559">
        <v>140</v>
      </c>
      <c r="E529" s="545">
        <v>100000</v>
      </c>
      <c r="F529" s="546">
        <v>210</v>
      </c>
      <c r="G529" s="653">
        <v>150</v>
      </c>
      <c r="H529" s="654">
        <v>130</v>
      </c>
      <c r="I529" s="654">
        <v>180</v>
      </c>
      <c r="J529" s="561">
        <v>130</v>
      </c>
      <c r="K529" s="554"/>
      <c r="L529" s="562">
        <v>10</v>
      </c>
      <c r="M529" s="561">
        <v>1500</v>
      </c>
      <c r="N529" s="592">
        <v>0</v>
      </c>
      <c r="O529" s="594">
        <v>0.7</v>
      </c>
      <c r="P529" s="590">
        <v>49</v>
      </c>
      <c r="Q529" s="429"/>
      <c r="R529" s="430" t="s">
        <v>129</v>
      </c>
      <c r="S529" s="175"/>
      <c r="T529" s="751">
        <v>11443</v>
      </c>
      <c r="U529" s="438"/>
      <c r="V529" s="654">
        <v>46.666666666666664</v>
      </c>
      <c r="W529" s="654"/>
      <c r="X529" s="438"/>
      <c r="Y529" s="764">
        <v>46.666666666666664</v>
      </c>
      <c r="Z529" s="776">
        <v>207.42220512820512</v>
      </c>
      <c r="AA529" s="780">
        <v>148.15871794871796</v>
      </c>
      <c r="AB529" s="811"/>
      <c r="AC529" s="818">
        <v>200</v>
      </c>
      <c r="AD529" s="811" t="s">
        <v>667</v>
      </c>
      <c r="AE529" s="811">
        <v>0</v>
      </c>
      <c r="AF529" s="643">
        <v>7047</v>
      </c>
    </row>
    <row r="530" spans="1:32" ht="15.75">
      <c r="A530" s="643">
        <v>7050</v>
      </c>
      <c r="B530" s="644"/>
      <c r="C530" s="644" t="s">
        <v>1040</v>
      </c>
      <c r="D530" s="559">
        <v>140</v>
      </c>
      <c r="E530" s="545">
        <v>17000</v>
      </c>
      <c r="F530" s="546">
        <v>110</v>
      </c>
      <c r="G530" s="653">
        <v>78</v>
      </c>
      <c r="H530" s="560">
        <v>64</v>
      </c>
      <c r="I530" s="654">
        <v>100</v>
      </c>
      <c r="J530" s="561">
        <v>30</v>
      </c>
      <c r="K530" s="554"/>
      <c r="L530" s="562">
        <v>10</v>
      </c>
      <c r="M530" s="561">
        <v>1500</v>
      </c>
      <c r="N530" s="592">
        <v>0.25</v>
      </c>
      <c r="O530" s="594">
        <v>0.85</v>
      </c>
      <c r="P530" s="590">
        <v>49</v>
      </c>
      <c r="Q530" s="431"/>
      <c r="R530" s="430" t="s">
        <v>129</v>
      </c>
      <c r="S530" s="496"/>
      <c r="T530" s="751">
        <v>1830.5</v>
      </c>
      <c r="U530" s="440"/>
      <c r="V530" s="654">
        <v>9.6333333333333329</v>
      </c>
      <c r="W530" s="654"/>
      <c r="X530" s="440"/>
      <c r="Y530" s="764">
        <v>9.6333333333333329</v>
      </c>
      <c r="Z530" s="776">
        <v>108.80100000000002</v>
      </c>
      <c r="AA530" s="780">
        <v>77.715000000000018</v>
      </c>
      <c r="AB530" s="811"/>
      <c r="AC530" s="818">
        <v>34</v>
      </c>
      <c r="AD530" s="811" t="s">
        <v>667</v>
      </c>
      <c r="AE530" s="811">
        <v>0</v>
      </c>
      <c r="AF530" s="643">
        <v>7050</v>
      </c>
    </row>
    <row r="531" spans="1:32" ht="15.75">
      <c r="A531" s="643">
        <v>7051</v>
      </c>
      <c r="B531" s="644"/>
      <c r="C531" s="644" t="s">
        <v>1041</v>
      </c>
      <c r="D531" s="559">
        <v>140</v>
      </c>
      <c r="E531" s="545">
        <v>61000</v>
      </c>
      <c r="F531" s="546">
        <v>340</v>
      </c>
      <c r="G531" s="653">
        <v>240</v>
      </c>
      <c r="H531" s="560">
        <v>200</v>
      </c>
      <c r="I531" s="654">
        <v>310</v>
      </c>
      <c r="J531" s="561">
        <v>30</v>
      </c>
      <c r="K531" s="554"/>
      <c r="L531" s="562">
        <v>10</v>
      </c>
      <c r="M531" s="561">
        <v>1500</v>
      </c>
      <c r="N531" s="592">
        <v>0.25</v>
      </c>
      <c r="O531" s="594">
        <v>0.75</v>
      </c>
      <c r="P531" s="590">
        <v>49</v>
      </c>
      <c r="Q531" s="431">
        <v>0.05</v>
      </c>
      <c r="R531" s="430">
        <v>1095.5</v>
      </c>
      <c r="S531" s="175"/>
      <c r="T531" s="751">
        <v>5680.5</v>
      </c>
      <c r="U531" s="440">
        <v>11.164999999999999</v>
      </c>
      <c r="V531" s="654">
        <v>30.5</v>
      </c>
      <c r="W531" s="654"/>
      <c r="X531" s="440">
        <v>1.4000000000000001</v>
      </c>
      <c r="Y531" s="764">
        <v>30.5</v>
      </c>
      <c r="Z531" s="776">
        <v>338.56900000000002</v>
      </c>
      <c r="AA531" s="780">
        <v>241.83500000000001</v>
      </c>
      <c r="AB531" s="811"/>
      <c r="AC531" s="818">
        <v>122</v>
      </c>
      <c r="AD531" s="811" t="s">
        <v>667</v>
      </c>
      <c r="AE531" s="811">
        <v>0</v>
      </c>
      <c r="AF531" s="643">
        <v>7051</v>
      </c>
    </row>
    <row r="532" spans="1:32" ht="15.75">
      <c r="A532" s="633"/>
      <c r="B532" s="634"/>
      <c r="C532" s="633"/>
      <c r="D532" s="559"/>
      <c r="E532" s="545"/>
      <c r="F532" s="546"/>
      <c r="G532" s="653" t="s">
        <v>129</v>
      </c>
      <c r="H532" s="654"/>
      <c r="I532" s="654"/>
      <c r="J532" s="561"/>
      <c r="K532" s="635"/>
      <c r="L532" s="633"/>
      <c r="M532" s="561"/>
      <c r="N532" s="592" t="s">
        <v>129</v>
      </c>
      <c r="O532" s="594" t="s">
        <v>129</v>
      </c>
      <c r="P532" s="743"/>
      <c r="Q532" s="431">
        <v>0.05</v>
      </c>
      <c r="R532" s="430">
        <v>709.46666666666658</v>
      </c>
      <c r="S532" s="497"/>
      <c r="T532" s="751" t="s">
        <v>129</v>
      </c>
      <c r="U532" s="440">
        <v>6.0255555555555551</v>
      </c>
      <c r="V532" s="654"/>
      <c r="W532" s="636"/>
      <c r="X532" s="440">
        <v>1.4000000000000001</v>
      </c>
      <c r="Y532" s="764" t="s">
        <v>129</v>
      </c>
      <c r="Z532" s="776"/>
      <c r="AA532" s="780"/>
      <c r="AB532" s="633"/>
      <c r="AC532" s="818" t="s">
        <v>129</v>
      </c>
      <c r="AD532" s="811"/>
      <c r="AE532" s="811"/>
      <c r="AF532" s="633"/>
    </row>
    <row r="533" spans="1:32" ht="15.75">
      <c r="A533" s="624">
        <v>7060</v>
      </c>
      <c r="B533" s="625"/>
      <c r="C533" s="650" t="s">
        <v>1042</v>
      </c>
      <c r="D533" s="708"/>
      <c r="E533" s="628"/>
      <c r="F533" s="629"/>
      <c r="G533" s="687" t="s">
        <v>129</v>
      </c>
      <c r="H533" s="631"/>
      <c r="I533" s="631"/>
      <c r="J533" s="632"/>
      <c r="K533" s="632"/>
      <c r="L533" s="627"/>
      <c r="M533" s="632"/>
      <c r="N533" s="739" t="s">
        <v>129</v>
      </c>
      <c r="O533" s="744" t="s">
        <v>129</v>
      </c>
      <c r="P533" s="742"/>
      <c r="Q533" s="431">
        <v>0.05</v>
      </c>
      <c r="R533" s="430">
        <v>615.56666666666672</v>
      </c>
      <c r="S533" s="175">
        <v>60</v>
      </c>
      <c r="T533" s="750" t="s">
        <v>129</v>
      </c>
      <c r="U533" s="440">
        <v>5.2280555555555557</v>
      </c>
      <c r="V533" s="631"/>
      <c r="W533" s="631"/>
      <c r="X533" s="440">
        <v>1.4000000000000001</v>
      </c>
      <c r="Y533" s="768" t="s">
        <v>129</v>
      </c>
      <c r="Z533" s="774"/>
      <c r="AA533" s="775"/>
      <c r="AB533" s="810"/>
      <c r="AC533" s="817" t="s">
        <v>129</v>
      </c>
      <c r="AD533" s="810"/>
      <c r="AE533" s="810"/>
      <c r="AF533" s="624">
        <v>7060</v>
      </c>
    </row>
    <row r="534" spans="1:32" ht="15.75">
      <c r="A534" s="633"/>
      <c r="B534" s="634"/>
      <c r="C534" s="633"/>
      <c r="D534" s="559"/>
      <c r="E534" s="545"/>
      <c r="F534" s="580"/>
      <c r="G534" s="653" t="s">
        <v>129</v>
      </c>
      <c r="H534" s="654"/>
      <c r="I534" s="654"/>
      <c r="J534" s="561"/>
      <c r="K534" s="635"/>
      <c r="L534" s="633"/>
      <c r="M534" s="561"/>
      <c r="N534" s="592" t="s">
        <v>129</v>
      </c>
      <c r="O534" s="594" t="s">
        <v>129</v>
      </c>
      <c r="P534" s="743"/>
      <c r="Q534" s="431">
        <v>2.5000000000000001E-2</v>
      </c>
      <c r="R534" s="430">
        <v>5046</v>
      </c>
      <c r="S534" s="497">
        <v>102</v>
      </c>
      <c r="T534" s="751" t="s">
        <v>129</v>
      </c>
      <c r="U534" s="440">
        <v>30.557894736842105</v>
      </c>
      <c r="V534" s="654"/>
      <c r="W534" s="654"/>
      <c r="X534" s="440">
        <v>0.70000000000000007</v>
      </c>
      <c r="Y534" s="764" t="s">
        <v>129</v>
      </c>
      <c r="Z534" s="789"/>
      <c r="AA534" s="780"/>
      <c r="AB534" s="633"/>
      <c r="AC534" s="818" t="s">
        <v>129</v>
      </c>
      <c r="AD534" s="811"/>
      <c r="AE534" s="811"/>
      <c r="AF534" s="633"/>
    </row>
    <row r="535" spans="1:32" ht="15.75">
      <c r="A535" s="541">
        <v>7063</v>
      </c>
      <c r="B535" s="644"/>
      <c r="C535" s="644" t="s">
        <v>1043</v>
      </c>
      <c r="D535" s="559"/>
      <c r="E535" s="545">
        <v>6800</v>
      </c>
      <c r="F535" s="546"/>
      <c r="G535" s="653">
        <v>11.5</v>
      </c>
      <c r="H535" s="654">
        <v>10</v>
      </c>
      <c r="I535" s="654">
        <v>13</v>
      </c>
      <c r="J535" s="561">
        <v>120</v>
      </c>
      <c r="K535" s="554" t="s">
        <v>221</v>
      </c>
      <c r="L535" s="562">
        <v>12</v>
      </c>
      <c r="M535" s="561">
        <v>1600</v>
      </c>
      <c r="N535" s="592">
        <v>0</v>
      </c>
      <c r="O535" s="594">
        <v>1.1499999999999999</v>
      </c>
      <c r="P535" s="590"/>
      <c r="Q535" s="431">
        <v>0.1</v>
      </c>
      <c r="R535" s="430">
        <v>1042.18</v>
      </c>
      <c r="S535" s="175">
        <v>162</v>
      </c>
      <c r="T535" s="751">
        <v>641.4666666666667</v>
      </c>
      <c r="U535" s="440">
        <v>29.914500000000004</v>
      </c>
      <c r="V535" s="654">
        <v>4.8874999999999993</v>
      </c>
      <c r="W535" s="636"/>
      <c r="X535" s="440">
        <v>2.8000000000000003</v>
      </c>
      <c r="Y535" s="764">
        <v>4.8874999999999993</v>
      </c>
      <c r="Z535" s="776"/>
      <c r="AA535" s="780">
        <v>11.256361111111111</v>
      </c>
      <c r="AB535" s="811"/>
      <c r="AC535" s="818">
        <v>13.6</v>
      </c>
      <c r="AD535" s="811" t="s">
        <v>667</v>
      </c>
      <c r="AE535" s="811">
        <v>0</v>
      </c>
      <c r="AF535" s="541">
        <v>7063</v>
      </c>
    </row>
    <row r="536" spans="1:32" ht="15.75">
      <c r="A536" s="643">
        <v>7064</v>
      </c>
      <c r="B536" s="644"/>
      <c r="C536" s="644" t="s">
        <v>1044</v>
      </c>
      <c r="D536" s="559"/>
      <c r="E536" s="545">
        <v>69000</v>
      </c>
      <c r="F536" s="546"/>
      <c r="G536" s="653">
        <v>37</v>
      </c>
      <c r="H536" s="654">
        <v>31</v>
      </c>
      <c r="I536" s="654">
        <v>48</v>
      </c>
      <c r="J536" s="561">
        <v>200</v>
      </c>
      <c r="K536" s="554" t="s">
        <v>221</v>
      </c>
      <c r="L536" s="562">
        <v>12</v>
      </c>
      <c r="M536" s="561">
        <v>10000</v>
      </c>
      <c r="N536" s="592">
        <v>0.25</v>
      </c>
      <c r="O536" s="594">
        <v>0.7</v>
      </c>
      <c r="P536" s="590">
        <v>85</v>
      </c>
      <c r="Q536" s="431"/>
      <c r="R536" s="430" t="s">
        <v>129</v>
      </c>
      <c r="S536" s="497">
        <v>72</v>
      </c>
      <c r="T536" s="751">
        <v>5770</v>
      </c>
      <c r="U536" s="440"/>
      <c r="V536" s="654">
        <v>4.83</v>
      </c>
      <c r="W536" s="636"/>
      <c r="X536" s="440"/>
      <c r="Y536" s="764">
        <v>4.83</v>
      </c>
      <c r="Z536" s="776">
        <v>0</v>
      </c>
      <c r="AA536" s="780">
        <v>37.048000000000002</v>
      </c>
      <c r="AB536" s="811"/>
      <c r="AC536" s="818">
        <v>138</v>
      </c>
      <c r="AD536" s="811" t="s">
        <v>667</v>
      </c>
      <c r="AE536" s="811">
        <v>0</v>
      </c>
      <c r="AF536" s="643">
        <v>7064</v>
      </c>
    </row>
    <row r="537" spans="1:32" ht="15.75">
      <c r="A537" s="633"/>
      <c r="B537" s="634"/>
      <c r="C537" s="633"/>
      <c r="D537" s="559"/>
      <c r="E537" s="545"/>
      <c r="F537" s="546"/>
      <c r="G537" s="653" t="s">
        <v>129</v>
      </c>
      <c r="H537" s="654"/>
      <c r="I537" s="654"/>
      <c r="J537" s="561"/>
      <c r="K537" s="635"/>
      <c r="L537" s="633"/>
      <c r="M537" s="561"/>
      <c r="N537" s="592" t="s">
        <v>129</v>
      </c>
      <c r="O537" s="594" t="s">
        <v>129</v>
      </c>
      <c r="P537" s="743"/>
      <c r="Q537" s="431"/>
      <c r="R537" s="430" t="s">
        <v>129</v>
      </c>
      <c r="S537" s="175">
        <v>72</v>
      </c>
      <c r="T537" s="751" t="s">
        <v>129</v>
      </c>
      <c r="U537" s="440"/>
      <c r="V537" s="654"/>
      <c r="W537" s="636"/>
      <c r="X537" s="440"/>
      <c r="Y537" s="764" t="s">
        <v>129</v>
      </c>
      <c r="Z537" s="776"/>
      <c r="AA537" s="780"/>
      <c r="AB537" s="633"/>
      <c r="AC537" s="818" t="s">
        <v>129</v>
      </c>
      <c r="AD537" s="811"/>
      <c r="AE537" s="811"/>
      <c r="AF537" s="633"/>
    </row>
    <row r="538" spans="1:32" ht="15.75">
      <c r="A538" s="663"/>
      <c r="B538" s="664"/>
      <c r="C538" s="665" t="s">
        <v>1045</v>
      </c>
      <c r="D538" s="688"/>
      <c r="E538" s="667"/>
      <c r="F538" s="668"/>
      <c r="G538" s="694" t="s">
        <v>129</v>
      </c>
      <c r="H538" s="690"/>
      <c r="I538" s="690"/>
      <c r="J538" s="691"/>
      <c r="K538" s="672"/>
      <c r="L538" s="737"/>
      <c r="M538" s="691"/>
      <c r="N538" s="740" t="s">
        <v>129</v>
      </c>
      <c r="O538" s="746" t="s">
        <v>129</v>
      </c>
      <c r="P538" s="747"/>
      <c r="Q538" s="431"/>
      <c r="R538" s="430" t="s">
        <v>129</v>
      </c>
      <c r="S538" s="175"/>
      <c r="T538" s="754" t="s">
        <v>129</v>
      </c>
      <c r="U538" s="440"/>
      <c r="V538" s="690"/>
      <c r="W538" s="670"/>
      <c r="X538" s="440"/>
      <c r="Y538" s="769" t="s">
        <v>129</v>
      </c>
      <c r="Z538" s="785"/>
      <c r="AA538" s="792"/>
      <c r="AB538" s="813"/>
      <c r="AC538" s="821" t="s">
        <v>129</v>
      </c>
      <c r="AD538" s="813"/>
      <c r="AE538" s="813"/>
      <c r="AF538" s="663"/>
    </row>
    <row r="539" spans="1:32" ht="15.75">
      <c r="A539" s="633"/>
      <c r="B539" s="634"/>
      <c r="C539" s="633"/>
      <c r="D539" s="559"/>
      <c r="E539" s="545"/>
      <c r="F539" s="546"/>
      <c r="G539" s="653" t="s">
        <v>129</v>
      </c>
      <c r="H539" s="654"/>
      <c r="I539" s="654"/>
      <c r="J539" s="561"/>
      <c r="K539" s="635"/>
      <c r="L539" s="633"/>
      <c r="M539" s="561"/>
      <c r="N539" s="592" t="s">
        <v>129</v>
      </c>
      <c r="O539" s="594" t="s">
        <v>129</v>
      </c>
      <c r="P539" s="743"/>
      <c r="Q539" s="429"/>
      <c r="R539" s="430" t="s">
        <v>129</v>
      </c>
      <c r="S539" s="496"/>
      <c r="T539" s="751" t="s">
        <v>129</v>
      </c>
      <c r="U539" s="438"/>
      <c r="V539" s="654"/>
      <c r="W539" s="636"/>
      <c r="X539" s="438"/>
      <c r="Y539" s="764" t="s">
        <v>129</v>
      </c>
      <c r="Z539" s="776"/>
      <c r="AA539" s="780"/>
      <c r="AB539" s="633"/>
      <c r="AC539" s="818" t="s">
        <v>129</v>
      </c>
      <c r="AD539" s="811"/>
      <c r="AE539" s="811"/>
      <c r="AF539" s="633"/>
    </row>
    <row r="540" spans="1:32" ht="15.75">
      <c r="A540" s="624">
        <v>8000</v>
      </c>
      <c r="B540" s="625"/>
      <c r="C540" s="626" t="s">
        <v>1046</v>
      </c>
      <c r="D540" s="627"/>
      <c r="E540" s="628"/>
      <c r="F540" s="629"/>
      <c r="G540" s="687" t="s">
        <v>129</v>
      </c>
      <c r="H540" s="631"/>
      <c r="I540" s="631"/>
      <c r="J540" s="632"/>
      <c r="K540" s="632"/>
      <c r="L540" s="627"/>
      <c r="M540" s="632"/>
      <c r="N540" s="739" t="s">
        <v>129</v>
      </c>
      <c r="O540" s="744" t="s">
        <v>129</v>
      </c>
      <c r="P540" s="742"/>
      <c r="Q540" s="431"/>
      <c r="R540" s="430" t="s">
        <v>129</v>
      </c>
      <c r="S540" s="175"/>
      <c r="T540" s="750" t="s">
        <v>129</v>
      </c>
      <c r="U540" s="440"/>
      <c r="V540" s="631"/>
      <c r="W540" s="631"/>
      <c r="X540" s="440"/>
      <c r="Y540" s="768" t="s">
        <v>129</v>
      </c>
      <c r="Z540" s="774"/>
      <c r="AA540" s="775"/>
      <c r="AB540" s="810"/>
      <c r="AC540" s="817" t="s">
        <v>129</v>
      </c>
      <c r="AD540" s="810"/>
      <c r="AE540" s="810"/>
      <c r="AF540" s="624">
        <v>8000</v>
      </c>
    </row>
    <row r="541" spans="1:32" ht="15.75">
      <c r="A541" s="633"/>
      <c r="B541" s="634"/>
      <c r="C541" s="633"/>
      <c r="D541" s="559"/>
      <c r="E541" s="545"/>
      <c r="F541" s="546"/>
      <c r="G541" s="653" t="s">
        <v>129</v>
      </c>
      <c r="H541" s="654"/>
      <c r="I541" s="654"/>
      <c r="J541" s="561"/>
      <c r="K541" s="635"/>
      <c r="L541" s="633"/>
      <c r="M541" s="561"/>
      <c r="N541" s="592" t="s">
        <v>129</v>
      </c>
      <c r="O541" s="594" t="s">
        <v>129</v>
      </c>
      <c r="P541" s="743"/>
      <c r="Q541" s="431">
        <v>0.16700000000000001</v>
      </c>
      <c r="R541" s="430">
        <v>1153.5999999999999</v>
      </c>
      <c r="S541" s="175">
        <v>372</v>
      </c>
      <c r="T541" s="751" t="s">
        <v>129</v>
      </c>
      <c r="U541" s="440">
        <v>109.55</v>
      </c>
      <c r="V541" s="654"/>
      <c r="W541" s="636"/>
      <c r="X541" s="440">
        <v>4.6760000000000002</v>
      </c>
      <c r="Y541" s="764" t="s">
        <v>129</v>
      </c>
      <c r="Z541" s="776"/>
      <c r="AA541" s="780"/>
      <c r="AB541" s="633"/>
      <c r="AC541" s="818" t="s">
        <v>129</v>
      </c>
      <c r="AD541" s="811"/>
      <c r="AE541" s="811"/>
      <c r="AF541" s="633"/>
    </row>
    <row r="542" spans="1:32" ht="15.75">
      <c r="A542" s="643">
        <v>8001</v>
      </c>
      <c r="B542" s="644"/>
      <c r="C542" s="644" t="s">
        <v>1047</v>
      </c>
      <c r="D542" s="559">
        <v>60</v>
      </c>
      <c r="E542" s="545">
        <v>11500</v>
      </c>
      <c r="F542" s="546">
        <v>74</v>
      </c>
      <c r="G542" s="653">
        <v>125</v>
      </c>
      <c r="H542" s="560">
        <v>110</v>
      </c>
      <c r="I542" s="654">
        <v>150</v>
      </c>
      <c r="J542" s="561">
        <v>12</v>
      </c>
      <c r="K542" s="554" t="s">
        <v>221</v>
      </c>
      <c r="L542" s="562">
        <v>15</v>
      </c>
      <c r="M542" s="561">
        <v>250</v>
      </c>
      <c r="N542" s="592">
        <v>0.1</v>
      </c>
      <c r="O542" s="594">
        <v>0.7</v>
      </c>
      <c r="P542" s="590">
        <v>19</v>
      </c>
      <c r="Q542" s="431">
        <v>0.16700000000000001</v>
      </c>
      <c r="R542" s="430">
        <v>1606.8</v>
      </c>
      <c r="S542" s="175"/>
      <c r="T542" s="751">
        <v>956.4</v>
      </c>
      <c r="U542" s="440">
        <v>92.789999999999992</v>
      </c>
      <c r="V542" s="654">
        <v>32.199999999999996</v>
      </c>
      <c r="W542" s="636"/>
      <c r="X542" s="440">
        <v>4.6760000000000002</v>
      </c>
      <c r="Y542" s="764">
        <v>32.199999999999996</v>
      </c>
      <c r="Z542" s="776">
        <v>73.854000000000013</v>
      </c>
      <c r="AA542" s="780">
        <v>123.09000000000002</v>
      </c>
      <c r="AB542" s="811"/>
      <c r="AC542" s="818">
        <v>23</v>
      </c>
      <c r="AD542" s="811" t="s">
        <v>667</v>
      </c>
      <c r="AE542" s="811">
        <v>0</v>
      </c>
      <c r="AF542" s="643">
        <v>8001</v>
      </c>
    </row>
    <row r="543" spans="1:32" ht="15.75">
      <c r="A543" s="643">
        <v>8002</v>
      </c>
      <c r="B543" s="644"/>
      <c r="C543" s="644" t="s">
        <v>1048</v>
      </c>
      <c r="D543" s="559">
        <v>120</v>
      </c>
      <c r="E543" s="545">
        <v>16500</v>
      </c>
      <c r="F543" s="546">
        <v>140</v>
      </c>
      <c r="G543" s="653">
        <v>115</v>
      </c>
      <c r="H543" s="654">
        <v>100</v>
      </c>
      <c r="I543" s="654">
        <v>140</v>
      </c>
      <c r="J543" s="561">
        <v>20</v>
      </c>
      <c r="K543" s="554" t="s">
        <v>221</v>
      </c>
      <c r="L543" s="562">
        <v>15</v>
      </c>
      <c r="M543" s="561">
        <v>400</v>
      </c>
      <c r="N543" s="592">
        <v>0.1</v>
      </c>
      <c r="O543" s="594">
        <v>0.9</v>
      </c>
      <c r="P543" s="590">
        <v>30</v>
      </c>
      <c r="Q543" s="431">
        <v>0.05</v>
      </c>
      <c r="R543" s="430">
        <v>2011.5</v>
      </c>
      <c r="S543" s="496"/>
      <c r="T543" s="751">
        <v>1391.4</v>
      </c>
      <c r="U543" s="440">
        <v>73.983333333333334</v>
      </c>
      <c r="V543" s="654">
        <v>37.125</v>
      </c>
      <c r="W543" s="636"/>
      <c r="X543" s="440">
        <v>1.4000000000000001</v>
      </c>
      <c r="Y543" s="764">
        <v>37.125</v>
      </c>
      <c r="Z543" s="776">
        <v>140.8374</v>
      </c>
      <c r="AA543" s="780">
        <v>117.36450000000002</v>
      </c>
      <c r="AB543" s="811"/>
      <c r="AC543" s="818">
        <v>33</v>
      </c>
      <c r="AD543" s="811" t="s">
        <v>667</v>
      </c>
      <c r="AE543" s="811">
        <v>0</v>
      </c>
      <c r="AF543" s="643">
        <v>8002</v>
      </c>
    </row>
    <row r="544" spans="1:32" ht="15.75">
      <c r="A544" s="643">
        <v>8003</v>
      </c>
      <c r="B544" s="644" t="s">
        <v>411</v>
      </c>
      <c r="C544" s="644" t="s">
        <v>1049</v>
      </c>
      <c r="D544" s="559">
        <v>40</v>
      </c>
      <c r="E544" s="545">
        <v>33000</v>
      </c>
      <c r="F544" s="546">
        <v>240</v>
      </c>
      <c r="G544" s="653">
        <v>610</v>
      </c>
      <c r="H544" s="654">
        <v>590</v>
      </c>
      <c r="I544" s="654">
        <v>630</v>
      </c>
      <c r="J544" s="561">
        <v>30</v>
      </c>
      <c r="K544" s="554" t="s">
        <v>221</v>
      </c>
      <c r="L544" s="562">
        <v>15</v>
      </c>
      <c r="M544" s="561">
        <v>4000</v>
      </c>
      <c r="N544" s="592">
        <v>0.25</v>
      </c>
      <c r="O544" s="594">
        <v>0.95</v>
      </c>
      <c r="P544" s="590">
        <v>22</v>
      </c>
      <c r="Q544" s="431"/>
      <c r="R544" s="430" t="s">
        <v>129</v>
      </c>
      <c r="S544" s="175"/>
      <c r="T544" s="751">
        <v>2216.5</v>
      </c>
      <c r="U544" s="440"/>
      <c r="V544" s="654">
        <v>7.8374999999999995</v>
      </c>
      <c r="W544" s="654">
        <v>468.8095238095238</v>
      </c>
      <c r="X544" s="440"/>
      <c r="Y544" s="764">
        <v>476.64702380952377</v>
      </c>
      <c r="Z544" s="776">
        <v>242.23335714285716</v>
      </c>
      <c r="AA544" s="780">
        <v>605.58339285714294</v>
      </c>
      <c r="AB544" s="811"/>
      <c r="AC544" s="818">
        <v>66</v>
      </c>
      <c r="AD544" s="811" t="s">
        <v>667</v>
      </c>
      <c r="AE544" s="811">
        <v>4</v>
      </c>
      <c r="AF544" s="643">
        <v>8003</v>
      </c>
    </row>
    <row r="545" spans="1:32" ht="15.75">
      <c r="A545" s="643"/>
      <c r="B545" s="644"/>
      <c r="C545" s="644"/>
      <c r="D545" s="559"/>
      <c r="E545" s="545"/>
      <c r="F545" s="546"/>
      <c r="G545" s="709" t="s">
        <v>129</v>
      </c>
      <c r="H545" s="654"/>
      <c r="I545" s="654"/>
      <c r="J545" s="561"/>
      <c r="K545" s="554"/>
      <c r="L545" s="562"/>
      <c r="M545" s="561"/>
      <c r="N545" s="592" t="s">
        <v>129</v>
      </c>
      <c r="O545" s="594" t="s">
        <v>129</v>
      </c>
      <c r="P545" s="590"/>
      <c r="Q545" s="429"/>
      <c r="R545" s="430" t="s">
        <v>129</v>
      </c>
      <c r="S545" s="175">
        <v>564</v>
      </c>
      <c r="T545" s="751" t="s">
        <v>129</v>
      </c>
      <c r="U545" s="438"/>
      <c r="V545" s="654"/>
      <c r="W545" s="636"/>
      <c r="X545" s="438"/>
      <c r="Y545" s="764" t="s">
        <v>129</v>
      </c>
      <c r="Z545" s="776"/>
      <c r="AA545" s="799"/>
      <c r="AB545" s="811"/>
      <c r="AC545" s="818" t="s">
        <v>129</v>
      </c>
      <c r="AD545" s="811"/>
      <c r="AE545" s="811"/>
      <c r="AF545" s="643"/>
    </row>
    <row r="546" spans="1:32" ht="15.75">
      <c r="A546" s="624">
        <v>8010</v>
      </c>
      <c r="B546" s="625"/>
      <c r="C546" s="626" t="s">
        <v>1050</v>
      </c>
      <c r="D546" s="627"/>
      <c r="E546" s="628"/>
      <c r="F546" s="629"/>
      <c r="G546" s="687" t="s">
        <v>129</v>
      </c>
      <c r="H546" s="631"/>
      <c r="I546" s="631"/>
      <c r="J546" s="632"/>
      <c r="K546" s="632"/>
      <c r="L546" s="627"/>
      <c r="M546" s="632"/>
      <c r="N546" s="739" t="s">
        <v>129</v>
      </c>
      <c r="O546" s="744" t="s">
        <v>129</v>
      </c>
      <c r="P546" s="742"/>
      <c r="Q546" s="431"/>
      <c r="R546" s="430" t="s">
        <v>129</v>
      </c>
      <c r="S546" s="497">
        <v>312</v>
      </c>
      <c r="T546" s="750" t="s">
        <v>129</v>
      </c>
      <c r="U546" s="440"/>
      <c r="V546" s="631"/>
      <c r="W546" s="631"/>
      <c r="X546" s="440"/>
      <c r="Y546" s="768" t="s">
        <v>129</v>
      </c>
      <c r="Z546" s="774"/>
      <c r="AA546" s="775"/>
      <c r="AB546" s="810"/>
      <c r="AC546" s="817" t="s">
        <v>129</v>
      </c>
      <c r="AD546" s="810"/>
      <c r="AE546" s="810"/>
      <c r="AF546" s="624">
        <v>8010</v>
      </c>
    </row>
    <row r="547" spans="1:32" ht="15.75">
      <c r="A547" s="633"/>
      <c r="B547" s="634"/>
      <c r="C547" s="633"/>
      <c r="D547" s="559"/>
      <c r="E547" s="545"/>
      <c r="F547" s="546"/>
      <c r="G547" s="709" t="s">
        <v>129</v>
      </c>
      <c r="H547" s="654"/>
      <c r="I547" s="654"/>
      <c r="J547" s="561"/>
      <c r="K547" s="635"/>
      <c r="L547" s="633"/>
      <c r="M547" s="561"/>
      <c r="N547" s="592" t="s">
        <v>129</v>
      </c>
      <c r="O547" s="594" t="s">
        <v>129</v>
      </c>
      <c r="P547" s="743"/>
      <c r="Q547" s="435">
        <v>1</v>
      </c>
      <c r="R547" s="430">
        <v>2958</v>
      </c>
      <c r="S547" s="175">
        <v>708</v>
      </c>
      <c r="T547" s="751" t="s">
        <v>129</v>
      </c>
      <c r="U547" s="440">
        <v>422</v>
      </c>
      <c r="V547" s="654"/>
      <c r="W547" s="636"/>
      <c r="X547" s="440">
        <v>28</v>
      </c>
      <c r="Y547" s="764" t="s">
        <v>129</v>
      </c>
      <c r="Z547" s="776"/>
      <c r="AA547" s="780"/>
      <c r="AB547" s="633"/>
      <c r="AC547" s="818" t="s">
        <v>129</v>
      </c>
      <c r="AD547" s="811"/>
      <c r="AE547" s="811"/>
      <c r="AF547" s="633"/>
    </row>
    <row r="548" spans="1:32" ht="31.5">
      <c r="A548" s="643">
        <v>8013</v>
      </c>
      <c r="B548" s="644" t="s">
        <v>411</v>
      </c>
      <c r="C548" s="644" t="s">
        <v>1051</v>
      </c>
      <c r="D548" s="559">
        <v>10</v>
      </c>
      <c r="E548" s="545">
        <v>134000</v>
      </c>
      <c r="F548" s="546">
        <v>150</v>
      </c>
      <c r="G548" s="653">
        <v>1500</v>
      </c>
      <c r="H548" s="654">
        <v>1280</v>
      </c>
      <c r="I548" s="654">
        <v>1800</v>
      </c>
      <c r="J548" s="561">
        <v>12</v>
      </c>
      <c r="K548" s="554" t="s">
        <v>221</v>
      </c>
      <c r="L548" s="562">
        <v>12</v>
      </c>
      <c r="M548" s="561">
        <v>250</v>
      </c>
      <c r="N548" s="592">
        <v>0.25</v>
      </c>
      <c r="O548" s="594">
        <v>0.85</v>
      </c>
      <c r="P548" s="590">
        <v>87</v>
      </c>
      <c r="Q548" s="435">
        <v>1</v>
      </c>
      <c r="R548" s="430">
        <v>6177</v>
      </c>
      <c r="S548" s="497">
        <v>1422</v>
      </c>
      <c r="T548" s="751">
        <v>10659</v>
      </c>
      <c r="U548" s="440">
        <v>686.5</v>
      </c>
      <c r="V548" s="654">
        <v>455.59999999999997</v>
      </c>
      <c r="W548" s="636"/>
      <c r="X548" s="440">
        <v>28</v>
      </c>
      <c r="Y548" s="764">
        <v>455.59999999999997</v>
      </c>
      <c r="Z548" s="776">
        <v>147.82350000000002</v>
      </c>
      <c r="AA548" s="780">
        <v>1478.2350000000001</v>
      </c>
      <c r="AB548" s="811"/>
      <c r="AC548" s="818">
        <v>268</v>
      </c>
      <c r="AD548" s="811" t="s">
        <v>667</v>
      </c>
      <c r="AE548" s="811">
        <v>0</v>
      </c>
      <c r="AF548" s="643">
        <v>8013</v>
      </c>
    </row>
    <row r="549" spans="1:32" ht="31.5">
      <c r="A549" s="643">
        <v>8014</v>
      </c>
      <c r="B549" s="644"/>
      <c r="C549" s="644" t="s">
        <v>1052</v>
      </c>
      <c r="D549" s="559">
        <v>10</v>
      </c>
      <c r="E549" s="545">
        <v>151000</v>
      </c>
      <c r="F549" s="546">
        <v>165</v>
      </c>
      <c r="G549" s="653">
        <v>1650</v>
      </c>
      <c r="H549" s="654">
        <v>1400</v>
      </c>
      <c r="I549" s="654">
        <v>2020</v>
      </c>
      <c r="J549" s="561">
        <v>12</v>
      </c>
      <c r="K549" s="554" t="s">
        <v>221</v>
      </c>
      <c r="L549" s="562">
        <v>12</v>
      </c>
      <c r="M549" s="561">
        <v>250</v>
      </c>
      <c r="N549" s="592">
        <v>0.25</v>
      </c>
      <c r="O549" s="594">
        <v>0.85</v>
      </c>
      <c r="P549" s="590">
        <v>87</v>
      </c>
      <c r="Q549" s="435">
        <v>1</v>
      </c>
      <c r="R549" s="430">
        <v>7656</v>
      </c>
      <c r="S549" s="175">
        <v>432</v>
      </c>
      <c r="T549" s="751">
        <v>11934</v>
      </c>
      <c r="U549" s="440">
        <v>703.41666666666663</v>
      </c>
      <c r="V549" s="654">
        <v>513.4</v>
      </c>
      <c r="W549" s="636"/>
      <c r="X549" s="440">
        <v>28</v>
      </c>
      <c r="Y549" s="764">
        <v>513.4</v>
      </c>
      <c r="Z549" s="776">
        <v>165.86900000000003</v>
      </c>
      <c r="AA549" s="780">
        <v>1658.6900000000003</v>
      </c>
      <c r="AB549" s="811"/>
      <c r="AC549" s="818">
        <v>302</v>
      </c>
      <c r="AD549" s="811" t="s">
        <v>667</v>
      </c>
      <c r="AE549" s="811">
        <v>0</v>
      </c>
      <c r="AF549" s="643">
        <v>8014</v>
      </c>
    </row>
    <row r="550" spans="1:32" ht="31.5">
      <c r="A550" s="643">
        <v>8016</v>
      </c>
      <c r="B550" s="644"/>
      <c r="C550" s="644" t="s">
        <v>1053</v>
      </c>
      <c r="D550" s="559">
        <v>20</v>
      </c>
      <c r="E550" s="545">
        <v>196000</v>
      </c>
      <c r="F550" s="546">
        <v>260</v>
      </c>
      <c r="G550" s="653">
        <v>1300</v>
      </c>
      <c r="H550" s="654">
        <v>1100</v>
      </c>
      <c r="I550" s="654">
        <v>1590</v>
      </c>
      <c r="J550" s="561">
        <v>20</v>
      </c>
      <c r="K550" s="554"/>
      <c r="L550" s="562">
        <v>12</v>
      </c>
      <c r="M550" s="561">
        <v>500</v>
      </c>
      <c r="N550" s="592">
        <v>0.25</v>
      </c>
      <c r="O550" s="594">
        <v>1.05</v>
      </c>
      <c r="P550" s="590">
        <v>125</v>
      </c>
      <c r="Q550" s="435">
        <v>1</v>
      </c>
      <c r="R550" s="430">
        <v>10875</v>
      </c>
      <c r="S550" s="175"/>
      <c r="T550" s="751">
        <v>15575</v>
      </c>
      <c r="U550" s="440">
        <v>977.83333333333337</v>
      </c>
      <c r="V550" s="654">
        <v>411.6</v>
      </c>
      <c r="W550" s="636"/>
      <c r="X550" s="440">
        <v>28</v>
      </c>
      <c r="Y550" s="764">
        <v>411.6</v>
      </c>
      <c r="Z550" s="776">
        <v>261.87700000000001</v>
      </c>
      <c r="AA550" s="780">
        <v>1309.385</v>
      </c>
      <c r="AB550" s="811"/>
      <c r="AC550" s="818">
        <v>392</v>
      </c>
      <c r="AD550" s="811" t="s">
        <v>667</v>
      </c>
      <c r="AE550" s="811">
        <v>0</v>
      </c>
      <c r="AF550" s="643">
        <v>8016</v>
      </c>
    </row>
    <row r="551" spans="1:32" ht="31.5">
      <c r="A551" s="643">
        <v>8015</v>
      </c>
      <c r="B551" s="644"/>
      <c r="C551" s="644" t="s">
        <v>1054</v>
      </c>
      <c r="D551" s="559">
        <v>30</v>
      </c>
      <c r="E551" s="545">
        <v>228000</v>
      </c>
      <c r="F551" s="546">
        <v>450</v>
      </c>
      <c r="G551" s="653">
        <v>1500</v>
      </c>
      <c r="H551" s="654">
        <v>1300</v>
      </c>
      <c r="I551" s="654">
        <v>1800</v>
      </c>
      <c r="J551" s="561">
        <v>20</v>
      </c>
      <c r="K551" s="554" t="s">
        <v>221</v>
      </c>
      <c r="L551" s="562">
        <v>12</v>
      </c>
      <c r="M551" s="561">
        <v>500</v>
      </c>
      <c r="N551" s="592">
        <v>0.25</v>
      </c>
      <c r="O551" s="594">
        <v>1.05</v>
      </c>
      <c r="P551" s="590">
        <v>125</v>
      </c>
      <c r="Q551" s="435">
        <v>1</v>
      </c>
      <c r="R551" s="430">
        <v>15573</v>
      </c>
      <c r="S551" s="496"/>
      <c r="T551" s="751">
        <v>17975</v>
      </c>
      <c r="U551" s="440">
        <v>840.3</v>
      </c>
      <c r="V551" s="654">
        <v>478.8</v>
      </c>
      <c r="W551" s="636"/>
      <c r="X551" s="440">
        <v>28</v>
      </c>
      <c r="Y551" s="764">
        <v>478.8</v>
      </c>
      <c r="Z551" s="776">
        <v>454.5915</v>
      </c>
      <c r="AA551" s="780">
        <v>1515.3050000000001</v>
      </c>
      <c r="AB551" s="811"/>
      <c r="AC551" s="818">
        <v>456</v>
      </c>
      <c r="AD551" s="811" t="s">
        <v>667</v>
      </c>
      <c r="AE551" s="811">
        <v>0</v>
      </c>
      <c r="AF551" s="643">
        <v>8015</v>
      </c>
    </row>
    <row r="552" spans="1:32" ht="15.75">
      <c r="A552" s="633"/>
      <c r="B552" s="634"/>
      <c r="C552" s="633"/>
      <c r="D552" s="581"/>
      <c r="E552" s="545"/>
      <c r="F552" s="546"/>
      <c r="G552" s="678" t="s">
        <v>129</v>
      </c>
      <c r="H552" s="679"/>
      <c r="I552" s="679"/>
      <c r="J552" s="567"/>
      <c r="K552" s="635"/>
      <c r="L552" s="633"/>
      <c r="M552" s="567"/>
      <c r="N552" s="592" t="s">
        <v>129</v>
      </c>
      <c r="O552" s="594" t="s">
        <v>129</v>
      </c>
      <c r="P552" s="743"/>
      <c r="Q552" s="435"/>
      <c r="R552" s="430" t="s">
        <v>129</v>
      </c>
      <c r="S552" s="175"/>
      <c r="T552" s="751" t="s">
        <v>129</v>
      </c>
      <c r="U552" s="440"/>
      <c r="V552" s="679"/>
      <c r="W552" s="636"/>
      <c r="X552" s="440"/>
      <c r="Y552" s="761" t="s">
        <v>129</v>
      </c>
      <c r="Z552" s="776"/>
      <c r="AA552" s="790"/>
      <c r="AB552" s="633"/>
      <c r="AC552" s="818" t="s">
        <v>129</v>
      </c>
      <c r="AD552" s="811"/>
      <c r="AE552" s="811"/>
      <c r="AF552" s="633"/>
    </row>
    <row r="553" spans="1:32" ht="15.75">
      <c r="A553" s="624">
        <v>8060</v>
      </c>
      <c r="B553" s="625"/>
      <c r="C553" s="626" t="s">
        <v>1055</v>
      </c>
      <c r="D553" s="627"/>
      <c r="E553" s="628"/>
      <c r="F553" s="629"/>
      <c r="G553" s="687" t="s">
        <v>129</v>
      </c>
      <c r="H553" s="631"/>
      <c r="I553" s="631"/>
      <c r="J553" s="632"/>
      <c r="K553" s="632"/>
      <c r="L553" s="627"/>
      <c r="M553" s="632"/>
      <c r="N553" s="739" t="s">
        <v>129</v>
      </c>
      <c r="O553" s="744" t="s">
        <v>129</v>
      </c>
      <c r="P553" s="742"/>
      <c r="Q553" s="429"/>
      <c r="R553" s="430" t="s">
        <v>129</v>
      </c>
      <c r="S553" s="504">
        <v>1536</v>
      </c>
      <c r="T553" s="750" t="s">
        <v>129</v>
      </c>
      <c r="U553" s="438"/>
      <c r="V553" s="631"/>
      <c r="W553" s="631"/>
      <c r="X553" s="438"/>
      <c r="Y553" s="763" t="s">
        <v>129</v>
      </c>
      <c r="Z553" s="774"/>
      <c r="AA553" s="775"/>
      <c r="AB553" s="810"/>
      <c r="AC553" s="817" t="s">
        <v>129</v>
      </c>
      <c r="AD553" s="810"/>
      <c r="AE553" s="810"/>
      <c r="AF553" s="624">
        <v>8060</v>
      </c>
    </row>
    <row r="554" spans="1:32" ht="15.75">
      <c r="A554" s="633"/>
      <c r="B554" s="634"/>
      <c r="C554" s="633"/>
      <c r="D554" s="559"/>
      <c r="E554" s="545"/>
      <c r="F554" s="580"/>
      <c r="G554" s="653" t="s">
        <v>129</v>
      </c>
      <c r="H554" s="654"/>
      <c r="I554" s="654"/>
      <c r="J554" s="561"/>
      <c r="K554" s="635"/>
      <c r="L554" s="633"/>
      <c r="M554" s="561"/>
      <c r="N554" s="592" t="s">
        <v>129</v>
      </c>
      <c r="O554" s="594" t="s">
        <v>129</v>
      </c>
      <c r="P554" s="743"/>
      <c r="Q554" s="431"/>
      <c r="R554" s="430" t="s">
        <v>129</v>
      </c>
      <c r="S554" s="175"/>
      <c r="T554" s="751" t="s">
        <v>129</v>
      </c>
      <c r="U554" s="440"/>
      <c r="V554" s="654"/>
      <c r="W554" s="654"/>
      <c r="X554" s="440"/>
      <c r="Y554" s="761" t="s">
        <v>129</v>
      </c>
      <c r="Z554" s="789"/>
      <c r="AA554" s="780"/>
      <c r="AB554" s="633"/>
      <c r="AC554" s="818" t="s">
        <v>129</v>
      </c>
      <c r="AD554" s="811"/>
      <c r="AE554" s="811"/>
      <c r="AF554" s="633"/>
    </row>
    <row r="555" spans="1:32" ht="31.5">
      <c r="A555" s="643">
        <v>8063</v>
      </c>
      <c r="B555" s="644"/>
      <c r="C555" s="542" t="s">
        <v>1056</v>
      </c>
      <c r="D555" s="559">
        <v>25</v>
      </c>
      <c r="E555" s="545">
        <v>134000</v>
      </c>
      <c r="F555" s="546">
        <v>110</v>
      </c>
      <c r="G555" s="653">
        <v>430</v>
      </c>
      <c r="H555" s="654">
        <v>390</v>
      </c>
      <c r="I555" s="654">
        <v>510</v>
      </c>
      <c r="J555" s="561">
        <v>70</v>
      </c>
      <c r="K555" s="554" t="s">
        <v>221</v>
      </c>
      <c r="L555" s="562">
        <v>10</v>
      </c>
      <c r="M555" s="561">
        <v>1000</v>
      </c>
      <c r="N555" s="592">
        <v>0.1</v>
      </c>
      <c r="O555" s="594">
        <v>1.4</v>
      </c>
      <c r="P555" s="590">
        <v>94</v>
      </c>
      <c r="Q555" s="431"/>
      <c r="R555" s="430">
        <v>16.89</v>
      </c>
      <c r="S555" s="498"/>
      <c r="T555" s="751">
        <v>14332.4</v>
      </c>
      <c r="U555" s="447">
        <v>16.89</v>
      </c>
      <c r="V555" s="654">
        <v>187.6</v>
      </c>
      <c r="W555" s="636"/>
      <c r="X555" s="442"/>
      <c r="Y555" s="764">
        <v>187.6</v>
      </c>
      <c r="Z555" s="776">
        <v>107.89585714285712</v>
      </c>
      <c r="AA555" s="780">
        <v>431.58342857142856</v>
      </c>
      <c r="AB555" s="811"/>
      <c r="AC555" s="818">
        <v>328</v>
      </c>
      <c r="AD555" s="811" t="s">
        <v>667</v>
      </c>
      <c r="AE555" s="811">
        <v>0</v>
      </c>
      <c r="AF555" s="643">
        <v>8063</v>
      </c>
    </row>
    <row r="556" spans="1:32" ht="31.5">
      <c r="A556" s="643">
        <v>8067</v>
      </c>
      <c r="B556" s="644"/>
      <c r="C556" s="542" t="s">
        <v>1057</v>
      </c>
      <c r="D556" s="559">
        <v>100</v>
      </c>
      <c r="E556" s="545">
        <v>723000</v>
      </c>
      <c r="F556" s="546">
        <v>560</v>
      </c>
      <c r="G556" s="653">
        <v>560</v>
      </c>
      <c r="H556" s="654">
        <v>480</v>
      </c>
      <c r="I556" s="654">
        <v>670</v>
      </c>
      <c r="J556" s="561">
        <v>200</v>
      </c>
      <c r="K556" s="554">
        <v>40</v>
      </c>
      <c r="L556" s="562">
        <v>10</v>
      </c>
      <c r="M556" s="561">
        <v>5000</v>
      </c>
      <c r="N556" s="592">
        <v>0.25</v>
      </c>
      <c r="O556" s="594">
        <v>0.5</v>
      </c>
      <c r="P556" s="590">
        <v>237</v>
      </c>
      <c r="Q556" s="431">
        <v>0.02</v>
      </c>
      <c r="R556" s="430">
        <v>818.16</v>
      </c>
      <c r="S556" s="175"/>
      <c r="T556" s="751">
        <v>65381.5</v>
      </c>
      <c r="U556" s="442">
        <v>2.2624</v>
      </c>
      <c r="V556" s="654">
        <v>72.3</v>
      </c>
      <c r="W556" s="654">
        <v>105.40799999999999</v>
      </c>
      <c r="X556" s="442">
        <v>0.56000000000000005</v>
      </c>
      <c r="Y556" s="764">
        <v>177.70799999999997</v>
      </c>
      <c r="Z556" s="776">
        <v>555.07704999999999</v>
      </c>
      <c r="AA556" s="780">
        <v>555.07704999999999</v>
      </c>
      <c r="AB556" s="812">
        <v>480</v>
      </c>
      <c r="AC556" s="818">
        <v>1906</v>
      </c>
      <c r="AD556" s="811" t="s">
        <v>667</v>
      </c>
      <c r="AE556" s="811">
        <v>1</v>
      </c>
      <c r="AF556" s="643">
        <v>8067</v>
      </c>
    </row>
    <row r="557" spans="1:32" ht="15.75">
      <c r="A557" s="633"/>
      <c r="B557" s="634"/>
      <c r="C557" s="633"/>
      <c r="D557" s="559"/>
      <c r="E557" s="545"/>
      <c r="F557" s="546"/>
      <c r="G557" s="655" t="s">
        <v>129</v>
      </c>
      <c r="H557" s="654"/>
      <c r="I557" s="654"/>
      <c r="J557" s="561"/>
      <c r="K557" s="635"/>
      <c r="L557" s="633"/>
      <c r="M557" s="561"/>
      <c r="N557" s="592" t="s">
        <v>129</v>
      </c>
      <c r="O557" s="594" t="s">
        <v>129</v>
      </c>
      <c r="P557" s="743"/>
      <c r="Q557" s="431">
        <v>0.02</v>
      </c>
      <c r="R557" s="430">
        <v>1022.7</v>
      </c>
      <c r="S557" s="496"/>
      <c r="T557" s="751" t="s">
        <v>129</v>
      </c>
      <c r="U557" s="442">
        <v>2.9067500000000002</v>
      </c>
      <c r="V557" s="654"/>
      <c r="W557" s="636"/>
      <c r="X557" s="442">
        <v>0.56000000000000005</v>
      </c>
      <c r="Y557" s="761" t="s">
        <v>129</v>
      </c>
      <c r="Z557" s="776"/>
      <c r="AA557" s="780"/>
      <c r="AB557" s="633"/>
      <c r="AC557" s="818" t="s">
        <v>129</v>
      </c>
      <c r="AD557" s="811"/>
      <c r="AE557" s="811"/>
      <c r="AF557" s="633"/>
    </row>
    <row r="558" spans="1:32" ht="15.75">
      <c r="A558" s="624">
        <v>8080</v>
      </c>
      <c r="B558" s="625"/>
      <c r="C558" s="626" t="s">
        <v>1058</v>
      </c>
      <c r="D558" s="627"/>
      <c r="E558" s="628"/>
      <c r="F558" s="629"/>
      <c r="G558" s="630" t="s">
        <v>129</v>
      </c>
      <c r="H558" s="631"/>
      <c r="I558" s="631"/>
      <c r="J558" s="632"/>
      <c r="K558" s="632"/>
      <c r="L558" s="627"/>
      <c r="M558" s="632"/>
      <c r="N558" s="739" t="s">
        <v>129</v>
      </c>
      <c r="O558" s="744" t="s">
        <v>129</v>
      </c>
      <c r="P558" s="742"/>
      <c r="Q558" s="431">
        <v>3.3300000000000003E-2</v>
      </c>
      <c r="R558" s="430">
        <v>1948</v>
      </c>
      <c r="S558" s="175"/>
      <c r="T558" s="750" t="s">
        <v>129</v>
      </c>
      <c r="U558" s="442">
        <v>5.4424999999999999</v>
      </c>
      <c r="V558" s="631"/>
      <c r="W558" s="631"/>
      <c r="X558" s="442">
        <v>0.93240000000000012</v>
      </c>
      <c r="Y558" s="763" t="s">
        <v>129</v>
      </c>
      <c r="Z558" s="774"/>
      <c r="AA558" s="775"/>
      <c r="AB558" s="810"/>
      <c r="AC558" s="817" t="s">
        <v>129</v>
      </c>
      <c r="AD558" s="810"/>
      <c r="AE558" s="810"/>
      <c r="AF558" s="624">
        <v>8080</v>
      </c>
    </row>
    <row r="559" spans="1:32" ht="15.75">
      <c r="A559" s="633"/>
      <c r="B559" s="634"/>
      <c r="C559" s="633"/>
      <c r="D559" s="559"/>
      <c r="E559" s="545"/>
      <c r="F559" s="546"/>
      <c r="G559" s="655" t="s">
        <v>129</v>
      </c>
      <c r="H559" s="654"/>
      <c r="I559" s="654"/>
      <c r="J559" s="561"/>
      <c r="K559" s="635"/>
      <c r="L559" s="633"/>
      <c r="M559" s="561"/>
      <c r="N559" s="592" t="s">
        <v>129</v>
      </c>
      <c r="O559" s="594" t="s">
        <v>129</v>
      </c>
      <c r="P559" s="743"/>
      <c r="Q559" s="431">
        <v>2.5000000000000001E-2</v>
      </c>
      <c r="R559" s="430">
        <v>448.04</v>
      </c>
      <c r="S559" s="497">
        <v>84</v>
      </c>
      <c r="T559" s="751" t="s">
        <v>129</v>
      </c>
      <c r="U559" s="442">
        <v>1.3531</v>
      </c>
      <c r="V559" s="654"/>
      <c r="W559" s="636"/>
      <c r="X559" s="442">
        <v>0.70000000000000007</v>
      </c>
      <c r="Y559" s="761" t="s">
        <v>129</v>
      </c>
      <c r="Z559" s="776"/>
      <c r="AA559" s="780"/>
      <c r="AB559" s="633"/>
      <c r="AC559" s="818" t="s">
        <v>129</v>
      </c>
      <c r="AD559" s="811"/>
      <c r="AE559" s="811"/>
      <c r="AF559" s="633"/>
    </row>
    <row r="560" spans="1:32" ht="31.5">
      <c r="A560" s="643">
        <v>8082</v>
      </c>
      <c r="B560" s="644"/>
      <c r="C560" s="644" t="s">
        <v>1059</v>
      </c>
      <c r="D560" s="581">
        <v>130</v>
      </c>
      <c r="E560" s="545">
        <v>673000</v>
      </c>
      <c r="F560" s="649">
        <v>320</v>
      </c>
      <c r="G560" s="710">
        <v>2.5</v>
      </c>
      <c r="H560" s="636">
        <v>290</v>
      </c>
      <c r="I560" s="636">
        <v>380</v>
      </c>
      <c r="J560" s="549">
        <v>400</v>
      </c>
      <c r="K560" s="554">
        <v>35</v>
      </c>
      <c r="L560" s="562">
        <v>12</v>
      </c>
      <c r="M560" s="549">
        <v>5000</v>
      </c>
      <c r="N560" s="592">
        <v>0</v>
      </c>
      <c r="O560" s="594">
        <v>0.6</v>
      </c>
      <c r="P560" s="590">
        <v>256</v>
      </c>
      <c r="Q560" s="431">
        <v>0.02</v>
      </c>
      <c r="R560" s="430">
        <v>809.1</v>
      </c>
      <c r="S560" s="175">
        <v>78</v>
      </c>
      <c r="T560" s="751">
        <v>65738.333333333343</v>
      </c>
      <c r="U560" s="442">
        <v>3.0390000000000001</v>
      </c>
      <c r="V560" s="636">
        <v>80.759999999999991</v>
      </c>
      <c r="W560" s="636">
        <v>49.959000000000003</v>
      </c>
      <c r="X560" s="442">
        <v>0.56000000000000005</v>
      </c>
      <c r="Y560" s="761">
        <v>130.71899999999999</v>
      </c>
      <c r="Z560" s="776">
        <v>324.57131666666669</v>
      </c>
      <c r="AA560" s="790">
        <v>2.4967024358974359</v>
      </c>
      <c r="AB560" s="812">
        <v>260</v>
      </c>
      <c r="AC560" s="818">
        <v>1806</v>
      </c>
      <c r="AD560" s="811" t="s">
        <v>633</v>
      </c>
      <c r="AE560" s="811">
        <v>1</v>
      </c>
      <c r="AF560" s="643">
        <v>8082</v>
      </c>
    </row>
    <row r="561" spans="1:32" ht="15.75">
      <c r="A561" s="633"/>
      <c r="B561" s="634"/>
      <c r="C561" s="633"/>
      <c r="D561" s="551"/>
      <c r="E561" s="545"/>
      <c r="F561" s="546"/>
      <c r="G561" s="635" t="s">
        <v>129</v>
      </c>
      <c r="H561" s="636"/>
      <c r="I561" s="636"/>
      <c r="J561" s="549"/>
      <c r="K561" s="635"/>
      <c r="L561" s="633"/>
      <c r="M561" s="549"/>
      <c r="N561" s="592" t="s">
        <v>129</v>
      </c>
      <c r="O561" s="594" t="s">
        <v>129</v>
      </c>
      <c r="P561" s="743"/>
      <c r="Q561" s="431"/>
      <c r="R561" s="430" t="s">
        <v>129</v>
      </c>
      <c r="S561" s="497">
        <v>90</v>
      </c>
      <c r="T561" s="751" t="s">
        <v>129</v>
      </c>
      <c r="U561" s="442"/>
      <c r="V561" s="636"/>
      <c r="W561" s="636"/>
      <c r="X561" s="442"/>
      <c r="Y561" s="761" t="s">
        <v>129</v>
      </c>
      <c r="Z561" s="776"/>
      <c r="AA561" s="777"/>
      <c r="AB561" s="633"/>
      <c r="AC561" s="818" t="s">
        <v>129</v>
      </c>
      <c r="AD561" s="811"/>
      <c r="AE561" s="811"/>
      <c r="AF561" s="633"/>
    </row>
    <row r="562" spans="1:32" ht="15.75">
      <c r="A562" s="663"/>
      <c r="B562" s="664"/>
      <c r="C562" s="665" t="s">
        <v>1060</v>
      </c>
      <c r="D562" s="666"/>
      <c r="E562" s="667"/>
      <c r="F562" s="668"/>
      <c r="G562" s="669" t="s">
        <v>129</v>
      </c>
      <c r="H562" s="670"/>
      <c r="I562" s="670"/>
      <c r="J562" s="671"/>
      <c r="K562" s="672"/>
      <c r="L562" s="737"/>
      <c r="M562" s="671"/>
      <c r="N562" s="740" t="s">
        <v>129</v>
      </c>
      <c r="O562" s="746" t="s">
        <v>129</v>
      </c>
      <c r="P562" s="747"/>
      <c r="Q562" s="429"/>
      <c r="R562" s="430" t="s">
        <v>129</v>
      </c>
      <c r="S562" s="175"/>
      <c r="T562" s="754" t="s">
        <v>129</v>
      </c>
      <c r="U562" s="438"/>
      <c r="V562" s="670"/>
      <c r="W562" s="670"/>
      <c r="X562" s="438"/>
      <c r="Y562" s="766" t="s">
        <v>129</v>
      </c>
      <c r="Z562" s="785"/>
      <c r="AA562" s="786"/>
      <c r="AB562" s="813"/>
      <c r="AC562" s="821" t="s">
        <v>129</v>
      </c>
      <c r="AD562" s="813"/>
      <c r="AE562" s="813"/>
      <c r="AF562" s="663"/>
    </row>
    <row r="563" spans="1:32" ht="15.75">
      <c r="A563" s="633"/>
      <c r="B563" s="634"/>
      <c r="C563" s="633"/>
      <c r="D563" s="559"/>
      <c r="E563" s="545"/>
      <c r="F563" s="546"/>
      <c r="G563" s="655" t="s">
        <v>129</v>
      </c>
      <c r="H563" s="654"/>
      <c r="I563" s="654"/>
      <c r="J563" s="561"/>
      <c r="K563" s="635"/>
      <c r="L563" s="633"/>
      <c r="M563" s="561"/>
      <c r="N563" s="592" t="s">
        <v>129</v>
      </c>
      <c r="O563" s="594" t="s">
        <v>129</v>
      </c>
      <c r="P563" s="743"/>
      <c r="Q563" s="435"/>
      <c r="R563" s="430" t="s">
        <v>129</v>
      </c>
      <c r="S563" s="496"/>
      <c r="T563" s="751" t="s">
        <v>129</v>
      </c>
      <c r="U563" s="448"/>
      <c r="V563" s="654"/>
      <c r="W563" s="636"/>
      <c r="X563" s="440"/>
      <c r="Y563" s="761" t="s">
        <v>129</v>
      </c>
      <c r="Z563" s="776"/>
      <c r="AA563" s="780"/>
      <c r="AB563" s="633"/>
      <c r="AC563" s="818" t="s">
        <v>129</v>
      </c>
      <c r="AD563" s="811"/>
      <c r="AE563" s="811"/>
      <c r="AF563" s="633"/>
    </row>
    <row r="564" spans="1:32" ht="15.75">
      <c r="A564" s="624">
        <v>9000</v>
      </c>
      <c r="B564" s="625"/>
      <c r="C564" s="650" t="s">
        <v>1061</v>
      </c>
      <c r="D564" s="651"/>
      <c r="E564" s="628"/>
      <c r="F564" s="629"/>
      <c r="G564" s="630" t="s">
        <v>129</v>
      </c>
      <c r="H564" s="631"/>
      <c r="I564" s="631"/>
      <c r="J564" s="632"/>
      <c r="K564" s="632"/>
      <c r="L564" s="627"/>
      <c r="M564" s="632"/>
      <c r="N564" s="739" t="s">
        <v>129</v>
      </c>
      <c r="O564" s="744" t="s">
        <v>129</v>
      </c>
      <c r="P564" s="742"/>
      <c r="Q564" s="431">
        <v>0.25</v>
      </c>
      <c r="R564" s="430">
        <v>1378.25</v>
      </c>
      <c r="S564" s="175"/>
      <c r="T564" s="750" t="s">
        <v>129</v>
      </c>
      <c r="U564" s="448">
        <v>308.20833333333331</v>
      </c>
      <c r="V564" s="631"/>
      <c r="W564" s="631"/>
      <c r="X564" s="440">
        <v>7</v>
      </c>
      <c r="Y564" s="763" t="s">
        <v>129</v>
      </c>
      <c r="Z564" s="774"/>
      <c r="AA564" s="775"/>
      <c r="AB564" s="810"/>
      <c r="AC564" s="817" t="s">
        <v>129</v>
      </c>
      <c r="AD564" s="810"/>
      <c r="AE564" s="810"/>
      <c r="AF564" s="624">
        <v>9000</v>
      </c>
    </row>
    <row r="565" spans="1:32" ht="15.75">
      <c r="A565" s="633"/>
      <c r="B565" s="634"/>
      <c r="C565" s="633"/>
      <c r="D565" s="559"/>
      <c r="E565" s="545"/>
      <c r="F565" s="546"/>
      <c r="G565" s="655" t="s">
        <v>129</v>
      </c>
      <c r="H565" s="654"/>
      <c r="I565" s="654"/>
      <c r="J565" s="561"/>
      <c r="K565" s="635"/>
      <c r="L565" s="633"/>
      <c r="M565" s="561"/>
      <c r="N565" s="592" t="s">
        <v>129</v>
      </c>
      <c r="O565" s="594" t="s">
        <v>129</v>
      </c>
      <c r="P565" s="743"/>
      <c r="Q565" s="431">
        <v>0.25</v>
      </c>
      <c r="R565" s="430">
        <v>3501.5</v>
      </c>
      <c r="S565" s="175">
        <v>54</v>
      </c>
      <c r="T565" s="751" t="s">
        <v>129</v>
      </c>
      <c r="U565" s="448">
        <v>335.79166666666669</v>
      </c>
      <c r="V565" s="654"/>
      <c r="W565" s="636"/>
      <c r="X565" s="440">
        <v>7</v>
      </c>
      <c r="Y565" s="761" t="s">
        <v>129</v>
      </c>
      <c r="Z565" s="776"/>
      <c r="AA565" s="780"/>
      <c r="AB565" s="633"/>
      <c r="AC565" s="818" t="s">
        <v>129</v>
      </c>
      <c r="AD565" s="811"/>
      <c r="AE565" s="811"/>
      <c r="AF565" s="633"/>
    </row>
    <row r="566" spans="1:32" ht="15.75">
      <c r="A566" s="643">
        <v>9001</v>
      </c>
      <c r="B566" s="644"/>
      <c r="C566" s="644" t="s">
        <v>1062</v>
      </c>
      <c r="D566" s="559">
        <v>137</v>
      </c>
      <c r="E566" s="545">
        <v>11000</v>
      </c>
      <c r="F566" s="546">
        <v>94</v>
      </c>
      <c r="G566" s="653">
        <v>68</v>
      </c>
      <c r="H566" s="654">
        <v>61</v>
      </c>
      <c r="I566" s="654">
        <v>81</v>
      </c>
      <c r="J566" s="561">
        <v>30</v>
      </c>
      <c r="K566" s="554" t="s">
        <v>221</v>
      </c>
      <c r="L566" s="562">
        <v>10</v>
      </c>
      <c r="M566" s="561">
        <v>800</v>
      </c>
      <c r="N566" s="592">
        <v>0.25</v>
      </c>
      <c r="O566" s="594">
        <v>1.95</v>
      </c>
      <c r="P566" s="590">
        <v>14</v>
      </c>
      <c r="Q566" s="431"/>
      <c r="R566" s="430" t="s">
        <v>129</v>
      </c>
      <c r="S566" s="497">
        <v>84</v>
      </c>
      <c r="T566" s="751">
        <v>1060.5</v>
      </c>
      <c r="U566" s="448"/>
      <c r="V566" s="654">
        <v>26.8125</v>
      </c>
      <c r="W566" s="636"/>
      <c r="X566" s="440"/>
      <c r="Y566" s="764">
        <v>26.8125</v>
      </c>
      <c r="Z566" s="776">
        <v>93.678887500000016</v>
      </c>
      <c r="AA566" s="780">
        <v>68.378750000000011</v>
      </c>
      <c r="AB566" s="811"/>
      <c r="AC566" s="818">
        <v>22</v>
      </c>
      <c r="AD566" s="811" t="s">
        <v>667</v>
      </c>
      <c r="AE566" s="811">
        <v>0</v>
      </c>
      <c r="AF566" s="643">
        <v>9001</v>
      </c>
    </row>
    <row r="567" spans="1:32" ht="15.75">
      <c r="A567" s="643">
        <v>9002</v>
      </c>
      <c r="B567" s="644"/>
      <c r="C567" s="644" t="s">
        <v>1063</v>
      </c>
      <c r="D567" s="559">
        <v>137</v>
      </c>
      <c r="E567" s="545">
        <v>12000</v>
      </c>
      <c r="F567" s="546">
        <v>41</v>
      </c>
      <c r="G567" s="653">
        <v>30</v>
      </c>
      <c r="H567" s="654">
        <v>26</v>
      </c>
      <c r="I567" s="654">
        <v>37</v>
      </c>
      <c r="J567" s="561">
        <v>70</v>
      </c>
      <c r="K567" s="554" t="s">
        <v>221</v>
      </c>
      <c r="L567" s="562">
        <v>10</v>
      </c>
      <c r="M567" s="561">
        <v>1000</v>
      </c>
      <c r="N567" s="592">
        <v>0.1</v>
      </c>
      <c r="O567" s="594">
        <v>0.7</v>
      </c>
      <c r="P567" s="590">
        <v>13</v>
      </c>
      <c r="Q567" s="429"/>
      <c r="R567" s="430" t="s">
        <v>129</v>
      </c>
      <c r="S567" s="175">
        <v>102</v>
      </c>
      <c r="T567" s="751">
        <v>1310.2</v>
      </c>
      <c r="U567" s="438"/>
      <c r="V567" s="654">
        <v>8.3999999999999986</v>
      </c>
      <c r="W567" s="636"/>
      <c r="X567" s="438"/>
      <c r="Y567" s="764">
        <v>8.3999999999999986</v>
      </c>
      <c r="Z567" s="776">
        <v>40.865534285714283</v>
      </c>
      <c r="AA567" s="780">
        <v>29.828857142857142</v>
      </c>
      <c r="AB567" s="811"/>
      <c r="AC567" s="818">
        <v>24</v>
      </c>
      <c r="AD567" s="811" t="s">
        <v>667</v>
      </c>
      <c r="AE567" s="811">
        <v>0</v>
      </c>
      <c r="AF567" s="643">
        <v>9002</v>
      </c>
    </row>
    <row r="568" spans="1:32" ht="15.75">
      <c r="A568" s="643">
        <v>9003</v>
      </c>
      <c r="B568" s="644"/>
      <c r="C568" s="644" t="s">
        <v>1064</v>
      </c>
      <c r="D568" s="559">
        <v>130</v>
      </c>
      <c r="E568" s="545">
        <v>10500</v>
      </c>
      <c r="F568" s="546">
        <v>29</v>
      </c>
      <c r="G568" s="653">
        <v>22</v>
      </c>
      <c r="H568" s="654">
        <v>19</v>
      </c>
      <c r="I568" s="654">
        <v>27</v>
      </c>
      <c r="J568" s="561">
        <v>70</v>
      </c>
      <c r="K568" s="554" t="s">
        <v>221</v>
      </c>
      <c r="L568" s="562">
        <v>12</v>
      </c>
      <c r="M568" s="561">
        <v>1500</v>
      </c>
      <c r="N568" s="592">
        <v>0.25</v>
      </c>
      <c r="O568" s="594">
        <v>1.05</v>
      </c>
      <c r="P568" s="590">
        <v>15</v>
      </c>
      <c r="Q568" s="431"/>
      <c r="R568" s="430" t="s">
        <v>129</v>
      </c>
      <c r="S568" s="497">
        <v>126</v>
      </c>
      <c r="T568" s="751">
        <v>892.5</v>
      </c>
      <c r="U568" s="440"/>
      <c r="V568" s="654">
        <v>7.3500000000000005</v>
      </c>
      <c r="W568" s="636"/>
      <c r="X568" s="440"/>
      <c r="Y568" s="764">
        <v>7.3500000000000005</v>
      </c>
      <c r="Z568" s="776">
        <v>28.743000000000002</v>
      </c>
      <c r="AA568" s="780">
        <v>22.110000000000003</v>
      </c>
      <c r="AB568" s="811"/>
      <c r="AC568" s="818">
        <v>21</v>
      </c>
      <c r="AD568" s="811" t="s">
        <v>667</v>
      </c>
      <c r="AE568" s="811">
        <v>0</v>
      </c>
      <c r="AF568" s="643">
        <v>9003</v>
      </c>
    </row>
    <row r="569" spans="1:32" ht="15.75">
      <c r="A569" s="633"/>
      <c r="B569" s="634"/>
      <c r="C569" s="633"/>
      <c r="D569" s="559"/>
      <c r="E569" s="545"/>
      <c r="F569" s="546"/>
      <c r="G569" s="655" t="s">
        <v>129</v>
      </c>
      <c r="H569" s="654"/>
      <c r="I569" s="654"/>
      <c r="J569" s="561"/>
      <c r="K569" s="635"/>
      <c r="L569" s="633"/>
      <c r="M569" s="561"/>
      <c r="N569" s="592" t="s">
        <v>129</v>
      </c>
      <c r="O569" s="594" t="s">
        <v>129</v>
      </c>
      <c r="P569" s="743"/>
      <c r="Q569" s="431">
        <v>1.5</v>
      </c>
      <c r="R569" s="430">
        <v>5941.4</v>
      </c>
      <c r="S569" s="175">
        <v>156</v>
      </c>
      <c r="T569" s="751" t="s">
        <v>129</v>
      </c>
      <c r="U569" s="440">
        <v>223.41333333333333</v>
      </c>
      <c r="V569" s="654"/>
      <c r="W569" s="636"/>
      <c r="X569" s="440">
        <v>42</v>
      </c>
      <c r="Y569" s="764" t="s">
        <v>129</v>
      </c>
      <c r="Z569" s="776"/>
      <c r="AA569" s="780"/>
      <c r="AB569" s="633"/>
      <c r="AC569" s="818" t="s">
        <v>129</v>
      </c>
      <c r="AD569" s="811"/>
      <c r="AE569" s="811"/>
      <c r="AF569" s="633"/>
    </row>
    <row r="570" spans="1:32" ht="15.75">
      <c r="A570" s="624">
        <v>9010</v>
      </c>
      <c r="B570" s="625"/>
      <c r="C570" s="711" t="s">
        <v>1065</v>
      </c>
      <c r="D570" s="628"/>
      <c r="E570" s="628"/>
      <c r="F570" s="629"/>
      <c r="G570" s="630" t="s">
        <v>129</v>
      </c>
      <c r="H570" s="631"/>
      <c r="I570" s="631"/>
      <c r="J570" s="632"/>
      <c r="K570" s="632"/>
      <c r="L570" s="627"/>
      <c r="M570" s="632"/>
      <c r="N570" s="739" t="s">
        <v>129</v>
      </c>
      <c r="O570" s="744" t="s">
        <v>129</v>
      </c>
      <c r="P570" s="742"/>
      <c r="Q570" s="431">
        <v>1</v>
      </c>
      <c r="R570" s="430">
        <v>15736</v>
      </c>
      <c r="S570" s="497">
        <v>846</v>
      </c>
      <c r="T570" s="750" t="s">
        <v>129</v>
      </c>
      <c r="U570" s="440">
        <v>239.62857142857143</v>
      </c>
      <c r="V570" s="631"/>
      <c r="W570" s="631"/>
      <c r="X570" s="440">
        <v>28</v>
      </c>
      <c r="Y570" s="768" t="s">
        <v>129</v>
      </c>
      <c r="Z570" s="774"/>
      <c r="AA570" s="775"/>
      <c r="AB570" s="810"/>
      <c r="AC570" s="817" t="s">
        <v>129</v>
      </c>
      <c r="AD570" s="810"/>
      <c r="AE570" s="810"/>
      <c r="AF570" s="624">
        <v>9010</v>
      </c>
    </row>
    <row r="571" spans="1:32" ht="15.75">
      <c r="A571" s="633"/>
      <c r="B571" s="634"/>
      <c r="C571" s="633"/>
      <c r="D571" s="559"/>
      <c r="E571" s="545"/>
      <c r="F571" s="546"/>
      <c r="G571" s="655" t="s">
        <v>129</v>
      </c>
      <c r="H571" s="654"/>
      <c r="I571" s="654"/>
      <c r="J571" s="561"/>
      <c r="K571" s="635"/>
      <c r="L571" s="633"/>
      <c r="M571" s="561"/>
      <c r="N571" s="592" t="s">
        <v>129</v>
      </c>
      <c r="O571" s="594" t="s">
        <v>129</v>
      </c>
      <c r="P571" s="743"/>
      <c r="Q571" s="431">
        <v>0.33300000000000002</v>
      </c>
      <c r="R571" s="430">
        <v>10003.6</v>
      </c>
      <c r="S571" s="175">
        <v>102</v>
      </c>
      <c r="T571" s="751" t="s">
        <v>129</v>
      </c>
      <c r="U571" s="440">
        <v>133.07</v>
      </c>
      <c r="V571" s="654"/>
      <c r="W571" s="636"/>
      <c r="X571" s="440">
        <v>9.3239999999999998</v>
      </c>
      <c r="Y571" s="761" t="s">
        <v>129</v>
      </c>
      <c r="Z571" s="776"/>
      <c r="AA571" s="780"/>
      <c r="AB571" s="633"/>
      <c r="AC571" s="818" t="s">
        <v>129</v>
      </c>
      <c r="AD571" s="811"/>
      <c r="AE571" s="811"/>
      <c r="AF571" s="633"/>
    </row>
    <row r="572" spans="1:32" ht="15.75">
      <c r="A572" s="643">
        <v>9011</v>
      </c>
      <c r="B572" s="644"/>
      <c r="C572" s="644" t="s">
        <v>1066</v>
      </c>
      <c r="D572" s="559">
        <v>137</v>
      </c>
      <c r="E572" s="545">
        <v>9400</v>
      </c>
      <c r="F572" s="546">
        <v>59</v>
      </c>
      <c r="G572" s="653">
        <v>43</v>
      </c>
      <c r="H572" s="654">
        <v>39</v>
      </c>
      <c r="I572" s="654">
        <v>49</v>
      </c>
      <c r="J572" s="561">
        <v>50</v>
      </c>
      <c r="K572" s="554" t="s">
        <v>221</v>
      </c>
      <c r="L572" s="590">
        <v>10</v>
      </c>
      <c r="M572" s="561">
        <v>1200</v>
      </c>
      <c r="N572" s="592">
        <v>0.25</v>
      </c>
      <c r="O572" s="594">
        <v>2.7</v>
      </c>
      <c r="P572" s="590">
        <v>9</v>
      </c>
      <c r="Q572" s="431">
        <v>0.33300000000000002</v>
      </c>
      <c r="R572" s="430">
        <v>18883.2</v>
      </c>
      <c r="S572" s="503">
        <v>132</v>
      </c>
      <c r="T572" s="751">
        <v>885.5</v>
      </c>
      <c r="U572" s="440">
        <v>251.815</v>
      </c>
      <c r="V572" s="654">
        <v>21.150000000000002</v>
      </c>
      <c r="W572" s="636"/>
      <c r="X572" s="440">
        <v>9.3239999999999998</v>
      </c>
      <c r="Y572" s="764">
        <v>21.150000000000002</v>
      </c>
      <c r="Z572" s="776">
        <v>58.562020000000004</v>
      </c>
      <c r="AA572" s="780">
        <v>42.746000000000002</v>
      </c>
      <c r="AB572" s="811"/>
      <c r="AC572" s="818">
        <v>18.8</v>
      </c>
      <c r="AD572" s="811" t="s">
        <v>667</v>
      </c>
      <c r="AE572" s="811">
        <v>0</v>
      </c>
      <c r="AF572" s="643">
        <v>9011</v>
      </c>
    </row>
    <row r="573" spans="1:32" ht="15.75">
      <c r="A573" s="643">
        <v>9012</v>
      </c>
      <c r="B573" s="644"/>
      <c r="C573" s="644" t="s">
        <v>1067</v>
      </c>
      <c r="D573" s="559">
        <v>180</v>
      </c>
      <c r="E573" s="545">
        <v>14500</v>
      </c>
      <c r="F573" s="546">
        <v>59</v>
      </c>
      <c r="G573" s="653">
        <v>33</v>
      </c>
      <c r="H573" s="654">
        <v>29</v>
      </c>
      <c r="I573" s="654">
        <v>39</v>
      </c>
      <c r="J573" s="561">
        <v>80</v>
      </c>
      <c r="K573" s="554" t="s">
        <v>221</v>
      </c>
      <c r="L573" s="590">
        <v>10</v>
      </c>
      <c r="M573" s="561">
        <v>2000</v>
      </c>
      <c r="N573" s="592">
        <v>0.25</v>
      </c>
      <c r="O573" s="594">
        <v>1.75</v>
      </c>
      <c r="P573" s="590">
        <v>14</v>
      </c>
      <c r="Q573" s="431">
        <v>0.5</v>
      </c>
      <c r="R573" s="430">
        <v>71261.600000000006</v>
      </c>
      <c r="S573" s="175">
        <v>258</v>
      </c>
      <c r="T573" s="751">
        <v>1366.75</v>
      </c>
      <c r="U573" s="440">
        <v>373.44300000000004</v>
      </c>
      <c r="V573" s="654">
        <v>12.6875</v>
      </c>
      <c r="W573" s="636"/>
      <c r="X573" s="440">
        <v>14</v>
      </c>
      <c r="Y573" s="764">
        <v>12.6875</v>
      </c>
      <c r="Z573" s="776">
        <v>58.9483125</v>
      </c>
      <c r="AA573" s="780">
        <v>32.749062500000001</v>
      </c>
      <c r="AB573" s="811"/>
      <c r="AC573" s="818">
        <v>29</v>
      </c>
      <c r="AD573" s="811" t="s">
        <v>667</v>
      </c>
      <c r="AE573" s="811">
        <v>0</v>
      </c>
      <c r="AF573" s="643">
        <v>9012</v>
      </c>
    </row>
    <row r="574" spans="1:32" ht="15.75">
      <c r="A574" s="643">
        <v>9015</v>
      </c>
      <c r="B574" s="644"/>
      <c r="C574" s="644" t="s">
        <v>1068</v>
      </c>
      <c r="D574" s="559">
        <v>200</v>
      </c>
      <c r="E574" s="545">
        <v>17500</v>
      </c>
      <c r="F574" s="546">
        <v>64</v>
      </c>
      <c r="G574" s="653">
        <v>32</v>
      </c>
      <c r="H574" s="654">
        <v>28</v>
      </c>
      <c r="I574" s="654">
        <v>39</v>
      </c>
      <c r="J574" s="561">
        <v>100</v>
      </c>
      <c r="K574" s="554" t="s">
        <v>221</v>
      </c>
      <c r="L574" s="590">
        <v>10</v>
      </c>
      <c r="M574" s="561">
        <v>1200</v>
      </c>
      <c r="N574" s="592">
        <v>0.1</v>
      </c>
      <c r="O574" s="594">
        <v>0.7</v>
      </c>
      <c r="P574" s="590">
        <v>17</v>
      </c>
      <c r="Q574" s="431">
        <v>0.5</v>
      </c>
      <c r="R574" s="430">
        <v>6818</v>
      </c>
      <c r="S574" s="503">
        <v>276</v>
      </c>
      <c r="T574" s="751">
        <v>1897</v>
      </c>
      <c r="U574" s="440">
        <v>630.16666666666663</v>
      </c>
      <c r="V574" s="654">
        <v>10.208333333333334</v>
      </c>
      <c r="W574" s="636"/>
      <c r="X574" s="440">
        <v>14</v>
      </c>
      <c r="Y574" s="764">
        <v>10.208333333333334</v>
      </c>
      <c r="Z574" s="776">
        <v>64.192333333333337</v>
      </c>
      <c r="AA574" s="780">
        <v>32.096166666666669</v>
      </c>
      <c r="AB574" s="811"/>
      <c r="AC574" s="818">
        <v>35</v>
      </c>
      <c r="AD574" s="811" t="s">
        <v>667</v>
      </c>
      <c r="AE574" s="811">
        <v>0</v>
      </c>
      <c r="AF574" s="643">
        <v>9015</v>
      </c>
    </row>
    <row r="575" spans="1:32" ht="15.75">
      <c r="A575" s="633">
        <v>9016</v>
      </c>
      <c r="B575" s="634"/>
      <c r="C575" s="633" t="s">
        <v>1069</v>
      </c>
      <c r="D575" s="559">
        <v>200</v>
      </c>
      <c r="E575" s="545">
        <v>30000</v>
      </c>
      <c r="F575" s="546">
        <v>105</v>
      </c>
      <c r="G575" s="653">
        <v>51</v>
      </c>
      <c r="H575" s="654">
        <v>44</v>
      </c>
      <c r="I575" s="654">
        <v>63</v>
      </c>
      <c r="J575" s="561">
        <v>100</v>
      </c>
      <c r="K575" s="635" t="s">
        <v>221</v>
      </c>
      <c r="L575" s="738">
        <v>10</v>
      </c>
      <c r="M575" s="561">
        <v>1200</v>
      </c>
      <c r="N575" s="592">
        <v>0.1</v>
      </c>
      <c r="O575" s="594">
        <v>0.6</v>
      </c>
      <c r="P575" s="743">
        <v>17</v>
      </c>
      <c r="Q575" s="431"/>
      <c r="R575" s="430" t="s">
        <v>129</v>
      </c>
      <c r="S575" s="175">
        <v>372</v>
      </c>
      <c r="T575" s="751">
        <v>3167</v>
      </c>
      <c r="U575" s="440"/>
      <c r="V575" s="654">
        <v>15</v>
      </c>
      <c r="W575" s="636"/>
      <c r="X575" s="440"/>
      <c r="Y575" s="761">
        <v>15</v>
      </c>
      <c r="Z575" s="776">
        <v>102.67400000000002</v>
      </c>
      <c r="AA575" s="780">
        <v>51.337000000000003</v>
      </c>
      <c r="AB575" s="633"/>
      <c r="AC575" s="818">
        <v>60</v>
      </c>
      <c r="AD575" s="811" t="s">
        <v>667</v>
      </c>
      <c r="AE575" s="811">
        <v>0</v>
      </c>
      <c r="AF575" s="633">
        <v>9016</v>
      </c>
    </row>
    <row r="576" spans="1:32" ht="15.75">
      <c r="A576" s="643">
        <v>9017</v>
      </c>
      <c r="B576" s="644"/>
      <c r="C576" s="644" t="s">
        <v>1070</v>
      </c>
      <c r="D576" s="559">
        <v>300</v>
      </c>
      <c r="E576" s="545">
        <v>40000</v>
      </c>
      <c r="F576" s="546">
        <v>160</v>
      </c>
      <c r="G576" s="653">
        <v>53</v>
      </c>
      <c r="H576" s="654">
        <v>47</v>
      </c>
      <c r="I576" s="654">
        <v>63</v>
      </c>
      <c r="J576" s="561">
        <v>150</v>
      </c>
      <c r="K576" s="554"/>
      <c r="L576" s="590">
        <v>10</v>
      </c>
      <c r="M576" s="561">
        <v>1200</v>
      </c>
      <c r="N576" s="592">
        <v>0.1</v>
      </c>
      <c r="O576" s="594">
        <v>0.6</v>
      </c>
      <c r="P576" s="590">
        <v>18</v>
      </c>
      <c r="Q576" s="429"/>
      <c r="R576" s="430" t="s">
        <v>129</v>
      </c>
      <c r="S576" s="503">
        <v>720</v>
      </c>
      <c r="T576" s="751">
        <v>4190</v>
      </c>
      <c r="U576" s="438"/>
      <c r="V576" s="654">
        <v>20</v>
      </c>
      <c r="W576" s="636"/>
      <c r="X576" s="438"/>
      <c r="Y576" s="764">
        <v>20</v>
      </c>
      <c r="Z576" s="776">
        <v>158.18</v>
      </c>
      <c r="AA576" s="780">
        <v>52.726666666666674</v>
      </c>
      <c r="AB576" s="811"/>
      <c r="AC576" s="818">
        <v>80</v>
      </c>
      <c r="AD576" s="811" t="s">
        <v>667</v>
      </c>
      <c r="AE576" s="811">
        <v>0</v>
      </c>
      <c r="AF576" s="643">
        <v>9017</v>
      </c>
    </row>
    <row r="577" spans="1:33" ht="15.75">
      <c r="A577" s="643">
        <v>9019</v>
      </c>
      <c r="B577" s="644"/>
      <c r="C577" s="644" t="s">
        <v>1071</v>
      </c>
      <c r="D577" s="559">
        <v>201</v>
      </c>
      <c r="E577" s="545">
        <v>41000</v>
      </c>
      <c r="F577" s="546">
        <v>125</v>
      </c>
      <c r="G577" s="653">
        <v>63</v>
      </c>
      <c r="H577" s="654">
        <v>53</v>
      </c>
      <c r="I577" s="654">
        <v>79</v>
      </c>
      <c r="J577" s="561">
        <v>100</v>
      </c>
      <c r="K577" s="554" t="s">
        <v>221</v>
      </c>
      <c r="L577" s="590">
        <v>10</v>
      </c>
      <c r="M577" s="561">
        <v>1500</v>
      </c>
      <c r="N577" s="592">
        <v>0.1</v>
      </c>
      <c r="O577" s="594">
        <v>0.45</v>
      </c>
      <c r="P577" s="590">
        <v>46</v>
      </c>
      <c r="Q577" s="431"/>
      <c r="R577" s="430" t="s">
        <v>129</v>
      </c>
      <c r="S577" s="175">
        <v>120</v>
      </c>
      <c r="T577" s="751">
        <v>4487.6000000000004</v>
      </c>
      <c r="U577" s="440"/>
      <c r="V577" s="654">
        <v>12.299999999999999</v>
      </c>
      <c r="W577" s="636"/>
      <c r="X577" s="440"/>
      <c r="Y577" s="764">
        <v>12.299999999999999</v>
      </c>
      <c r="Z577" s="776">
        <v>126.41613600000001</v>
      </c>
      <c r="AA577" s="780">
        <v>62.893600000000006</v>
      </c>
      <c r="AB577" s="811"/>
      <c r="AC577" s="818">
        <v>82</v>
      </c>
      <c r="AD577" s="811" t="s">
        <v>667</v>
      </c>
      <c r="AE577" s="811">
        <v>0</v>
      </c>
      <c r="AF577" s="643">
        <v>9019</v>
      </c>
    </row>
    <row r="578" spans="1:33" ht="15.75">
      <c r="A578" s="643">
        <v>9020</v>
      </c>
      <c r="B578" s="644"/>
      <c r="C578" s="644" t="s">
        <v>1072</v>
      </c>
      <c r="D578" s="559">
        <v>130</v>
      </c>
      <c r="E578" s="545">
        <v>8300</v>
      </c>
      <c r="F578" s="546">
        <v>33</v>
      </c>
      <c r="G578" s="653">
        <v>26</v>
      </c>
      <c r="H578" s="654">
        <v>22</v>
      </c>
      <c r="I578" s="654">
        <v>32</v>
      </c>
      <c r="J578" s="561">
        <v>60</v>
      </c>
      <c r="K578" s="554" t="s">
        <v>221</v>
      </c>
      <c r="L578" s="590">
        <v>10</v>
      </c>
      <c r="M578" s="561">
        <v>800</v>
      </c>
      <c r="N578" s="592">
        <v>0.1</v>
      </c>
      <c r="O578" s="594">
        <v>0.65</v>
      </c>
      <c r="P578" s="590">
        <v>21</v>
      </c>
      <c r="Q578" s="436">
        <v>0.01</v>
      </c>
      <c r="R578" s="430">
        <v>2175</v>
      </c>
      <c r="S578" s="503">
        <v>126</v>
      </c>
      <c r="T578" s="751">
        <v>990.28</v>
      </c>
      <c r="U578" s="442">
        <v>3.8716666666666666</v>
      </c>
      <c r="V578" s="654">
        <v>6.7437500000000004</v>
      </c>
      <c r="W578" s="636"/>
      <c r="X578" s="442">
        <v>0.28000000000000003</v>
      </c>
      <c r="Y578" s="764">
        <v>6.7437500000000004</v>
      </c>
      <c r="Z578" s="776">
        <v>33.245235833333332</v>
      </c>
      <c r="AA578" s="780">
        <v>25.573258333333332</v>
      </c>
      <c r="AB578" s="811"/>
      <c r="AC578" s="818">
        <v>16.600000000000001</v>
      </c>
      <c r="AD578" s="811" t="s">
        <v>667</v>
      </c>
      <c r="AE578" s="811">
        <v>0</v>
      </c>
      <c r="AF578" s="643">
        <v>9020</v>
      </c>
    </row>
    <row r="579" spans="1:33" ht="15.75">
      <c r="A579" s="633">
        <v>9021</v>
      </c>
      <c r="B579" s="634"/>
      <c r="C579" s="633" t="s">
        <v>1073</v>
      </c>
      <c r="D579" s="559">
        <v>172</v>
      </c>
      <c r="E579" s="545">
        <v>13000</v>
      </c>
      <c r="F579" s="546">
        <v>47</v>
      </c>
      <c r="G579" s="653">
        <v>27</v>
      </c>
      <c r="H579" s="654">
        <v>23</v>
      </c>
      <c r="I579" s="654">
        <v>34</v>
      </c>
      <c r="J579" s="561">
        <v>85</v>
      </c>
      <c r="K579" s="635" t="s">
        <v>221</v>
      </c>
      <c r="L579" s="738">
        <v>10</v>
      </c>
      <c r="M579" s="561">
        <v>1200</v>
      </c>
      <c r="N579" s="592">
        <v>0.1</v>
      </c>
      <c r="O579" s="594">
        <v>0.65</v>
      </c>
      <c r="P579" s="743">
        <v>26</v>
      </c>
      <c r="Q579" s="431">
        <v>0.5</v>
      </c>
      <c r="R579" s="430">
        <v>59783</v>
      </c>
      <c r="S579" s="175">
        <v>174</v>
      </c>
      <c r="T579" s="751">
        <v>1502.8</v>
      </c>
      <c r="U579" s="439">
        <v>158.05250000000001</v>
      </c>
      <c r="V579" s="654">
        <v>7.041666666666667</v>
      </c>
      <c r="W579" s="636"/>
      <c r="X579" s="439">
        <v>14</v>
      </c>
      <c r="Y579" s="761">
        <v>7.041666666666667</v>
      </c>
      <c r="Z579" s="776">
        <v>46.773393333333345</v>
      </c>
      <c r="AA579" s="780">
        <v>27.193833333333338</v>
      </c>
      <c r="AB579" s="633"/>
      <c r="AC579" s="818">
        <v>26</v>
      </c>
      <c r="AD579" s="811" t="s">
        <v>667</v>
      </c>
      <c r="AE579" s="811">
        <v>0</v>
      </c>
      <c r="AF579" s="633">
        <v>9021</v>
      </c>
    </row>
    <row r="580" spans="1:33" ht="15.75">
      <c r="A580" s="643">
        <v>9022</v>
      </c>
      <c r="B580" s="644"/>
      <c r="C580" s="644" t="s">
        <v>1074</v>
      </c>
      <c r="D580" s="559">
        <v>172</v>
      </c>
      <c r="E580" s="545">
        <v>24000</v>
      </c>
      <c r="F580" s="546">
        <v>84</v>
      </c>
      <c r="G580" s="653">
        <v>49</v>
      </c>
      <c r="H580" s="654">
        <v>42</v>
      </c>
      <c r="I580" s="654">
        <v>59</v>
      </c>
      <c r="J580" s="561">
        <v>90</v>
      </c>
      <c r="K580" s="554" t="s">
        <v>221</v>
      </c>
      <c r="L580" s="590">
        <v>10</v>
      </c>
      <c r="M580" s="561">
        <v>1200</v>
      </c>
      <c r="N580" s="592">
        <v>0.1</v>
      </c>
      <c r="O580" s="594">
        <v>0.75</v>
      </c>
      <c r="P580" s="590">
        <v>27</v>
      </c>
      <c r="Q580" s="431"/>
      <c r="R580" s="430" t="s">
        <v>129</v>
      </c>
      <c r="S580" s="175"/>
      <c r="T580" s="751">
        <v>2627.4</v>
      </c>
      <c r="U580" s="439"/>
      <c r="V580" s="654">
        <v>15</v>
      </c>
      <c r="W580" s="636"/>
      <c r="X580" s="439"/>
      <c r="Y580" s="764">
        <v>15</v>
      </c>
      <c r="Z580" s="776">
        <v>83.61378666666667</v>
      </c>
      <c r="AA580" s="780">
        <v>48.612666666666669</v>
      </c>
      <c r="AB580" s="811"/>
      <c r="AC580" s="818">
        <v>48</v>
      </c>
      <c r="AD580" s="811" t="s">
        <v>667</v>
      </c>
      <c r="AE580" s="811">
        <v>0</v>
      </c>
      <c r="AF580" s="643">
        <v>9022</v>
      </c>
    </row>
    <row r="581" spans="1:33" ht="15.75">
      <c r="A581" s="643">
        <v>9023</v>
      </c>
      <c r="B581" s="644"/>
      <c r="C581" s="644" t="s">
        <v>1075</v>
      </c>
      <c r="D581" s="559">
        <v>250</v>
      </c>
      <c r="E581" s="545">
        <v>32000</v>
      </c>
      <c r="F581" s="546">
        <v>155</v>
      </c>
      <c r="G581" s="653">
        <v>62</v>
      </c>
      <c r="H581" s="654">
        <v>54</v>
      </c>
      <c r="I581" s="654">
        <v>75</v>
      </c>
      <c r="J581" s="561">
        <v>100</v>
      </c>
      <c r="K581" s="554"/>
      <c r="L581" s="590">
        <v>10</v>
      </c>
      <c r="M581" s="561">
        <v>1200</v>
      </c>
      <c r="N581" s="592">
        <v>0.1</v>
      </c>
      <c r="O581" s="594">
        <v>0.75</v>
      </c>
      <c r="P581" s="590">
        <v>50</v>
      </c>
      <c r="Q581" s="431"/>
      <c r="R581" s="430" t="s">
        <v>129</v>
      </c>
      <c r="S581" s="496"/>
      <c r="T581" s="751">
        <v>3601.2</v>
      </c>
      <c r="U581" s="439"/>
      <c r="V581" s="654">
        <v>20</v>
      </c>
      <c r="W581" s="636"/>
      <c r="X581" s="439"/>
      <c r="Y581" s="764">
        <v>20</v>
      </c>
      <c r="Z581" s="776">
        <v>154.03300000000002</v>
      </c>
      <c r="AA581" s="780">
        <v>61.613200000000006</v>
      </c>
      <c r="AB581" s="811"/>
      <c r="AC581" s="818">
        <v>64</v>
      </c>
      <c r="AD581" s="811" t="s">
        <v>667</v>
      </c>
      <c r="AE581" s="811">
        <v>0</v>
      </c>
      <c r="AF581" s="643">
        <v>9023</v>
      </c>
    </row>
    <row r="582" spans="1:33" ht="15.75">
      <c r="A582" s="643">
        <v>9024</v>
      </c>
      <c r="B582" s="644"/>
      <c r="C582" s="644" t="s">
        <v>1076</v>
      </c>
      <c r="D582" s="559">
        <v>300</v>
      </c>
      <c r="E582" s="545">
        <v>38000</v>
      </c>
      <c r="F582" s="546">
        <v>195</v>
      </c>
      <c r="G582" s="653">
        <v>65</v>
      </c>
      <c r="H582" s="654">
        <v>57</v>
      </c>
      <c r="I582" s="654">
        <v>78</v>
      </c>
      <c r="J582" s="561">
        <v>120</v>
      </c>
      <c r="K582" s="554"/>
      <c r="L582" s="590">
        <v>10</v>
      </c>
      <c r="M582" s="561">
        <v>1200</v>
      </c>
      <c r="N582" s="592">
        <v>0.1</v>
      </c>
      <c r="O582" s="594">
        <v>0.75</v>
      </c>
      <c r="P582" s="590">
        <v>56</v>
      </c>
      <c r="Q582" s="431"/>
      <c r="R582" s="430" t="s">
        <v>129</v>
      </c>
      <c r="S582" s="175"/>
      <c r="T582" s="751">
        <v>4252.8</v>
      </c>
      <c r="U582" s="440"/>
      <c r="V582" s="654">
        <v>23.75</v>
      </c>
      <c r="W582" s="636"/>
      <c r="X582" s="440"/>
      <c r="Y582" s="764">
        <v>23.75</v>
      </c>
      <c r="Z582" s="776">
        <v>195.32700000000006</v>
      </c>
      <c r="AA582" s="780">
        <v>65.109000000000009</v>
      </c>
      <c r="AB582" s="811"/>
      <c r="AC582" s="818">
        <v>76</v>
      </c>
      <c r="AD582" s="811" t="s">
        <v>667</v>
      </c>
      <c r="AE582" s="811">
        <v>0</v>
      </c>
      <c r="AF582" s="643">
        <v>9024</v>
      </c>
    </row>
    <row r="583" spans="1:33" ht="15.75">
      <c r="A583" s="633">
        <v>9025</v>
      </c>
      <c r="B583" s="634"/>
      <c r="C583" s="633" t="s">
        <v>1077</v>
      </c>
      <c r="D583" s="559">
        <v>400</v>
      </c>
      <c r="E583" s="545">
        <v>36000</v>
      </c>
      <c r="F583" s="546">
        <v>150</v>
      </c>
      <c r="G583" s="653">
        <v>37</v>
      </c>
      <c r="H583" s="654">
        <v>31</v>
      </c>
      <c r="I583" s="654">
        <v>47</v>
      </c>
      <c r="J583" s="561">
        <v>150</v>
      </c>
      <c r="K583" s="635"/>
      <c r="L583" s="738">
        <v>10</v>
      </c>
      <c r="M583" s="561">
        <v>2500</v>
      </c>
      <c r="N583" s="592">
        <v>0.1</v>
      </c>
      <c r="O583" s="594">
        <v>0.45</v>
      </c>
      <c r="P583" s="743">
        <v>60</v>
      </c>
      <c r="Q583" s="429"/>
      <c r="R583" s="430" t="s">
        <v>129</v>
      </c>
      <c r="S583" s="497">
        <v>192</v>
      </c>
      <c r="T583" s="751">
        <v>4077.6</v>
      </c>
      <c r="U583" s="438"/>
      <c r="V583" s="654">
        <v>6.48</v>
      </c>
      <c r="W583" s="636"/>
      <c r="X583" s="438"/>
      <c r="Y583" s="764">
        <v>6.48</v>
      </c>
      <c r="Z583" s="776">
        <v>148.12160000000003</v>
      </c>
      <c r="AA583" s="780">
        <v>37.030400000000007</v>
      </c>
      <c r="AB583" s="633"/>
      <c r="AC583" s="818">
        <v>72</v>
      </c>
      <c r="AD583" s="811" t="s">
        <v>667</v>
      </c>
      <c r="AE583" s="811">
        <v>0</v>
      </c>
      <c r="AF583" s="633">
        <v>9025</v>
      </c>
    </row>
    <row r="584" spans="1:33" ht="31.5">
      <c r="A584" s="643">
        <v>9026</v>
      </c>
      <c r="B584" s="644"/>
      <c r="C584" s="644" t="s">
        <v>1078</v>
      </c>
      <c r="D584" s="559">
        <v>400</v>
      </c>
      <c r="E584" s="545">
        <v>53000</v>
      </c>
      <c r="F584" s="546">
        <v>190</v>
      </c>
      <c r="G584" s="653">
        <v>48</v>
      </c>
      <c r="H584" s="654">
        <v>41</v>
      </c>
      <c r="I584" s="654">
        <v>60</v>
      </c>
      <c r="J584" s="561">
        <v>180</v>
      </c>
      <c r="K584" s="554" t="s">
        <v>221</v>
      </c>
      <c r="L584" s="590">
        <v>10</v>
      </c>
      <c r="M584" s="561">
        <v>2800</v>
      </c>
      <c r="N584" s="592">
        <v>0.1</v>
      </c>
      <c r="O584" s="594">
        <v>0.6</v>
      </c>
      <c r="P584" s="590">
        <v>62</v>
      </c>
      <c r="Q584" s="431"/>
      <c r="R584" s="430" t="s">
        <v>129</v>
      </c>
      <c r="S584" s="175">
        <v>258</v>
      </c>
      <c r="T584" s="751">
        <v>5818.8</v>
      </c>
      <c r="U584" s="440"/>
      <c r="V584" s="654">
        <v>11.357142857142856</v>
      </c>
      <c r="W584" s="636"/>
      <c r="X584" s="440"/>
      <c r="Y584" s="764">
        <v>11.357142857142856</v>
      </c>
      <c r="Z584" s="776">
        <v>192.2087619047619</v>
      </c>
      <c r="AA584" s="780">
        <v>48.052190476190475</v>
      </c>
      <c r="AB584" s="811"/>
      <c r="AC584" s="818">
        <v>106</v>
      </c>
      <c r="AD584" s="811" t="s">
        <v>667</v>
      </c>
      <c r="AE584" s="811">
        <v>0</v>
      </c>
      <c r="AF584" s="643">
        <v>9026</v>
      </c>
    </row>
    <row r="585" spans="1:33" ht="31.5">
      <c r="A585" s="643">
        <v>9027</v>
      </c>
      <c r="B585" s="644"/>
      <c r="C585" s="644" t="s">
        <v>1079</v>
      </c>
      <c r="D585" s="559">
        <v>600</v>
      </c>
      <c r="E585" s="545">
        <v>68000</v>
      </c>
      <c r="F585" s="546">
        <v>220</v>
      </c>
      <c r="G585" s="653">
        <v>37</v>
      </c>
      <c r="H585" s="654">
        <v>32</v>
      </c>
      <c r="I585" s="654">
        <v>47</v>
      </c>
      <c r="J585" s="561">
        <v>300</v>
      </c>
      <c r="K585" s="554" t="s">
        <v>221</v>
      </c>
      <c r="L585" s="590">
        <v>10</v>
      </c>
      <c r="M585" s="561">
        <v>4000</v>
      </c>
      <c r="N585" s="592">
        <v>0.1</v>
      </c>
      <c r="O585" s="594">
        <v>0.45</v>
      </c>
      <c r="P585" s="590">
        <v>141</v>
      </c>
      <c r="Q585" s="431">
        <v>0.5</v>
      </c>
      <c r="R585" s="430">
        <v>736.3</v>
      </c>
      <c r="S585" s="497">
        <v>282</v>
      </c>
      <c r="T585" s="751">
        <v>7895.8</v>
      </c>
      <c r="U585" s="440">
        <v>28.303333333333331</v>
      </c>
      <c r="V585" s="654">
        <v>7.65</v>
      </c>
      <c r="W585" s="636"/>
      <c r="X585" s="440">
        <v>14</v>
      </c>
      <c r="Y585" s="764">
        <v>7.65</v>
      </c>
      <c r="Z585" s="776">
        <v>224.19760000000002</v>
      </c>
      <c r="AA585" s="780">
        <v>37.366266666666668</v>
      </c>
      <c r="AB585" s="811"/>
      <c r="AC585" s="818">
        <v>136</v>
      </c>
      <c r="AD585" s="811" t="s">
        <v>667</v>
      </c>
      <c r="AE585" s="811">
        <v>0</v>
      </c>
      <c r="AF585" s="643">
        <v>9027</v>
      </c>
    </row>
    <row r="586" spans="1:33" ht="31.5">
      <c r="A586" s="643">
        <v>9028</v>
      </c>
      <c r="B586" s="644"/>
      <c r="C586" s="644" t="s">
        <v>1080</v>
      </c>
      <c r="D586" s="559">
        <v>600</v>
      </c>
      <c r="E586" s="545">
        <v>95000</v>
      </c>
      <c r="F586" s="546">
        <v>300</v>
      </c>
      <c r="G586" s="653">
        <v>50</v>
      </c>
      <c r="H586" s="654">
        <v>43</v>
      </c>
      <c r="I586" s="654">
        <v>63</v>
      </c>
      <c r="J586" s="561">
        <v>300</v>
      </c>
      <c r="K586" s="554" t="s">
        <v>221</v>
      </c>
      <c r="L586" s="590">
        <v>10</v>
      </c>
      <c r="M586" s="561">
        <v>4000</v>
      </c>
      <c r="N586" s="592">
        <v>0.1</v>
      </c>
      <c r="O586" s="594">
        <v>0.45</v>
      </c>
      <c r="P586" s="590">
        <v>120</v>
      </c>
      <c r="Q586" s="431">
        <v>0.05</v>
      </c>
      <c r="R586" s="430">
        <v>1258.8800000000001</v>
      </c>
      <c r="S586" s="175">
        <v>300</v>
      </c>
      <c r="T586" s="751">
        <v>10492</v>
      </c>
      <c r="U586" s="440">
        <v>19.604000000000003</v>
      </c>
      <c r="V586" s="654">
        <v>10.6875</v>
      </c>
      <c r="W586" s="636"/>
      <c r="X586" s="440">
        <v>1.4000000000000001</v>
      </c>
      <c r="Y586" s="764">
        <v>10.6875</v>
      </c>
      <c r="Z586" s="776">
        <v>301.36150000000004</v>
      </c>
      <c r="AA586" s="780">
        <v>50.226916666666675</v>
      </c>
      <c r="AB586" s="811"/>
      <c r="AC586" s="818">
        <v>190</v>
      </c>
      <c r="AD586" s="811" t="s">
        <v>667</v>
      </c>
      <c r="AE586" s="811">
        <v>0</v>
      </c>
      <c r="AF586" s="643">
        <v>9028</v>
      </c>
    </row>
    <row r="587" spans="1:33" ht="15.75">
      <c r="A587" s="633">
        <v>9029</v>
      </c>
      <c r="B587" s="634"/>
      <c r="C587" s="633" t="s">
        <v>1081</v>
      </c>
      <c r="D587" s="559">
        <v>650</v>
      </c>
      <c r="E587" s="545">
        <v>175000</v>
      </c>
      <c r="F587" s="546">
        <v>630</v>
      </c>
      <c r="G587" s="653">
        <v>98</v>
      </c>
      <c r="H587" s="654">
        <v>84</v>
      </c>
      <c r="I587" s="654">
        <v>121</v>
      </c>
      <c r="J587" s="561">
        <v>300</v>
      </c>
      <c r="K587" s="635"/>
      <c r="L587" s="738">
        <v>10</v>
      </c>
      <c r="M587" s="561">
        <v>4000</v>
      </c>
      <c r="N587" s="592">
        <v>0.1</v>
      </c>
      <c r="O587" s="594">
        <v>0.6</v>
      </c>
      <c r="P587" s="743">
        <v>140</v>
      </c>
      <c r="Q587" s="431">
        <v>0.1</v>
      </c>
      <c r="R587" s="430">
        <v>661.2</v>
      </c>
      <c r="S587" s="497">
        <v>342</v>
      </c>
      <c r="T587" s="751">
        <v>18760</v>
      </c>
      <c r="U587" s="440">
        <v>11.162857142857144</v>
      </c>
      <c r="V587" s="654">
        <v>26.25</v>
      </c>
      <c r="W587" s="636"/>
      <c r="X587" s="440">
        <v>2.8000000000000003</v>
      </c>
      <c r="Y587" s="764">
        <v>26.25</v>
      </c>
      <c r="Z587" s="776">
        <v>634.80083333333334</v>
      </c>
      <c r="AA587" s="780">
        <v>97.661666666666676</v>
      </c>
      <c r="AB587" s="633"/>
      <c r="AC587" s="818">
        <v>350</v>
      </c>
      <c r="AD587" s="811" t="s">
        <v>667</v>
      </c>
      <c r="AE587" s="811">
        <v>0</v>
      </c>
      <c r="AF587" s="633">
        <v>9029</v>
      </c>
    </row>
    <row r="588" spans="1:33" ht="15.75">
      <c r="A588" s="643">
        <v>9030</v>
      </c>
      <c r="B588" s="644"/>
      <c r="C588" s="644" t="s">
        <v>1082</v>
      </c>
      <c r="D588" s="559">
        <v>120</v>
      </c>
      <c r="E588" s="545">
        <v>8500</v>
      </c>
      <c r="F588" s="546">
        <v>26</v>
      </c>
      <c r="G588" s="653">
        <v>21</v>
      </c>
      <c r="H588" s="654">
        <v>19</v>
      </c>
      <c r="I588" s="654">
        <v>25</v>
      </c>
      <c r="J588" s="561">
        <v>80</v>
      </c>
      <c r="K588" s="554" t="s">
        <v>221</v>
      </c>
      <c r="L588" s="590">
        <v>12</v>
      </c>
      <c r="M588" s="561">
        <v>1200</v>
      </c>
      <c r="N588" s="592">
        <v>0.1</v>
      </c>
      <c r="O588" s="594">
        <v>1.2</v>
      </c>
      <c r="P588" s="590">
        <v>20</v>
      </c>
      <c r="Q588" s="431"/>
      <c r="R588" s="430" t="s">
        <v>129</v>
      </c>
      <c r="S588" s="175">
        <v>360</v>
      </c>
      <c r="T588" s="751">
        <v>876.1</v>
      </c>
      <c r="U588" s="440"/>
      <c r="V588" s="654">
        <v>8.5</v>
      </c>
      <c r="W588" s="636"/>
      <c r="X588" s="440"/>
      <c r="Y588" s="764">
        <v>8.5</v>
      </c>
      <c r="Z588" s="776">
        <v>25.675650000000005</v>
      </c>
      <c r="AA588" s="780">
        <v>21.396375000000003</v>
      </c>
      <c r="AB588" s="811"/>
      <c r="AC588" s="818">
        <v>17</v>
      </c>
      <c r="AD588" s="811" t="s">
        <v>667</v>
      </c>
      <c r="AE588" s="811">
        <v>0</v>
      </c>
      <c r="AF588" s="643">
        <v>9030</v>
      </c>
    </row>
    <row r="589" spans="1:33" ht="15.75">
      <c r="A589" s="643">
        <v>9031</v>
      </c>
      <c r="B589" s="644"/>
      <c r="C589" s="644" t="s">
        <v>1083</v>
      </c>
      <c r="D589" s="559">
        <v>120</v>
      </c>
      <c r="E589" s="545">
        <v>13000</v>
      </c>
      <c r="F589" s="546">
        <v>34</v>
      </c>
      <c r="G589" s="653">
        <v>28</v>
      </c>
      <c r="H589" s="654">
        <v>25</v>
      </c>
      <c r="I589" s="654">
        <v>34</v>
      </c>
      <c r="J589" s="561">
        <v>80</v>
      </c>
      <c r="K589" s="554" t="s">
        <v>221</v>
      </c>
      <c r="L589" s="590">
        <v>12</v>
      </c>
      <c r="M589" s="561">
        <v>1200</v>
      </c>
      <c r="N589" s="592">
        <v>0.1</v>
      </c>
      <c r="O589" s="594">
        <v>0.9</v>
      </c>
      <c r="P589" s="590">
        <v>21</v>
      </c>
      <c r="Q589" s="429"/>
      <c r="R589" s="430" t="s">
        <v>129</v>
      </c>
      <c r="S589" s="175"/>
      <c r="T589" s="751">
        <v>1272.8</v>
      </c>
      <c r="U589" s="438"/>
      <c r="V589" s="654">
        <v>9.75</v>
      </c>
      <c r="W589" s="636"/>
      <c r="X589" s="438"/>
      <c r="Y589" s="764">
        <v>9.75</v>
      </c>
      <c r="Z589" s="776">
        <v>33.871200000000002</v>
      </c>
      <c r="AA589" s="780">
        <v>28.226000000000003</v>
      </c>
      <c r="AB589" s="811"/>
      <c r="AC589" s="818">
        <v>26</v>
      </c>
      <c r="AD589" s="811" t="s">
        <v>667</v>
      </c>
      <c r="AE589" s="811">
        <v>0</v>
      </c>
      <c r="AF589" s="643">
        <v>9031</v>
      </c>
      <c r="AG589" s="132"/>
    </row>
    <row r="590" spans="1:33" ht="15.75">
      <c r="A590" s="643"/>
      <c r="B590" s="644"/>
      <c r="C590" s="643"/>
      <c r="D590" s="569"/>
      <c r="E590" s="545"/>
      <c r="F590" s="546"/>
      <c r="G590" s="655" t="s">
        <v>129</v>
      </c>
      <c r="H590" s="654"/>
      <c r="I590" s="654"/>
      <c r="J590" s="561"/>
      <c r="K590" s="554"/>
      <c r="L590" s="562"/>
      <c r="M590" s="561"/>
      <c r="N590" s="592" t="s">
        <v>129</v>
      </c>
      <c r="O590" s="594" t="s">
        <v>129</v>
      </c>
      <c r="P590" s="590"/>
      <c r="Q590" s="431"/>
      <c r="R590" s="430" t="s">
        <v>129</v>
      </c>
      <c r="S590" s="496"/>
      <c r="T590" s="751" t="s">
        <v>129</v>
      </c>
      <c r="U590" s="440"/>
      <c r="V590" s="654"/>
      <c r="W590" s="636"/>
      <c r="X590" s="440"/>
      <c r="Y590" s="764" t="s">
        <v>129</v>
      </c>
      <c r="Z590" s="776"/>
      <c r="AA590" s="799"/>
      <c r="AB590" s="811"/>
      <c r="AC590" s="818" t="s">
        <v>129</v>
      </c>
      <c r="AD590" s="811"/>
      <c r="AE590" s="811"/>
      <c r="AF590" s="643"/>
    </row>
    <row r="591" spans="1:33" ht="15.75">
      <c r="A591" s="624">
        <v>9040</v>
      </c>
      <c r="B591" s="625" t="s">
        <v>411</v>
      </c>
      <c r="C591" s="626" t="s">
        <v>1084</v>
      </c>
      <c r="D591" s="627"/>
      <c r="E591" s="628"/>
      <c r="F591" s="629"/>
      <c r="G591" s="630" t="s">
        <v>129</v>
      </c>
      <c r="H591" s="631"/>
      <c r="I591" s="631"/>
      <c r="J591" s="632"/>
      <c r="K591" s="632"/>
      <c r="L591" s="627"/>
      <c r="M591" s="632"/>
      <c r="N591" s="739" t="s">
        <v>129</v>
      </c>
      <c r="O591" s="744" t="s">
        <v>129</v>
      </c>
      <c r="P591" s="742"/>
      <c r="Q591" s="431">
        <v>0.5</v>
      </c>
      <c r="R591" s="430">
        <v>676.6</v>
      </c>
      <c r="S591" s="124"/>
      <c r="T591" s="750" t="s">
        <v>129</v>
      </c>
      <c r="U591" s="440">
        <v>15.064</v>
      </c>
      <c r="V591" s="631"/>
      <c r="W591" s="631"/>
      <c r="X591" s="440">
        <v>14</v>
      </c>
      <c r="Y591" s="768" t="s">
        <v>129</v>
      </c>
      <c r="Z591" s="774"/>
      <c r="AA591" s="775"/>
      <c r="AB591" s="810"/>
      <c r="AC591" s="817" t="s">
        <v>129</v>
      </c>
      <c r="AD591" s="810"/>
      <c r="AE591" s="810"/>
      <c r="AF591" s="624">
        <v>9040</v>
      </c>
      <c r="AG591" s="132"/>
    </row>
    <row r="592" spans="1:33" ht="15.75">
      <c r="A592" s="633"/>
      <c r="B592" s="634"/>
      <c r="C592" s="633"/>
      <c r="D592" s="559"/>
      <c r="E592" s="545"/>
      <c r="F592" s="546"/>
      <c r="G592" s="655" t="s">
        <v>129</v>
      </c>
      <c r="H592" s="654"/>
      <c r="I592" s="654"/>
      <c r="J592" s="561"/>
      <c r="K592" s="635"/>
      <c r="L592" s="633"/>
      <c r="M592" s="561"/>
      <c r="N592" s="592" t="s">
        <v>129</v>
      </c>
      <c r="O592" s="594" t="s">
        <v>129</v>
      </c>
      <c r="P592" s="743"/>
      <c r="Q592" s="431">
        <v>0.2</v>
      </c>
      <c r="R592" s="430">
        <v>1094.5</v>
      </c>
      <c r="S592" s="497">
        <v>198</v>
      </c>
      <c r="T592" s="751" t="s">
        <v>129</v>
      </c>
      <c r="U592" s="440">
        <v>15.18125</v>
      </c>
      <c r="V592" s="654"/>
      <c r="W592" s="636"/>
      <c r="X592" s="440">
        <v>5.6000000000000005</v>
      </c>
      <c r="Y592" s="764" t="s">
        <v>129</v>
      </c>
      <c r="Z592" s="776"/>
      <c r="AA592" s="780"/>
      <c r="AB592" s="633"/>
      <c r="AC592" s="818" t="s">
        <v>129</v>
      </c>
      <c r="AD592" s="811"/>
      <c r="AE592" s="811"/>
      <c r="AF592" s="633"/>
    </row>
    <row r="593" spans="1:33" ht="15.75">
      <c r="A593" s="643">
        <v>9041</v>
      </c>
      <c r="B593" s="644" t="s">
        <v>411</v>
      </c>
      <c r="C593" s="644" t="s">
        <v>1085</v>
      </c>
      <c r="D593" s="559">
        <v>280</v>
      </c>
      <c r="E593" s="545">
        <v>9400</v>
      </c>
      <c r="F593" s="546">
        <v>42</v>
      </c>
      <c r="G593" s="653">
        <v>15</v>
      </c>
      <c r="H593" s="654">
        <v>13</v>
      </c>
      <c r="I593" s="654">
        <v>18</v>
      </c>
      <c r="J593" s="561">
        <v>120</v>
      </c>
      <c r="K593" s="554" t="s">
        <v>221</v>
      </c>
      <c r="L593" s="562">
        <v>12</v>
      </c>
      <c r="M593" s="561">
        <v>1600</v>
      </c>
      <c r="N593" s="592">
        <v>0</v>
      </c>
      <c r="O593" s="594">
        <v>0.75</v>
      </c>
      <c r="P593" s="590">
        <v>32</v>
      </c>
      <c r="Q593" s="431">
        <v>0.05</v>
      </c>
      <c r="R593" s="430">
        <v>1742.2</v>
      </c>
      <c r="S593" s="175">
        <v>210</v>
      </c>
      <c r="T593" s="751">
        <v>1110.7333333333333</v>
      </c>
      <c r="U593" s="440">
        <v>18.922000000000001</v>
      </c>
      <c r="V593" s="654">
        <v>4.40625</v>
      </c>
      <c r="W593" s="636"/>
      <c r="X593" s="440">
        <v>1.4000000000000001</v>
      </c>
      <c r="Y593" s="764">
        <v>4.40625</v>
      </c>
      <c r="Z593" s="776">
        <v>42.080072222222228</v>
      </c>
      <c r="AA593" s="780">
        <v>15.028597222222224</v>
      </c>
      <c r="AB593" s="811"/>
      <c r="AC593" s="818">
        <v>18.8</v>
      </c>
      <c r="AD593" s="811" t="s">
        <v>667</v>
      </c>
      <c r="AE593" s="811">
        <v>0</v>
      </c>
      <c r="AF593" s="643">
        <v>9041</v>
      </c>
    </row>
    <row r="594" spans="1:33" ht="15.75">
      <c r="A594" s="643">
        <v>9042</v>
      </c>
      <c r="B594" s="644" t="s">
        <v>411</v>
      </c>
      <c r="C594" s="644" t="s">
        <v>1086</v>
      </c>
      <c r="D594" s="559">
        <v>376</v>
      </c>
      <c r="E594" s="545">
        <v>11500</v>
      </c>
      <c r="F594" s="546">
        <v>51</v>
      </c>
      <c r="G594" s="653">
        <v>13.5</v>
      </c>
      <c r="H594" s="654">
        <v>12</v>
      </c>
      <c r="I594" s="654">
        <v>17</v>
      </c>
      <c r="J594" s="561">
        <v>160</v>
      </c>
      <c r="K594" s="554" t="s">
        <v>221</v>
      </c>
      <c r="L594" s="562">
        <v>12</v>
      </c>
      <c r="M594" s="561">
        <v>2100</v>
      </c>
      <c r="N594" s="592">
        <v>0</v>
      </c>
      <c r="O594" s="594">
        <v>0.65</v>
      </c>
      <c r="P594" s="590">
        <v>43</v>
      </c>
      <c r="Q594" s="431">
        <v>0.05</v>
      </c>
      <c r="R594" s="430">
        <v>1022.84</v>
      </c>
      <c r="S594" s="497">
        <v>396</v>
      </c>
      <c r="T594" s="751">
        <v>1385.8333333333335</v>
      </c>
      <c r="U594" s="440">
        <v>19.800666666666668</v>
      </c>
      <c r="V594" s="654">
        <v>3.5595238095238098</v>
      </c>
      <c r="W594" s="636"/>
      <c r="X594" s="440">
        <v>1.4000000000000001</v>
      </c>
      <c r="Y594" s="764">
        <v>3.5595238095238098</v>
      </c>
      <c r="Z594" s="776">
        <v>50.545982142857156</v>
      </c>
      <c r="AA594" s="780">
        <v>13.443080357142859</v>
      </c>
      <c r="AB594" s="811"/>
      <c r="AC594" s="818">
        <v>23</v>
      </c>
      <c r="AD594" s="811" t="s">
        <v>667</v>
      </c>
      <c r="AE594" s="811">
        <v>0</v>
      </c>
      <c r="AF594" s="643">
        <v>9042</v>
      </c>
    </row>
    <row r="595" spans="1:33" ht="15.75">
      <c r="A595" s="643">
        <v>9043</v>
      </c>
      <c r="B595" s="644" t="s">
        <v>411</v>
      </c>
      <c r="C595" s="644" t="s">
        <v>1087</v>
      </c>
      <c r="D595" s="559">
        <v>469</v>
      </c>
      <c r="E595" s="545">
        <v>17500</v>
      </c>
      <c r="F595" s="546">
        <v>74</v>
      </c>
      <c r="G595" s="653">
        <v>15.5</v>
      </c>
      <c r="H595" s="654">
        <v>14</v>
      </c>
      <c r="I595" s="654">
        <v>19</v>
      </c>
      <c r="J595" s="561">
        <v>200</v>
      </c>
      <c r="K595" s="554" t="s">
        <v>221</v>
      </c>
      <c r="L595" s="562">
        <v>12</v>
      </c>
      <c r="M595" s="561">
        <v>2600</v>
      </c>
      <c r="N595" s="592">
        <v>0</v>
      </c>
      <c r="O595" s="594">
        <v>0.65</v>
      </c>
      <c r="P595" s="590">
        <v>47</v>
      </c>
      <c r="Q595" s="431">
        <v>0.05</v>
      </c>
      <c r="R595" s="430">
        <v>1348.8</v>
      </c>
      <c r="S595" s="175">
        <v>522</v>
      </c>
      <c r="T595" s="751">
        <v>1979.8333333333333</v>
      </c>
      <c r="U595" s="440">
        <v>18.291764705882354</v>
      </c>
      <c r="V595" s="654">
        <v>4.375</v>
      </c>
      <c r="W595" s="636"/>
      <c r="X595" s="440">
        <v>1.4000000000000001</v>
      </c>
      <c r="Y595" s="764">
        <v>4.375</v>
      </c>
      <c r="Z595" s="776">
        <v>73.640425833333339</v>
      </c>
      <c r="AA595" s="780">
        <v>15.701583333333334</v>
      </c>
      <c r="AB595" s="811"/>
      <c r="AC595" s="818">
        <v>35</v>
      </c>
      <c r="AD595" s="811" t="s">
        <v>667</v>
      </c>
      <c r="AE595" s="811">
        <v>0</v>
      </c>
      <c r="AF595" s="643">
        <v>9043</v>
      </c>
    </row>
    <row r="596" spans="1:33" ht="15.75">
      <c r="A596" s="643">
        <v>9044</v>
      </c>
      <c r="B596" s="644" t="s">
        <v>411</v>
      </c>
      <c r="C596" s="644" t="s">
        <v>1088</v>
      </c>
      <c r="D596" s="559">
        <v>535</v>
      </c>
      <c r="E596" s="545">
        <v>23000</v>
      </c>
      <c r="F596" s="546">
        <v>87</v>
      </c>
      <c r="G596" s="653">
        <v>16</v>
      </c>
      <c r="H596" s="654">
        <v>14</v>
      </c>
      <c r="I596" s="654">
        <v>20</v>
      </c>
      <c r="J596" s="561">
        <v>240</v>
      </c>
      <c r="K596" s="554" t="s">
        <v>221</v>
      </c>
      <c r="L596" s="562">
        <v>12</v>
      </c>
      <c r="M596" s="561">
        <v>3000</v>
      </c>
      <c r="N596" s="592">
        <v>0</v>
      </c>
      <c r="O596" s="594">
        <v>0.55000000000000004</v>
      </c>
      <c r="P596" s="590">
        <v>50</v>
      </c>
      <c r="Q596" s="431">
        <v>0.02</v>
      </c>
      <c r="R596" s="430">
        <v>7081.2</v>
      </c>
      <c r="S596" s="497">
        <v>396</v>
      </c>
      <c r="T596" s="751">
        <v>2519.666666666667</v>
      </c>
      <c r="U596" s="440">
        <v>27.314000000000004</v>
      </c>
      <c r="V596" s="654">
        <v>4.2166666666666668</v>
      </c>
      <c r="W596" s="636"/>
      <c r="X596" s="440">
        <v>0.56000000000000005</v>
      </c>
      <c r="Y596" s="764">
        <v>4.2166666666666668</v>
      </c>
      <c r="Z596" s="776">
        <v>86.599409722222248</v>
      </c>
      <c r="AA596" s="780">
        <v>16.186805555555559</v>
      </c>
      <c r="AB596" s="811">
        <v>8</v>
      </c>
      <c r="AC596" s="818">
        <v>46</v>
      </c>
      <c r="AD596" s="811" t="s">
        <v>667</v>
      </c>
      <c r="AE596" s="811">
        <v>0</v>
      </c>
      <c r="AF596" s="643">
        <v>9044</v>
      </c>
    </row>
    <row r="597" spans="1:33" ht="15.75">
      <c r="A597" s="541">
        <v>9045</v>
      </c>
      <c r="B597" s="644" t="s">
        <v>411</v>
      </c>
      <c r="C597" s="542" t="s">
        <v>1089</v>
      </c>
      <c r="D597" s="559">
        <v>674</v>
      </c>
      <c r="E597" s="545">
        <v>34000</v>
      </c>
      <c r="F597" s="546">
        <v>130</v>
      </c>
      <c r="G597" s="653">
        <v>19</v>
      </c>
      <c r="H597" s="654">
        <v>16</v>
      </c>
      <c r="I597" s="654">
        <v>23</v>
      </c>
      <c r="J597" s="561">
        <v>300</v>
      </c>
      <c r="K597" s="554" t="s">
        <v>221</v>
      </c>
      <c r="L597" s="562">
        <v>12</v>
      </c>
      <c r="M597" s="561">
        <v>3600</v>
      </c>
      <c r="N597" s="592">
        <v>0</v>
      </c>
      <c r="O597" s="594">
        <v>0.55000000000000004</v>
      </c>
      <c r="P597" s="590">
        <v>57</v>
      </c>
      <c r="Q597" s="431">
        <v>0.05</v>
      </c>
      <c r="R597" s="430">
        <v>2978.6</v>
      </c>
      <c r="S597" s="175">
        <v>450</v>
      </c>
      <c r="T597" s="751">
        <v>3606.3333333333335</v>
      </c>
      <c r="U597" s="440">
        <v>31.506</v>
      </c>
      <c r="V597" s="654">
        <v>5.1944444444444446</v>
      </c>
      <c r="W597" s="636"/>
      <c r="X597" s="440">
        <v>1.4000000000000001</v>
      </c>
      <c r="Y597" s="764">
        <v>5.1944444444444446</v>
      </c>
      <c r="Z597" s="776">
        <v>127.63612888888889</v>
      </c>
      <c r="AA597" s="780">
        <v>18.937111111111111</v>
      </c>
      <c r="AB597" s="811">
        <v>10</v>
      </c>
      <c r="AC597" s="818">
        <v>68</v>
      </c>
      <c r="AD597" s="811" t="s">
        <v>667</v>
      </c>
      <c r="AE597" s="811">
        <v>0</v>
      </c>
      <c r="AF597" s="541">
        <v>9045</v>
      </c>
      <c r="AG597" s="132"/>
    </row>
    <row r="598" spans="1:33" ht="15.75">
      <c r="A598" s="638">
        <v>9046</v>
      </c>
      <c r="B598" s="639" t="s">
        <v>411</v>
      </c>
      <c r="C598" s="639" t="s">
        <v>1090</v>
      </c>
      <c r="D598" s="559">
        <v>100</v>
      </c>
      <c r="E598" s="545">
        <v>18000</v>
      </c>
      <c r="F598" s="546">
        <v>23</v>
      </c>
      <c r="G598" s="712">
        <v>23</v>
      </c>
      <c r="H598" s="713">
        <v>19</v>
      </c>
      <c r="I598" s="713">
        <v>29</v>
      </c>
      <c r="J598" s="561">
        <v>100</v>
      </c>
      <c r="K598" s="554" t="s">
        <v>221</v>
      </c>
      <c r="L598" s="562">
        <v>12</v>
      </c>
      <c r="M598" s="561">
        <v>4000</v>
      </c>
      <c r="N598" s="592">
        <v>0.25</v>
      </c>
      <c r="O598" s="594">
        <v>0.7</v>
      </c>
      <c r="P598" s="590">
        <v>60</v>
      </c>
      <c r="Q598" s="431">
        <v>0.05</v>
      </c>
      <c r="R598" s="430">
        <v>1405</v>
      </c>
      <c r="S598" s="175"/>
      <c r="T598" s="752">
        <v>1770</v>
      </c>
      <c r="U598" s="440">
        <v>26.4</v>
      </c>
      <c r="V598" s="713">
        <v>3.15</v>
      </c>
      <c r="W598" s="642"/>
      <c r="X598" s="440">
        <v>1.4000000000000001</v>
      </c>
      <c r="Y598" s="771">
        <v>3.15</v>
      </c>
      <c r="Z598" s="618">
        <v>22.934999999999999</v>
      </c>
      <c r="AA598" s="620">
        <v>22.934999999999999</v>
      </c>
      <c r="AB598" s="601"/>
      <c r="AC598" s="819">
        <v>36</v>
      </c>
      <c r="AD598" s="601" t="s">
        <v>667</v>
      </c>
      <c r="AE598" s="601">
        <v>0</v>
      </c>
      <c r="AF598" s="638">
        <v>9046</v>
      </c>
    </row>
    <row r="599" spans="1:33" ht="15.75">
      <c r="A599" s="633"/>
      <c r="B599" s="634"/>
      <c r="C599" s="633"/>
      <c r="D599" s="569"/>
      <c r="E599" s="545"/>
      <c r="F599" s="546"/>
      <c r="G599" s="653" t="s">
        <v>129</v>
      </c>
      <c r="H599" s="654"/>
      <c r="I599" s="654"/>
      <c r="J599" s="561"/>
      <c r="K599" s="635"/>
      <c r="L599" s="633"/>
      <c r="M599" s="561"/>
      <c r="N599" s="592" t="s">
        <v>129</v>
      </c>
      <c r="O599" s="594" t="s">
        <v>129</v>
      </c>
      <c r="P599" s="743"/>
      <c r="Q599" s="431">
        <v>0.05</v>
      </c>
      <c r="R599" s="430">
        <v>1910.8</v>
      </c>
      <c r="S599" s="496"/>
      <c r="T599" s="751" t="s">
        <v>129</v>
      </c>
      <c r="U599" s="440">
        <v>24.953333333333337</v>
      </c>
      <c r="V599" s="654"/>
      <c r="W599" s="636"/>
      <c r="X599" s="440">
        <v>1.4000000000000001</v>
      </c>
      <c r="Y599" s="764" t="s">
        <v>129</v>
      </c>
      <c r="Z599" s="776"/>
      <c r="AA599" s="780"/>
      <c r="AB599" s="633"/>
      <c r="AC599" s="818" t="s">
        <v>129</v>
      </c>
      <c r="AD599" s="811"/>
      <c r="AE599" s="811"/>
      <c r="AF599" s="633"/>
    </row>
    <row r="600" spans="1:33" ht="15.75">
      <c r="A600" s="624">
        <v>9060</v>
      </c>
      <c r="B600" s="625"/>
      <c r="C600" s="626" t="s">
        <v>1091</v>
      </c>
      <c r="D600" s="632"/>
      <c r="E600" s="628"/>
      <c r="F600" s="629"/>
      <c r="G600" s="687" t="s">
        <v>129</v>
      </c>
      <c r="H600" s="631"/>
      <c r="I600" s="631"/>
      <c r="J600" s="632"/>
      <c r="K600" s="632"/>
      <c r="L600" s="627"/>
      <c r="M600" s="632"/>
      <c r="N600" s="739" t="s">
        <v>129</v>
      </c>
      <c r="O600" s="744" t="s">
        <v>129</v>
      </c>
      <c r="P600" s="742"/>
      <c r="Q600" s="431">
        <v>0.05</v>
      </c>
      <c r="R600" s="430">
        <v>3709.2</v>
      </c>
      <c r="S600" s="124"/>
      <c r="T600" s="750" t="s">
        <v>129</v>
      </c>
      <c r="U600" s="440">
        <v>40.972000000000001</v>
      </c>
      <c r="V600" s="631"/>
      <c r="W600" s="631"/>
      <c r="X600" s="440">
        <v>1.4000000000000001</v>
      </c>
      <c r="Y600" s="768" t="s">
        <v>129</v>
      </c>
      <c r="Z600" s="774"/>
      <c r="AA600" s="775"/>
      <c r="AB600" s="810"/>
      <c r="AC600" s="817" t="s">
        <v>129</v>
      </c>
      <c r="AD600" s="810"/>
      <c r="AE600" s="810"/>
      <c r="AF600" s="624">
        <v>9060</v>
      </c>
    </row>
    <row r="601" spans="1:33" ht="15.75">
      <c r="A601" s="633"/>
      <c r="B601" s="634"/>
      <c r="C601" s="633"/>
      <c r="D601" s="637"/>
      <c r="E601" s="545"/>
      <c r="F601" s="633"/>
      <c r="G601" s="714" t="s">
        <v>129</v>
      </c>
      <c r="H601" s="635"/>
      <c r="I601" s="635"/>
      <c r="J601" s="637"/>
      <c r="K601" s="635"/>
      <c r="L601" s="633"/>
      <c r="M601" s="637"/>
      <c r="N601" s="592" t="s">
        <v>129</v>
      </c>
      <c r="O601" s="594" t="s">
        <v>129</v>
      </c>
      <c r="P601" s="743"/>
      <c r="Q601" s="431">
        <v>0.05</v>
      </c>
      <c r="R601" s="430">
        <v>5058</v>
      </c>
      <c r="S601" s="497">
        <v>252</v>
      </c>
      <c r="T601" s="751" t="s">
        <v>129</v>
      </c>
      <c r="U601" s="440">
        <v>31.011111111111113</v>
      </c>
      <c r="V601" s="633"/>
      <c r="W601" s="633"/>
      <c r="X601" s="440">
        <v>1.4000000000000001</v>
      </c>
      <c r="Y601" s="764" t="s">
        <v>129</v>
      </c>
      <c r="Z601" s="633"/>
      <c r="AA601" s="634"/>
      <c r="AB601" s="633"/>
      <c r="AC601" s="818" t="s">
        <v>129</v>
      </c>
      <c r="AD601" s="811"/>
      <c r="AE601" s="633"/>
      <c r="AF601" s="633"/>
    </row>
    <row r="602" spans="1:33" ht="15.75">
      <c r="A602" s="643">
        <v>9061</v>
      </c>
      <c r="B602" s="644"/>
      <c r="C602" s="644" t="s">
        <v>1092</v>
      </c>
      <c r="D602" s="569">
        <v>139</v>
      </c>
      <c r="E602" s="545">
        <v>7100</v>
      </c>
      <c r="F602" s="546">
        <v>21</v>
      </c>
      <c r="G602" s="653">
        <v>15</v>
      </c>
      <c r="H602" s="654">
        <v>13</v>
      </c>
      <c r="I602" s="654">
        <v>18</v>
      </c>
      <c r="J602" s="561">
        <v>80</v>
      </c>
      <c r="K602" s="554" t="s">
        <v>221</v>
      </c>
      <c r="L602" s="562">
        <v>12</v>
      </c>
      <c r="M602" s="561">
        <v>1800</v>
      </c>
      <c r="N602" s="592">
        <v>0.25</v>
      </c>
      <c r="O602" s="594">
        <v>1</v>
      </c>
      <c r="P602" s="590">
        <v>33</v>
      </c>
      <c r="Q602" s="431">
        <v>0.02</v>
      </c>
      <c r="R602" s="430">
        <v>8879.6</v>
      </c>
      <c r="S602" s="175">
        <v>318</v>
      </c>
      <c r="T602" s="751">
        <v>763.5</v>
      </c>
      <c r="U602" s="440">
        <v>32.925333333333334</v>
      </c>
      <c r="V602" s="654">
        <v>3.9444444444444446</v>
      </c>
      <c r="W602" s="636"/>
      <c r="X602" s="440">
        <v>0.56000000000000005</v>
      </c>
      <c r="Y602" s="764">
        <v>3.9444444444444446</v>
      </c>
      <c r="Z602" s="776">
        <v>20.62344930555556</v>
      </c>
      <c r="AA602" s="780">
        <v>14.83701388888889</v>
      </c>
      <c r="AB602" s="811"/>
      <c r="AC602" s="818">
        <v>14.200000000000001</v>
      </c>
      <c r="AD602" s="811" t="s">
        <v>667</v>
      </c>
      <c r="AE602" s="811">
        <v>0</v>
      </c>
      <c r="AF602" s="643">
        <v>9061</v>
      </c>
    </row>
    <row r="603" spans="1:33" ht="15.75">
      <c r="A603" s="643">
        <v>9062</v>
      </c>
      <c r="B603" s="644"/>
      <c r="C603" s="644" t="s">
        <v>1093</v>
      </c>
      <c r="D603" s="569">
        <v>183</v>
      </c>
      <c r="E603" s="545">
        <v>11000</v>
      </c>
      <c r="F603" s="546">
        <v>30</v>
      </c>
      <c r="G603" s="653">
        <v>16.5</v>
      </c>
      <c r="H603" s="654">
        <v>14</v>
      </c>
      <c r="I603" s="654">
        <v>20</v>
      </c>
      <c r="J603" s="561">
        <v>100</v>
      </c>
      <c r="K603" s="554" t="s">
        <v>221</v>
      </c>
      <c r="L603" s="562">
        <v>12</v>
      </c>
      <c r="M603" s="561">
        <v>2400</v>
      </c>
      <c r="N603" s="592">
        <v>0.25</v>
      </c>
      <c r="O603" s="594">
        <v>0.9</v>
      </c>
      <c r="P603" s="590">
        <v>35</v>
      </c>
      <c r="Q603" s="431">
        <v>0.05</v>
      </c>
      <c r="R603" s="430">
        <v>730.5</v>
      </c>
      <c r="S603" s="497">
        <v>444</v>
      </c>
      <c r="T603" s="751">
        <v>1070</v>
      </c>
      <c r="U603" s="440">
        <v>11.06875</v>
      </c>
      <c r="V603" s="654">
        <v>4.125</v>
      </c>
      <c r="W603" s="636"/>
      <c r="X603" s="440">
        <v>1.4000000000000001</v>
      </c>
      <c r="Y603" s="764">
        <v>4.125</v>
      </c>
      <c r="Z603" s="776">
        <v>29.842725000000002</v>
      </c>
      <c r="AA603" s="780">
        <v>16.307500000000001</v>
      </c>
      <c r="AB603" s="811"/>
      <c r="AC603" s="818">
        <v>22</v>
      </c>
      <c r="AD603" s="811" t="s">
        <v>667</v>
      </c>
      <c r="AE603" s="811">
        <v>0</v>
      </c>
      <c r="AF603" s="643">
        <v>9062</v>
      </c>
    </row>
    <row r="604" spans="1:33" ht="31.5">
      <c r="A604" s="643">
        <v>9063</v>
      </c>
      <c r="B604" s="644"/>
      <c r="C604" s="644" t="s">
        <v>1094</v>
      </c>
      <c r="D604" s="569">
        <v>272</v>
      </c>
      <c r="E604" s="545">
        <v>25000</v>
      </c>
      <c r="F604" s="546">
        <v>58</v>
      </c>
      <c r="G604" s="653">
        <v>21</v>
      </c>
      <c r="H604" s="654">
        <v>18</v>
      </c>
      <c r="I604" s="654">
        <v>27</v>
      </c>
      <c r="J604" s="561">
        <v>160</v>
      </c>
      <c r="K604" s="554" t="s">
        <v>221</v>
      </c>
      <c r="L604" s="562">
        <v>12</v>
      </c>
      <c r="M604" s="561">
        <v>3600</v>
      </c>
      <c r="N604" s="592">
        <v>0.25</v>
      </c>
      <c r="O604" s="594">
        <v>0.7</v>
      </c>
      <c r="P604" s="590">
        <v>66</v>
      </c>
      <c r="Q604" s="431">
        <v>0.05</v>
      </c>
      <c r="R604" s="430">
        <v>1217.5</v>
      </c>
      <c r="S604" s="175">
        <v>630</v>
      </c>
      <c r="T604" s="751">
        <v>2337</v>
      </c>
      <c r="U604" s="440">
        <v>17.368749999999999</v>
      </c>
      <c r="V604" s="654">
        <v>4.8611111111111107</v>
      </c>
      <c r="W604" s="636"/>
      <c r="X604" s="440">
        <v>1.4000000000000001</v>
      </c>
      <c r="Y604" s="764">
        <v>4.8611111111111107</v>
      </c>
      <c r="Z604" s="776">
        <v>58.246344444444439</v>
      </c>
      <c r="AA604" s="780">
        <v>21.414097222222221</v>
      </c>
      <c r="AB604" s="811"/>
      <c r="AC604" s="818">
        <v>50</v>
      </c>
      <c r="AD604" s="811" t="s">
        <v>667</v>
      </c>
      <c r="AE604" s="811">
        <v>0</v>
      </c>
      <c r="AF604" s="643">
        <v>9063</v>
      </c>
    </row>
    <row r="605" spans="1:33" ht="15.75">
      <c r="A605" s="643">
        <v>9064</v>
      </c>
      <c r="B605" s="644"/>
      <c r="C605" s="644" t="s">
        <v>1095</v>
      </c>
      <c r="D605" s="569">
        <v>287</v>
      </c>
      <c r="E605" s="545">
        <v>34000</v>
      </c>
      <c r="F605" s="546">
        <v>72</v>
      </c>
      <c r="G605" s="653">
        <v>25</v>
      </c>
      <c r="H605" s="654">
        <v>21</v>
      </c>
      <c r="I605" s="654">
        <v>32</v>
      </c>
      <c r="J605" s="561">
        <v>180</v>
      </c>
      <c r="K605" s="554" t="s">
        <v>221</v>
      </c>
      <c r="L605" s="562">
        <v>12</v>
      </c>
      <c r="M605" s="561">
        <v>4500</v>
      </c>
      <c r="N605" s="592">
        <v>0.25</v>
      </c>
      <c r="O605" s="594">
        <v>0.7</v>
      </c>
      <c r="P605" s="590">
        <v>87</v>
      </c>
      <c r="Q605" s="431">
        <v>0.05</v>
      </c>
      <c r="R605" s="430">
        <v>786.8</v>
      </c>
      <c r="S605" s="497">
        <v>744</v>
      </c>
      <c r="T605" s="751">
        <v>3159</v>
      </c>
      <c r="U605" s="440">
        <v>25.094999999999999</v>
      </c>
      <c r="V605" s="654">
        <v>5.2888888888888888</v>
      </c>
      <c r="W605" s="636"/>
      <c r="X605" s="440">
        <v>1.4000000000000001</v>
      </c>
      <c r="Y605" s="764">
        <v>5.2888888888888888</v>
      </c>
      <c r="Z605" s="776">
        <v>72.102372222222229</v>
      </c>
      <c r="AA605" s="780">
        <v>25.122777777777781</v>
      </c>
      <c r="AB605" s="811"/>
      <c r="AC605" s="818">
        <v>68</v>
      </c>
      <c r="AD605" s="811" t="s">
        <v>667</v>
      </c>
      <c r="AE605" s="811">
        <v>0</v>
      </c>
      <c r="AF605" s="643">
        <v>9064</v>
      </c>
    </row>
    <row r="606" spans="1:33" ht="31.5">
      <c r="A606" s="643">
        <v>9065</v>
      </c>
      <c r="B606" s="644"/>
      <c r="C606" s="644" t="s">
        <v>1096</v>
      </c>
      <c r="D606" s="569">
        <v>272</v>
      </c>
      <c r="E606" s="545">
        <v>31000</v>
      </c>
      <c r="F606" s="546">
        <v>69</v>
      </c>
      <c r="G606" s="653">
        <v>25</v>
      </c>
      <c r="H606" s="654">
        <v>21</v>
      </c>
      <c r="I606" s="654">
        <v>32</v>
      </c>
      <c r="J606" s="561">
        <v>160</v>
      </c>
      <c r="K606" s="554" t="s">
        <v>221</v>
      </c>
      <c r="L606" s="562">
        <v>12</v>
      </c>
      <c r="M606" s="561">
        <v>3600</v>
      </c>
      <c r="N606" s="592">
        <v>0.25</v>
      </c>
      <c r="O606" s="594">
        <v>0.65</v>
      </c>
      <c r="P606" s="590">
        <v>66</v>
      </c>
      <c r="Q606" s="431"/>
      <c r="R606" s="430" t="s">
        <v>129</v>
      </c>
      <c r="S606" s="175">
        <v>834</v>
      </c>
      <c r="T606" s="751">
        <v>2787</v>
      </c>
      <c r="U606" s="440"/>
      <c r="V606" s="654">
        <v>5.5972222222222223</v>
      </c>
      <c r="W606" s="636"/>
      <c r="X606" s="440"/>
      <c r="Y606" s="764">
        <v>5.5972222222222223</v>
      </c>
      <c r="Z606" s="776">
        <v>68.863788888888891</v>
      </c>
      <c r="AA606" s="780">
        <v>25.317569444444445</v>
      </c>
      <c r="AB606" s="811"/>
      <c r="AC606" s="818">
        <v>62</v>
      </c>
      <c r="AD606" s="811" t="s">
        <v>667</v>
      </c>
      <c r="AE606" s="811">
        <v>0</v>
      </c>
      <c r="AF606" s="643">
        <v>9065</v>
      </c>
    </row>
    <row r="607" spans="1:33" ht="15.75">
      <c r="A607" s="643">
        <v>9066</v>
      </c>
      <c r="B607" s="644"/>
      <c r="C607" s="644" t="s">
        <v>1097</v>
      </c>
      <c r="D607" s="569">
        <v>250</v>
      </c>
      <c r="E607" s="545">
        <v>17500</v>
      </c>
      <c r="F607" s="546">
        <v>36</v>
      </c>
      <c r="G607" s="653">
        <v>14</v>
      </c>
      <c r="H607" s="654">
        <v>12</v>
      </c>
      <c r="I607" s="654">
        <v>18</v>
      </c>
      <c r="J607" s="561">
        <v>180</v>
      </c>
      <c r="K607" s="554" t="s">
        <v>221</v>
      </c>
      <c r="L607" s="562">
        <v>12</v>
      </c>
      <c r="M607" s="561">
        <v>4500</v>
      </c>
      <c r="N607" s="592">
        <v>0.25</v>
      </c>
      <c r="O607" s="594">
        <v>0.7</v>
      </c>
      <c r="P607" s="590">
        <v>75</v>
      </c>
      <c r="Q607" s="429"/>
      <c r="R607" s="430" t="s">
        <v>129</v>
      </c>
      <c r="S607" s="497">
        <v>942</v>
      </c>
      <c r="T607" s="751">
        <v>1837.5</v>
      </c>
      <c r="U607" s="438"/>
      <c r="V607" s="654">
        <v>2.7222222222222219</v>
      </c>
      <c r="W607" s="636"/>
      <c r="X607" s="438"/>
      <c r="Y607" s="764">
        <v>2.7222222222222219</v>
      </c>
      <c r="Z607" s="776">
        <v>35.559027777777779</v>
      </c>
      <c r="AA607" s="780">
        <v>14.223611111111111</v>
      </c>
      <c r="AB607" s="811"/>
      <c r="AC607" s="818">
        <v>35</v>
      </c>
      <c r="AD607" s="811" t="s">
        <v>667</v>
      </c>
      <c r="AE607" s="811">
        <v>0</v>
      </c>
      <c r="AF607" s="643">
        <v>9066</v>
      </c>
    </row>
    <row r="608" spans="1:33" ht="15.75">
      <c r="A608" s="643">
        <v>9068</v>
      </c>
      <c r="B608" s="644"/>
      <c r="C608" s="644" t="s">
        <v>1098</v>
      </c>
      <c r="D608" s="569">
        <v>300</v>
      </c>
      <c r="E608" s="545">
        <v>34000</v>
      </c>
      <c r="F608" s="546">
        <v>31</v>
      </c>
      <c r="G608" s="653">
        <v>10.5</v>
      </c>
      <c r="H608" s="654">
        <v>9</v>
      </c>
      <c r="I608" s="654">
        <v>14</v>
      </c>
      <c r="J608" s="561">
        <v>320</v>
      </c>
      <c r="K608" s="554"/>
      <c r="L608" s="562">
        <v>12</v>
      </c>
      <c r="M608" s="561">
        <v>9000</v>
      </c>
      <c r="N608" s="592">
        <v>0.25</v>
      </c>
      <c r="O608" s="594">
        <v>0.3</v>
      </c>
      <c r="P608" s="590">
        <v>20</v>
      </c>
      <c r="Q608" s="431"/>
      <c r="R608" s="430" t="s">
        <v>129</v>
      </c>
      <c r="S608" s="175">
        <v>1122</v>
      </c>
      <c r="T608" s="751">
        <v>2690</v>
      </c>
      <c r="U608" s="440"/>
      <c r="V608" s="654">
        <v>1.1333333333333333</v>
      </c>
      <c r="W608" s="636"/>
      <c r="X608" s="440"/>
      <c r="Y608" s="764">
        <v>1.1333333333333333</v>
      </c>
      <c r="Z608" s="776">
        <v>31.480625</v>
      </c>
      <c r="AA608" s="780">
        <v>10.493541666666667</v>
      </c>
      <c r="AB608" s="811"/>
      <c r="AC608" s="818">
        <v>68</v>
      </c>
      <c r="AD608" s="811" t="s">
        <v>667</v>
      </c>
      <c r="AE608" s="811">
        <v>0</v>
      </c>
      <c r="AF608" s="643">
        <v>9068</v>
      </c>
    </row>
    <row r="609" spans="1:32" ht="15.75">
      <c r="A609" s="643">
        <v>9069</v>
      </c>
      <c r="B609" s="644"/>
      <c r="C609" s="644" t="s">
        <v>1099</v>
      </c>
      <c r="D609" s="569">
        <v>470</v>
      </c>
      <c r="E609" s="545">
        <v>96000</v>
      </c>
      <c r="F609" s="546">
        <v>140</v>
      </c>
      <c r="G609" s="653">
        <v>29</v>
      </c>
      <c r="H609" s="654">
        <v>24</v>
      </c>
      <c r="I609" s="654">
        <v>38</v>
      </c>
      <c r="J609" s="561">
        <v>340</v>
      </c>
      <c r="K609" s="554"/>
      <c r="L609" s="562">
        <v>12</v>
      </c>
      <c r="M609" s="561">
        <v>9000</v>
      </c>
      <c r="N609" s="592">
        <v>0.25</v>
      </c>
      <c r="O609" s="594">
        <v>0.3</v>
      </c>
      <c r="P609" s="590">
        <v>118</v>
      </c>
      <c r="Q609" s="431">
        <v>0.05</v>
      </c>
      <c r="R609" s="430">
        <v>959.86666666666656</v>
      </c>
      <c r="S609" s="175">
        <v>0</v>
      </c>
      <c r="T609" s="751">
        <v>8026</v>
      </c>
      <c r="U609" s="440">
        <v>10.018888888888888</v>
      </c>
      <c r="V609" s="654">
        <v>3.1999999999999997</v>
      </c>
      <c r="W609" s="636"/>
      <c r="X609" s="440">
        <v>1.4000000000000001</v>
      </c>
      <c r="Y609" s="764">
        <v>3.1999999999999997</v>
      </c>
      <c r="Z609" s="776">
        <v>138.58641176470587</v>
      </c>
      <c r="AA609" s="780">
        <v>29.486470588235296</v>
      </c>
      <c r="AB609" s="811"/>
      <c r="AC609" s="818">
        <v>192</v>
      </c>
      <c r="AD609" s="811" t="s">
        <v>667</v>
      </c>
      <c r="AE609" s="811">
        <v>0</v>
      </c>
      <c r="AF609" s="643">
        <v>9069</v>
      </c>
    </row>
    <row r="610" spans="1:32" ht="15.75">
      <c r="A610" s="643">
        <v>9067</v>
      </c>
      <c r="B610" s="644"/>
      <c r="C610" s="644" t="s">
        <v>1100</v>
      </c>
      <c r="D610" s="569">
        <v>550</v>
      </c>
      <c r="E610" s="545">
        <v>111000</v>
      </c>
      <c r="F610" s="546">
        <v>180</v>
      </c>
      <c r="G610" s="653">
        <v>32</v>
      </c>
      <c r="H610" s="654">
        <v>27</v>
      </c>
      <c r="I610" s="654">
        <v>42</v>
      </c>
      <c r="J610" s="561">
        <v>360</v>
      </c>
      <c r="K610" s="554" t="s">
        <v>221</v>
      </c>
      <c r="L610" s="562">
        <v>12</v>
      </c>
      <c r="M610" s="561">
        <v>9000</v>
      </c>
      <c r="N610" s="592">
        <v>0.25</v>
      </c>
      <c r="O610" s="594">
        <v>0.3</v>
      </c>
      <c r="P610" s="590">
        <v>130</v>
      </c>
      <c r="Q610" s="431">
        <v>3.3300000000000003E-2</v>
      </c>
      <c r="R610" s="430">
        <v>1147.6666666666665</v>
      </c>
      <c r="S610" s="497">
        <v>6</v>
      </c>
      <c r="T610" s="751">
        <v>9235</v>
      </c>
      <c r="U610" s="440">
        <v>9.1916666666666664</v>
      </c>
      <c r="V610" s="654">
        <v>3.7</v>
      </c>
      <c r="W610" s="636"/>
      <c r="X610" s="440">
        <v>0.93240000000000012</v>
      </c>
      <c r="Y610" s="764">
        <v>3.7</v>
      </c>
      <c r="Z610" s="776">
        <v>177.58430555555557</v>
      </c>
      <c r="AA610" s="780">
        <v>32.288055555555559</v>
      </c>
      <c r="AB610" s="811"/>
      <c r="AC610" s="818">
        <v>222</v>
      </c>
      <c r="AD610" s="811" t="s">
        <v>667</v>
      </c>
      <c r="AE610" s="811">
        <v>0</v>
      </c>
      <c r="AF610" s="643">
        <v>9067</v>
      </c>
    </row>
    <row r="611" spans="1:32" ht="15.75">
      <c r="A611" s="633"/>
      <c r="B611" s="634"/>
      <c r="C611" s="633"/>
      <c r="D611" s="569"/>
      <c r="E611" s="545"/>
      <c r="F611" s="546"/>
      <c r="G611" s="653" t="s">
        <v>129</v>
      </c>
      <c r="H611" s="654"/>
      <c r="I611" s="654"/>
      <c r="J611" s="561"/>
      <c r="K611" s="635"/>
      <c r="L611" s="633"/>
      <c r="M611" s="561"/>
      <c r="N611" s="592" t="s">
        <v>129</v>
      </c>
      <c r="O611" s="594" t="s">
        <v>129</v>
      </c>
      <c r="P611" s="743"/>
      <c r="Q611" s="431">
        <v>3.3300000000000003E-2</v>
      </c>
      <c r="R611" s="430">
        <v>1721.5</v>
      </c>
      <c r="S611" s="175"/>
      <c r="T611" s="751" t="s">
        <v>129</v>
      </c>
      <c r="U611" s="440">
        <v>10.4175</v>
      </c>
      <c r="V611" s="654"/>
      <c r="W611" s="636"/>
      <c r="X611" s="440">
        <v>0.93240000000000012</v>
      </c>
      <c r="Y611" s="761" t="s">
        <v>129</v>
      </c>
      <c r="Z611" s="776"/>
      <c r="AA611" s="780"/>
      <c r="AB611" s="633"/>
      <c r="AC611" s="818" t="s">
        <v>129</v>
      </c>
      <c r="AD611" s="811"/>
      <c r="AE611" s="811"/>
      <c r="AF611" s="633"/>
    </row>
    <row r="612" spans="1:32" ht="15.75">
      <c r="A612" s="624">
        <v>9080</v>
      </c>
      <c r="B612" s="625" t="s">
        <v>411</v>
      </c>
      <c r="C612" s="626" t="s">
        <v>1101</v>
      </c>
      <c r="D612" s="632"/>
      <c r="E612" s="628"/>
      <c r="F612" s="629"/>
      <c r="G612" s="687" t="s">
        <v>129</v>
      </c>
      <c r="H612" s="631"/>
      <c r="I612" s="631"/>
      <c r="J612" s="632"/>
      <c r="K612" s="632"/>
      <c r="L612" s="627"/>
      <c r="M612" s="632"/>
      <c r="N612" s="739" t="s">
        <v>129</v>
      </c>
      <c r="O612" s="744" t="s">
        <v>129</v>
      </c>
      <c r="P612" s="742"/>
      <c r="Q612" s="431">
        <v>0.02</v>
      </c>
      <c r="R612" s="430">
        <v>2295.333333333333</v>
      </c>
      <c r="S612" s="496"/>
      <c r="T612" s="750" t="s">
        <v>129</v>
      </c>
      <c r="U612" s="440">
        <v>11.205555555555554</v>
      </c>
      <c r="V612" s="631"/>
      <c r="W612" s="631"/>
      <c r="X612" s="440">
        <v>0.56000000000000005</v>
      </c>
      <c r="Y612" s="763" t="s">
        <v>129</v>
      </c>
      <c r="Z612" s="774"/>
      <c r="AA612" s="775"/>
      <c r="AB612" s="810"/>
      <c r="AC612" s="817" t="s">
        <v>129</v>
      </c>
      <c r="AD612" s="810"/>
      <c r="AE612" s="810"/>
      <c r="AF612" s="624">
        <v>9080</v>
      </c>
    </row>
    <row r="613" spans="1:32" ht="15.75">
      <c r="A613" s="633"/>
      <c r="B613" s="634"/>
      <c r="C613" s="633"/>
      <c r="D613" s="637"/>
      <c r="E613" s="545"/>
      <c r="F613" s="633"/>
      <c r="G613" s="692" t="s">
        <v>129</v>
      </c>
      <c r="H613" s="635"/>
      <c r="I613" s="635"/>
      <c r="J613" s="637"/>
      <c r="K613" s="635"/>
      <c r="L613" s="633"/>
      <c r="M613" s="637"/>
      <c r="N613" s="592" t="s">
        <v>129</v>
      </c>
      <c r="O613" s="594" t="s">
        <v>129</v>
      </c>
      <c r="P613" s="743"/>
      <c r="Q613" s="431">
        <v>0.02</v>
      </c>
      <c r="R613" s="430">
        <v>3443</v>
      </c>
      <c r="S613" s="499"/>
      <c r="T613" s="751" t="s">
        <v>129</v>
      </c>
      <c r="U613" s="440">
        <v>13.026666666666667</v>
      </c>
      <c r="V613" s="633"/>
      <c r="W613" s="633"/>
      <c r="X613" s="440">
        <v>0.56000000000000005</v>
      </c>
      <c r="Y613" s="761" t="s">
        <v>129</v>
      </c>
      <c r="Z613" s="633"/>
      <c r="AA613" s="634"/>
      <c r="AB613" s="633"/>
      <c r="AC613" s="818" t="s">
        <v>129</v>
      </c>
      <c r="AD613" s="811"/>
      <c r="AE613" s="633"/>
      <c r="AF613" s="633"/>
    </row>
    <row r="614" spans="1:32" ht="15.75">
      <c r="A614" s="643">
        <v>9081</v>
      </c>
      <c r="B614" s="644" t="s">
        <v>411</v>
      </c>
      <c r="C614" s="644" t="s">
        <v>1102</v>
      </c>
      <c r="D614" s="899">
        <v>3.3</v>
      </c>
      <c r="E614" s="545">
        <v>38000</v>
      </c>
      <c r="F614" s="546">
        <v>69</v>
      </c>
      <c r="G614" s="891">
        <v>21</v>
      </c>
      <c r="H614" s="892">
        <v>18</v>
      </c>
      <c r="I614" s="892">
        <v>26</v>
      </c>
      <c r="J614" s="893">
        <v>240</v>
      </c>
      <c r="K614" s="554" t="s">
        <v>221</v>
      </c>
      <c r="L614" s="562">
        <v>12</v>
      </c>
      <c r="M614" s="893">
        <v>6000</v>
      </c>
      <c r="N614" s="592">
        <v>0.25</v>
      </c>
      <c r="O614" s="594">
        <v>0.95</v>
      </c>
      <c r="P614" s="590">
        <v>42</v>
      </c>
      <c r="Q614" s="431">
        <v>3.3300000000000003E-2</v>
      </c>
      <c r="R614" s="430">
        <v>1131</v>
      </c>
      <c r="S614" s="497">
        <v>492</v>
      </c>
      <c r="T614" s="751">
        <v>3144</v>
      </c>
      <c r="U614" s="440">
        <v>15.77</v>
      </c>
      <c r="V614" s="892">
        <v>6.0166666666666657</v>
      </c>
      <c r="W614" s="636"/>
      <c r="X614" s="440">
        <v>0.93240000000000012</v>
      </c>
      <c r="Y614" s="894">
        <v>6.0166666666666657</v>
      </c>
      <c r="Z614" s="776">
        <v>69.393500000000003</v>
      </c>
      <c r="AA614" s="788">
        <v>21.028333333333336</v>
      </c>
      <c r="AB614" s="811">
        <v>14</v>
      </c>
      <c r="AC614" s="818">
        <v>76</v>
      </c>
      <c r="AD614" s="811" t="s">
        <v>784</v>
      </c>
      <c r="AE614" s="811">
        <v>0</v>
      </c>
      <c r="AF614" s="643">
        <v>9081</v>
      </c>
    </row>
    <row r="615" spans="1:32" ht="15.75">
      <c r="A615" s="643">
        <v>9082</v>
      </c>
      <c r="B615" s="644" t="s">
        <v>411</v>
      </c>
      <c r="C615" s="644" t="s">
        <v>1103</v>
      </c>
      <c r="D615" s="899">
        <v>3</v>
      </c>
      <c r="E615" s="545">
        <v>43000</v>
      </c>
      <c r="F615" s="546">
        <v>105</v>
      </c>
      <c r="G615" s="891">
        <v>35</v>
      </c>
      <c r="H615" s="892">
        <v>30</v>
      </c>
      <c r="I615" s="892">
        <v>44</v>
      </c>
      <c r="J615" s="893">
        <v>150</v>
      </c>
      <c r="K615" s="554" t="s">
        <v>221</v>
      </c>
      <c r="L615" s="562">
        <v>12</v>
      </c>
      <c r="M615" s="893">
        <v>6000</v>
      </c>
      <c r="N615" s="592">
        <v>0.25</v>
      </c>
      <c r="O615" s="594">
        <v>1.1000000000000001</v>
      </c>
      <c r="P615" s="590">
        <v>53</v>
      </c>
      <c r="Q615" s="431"/>
      <c r="R615" s="430" t="s">
        <v>129</v>
      </c>
      <c r="S615" s="175">
        <v>642</v>
      </c>
      <c r="T615" s="751">
        <v>3596</v>
      </c>
      <c r="U615" s="440"/>
      <c r="V615" s="892">
        <v>7.8833333333333346</v>
      </c>
      <c r="W615" s="636"/>
      <c r="X615" s="440"/>
      <c r="Y615" s="894">
        <v>7.8833333333333346</v>
      </c>
      <c r="Z615" s="776">
        <v>105.12700000000001</v>
      </c>
      <c r="AA615" s="788">
        <v>35.042333333333339</v>
      </c>
      <c r="AB615" s="811">
        <v>20</v>
      </c>
      <c r="AC615" s="818">
        <v>86</v>
      </c>
      <c r="AD615" s="811" t="s">
        <v>784</v>
      </c>
      <c r="AE615" s="811">
        <v>0</v>
      </c>
      <c r="AF615" s="643">
        <v>9082</v>
      </c>
    </row>
    <row r="616" spans="1:32" ht="15.75">
      <c r="A616" s="541">
        <v>9083</v>
      </c>
      <c r="B616" s="644" t="s">
        <v>411</v>
      </c>
      <c r="C616" s="644" t="s">
        <v>1104</v>
      </c>
      <c r="D616" s="899">
        <v>2.7</v>
      </c>
      <c r="E616" s="545">
        <v>32000</v>
      </c>
      <c r="F616" s="546">
        <v>74</v>
      </c>
      <c r="G616" s="891">
        <v>27</v>
      </c>
      <c r="H616" s="892">
        <v>23</v>
      </c>
      <c r="I616" s="892">
        <v>34</v>
      </c>
      <c r="J616" s="893">
        <v>150</v>
      </c>
      <c r="K616" s="554" t="s">
        <v>221</v>
      </c>
      <c r="L616" s="562">
        <v>12</v>
      </c>
      <c r="M616" s="893">
        <v>6000</v>
      </c>
      <c r="N616" s="592">
        <v>0.25</v>
      </c>
      <c r="O616" s="594">
        <v>1</v>
      </c>
      <c r="P616" s="590">
        <v>74</v>
      </c>
      <c r="Q616" s="429"/>
      <c r="R616" s="430" t="s">
        <v>129</v>
      </c>
      <c r="S616" s="497">
        <v>780</v>
      </c>
      <c r="T616" s="751">
        <v>2918</v>
      </c>
      <c r="U616" s="438"/>
      <c r="V616" s="892">
        <v>5.333333333333333</v>
      </c>
      <c r="W616" s="636"/>
      <c r="X616" s="438"/>
      <c r="Y616" s="894">
        <v>5.333333333333333</v>
      </c>
      <c r="Z616" s="776">
        <v>73.616400000000013</v>
      </c>
      <c r="AA616" s="788">
        <v>27.265333333333334</v>
      </c>
      <c r="AB616" s="811">
        <v>15</v>
      </c>
      <c r="AC616" s="818">
        <v>64</v>
      </c>
      <c r="AD616" s="811" t="s">
        <v>784</v>
      </c>
      <c r="AE616" s="811">
        <v>0</v>
      </c>
      <c r="AF616" s="541">
        <v>9083</v>
      </c>
    </row>
    <row r="617" spans="1:32" ht="15.75">
      <c r="A617" s="541">
        <v>9084</v>
      </c>
      <c r="B617" s="644" t="s">
        <v>411</v>
      </c>
      <c r="C617" s="644" t="s">
        <v>1105</v>
      </c>
      <c r="D617" s="890">
        <v>2.5</v>
      </c>
      <c r="E617" s="545">
        <v>48000</v>
      </c>
      <c r="F617" s="546">
        <v>66</v>
      </c>
      <c r="G617" s="891">
        <v>27</v>
      </c>
      <c r="H617" s="892">
        <v>22</v>
      </c>
      <c r="I617" s="892">
        <v>34</v>
      </c>
      <c r="J617" s="893">
        <v>220</v>
      </c>
      <c r="K617" s="554" t="s">
        <v>221</v>
      </c>
      <c r="L617" s="562">
        <v>12</v>
      </c>
      <c r="M617" s="893">
        <v>6000</v>
      </c>
      <c r="N617" s="592">
        <v>0.25</v>
      </c>
      <c r="O617" s="594">
        <v>0.55000000000000004</v>
      </c>
      <c r="P617" s="590">
        <v>105</v>
      </c>
      <c r="Q617" s="432"/>
      <c r="R617" s="430" t="s">
        <v>129</v>
      </c>
      <c r="S617" s="175">
        <v>492</v>
      </c>
      <c r="T617" s="751">
        <v>4335</v>
      </c>
      <c r="U617" s="432"/>
      <c r="V617" s="892">
        <v>4.4000000000000004</v>
      </c>
      <c r="W617" s="636"/>
      <c r="X617" s="432"/>
      <c r="Y617" s="894">
        <v>4.4000000000000004</v>
      </c>
      <c r="Z617" s="776">
        <v>66.287499999999994</v>
      </c>
      <c r="AA617" s="788">
        <v>26.515000000000001</v>
      </c>
      <c r="AB617" s="811">
        <v>20</v>
      </c>
      <c r="AC617" s="818">
        <v>96</v>
      </c>
      <c r="AD617" s="811" t="s">
        <v>784</v>
      </c>
      <c r="AE617" s="811">
        <v>0</v>
      </c>
      <c r="AF617" s="541">
        <v>9084</v>
      </c>
    </row>
    <row r="618" spans="1:32" ht="15.75">
      <c r="A618" s="541">
        <v>9085</v>
      </c>
      <c r="B618" s="644" t="s">
        <v>411</v>
      </c>
      <c r="C618" s="644" t="s">
        <v>1106</v>
      </c>
      <c r="D618" s="890">
        <v>2</v>
      </c>
      <c r="E618" s="545">
        <v>65000</v>
      </c>
      <c r="F618" s="546">
        <v>70</v>
      </c>
      <c r="G618" s="891">
        <v>35</v>
      </c>
      <c r="H618" s="892">
        <v>29</v>
      </c>
      <c r="I618" s="892">
        <v>45</v>
      </c>
      <c r="J618" s="893">
        <v>220</v>
      </c>
      <c r="K618" s="554" t="s">
        <v>221</v>
      </c>
      <c r="L618" s="562">
        <v>12</v>
      </c>
      <c r="M618" s="893">
        <v>5000</v>
      </c>
      <c r="N618" s="592">
        <v>0.25</v>
      </c>
      <c r="O618" s="594">
        <v>0.45</v>
      </c>
      <c r="P618" s="590">
        <v>124</v>
      </c>
      <c r="Q618" s="431">
        <v>0.05</v>
      </c>
      <c r="R618" s="430">
        <v>548.1</v>
      </c>
      <c r="S618" s="497">
        <v>642</v>
      </c>
      <c r="T618" s="751">
        <v>5743</v>
      </c>
      <c r="U618" s="440">
        <v>9.8962500000000002</v>
      </c>
      <c r="V618" s="892">
        <v>5.8500000000000005</v>
      </c>
      <c r="W618" s="636"/>
      <c r="X618" s="440">
        <v>1.4000000000000001</v>
      </c>
      <c r="Y618" s="894">
        <v>5.8500000000000005</v>
      </c>
      <c r="Z618" s="776">
        <v>70.300000000000011</v>
      </c>
      <c r="AA618" s="788">
        <v>35.150000000000006</v>
      </c>
      <c r="AB618" s="811">
        <v>25</v>
      </c>
      <c r="AC618" s="818">
        <v>130</v>
      </c>
      <c r="AD618" s="811" t="s">
        <v>784</v>
      </c>
      <c r="AE618" s="811">
        <v>0</v>
      </c>
      <c r="AF618" s="541">
        <v>9085</v>
      </c>
    </row>
    <row r="619" spans="1:32" ht="15.75">
      <c r="A619" s="541">
        <v>9086</v>
      </c>
      <c r="B619" s="644" t="s">
        <v>411</v>
      </c>
      <c r="C619" s="542" t="s">
        <v>1107</v>
      </c>
      <c r="D619" s="890">
        <v>1.5</v>
      </c>
      <c r="E619" s="545">
        <v>94000</v>
      </c>
      <c r="F619" s="546">
        <v>71</v>
      </c>
      <c r="G619" s="891">
        <v>47</v>
      </c>
      <c r="H619" s="900">
        <v>39</v>
      </c>
      <c r="I619" s="892">
        <v>61</v>
      </c>
      <c r="J619" s="893">
        <v>220</v>
      </c>
      <c r="K619" s="554" t="s">
        <v>221</v>
      </c>
      <c r="L619" s="562">
        <v>12</v>
      </c>
      <c r="M619" s="893">
        <v>5000</v>
      </c>
      <c r="N619" s="592">
        <v>0.25</v>
      </c>
      <c r="O619" s="594">
        <v>0.35</v>
      </c>
      <c r="P619" s="590">
        <v>139</v>
      </c>
      <c r="Q619" s="431">
        <v>0.05</v>
      </c>
      <c r="R619" s="430">
        <v>835.2</v>
      </c>
      <c r="S619" s="175">
        <v>780</v>
      </c>
      <c r="T619" s="751">
        <v>8023</v>
      </c>
      <c r="U619" s="440">
        <v>10.994000000000002</v>
      </c>
      <c r="V619" s="892">
        <v>6.58</v>
      </c>
      <c r="W619" s="636"/>
      <c r="X619" s="440">
        <v>1.4000000000000001</v>
      </c>
      <c r="Y619" s="894">
        <v>6.58</v>
      </c>
      <c r="Z619" s="776">
        <v>71.029499999999999</v>
      </c>
      <c r="AA619" s="788">
        <v>47.353000000000002</v>
      </c>
      <c r="AB619" s="811">
        <v>30</v>
      </c>
      <c r="AC619" s="818">
        <v>188</v>
      </c>
      <c r="AD619" s="811" t="s">
        <v>784</v>
      </c>
      <c r="AE619" s="811">
        <v>0</v>
      </c>
      <c r="AF619" s="541">
        <v>9086</v>
      </c>
    </row>
    <row r="620" spans="1:32" ht="15.75">
      <c r="A620" s="541">
        <v>9087</v>
      </c>
      <c r="B620" s="644" t="s">
        <v>411</v>
      </c>
      <c r="C620" s="542" t="s">
        <v>1108</v>
      </c>
      <c r="D620" s="890">
        <v>1.2</v>
      </c>
      <c r="E620" s="545">
        <v>137000</v>
      </c>
      <c r="F620" s="546">
        <v>79</v>
      </c>
      <c r="G620" s="891">
        <v>66</v>
      </c>
      <c r="H620" s="900">
        <v>55</v>
      </c>
      <c r="I620" s="892">
        <v>85</v>
      </c>
      <c r="J620" s="893">
        <v>220</v>
      </c>
      <c r="K620" s="554" t="s">
        <v>221</v>
      </c>
      <c r="L620" s="562">
        <v>12</v>
      </c>
      <c r="M620" s="893">
        <v>5000</v>
      </c>
      <c r="N620" s="592">
        <v>0.25</v>
      </c>
      <c r="O620" s="594">
        <v>0.3</v>
      </c>
      <c r="P620" s="590">
        <v>157</v>
      </c>
      <c r="Q620" s="431">
        <v>2.5000000000000001E-2</v>
      </c>
      <c r="R620" s="430">
        <v>2001</v>
      </c>
      <c r="S620" s="175"/>
      <c r="T620" s="751">
        <v>11374</v>
      </c>
      <c r="U620" s="440">
        <v>15.68125</v>
      </c>
      <c r="V620" s="892">
        <v>8.2199999999999989</v>
      </c>
      <c r="W620" s="636"/>
      <c r="X620" s="440">
        <v>0.70000000000000007</v>
      </c>
      <c r="Y620" s="894">
        <v>8.2199999999999989</v>
      </c>
      <c r="Z620" s="776">
        <v>79.094400000000007</v>
      </c>
      <c r="AA620" s="788">
        <v>65.912000000000006</v>
      </c>
      <c r="AB620" s="811">
        <v>35</v>
      </c>
      <c r="AC620" s="818">
        <v>274</v>
      </c>
      <c r="AD620" s="811" t="s">
        <v>784</v>
      </c>
      <c r="AE620" s="811">
        <v>0</v>
      </c>
      <c r="AF620" s="541">
        <v>9087</v>
      </c>
    </row>
    <row r="621" spans="1:32" ht="15.75">
      <c r="A621" s="541">
        <v>9088</v>
      </c>
      <c r="B621" s="644" t="s">
        <v>411</v>
      </c>
      <c r="C621" s="542" t="s">
        <v>1109</v>
      </c>
      <c r="D621" s="890">
        <v>1</v>
      </c>
      <c r="E621" s="545">
        <v>158000</v>
      </c>
      <c r="F621" s="546">
        <v>76</v>
      </c>
      <c r="G621" s="891">
        <v>76</v>
      </c>
      <c r="H621" s="900">
        <v>63</v>
      </c>
      <c r="I621" s="892">
        <v>98</v>
      </c>
      <c r="J621" s="893">
        <v>220</v>
      </c>
      <c r="K621" s="554" t="s">
        <v>221</v>
      </c>
      <c r="L621" s="562">
        <v>12</v>
      </c>
      <c r="M621" s="893">
        <v>5000</v>
      </c>
      <c r="N621" s="592">
        <v>0.25</v>
      </c>
      <c r="O621" s="594">
        <v>0.3</v>
      </c>
      <c r="P621" s="590">
        <v>187</v>
      </c>
      <c r="Q621" s="431">
        <v>2.5000000000000001E-2</v>
      </c>
      <c r="R621" s="430">
        <v>2610</v>
      </c>
      <c r="S621" s="496"/>
      <c r="T621" s="751">
        <v>13159</v>
      </c>
      <c r="U621" s="440">
        <v>18.216666666666665</v>
      </c>
      <c r="V621" s="892">
        <v>9.48</v>
      </c>
      <c r="W621" s="636"/>
      <c r="X621" s="440">
        <v>0.70000000000000007</v>
      </c>
      <c r="Y621" s="894">
        <v>9.48</v>
      </c>
      <c r="Z621" s="776">
        <v>76.223000000000013</v>
      </c>
      <c r="AA621" s="788">
        <v>76.223000000000013</v>
      </c>
      <c r="AB621" s="811">
        <v>40</v>
      </c>
      <c r="AC621" s="818">
        <v>316</v>
      </c>
      <c r="AD621" s="811" t="s">
        <v>784</v>
      </c>
      <c r="AE621" s="811">
        <v>0</v>
      </c>
      <c r="AF621" s="541">
        <v>9088</v>
      </c>
    </row>
    <row r="622" spans="1:32" ht="15.75">
      <c r="A622" s="541">
        <v>9090</v>
      </c>
      <c r="B622" s="644"/>
      <c r="C622" s="542" t="s">
        <v>1110</v>
      </c>
      <c r="D622" s="888">
        <v>2</v>
      </c>
      <c r="E622" s="545">
        <v>13500</v>
      </c>
      <c r="F622" s="546">
        <v>16</v>
      </c>
      <c r="G622" s="891">
        <v>8.1999999999999993</v>
      </c>
      <c r="H622" s="900">
        <v>7</v>
      </c>
      <c r="I622" s="892">
        <v>10</v>
      </c>
      <c r="J622" s="893">
        <v>220</v>
      </c>
      <c r="K622" s="554" t="s">
        <v>221</v>
      </c>
      <c r="L622" s="562">
        <v>12</v>
      </c>
      <c r="M622" s="893">
        <v>5000</v>
      </c>
      <c r="N622" s="592">
        <v>0.25</v>
      </c>
      <c r="O622" s="594">
        <v>1.05</v>
      </c>
      <c r="P622" s="590"/>
      <c r="Q622" s="431">
        <v>2.5000000000000001E-2</v>
      </c>
      <c r="R622" s="430">
        <v>2523</v>
      </c>
      <c r="S622" s="175"/>
      <c r="T622" s="751">
        <v>1012.5</v>
      </c>
      <c r="U622" s="440">
        <v>19.018750000000001</v>
      </c>
      <c r="V622" s="892">
        <v>2.8350000000000004</v>
      </c>
      <c r="W622" s="636"/>
      <c r="X622" s="440">
        <v>0.70000000000000007</v>
      </c>
      <c r="Y622" s="894">
        <v>2.8350000000000004</v>
      </c>
      <c r="Z622" s="776">
        <v>16.362000000000002</v>
      </c>
      <c r="AA622" s="788">
        <v>8.1810000000000009</v>
      </c>
      <c r="AB622" s="811"/>
      <c r="AC622" s="818">
        <v>27</v>
      </c>
      <c r="AD622" s="811" t="s">
        <v>784</v>
      </c>
      <c r="AE622" s="811">
        <v>0</v>
      </c>
      <c r="AF622" s="541">
        <v>9090</v>
      </c>
    </row>
    <row r="623" spans="1:32" ht="15.75">
      <c r="A623" s="541">
        <v>9091</v>
      </c>
      <c r="B623" s="644"/>
      <c r="C623" s="542" t="s">
        <v>1111</v>
      </c>
      <c r="D623" s="888">
        <v>2</v>
      </c>
      <c r="E623" s="545">
        <v>7700</v>
      </c>
      <c r="F623" s="546">
        <v>14</v>
      </c>
      <c r="G623" s="891">
        <v>7.1</v>
      </c>
      <c r="H623" s="900">
        <v>6</v>
      </c>
      <c r="I623" s="892">
        <v>8</v>
      </c>
      <c r="J623" s="893">
        <v>220</v>
      </c>
      <c r="K623" s="554" t="s">
        <v>221</v>
      </c>
      <c r="L623" s="562">
        <v>12</v>
      </c>
      <c r="M623" s="893">
        <v>5000</v>
      </c>
      <c r="N623" s="592">
        <v>0.25</v>
      </c>
      <c r="O623" s="594">
        <v>2.4500000000000002</v>
      </c>
      <c r="P623" s="590">
        <v>1</v>
      </c>
      <c r="Q623" s="431">
        <v>1.2500000000000001E-2</v>
      </c>
      <c r="R623" s="430">
        <v>1348.5</v>
      </c>
      <c r="S623" s="497">
        <v>378</v>
      </c>
      <c r="T623" s="751">
        <v>584.5</v>
      </c>
      <c r="U623" s="440">
        <v>10.580555555555556</v>
      </c>
      <c r="V623" s="892">
        <v>3.7730000000000006</v>
      </c>
      <c r="W623" s="636"/>
      <c r="X623" s="440">
        <v>0.35000000000000003</v>
      </c>
      <c r="Y623" s="894">
        <v>3.7730000000000006</v>
      </c>
      <c r="Z623" s="776">
        <v>14.145600000000004</v>
      </c>
      <c r="AA623" s="788">
        <v>7.0728000000000018</v>
      </c>
      <c r="AB623" s="811"/>
      <c r="AC623" s="818">
        <v>15.4</v>
      </c>
      <c r="AD623" s="811" t="s">
        <v>784</v>
      </c>
      <c r="AE623" s="811">
        <v>0</v>
      </c>
      <c r="AF623" s="541">
        <v>9091</v>
      </c>
    </row>
    <row r="624" spans="1:32" ht="15.75">
      <c r="A624" s="541"/>
      <c r="B624" s="644"/>
      <c r="C624" s="644"/>
      <c r="D624" s="566"/>
      <c r="E624" s="545"/>
      <c r="F624" s="546"/>
      <c r="G624" s="681" t="s">
        <v>129</v>
      </c>
      <c r="H624" s="682"/>
      <c r="I624" s="682"/>
      <c r="J624" s="554"/>
      <c r="K624" s="554"/>
      <c r="L624" s="562"/>
      <c r="M624" s="568"/>
      <c r="N624" s="592"/>
      <c r="O624" s="594" t="s">
        <v>129</v>
      </c>
      <c r="P624" s="590"/>
      <c r="Q624" s="431"/>
      <c r="R624" s="430" t="s">
        <v>129</v>
      </c>
      <c r="S624" s="175">
        <v>282</v>
      </c>
      <c r="T624" s="751" t="s">
        <v>129</v>
      </c>
      <c r="U624" s="440"/>
      <c r="V624" s="682"/>
      <c r="W624" s="636"/>
      <c r="X624" s="440"/>
      <c r="Y624" s="761" t="s">
        <v>129</v>
      </c>
      <c r="Z624" s="776"/>
      <c r="AA624" s="797"/>
      <c r="AB624" s="811"/>
      <c r="AC624" s="818" t="s">
        <v>129</v>
      </c>
      <c r="AD624" s="811"/>
      <c r="AE624" s="811"/>
      <c r="AF624" s="541"/>
    </row>
    <row r="625" spans="1:32" ht="15.75">
      <c r="A625" s="715">
        <v>9100</v>
      </c>
      <c r="B625" s="625" t="s">
        <v>411</v>
      </c>
      <c r="C625" s="626" t="s">
        <v>1112</v>
      </c>
      <c r="D625" s="627"/>
      <c r="E625" s="628"/>
      <c r="F625" s="629"/>
      <c r="G625" s="687" t="s">
        <v>129</v>
      </c>
      <c r="H625" s="631"/>
      <c r="I625" s="631"/>
      <c r="J625" s="632"/>
      <c r="K625" s="632"/>
      <c r="L625" s="627"/>
      <c r="M625" s="632"/>
      <c r="N625" s="739" t="s">
        <v>129</v>
      </c>
      <c r="O625" s="744" t="s">
        <v>129</v>
      </c>
      <c r="P625" s="742"/>
      <c r="Q625" s="429"/>
      <c r="R625" s="430" t="s">
        <v>129</v>
      </c>
      <c r="S625" s="497">
        <v>72</v>
      </c>
      <c r="T625" s="750" t="s">
        <v>129</v>
      </c>
      <c r="U625" s="438"/>
      <c r="V625" s="631"/>
      <c r="W625" s="631"/>
      <c r="X625" s="438"/>
      <c r="Y625" s="763" t="s">
        <v>129</v>
      </c>
      <c r="Z625" s="774"/>
      <c r="AA625" s="775"/>
      <c r="AB625" s="810"/>
      <c r="AC625" s="817" t="s">
        <v>129</v>
      </c>
      <c r="AD625" s="810"/>
      <c r="AE625" s="810"/>
      <c r="AF625" s="715">
        <v>9100</v>
      </c>
    </row>
    <row r="626" spans="1:32" ht="15.75">
      <c r="A626" s="541"/>
      <c r="B626" s="634"/>
      <c r="C626" s="633"/>
      <c r="D626" s="566"/>
      <c r="E626" s="545"/>
      <c r="F626" s="546"/>
      <c r="G626" s="681" t="s">
        <v>129</v>
      </c>
      <c r="H626" s="636"/>
      <c r="I626" s="636"/>
      <c r="J626" s="636"/>
      <c r="K626" s="635"/>
      <c r="L626" s="633"/>
      <c r="M626" s="549"/>
      <c r="N626" s="592" t="s">
        <v>129</v>
      </c>
      <c r="O626" s="594" t="s">
        <v>129</v>
      </c>
      <c r="P626" s="743"/>
      <c r="Q626" s="432"/>
      <c r="R626" s="430" t="s">
        <v>129</v>
      </c>
      <c r="S626" s="175">
        <v>234</v>
      </c>
      <c r="T626" s="751" t="s">
        <v>129</v>
      </c>
      <c r="U626" s="432"/>
      <c r="V626" s="636"/>
      <c r="W626" s="636"/>
      <c r="X626" s="432"/>
      <c r="Y626" s="761" t="s">
        <v>129</v>
      </c>
      <c r="Z626" s="776"/>
      <c r="AA626" s="788"/>
      <c r="AB626" s="633"/>
      <c r="AC626" s="818" t="s">
        <v>129</v>
      </c>
      <c r="AD626" s="811"/>
      <c r="AE626" s="811"/>
      <c r="AF626" s="541"/>
    </row>
    <row r="627" spans="1:32" ht="15.75">
      <c r="A627" s="541">
        <v>9101</v>
      </c>
      <c r="B627" s="644" t="s">
        <v>411</v>
      </c>
      <c r="C627" s="542" t="s">
        <v>1113</v>
      </c>
      <c r="D627" s="890">
        <v>2.5</v>
      </c>
      <c r="E627" s="545">
        <v>63000</v>
      </c>
      <c r="F627" s="546">
        <v>87</v>
      </c>
      <c r="G627" s="891">
        <v>35</v>
      </c>
      <c r="H627" s="892">
        <v>30</v>
      </c>
      <c r="I627" s="892">
        <v>44</v>
      </c>
      <c r="J627" s="893">
        <v>250</v>
      </c>
      <c r="K627" s="554" t="s">
        <v>221</v>
      </c>
      <c r="L627" s="562">
        <v>12</v>
      </c>
      <c r="M627" s="893">
        <v>5000</v>
      </c>
      <c r="N627" s="592">
        <v>0.1</v>
      </c>
      <c r="O627" s="594">
        <v>0.6</v>
      </c>
      <c r="P627" s="590">
        <v>82</v>
      </c>
      <c r="Q627" s="431">
        <v>3.3300000000000003E-2</v>
      </c>
      <c r="R627" s="430">
        <v>2610</v>
      </c>
      <c r="S627" s="497">
        <v>234</v>
      </c>
      <c r="T627" s="751">
        <v>6029.8</v>
      </c>
      <c r="U627" s="444">
        <v>12.35</v>
      </c>
      <c r="V627" s="892">
        <v>7.56</v>
      </c>
      <c r="W627" s="636"/>
      <c r="X627" s="444">
        <v>0.93240000000000012</v>
      </c>
      <c r="Y627" s="894">
        <v>7.56</v>
      </c>
      <c r="Z627" s="776"/>
      <c r="AA627" s="788">
        <v>34.847120000000004</v>
      </c>
      <c r="AB627" s="811">
        <v>25</v>
      </c>
      <c r="AC627" s="818">
        <v>126</v>
      </c>
      <c r="AD627" s="811" t="s">
        <v>784</v>
      </c>
      <c r="AE627" s="811">
        <v>0</v>
      </c>
      <c r="AF627" s="541">
        <v>9101</v>
      </c>
    </row>
    <row r="628" spans="1:32" ht="15.75">
      <c r="A628" s="541">
        <v>9102</v>
      </c>
      <c r="B628" s="644" t="s">
        <v>411</v>
      </c>
      <c r="C628" s="542" t="s">
        <v>1114</v>
      </c>
      <c r="D628" s="890">
        <v>1.8</v>
      </c>
      <c r="E628" s="545">
        <v>68000</v>
      </c>
      <c r="F628" s="546">
        <v>69</v>
      </c>
      <c r="G628" s="891">
        <v>38</v>
      </c>
      <c r="H628" s="892">
        <v>32</v>
      </c>
      <c r="I628" s="892">
        <v>48</v>
      </c>
      <c r="J628" s="893">
        <v>250</v>
      </c>
      <c r="K628" s="554" t="s">
        <v>221</v>
      </c>
      <c r="L628" s="562">
        <v>12</v>
      </c>
      <c r="M628" s="893">
        <v>5000</v>
      </c>
      <c r="N628" s="592">
        <v>0.1</v>
      </c>
      <c r="O628" s="594">
        <v>0.6</v>
      </c>
      <c r="P628" s="590">
        <v>107</v>
      </c>
      <c r="Q628" s="431">
        <v>0.05</v>
      </c>
      <c r="R628" s="430">
        <v>3306</v>
      </c>
      <c r="S628" s="175">
        <v>324</v>
      </c>
      <c r="T628" s="751">
        <v>6637.8</v>
      </c>
      <c r="U628" s="444">
        <v>25.02</v>
      </c>
      <c r="V628" s="892">
        <v>8.16</v>
      </c>
      <c r="W628" s="636"/>
      <c r="X628" s="444">
        <v>1.4000000000000001</v>
      </c>
      <c r="Y628" s="894">
        <v>8.16</v>
      </c>
      <c r="Z628" s="776"/>
      <c r="AA628" s="788">
        <v>38.182320000000011</v>
      </c>
      <c r="AB628" s="811">
        <v>35</v>
      </c>
      <c r="AC628" s="818">
        <v>136</v>
      </c>
      <c r="AD628" s="811" t="s">
        <v>784</v>
      </c>
      <c r="AE628" s="811">
        <v>0</v>
      </c>
      <c r="AF628" s="541">
        <v>9102</v>
      </c>
    </row>
    <row r="629" spans="1:32" ht="15.75">
      <c r="A629" s="541">
        <v>9103</v>
      </c>
      <c r="B629" s="644" t="s">
        <v>411</v>
      </c>
      <c r="C629" s="542" t="s">
        <v>1115</v>
      </c>
      <c r="D629" s="890">
        <v>1.3</v>
      </c>
      <c r="E629" s="545">
        <v>91000</v>
      </c>
      <c r="F629" s="546">
        <v>65</v>
      </c>
      <c r="G629" s="891">
        <v>50</v>
      </c>
      <c r="H629" s="892">
        <v>42</v>
      </c>
      <c r="I629" s="892">
        <v>63</v>
      </c>
      <c r="J629" s="893">
        <v>250</v>
      </c>
      <c r="K629" s="554" t="s">
        <v>221</v>
      </c>
      <c r="L629" s="562">
        <v>12</v>
      </c>
      <c r="M629" s="893">
        <v>5000</v>
      </c>
      <c r="N629" s="592">
        <v>0.1</v>
      </c>
      <c r="O629" s="594">
        <v>0.55000000000000004</v>
      </c>
      <c r="P629" s="590">
        <v>130</v>
      </c>
      <c r="Q629" s="431">
        <v>3.3300000000000003E-2</v>
      </c>
      <c r="R629" s="430">
        <v>2262</v>
      </c>
      <c r="S629" s="497">
        <v>324</v>
      </c>
      <c r="T629" s="751">
        <v>8790.6</v>
      </c>
      <c r="U629" s="444">
        <v>18.88</v>
      </c>
      <c r="V629" s="892">
        <v>10.01</v>
      </c>
      <c r="W629" s="636"/>
      <c r="X629" s="444">
        <v>0.93240000000000012</v>
      </c>
      <c r="Y629" s="894">
        <v>10.01</v>
      </c>
      <c r="Z629" s="776"/>
      <c r="AA629" s="788">
        <v>49.689639999999997</v>
      </c>
      <c r="AB629" s="811">
        <v>45</v>
      </c>
      <c r="AC629" s="818">
        <v>182</v>
      </c>
      <c r="AD629" s="811" t="s">
        <v>784</v>
      </c>
      <c r="AE629" s="811">
        <v>0</v>
      </c>
      <c r="AF629" s="541">
        <v>9103</v>
      </c>
    </row>
    <row r="630" spans="1:32" ht="15.75">
      <c r="A630" s="541">
        <v>9105</v>
      </c>
      <c r="B630" s="644" t="s">
        <v>411</v>
      </c>
      <c r="C630" s="542" t="s">
        <v>1116</v>
      </c>
      <c r="D630" s="890">
        <v>2.5</v>
      </c>
      <c r="E630" s="545">
        <v>45000</v>
      </c>
      <c r="F630" s="546">
        <v>58</v>
      </c>
      <c r="G630" s="891">
        <v>23</v>
      </c>
      <c r="H630" s="892">
        <v>20</v>
      </c>
      <c r="I630" s="892">
        <v>29</v>
      </c>
      <c r="J630" s="893">
        <v>250</v>
      </c>
      <c r="K630" s="554" t="s">
        <v>221</v>
      </c>
      <c r="L630" s="562">
        <v>15</v>
      </c>
      <c r="M630" s="893">
        <v>5000</v>
      </c>
      <c r="N630" s="592">
        <v>0.1</v>
      </c>
      <c r="O630" s="594">
        <v>0.65</v>
      </c>
      <c r="P630" s="590">
        <v>82</v>
      </c>
      <c r="Q630" s="431">
        <v>0.05</v>
      </c>
      <c r="R630" s="430">
        <v>3132</v>
      </c>
      <c r="S630" s="175">
        <v>468</v>
      </c>
      <c r="T630" s="751">
        <v>3796</v>
      </c>
      <c r="U630" s="444">
        <v>17.904545454545456</v>
      </c>
      <c r="V630" s="892">
        <v>5.8500000000000005</v>
      </c>
      <c r="W630" s="636"/>
      <c r="X630" s="444">
        <v>1.4000000000000001</v>
      </c>
      <c r="Y630" s="894">
        <v>5.8500000000000005</v>
      </c>
      <c r="Z630" s="776"/>
      <c r="AA630" s="788">
        <v>23.1374</v>
      </c>
      <c r="AB630" s="811">
        <v>25</v>
      </c>
      <c r="AC630" s="818">
        <v>90</v>
      </c>
      <c r="AD630" s="811" t="s">
        <v>784</v>
      </c>
      <c r="AE630" s="811">
        <v>0</v>
      </c>
      <c r="AF630" s="541">
        <v>9105</v>
      </c>
    </row>
    <row r="631" spans="1:32" ht="15.75">
      <c r="A631" s="541">
        <v>9106</v>
      </c>
      <c r="B631" s="644" t="s">
        <v>411</v>
      </c>
      <c r="C631" s="542" t="s">
        <v>1117</v>
      </c>
      <c r="D631" s="890">
        <v>1.8</v>
      </c>
      <c r="E631" s="545">
        <v>70000</v>
      </c>
      <c r="F631" s="546">
        <v>59</v>
      </c>
      <c r="G631" s="891">
        <v>33</v>
      </c>
      <c r="H631" s="892">
        <v>28</v>
      </c>
      <c r="I631" s="892">
        <v>41</v>
      </c>
      <c r="J631" s="893">
        <v>250</v>
      </c>
      <c r="K631" s="554" t="s">
        <v>221</v>
      </c>
      <c r="L631" s="562">
        <v>15</v>
      </c>
      <c r="M631" s="893">
        <v>5000</v>
      </c>
      <c r="N631" s="592">
        <v>0.1</v>
      </c>
      <c r="O631" s="594">
        <v>0.5</v>
      </c>
      <c r="P631" s="590">
        <v>107</v>
      </c>
      <c r="Q631" s="431">
        <v>6.6667000000000004E-2</v>
      </c>
      <c r="R631" s="430">
        <v>4002</v>
      </c>
      <c r="S631" s="497">
        <v>558</v>
      </c>
      <c r="T631" s="751">
        <v>5761</v>
      </c>
      <c r="U631" s="444">
        <v>22.554545454545455</v>
      </c>
      <c r="V631" s="892">
        <v>7</v>
      </c>
      <c r="W631" s="636"/>
      <c r="X631" s="444">
        <v>1.866676</v>
      </c>
      <c r="Y631" s="894">
        <v>7</v>
      </c>
      <c r="Z631" s="776"/>
      <c r="AA631" s="788">
        <v>33.048400000000001</v>
      </c>
      <c r="AB631" s="811">
        <v>35</v>
      </c>
      <c r="AC631" s="818">
        <v>140</v>
      </c>
      <c r="AD631" s="811" t="s">
        <v>784</v>
      </c>
      <c r="AE631" s="811">
        <v>0</v>
      </c>
      <c r="AF631" s="541">
        <v>9106</v>
      </c>
    </row>
    <row r="632" spans="1:32" ht="15.75">
      <c r="A632" s="541">
        <v>9107</v>
      </c>
      <c r="B632" s="644" t="s">
        <v>411</v>
      </c>
      <c r="C632" s="542" t="s">
        <v>1118</v>
      </c>
      <c r="D632" s="890">
        <v>1.3</v>
      </c>
      <c r="E632" s="545">
        <v>122000</v>
      </c>
      <c r="F632" s="546">
        <v>67</v>
      </c>
      <c r="G632" s="891">
        <v>52</v>
      </c>
      <c r="H632" s="892">
        <v>43</v>
      </c>
      <c r="I632" s="892">
        <v>66</v>
      </c>
      <c r="J632" s="893">
        <v>250</v>
      </c>
      <c r="K632" s="554" t="s">
        <v>221</v>
      </c>
      <c r="L632" s="562">
        <v>15</v>
      </c>
      <c r="M632" s="893">
        <v>5000</v>
      </c>
      <c r="N632" s="592">
        <v>0.1</v>
      </c>
      <c r="O632" s="594">
        <v>0.35</v>
      </c>
      <c r="P632" s="590">
        <v>130</v>
      </c>
      <c r="Q632" s="431">
        <v>0.1</v>
      </c>
      <c r="R632" s="430">
        <v>6960</v>
      </c>
      <c r="S632" s="175">
        <v>558</v>
      </c>
      <c r="T632" s="751">
        <v>9645.2000000000007</v>
      </c>
      <c r="U632" s="444">
        <v>36.786363636363639</v>
      </c>
      <c r="V632" s="892">
        <v>8.5399999999999991</v>
      </c>
      <c r="W632" s="636"/>
      <c r="X632" s="444">
        <v>2.8000000000000003</v>
      </c>
      <c r="Y632" s="894">
        <v>8.5399999999999991</v>
      </c>
      <c r="Z632" s="776"/>
      <c r="AA632" s="788">
        <v>51.83288000000001</v>
      </c>
      <c r="AB632" s="811">
        <v>45</v>
      </c>
      <c r="AC632" s="818">
        <v>244</v>
      </c>
      <c r="AD632" s="811" t="s">
        <v>784</v>
      </c>
      <c r="AE632" s="811">
        <v>0</v>
      </c>
      <c r="AF632" s="541">
        <v>9107</v>
      </c>
    </row>
    <row r="633" spans="1:32" ht="15.75">
      <c r="A633" s="541"/>
      <c r="B633" s="634"/>
      <c r="C633" s="633"/>
      <c r="D633" s="566"/>
      <c r="E633" s="545"/>
      <c r="F633" s="546"/>
      <c r="G633" s="680" t="s">
        <v>129</v>
      </c>
      <c r="H633" s="682"/>
      <c r="I633" s="682"/>
      <c r="J633" s="554"/>
      <c r="K633" s="635"/>
      <c r="L633" s="633"/>
      <c r="M633" s="568"/>
      <c r="N633" s="592"/>
      <c r="O633" s="594" t="s">
        <v>129</v>
      </c>
      <c r="P633" s="743"/>
      <c r="Q633" s="431">
        <v>0.1</v>
      </c>
      <c r="R633" s="430">
        <v>9918</v>
      </c>
      <c r="S633" s="505">
        <v>636</v>
      </c>
      <c r="T633" s="751" t="s">
        <v>129</v>
      </c>
      <c r="U633" s="444">
        <v>51.113636363636367</v>
      </c>
      <c r="V633" s="682"/>
      <c r="W633" s="636"/>
      <c r="X633" s="444">
        <v>2.8000000000000003</v>
      </c>
      <c r="Y633" s="761" t="s">
        <v>129</v>
      </c>
      <c r="Z633" s="776"/>
      <c r="AA633" s="788"/>
      <c r="AB633" s="633"/>
      <c r="AC633" s="818" t="s">
        <v>129</v>
      </c>
      <c r="AD633" s="811"/>
      <c r="AE633" s="811"/>
      <c r="AF633" s="541"/>
    </row>
    <row r="634" spans="1:32" ht="15.75">
      <c r="A634" s="715">
        <v>9120</v>
      </c>
      <c r="B634" s="625" t="s">
        <v>411</v>
      </c>
      <c r="C634" s="626" t="s">
        <v>1119</v>
      </c>
      <c r="D634" s="627"/>
      <c r="E634" s="628"/>
      <c r="F634" s="629"/>
      <c r="G634" s="630" t="s">
        <v>129</v>
      </c>
      <c r="H634" s="631"/>
      <c r="I634" s="631"/>
      <c r="J634" s="632"/>
      <c r="K634" s="632"/>
      <c r="L634" s="627"/>
      <c r="M634" s="632"/>
      <c r="N634" s="739" t="s">
        <v>129</v>
      </c>
      <c r="O634" s="744" t="s">
        <v>129</v>
      </c>
      <c r="P634" s="742"/>
      <c r="Q634" s="431">
        <v>0.1</v>
      </c>
      <c r="R634" s="430">
        <v>11223</v>
      </c>
      <c r="S634" s="175">
        <v>660</v>
      </c>
      <c r="T634" s="750" t="s">
        <v>129</v>
      </c>
      <c r="U634" s="444">
        <v>58.136363636363633</v>
      </c>
      <c r="V634" s="631"/>
      <c r="W634" s="631"/>
      <c r="X634" s="444">
        <v>2.8000000000000003</v>
      </c>
      <c r="Y634" s="763" t="s">
        <v>129</v>
      </c>
      <c r="Z634" s="774"/>
      <c r="AA634" s="775"/>
      <c r="AB634" s="810"/>
      <c r="AC634" s="817" t="s">
        <v>129</v>
      </c>
      <c r="AD634" s="810"/>
      <c r="AE634" s="810"/>
      <c r="AF634" s="715">
        <v>9120</v>
      </c>
    </row>
    <row r="635" spans="1:32" ht="15.75">
      <c r="A635" s="633"/>
      <c r="B635" s="634"/>
      <c r="C635" s="633"/>
      <c r="D635" s="566"/>
      <c r="E635" s="545"/>
      <c r="F635" s="546"/>
      <c r="G635" s="680" t="s">
        <v>129</v>
      </c>
      <c r="H635" s="682"/>
      <c r="I635" s="682"/>
      <c r="J635" s="554"/>
      <c r="K635" s="635"/>
      <c r="L635" s="633"/>
      <c r="M635" s="591"/>
      <c r="N635" s="592" t="s">
        <v>129</v>
      </c>
      <c r="O635" s="594" t="s">
        <v>129</v>
      </c>
      <c r="P635" s="743"/>
      <c r="Q635" s="431">
        <v>0.05</v>
      </c>
      <c r="R635" s="430">
        <v>321.89999999999998</v>
      </c>
      <c r="S635" s="497">
        <v>72</v>
      </c>
      <c r="T635" s="751" t="s">
        <v>129</v>
      </c>
      <c r="U635" s="444">
        <v>1.4968181818181816</v>
      </c>
      <c r="V635" s="682"/>
      <c r="W635" s="636"/>
      <c r="X635" s="444">
        <v>1.4000000000000001</v>
      </c>
      <c r="Y635" s="761" t="s">
        <v>129</v>
      </c>
      <c r="Z635" s="776"/>
      <c r="AA635" s="788"/>
      <c r="AB635" s="633"/>
      <c r="AC635" s="818" t="s">
        <v>129</v>
      </c>
      <c r="AD635" s="811"/>
      <c r="AE635" s="811"/>
      <c r="AF635" s="633"/>
    </row>
    <row r="636" spans="1:32" ht="15.75">
      <c r="A636" s="643">
        <v>9121</v>
      </c>
      <c r="B636" s="644" t="s">
        <v>411</v>
      </c>
      <c r="C636" s="644" t="s">
        <v>1120</v>
      </c>
      <c r="D636" s="612">
        <v>120</v>
      </c>
      <c r="E636" s="545">
        <v>121000</v>
      </c>
      <c r="F636" s="546">
        <v>750</v>
      </c>
      <c r="G636" s="716">
        <v>6.3</v>
      </c>
      <c r="H636" s="699">
        <v>6</v>
      </c>
      <c r="I636" s="699">
        <v>6.8</v>
      </c>
      <c r="J636" s="615">
        <v>8000</v>
      </c>
      <c r="K636" s="554" t="s">
        <v>221</v>
      </c>
      <c r="L636" s="562">
        <v>12</v>
      </c>
      <c r="M636" s="615">
        <v>150000</v>
      </c>
      <c r="N636" s="592">
        <v>0.1</v>
      </c>
      <c r="O636" s="594">
        <v>0.65</v>
      </c>
      <c r="P636" s="590">
        <v>63</v>
      </c>
      <c r="Q636" s="431">
        <v>6.6667000000000004E-2</v>
      </c>
      <c r="R636" s="430">
        <v>643.79999999999995</v>
      </c>
      <c r="S636" s="175">
        <v>216</v>
      </c>
      <c r="T636" s="751">
        <v>10919.6</v>
      </c>
      <c r="U636" s="444">
        <v>2.9936363636363632</v>
      </c>
      <c r="V636" s="699">
        <v>0.52433333333333332</v>
      </c>
      <c r="W636" s="699">
        <v>3.8050986666666664</v>
      </c>
      <c r="X636" s="444">
        <v>1.866676</v>
      </c>
      <c r="Y636" s="770">
        <v>4.3294319999999997</v>
      </c>
      <c r="Z636" s="776">
        <v>751.65842400000008</v>
      </c>
      <c r="AA636" s="793">
        <v>6.2638202000000005</v>
      </c>
      <c r="AB636" s="811"/>
      <c r="AC636" s="818">
        <v>242</v>
      </c>
      <c r="AD636" s="811" t="s">
        <v>383</v>
      </c>
      <c r="AE636" s="811">
        <v>0</v>
      </c>
      <c r="AF636" s="643">
        <v>9121</v>
      </c>
    </row>
    <row r="637" spans="1:32" ht="15.75">
      <c r="A637" s="643">
        <v>9122</v>
      </c>
      <c r="B637" s="644" t="s">
        <v>411</v>
      </c>
      <c r="C637" s="644" t="s">
        <v>1121</v>
      </c>
      <c r="D637" s="901">
        <v>220</v>
      </c>
      <c r="E637" s="545">
        <v>38000</v>
      </c>
      <c r="F637" s="546">
        <v>150</v>
      </c>
      <c r="G637" s="902">
        <v>0.65</v>
      </c>
      <c r="H637" s="903">
        <v>0.6</v>
      </c>
      <c r="I637" s="903">
        <v>0.8</v>
      </c>
      <c r="J637" s="904">
        <v>10000</v>
      </c>
      <c r="K637" s="554" t="s">
        <v>221</v>
      </c>
      <c r="L637" s="562">
        <v>12</v>
      </c>
      <c r="M637" s="904">
        <v>150000</v>
      </c>
      <c r="N637" s="592">
        <v>0.1</v>
      </c>
      <c r="O637" s="594">
        <v>0.75</v>
      </c>
      <c r="P637" s="590">
        <v>47</v>
      </c>
      <c r="Q637" s="431">
        <v>0.1</v>
      </c>
      <c r="R637" s="430">
        <v>574.20000000000005</v>
      </c>
      <c r="S637" s="497">
        <v>216</v>
      </c>
      <c r="T637" s="751">
        <v>3619.8</v>
      </c>
      <c r="U637" s="444">
        <v>2.7018181818181821</v>
      </c>
      <c r="V637" s="903">
        <v>0.19</v>
      </c>
      <c r="W637" s="903">
        <v>6.0817142857142854E-2</v>
      </c>
      <c r="X637" s="444">
        <v>2.8000000000000003</v>
      </c>
      <c r="Y637" s="905">
        <v>0.25081714285714285</v>
      </c>
      <c r="Z637" s="776">
        <v>148.29690857142856</v>
      </c>
      <c r="AA637" s="800">
        <v>0.67407685714285714</v>
      </c>
      <c r="AB637" s="811"/>
      <c r="AC637" s="818">
        <v>76</v>
      </c>
      <c r="AD637" s="811" t="s">
        <v>1122</v>
      </c>
      <c r="AE637" s="811">
        <v>0</v>
      </c>
      <c r="AF637" s="643">
        <v>9122</v>
      </c>
    </row>
    <row r="638" spans="1:32" ht="31.5">
      <c r="A638" s="643">
        <v>9123</v>
      </c>
      <c r="B638" s="644" t="s">
        <v>411</v>
      </c>
      <c r="C638" s="644" t="s">
        <v>1123</v>
      </c>
      <c r="D638" s="906">
        <v>50</v>
      </c>
      <c r="E638" s="545">
        <v>15000</v>
      </c>
      <c r="F638" s="546">
        <v>57</v>
      </c>
      <c r="G638" s="907">
        <v>1.1000000000000001</v>
      </c>
      <c r="H638" s="908">
        <v>1</v>
      </c>
      <c r="I638" s="908">
        <v>1.4</v>
      </c>
      <c r="J638" s="909">
        <v>2000</v>
      </c>
      <c r="K638" s="554" t="s">
        <v>221</v>
      </c>
      <c r="L638" s="562">
        <v>12</v>
      </c>
      <c r="M638" s="909">
        <v>35000</v>
      </c>
      <c r="N638" s="592">
        <v>0.1</v>
      </c>
      <c r="O638" s="594">
        <v>0.7</v>
      </c>
      <c r="P638" s="590">
        <v>12</v>
      </c>
      <c r="Q638" s="431">
        <v>0.05</v>
      </c>
      <c r="R638" s="430">
        <v>1914</v>
      </c>
      <c r="S638" s="175">
        <v>234</v>
      </c>
      <c r="T638" s="751">
        <v>1383</v>
      </c>
      <c r="U638" s="444">
        <v>15.806666666666667</v>
      </c>
      <c r="V638" s="908">
        <v>0.3</v>
      </c>
      <c r="W638" s="908">
        <v>4.4400000000000002E-2</v>
      </c>
      <c r="X638" s="444">
        <v>1.4000000000000001</v>
      </c>
      <c r="Y638" s="910">
        <v>0.34439999999999998</v>
      </c>
      <c r="Z638" s="776">
        <v>56.974500000000006</v>
      </c>
      <c r="AA638" s="787">
        <v>1.1394900000000001</v>
      </c>
      <c r="AB638" s="811"/>
      <c r="AC638" s="818">
        <v>30</v>
      </c>
      <c r="AD638" s="811" t="s">
        <v>1124</v>
      </c>
      <c r="AE638" s="811">
        <v>0</v>
      </c>
      <c r="AF638" s="643">
        <v>9123</v>
      </c>
    </row>
    <row r="639" spans="1:32" ht="15.75">
      <c r="A639" s="643">
        <v>9124</v>
      </c>
      <c r="B639" s="644" t="s">
        <v>411</v>
      </c>
      <c r="C639" s="542" t="s">
        <v>1125</v>
      </c>
      <c r="D639" s="906">
        <v>25</v>
      </c>
      <c r="E639" s="545">
        <v>61000</v>
      </c>
      <c r="F639" s="546">
        <v>125</v>
      </c>
      <c r="G639" s="907">
        <v>4.9000000000000004</v>
      </c>
      <c r="H639" s="908">
        <v>4.3</v>
      </c>
      <c r="I639" s="908">
        <v>5.9</v>
      </c>
      <c r="J639" s="909">
        <v>2000</v>
      </c>
      <c r="K639" s="554" t="s">
        <v>221</v>
      </c>
      <c r="L639" s="562">
        <v>12</v>
      </c>
      <c r="M639" s="909">
        <v>30000</v>
      </c>
      <c r="N639" s="592">
        <v>0.1</v>
      </c>
      <c r="O639" s="594">
        <v>0.5</v>
      </c>
      <c r="P639" s="590">
        <v>39</v>
      </c>
      <c r="Q639" s="431"/>
      <c r="R639" s="430" t="s">
        <v>129</v>
      </c>
      <c r="S639" s="497">
        <v>744</v>
      </c>
      <c r="T639" s="751">
        <v>5555.6</v>
      </c>
      <c r="U639" s="444"/>
      <c r="V639" s="908">
        <v>1.0166666666666666</v>
      </c>
      <c r="W639" s="908">
        <v>0.66477510678571428</v>
      </c>
      <c r="X639" s="444"/>
      <c r="Y639" s="910">
        <v>1.6814417734523808</v>
      </c>
      <c r="Z639" s="776">
        <v>122.62914876994049</v>
      </c>
      <c r="AA639" s="787">
        <v>4.9051659507976195</v>
      </c>
      <c r="AB639" s="811"/>
      <c r="AC639" s="818">
        <v>122</v>
      </c>
      <c r="AD639" s="811" t="s">
        <v>1124</v>
      </c>
      <c r="AE639" s="811">
        <v>0</v>
      </c>
      <c r="AF639" s="643">
        <v>9124</v>
      </c>
    </row>
    <row r="640" spans="1:32" ht="31.5">
      <c r="A640" s="643">
        <v>9125</v>
      </c>
      <c r="B640" s="644" t="s">
        <v>411</v>
      </c>
      <c r="C640" s="542" t="s">
        <v>1126</v>
      </c>
      <c r="D640" s="906">
        <v>25</v>
      </c>
      <c r="E640" s="545">
        <v>82000</v>
      </c>
      <c r="F640" s="546">
        <v>145</v>
      </c>
      <c r="G640" s="907">
        <v>5.8</v>
      </c>
      <c r="H640" s="908">
        <v>5.0999999999999996</v>
      </c>
      <c r="I640" s="908">
        <v>6.9</v>
      </c>
      <c r="J640" s="909">
        <v>2500</v>
      </c>
      <c r="K640" s="554" t="s">
        <v>221</v>
      </c>
      <c r="L640" s="562">
        <v>12</v>
      </c>
      <c r="M640" s="909">
        <v>30000</v>
      </c>
      <c r="N640" s="592">
        <v>0</v>
      </c>
      <c r="O640" s="594">
        <v>0.5</v>
      </c>
      <c r="P640" s="590">
        <v>39</v>
      </c>
      <c r="Q640" s="429"/>
      <c r="R640" s="430" t="s">
        <v>129</v>
      </c>
      <c r="S640" s="175">
        <v>330</v>
      </c>
      <c r="T640" s="751">
        <v>8008.333333333333</v>
      </c>
      <c r="U640" s="438"/>
      <c r="V640" s="908">
        <v>1.3666666666666667</v>
      </c>
      <c r="W640" s="908">
        <v>0.66477510678571428</v>
      </c>
      <c r="X640" s="438"/>
      <c r="Y640" s="910">
        <v>2.0314417734523809</v>
      </c>
      <c r="Z640" s="776">
        <v>143.95631543660713</v>
      </c>
      <c r="AA640" s="787">
        <v>5.7582526174642856</v>
      </c>
      <c r="AB640" s="811"/>
      <c r="AC640" s="818">
        <v>164</v>
      </c>
      <c r="AD640" s="811" t="s">
        <v>1124</v>
      </c>
      <c r="AE640" s="811">
        <v>0</v>
      </c>
      <c r="AF640" s="643">
        <v>9125</v>
      </c>
    </row>
    <row r="641" spans="1:32" ht="15.75">
      <c r="A641" s="643">
        <v>9126</v>
      </c>
      <c r="B641" s="644" t="s">
        <v>411</v>
      </c>
      <c r="C641" s="542" t="s">
        <v>1127</v>
      </c>
      <c r="D641" s="906">
        <v>20</v>
      </c>
      <c r="E641" s="545">
        <v>74000</v>
      </c>
      <c r="F641" s="546">
        <v>145</v>
      </c>
      <c r="G641" s="907">
        <v>7.1</v>
      </c>
      <c r="H641" s="908">
        <v>6.3</v>
      </c>
      <c r="I641" s="908">
        <v>8.6</v>
      </c>
      <c r="J641" s="909">
        <v>1700</v>
      </c>
      <c r="K641" s="554" t="s">
        <v>221</v>
      </c>
      <c r="L641" s="562">
        <v>12</v>
      </c>
      <c r="M641" s="909">
        <v>30000</v>
      </c>
      <c r="N641" s="592">
        <v>0.1</v>
      </c>
      <c r="O641" s="594">
        <v>0.65</v>
      </c>
      <c r="P641" s="590">
        <v>54</v>
      </c>
      <c r="Q641" s="431"/>
      <c r="R641" s="430" t="s">
        <v>129</v>
      </c>
      <c r="S641" s="175">
        <v>606</v>
      </c>
      <c r="T641" s="751">
        <v>6846.4</v>
      </c>
      <c r="U641" s="439"/>
      <c r="V641" s="908">
        <v>1.6033333333333335</v>
      </c>
      <c r="W641" s="908">
        <v>0.85765798846153829</v>
      </c>
      <c r="X641" s="439"/>
      <c r="Y641" s="910">
        <v>2.4609913217948716</v>
      </c>
      <c r="Z641" s="776">
        <v>142.74227966772247</v>
      </c>
      <c r="AA641" s="787">
        <v>7.1371139833861239</v>
      </c>
      <c r="AB641" s="811"/>
      <c r="AC641" s="818">
        <v>208</v>
      </c>
      <c r="AD641" s="811" t="s">
        <v>1124</v>
      </c>
      <c r="AE641" s="811">
        <v>0</v>
      </c>
      <c r="AF641" s="643">
        <v>9126</v>
      </c>
    </row>
    <row r="642" spans="1:32" ht="31.5">
      <c r="A642" s="643">
        <v>9127</v>
      </c>
      <c r="B642" s="644" t="s">
        <v>411</v>
      </c>
      <c r="C642" s="542" t="s">
        <v>1128</v>
      </c>
      <c r="D642" s="906">
        <v>20</v>
      </c>
      <c r="E642" s="545">
        <v>87000</v>
      </c>
      <c r="F642" s="546">
        <v>150</v>
      </c>
      <c r="G642" s="907">
        <v>7.6</v>
      </c>
      <c r="H642" s="908">
        <v>6.7</v>
      </c>
      <c r="I642" s="908">
        <v>9</v>
      </c>
      <c r="J642" s="909">
        <v>2000</v>
      </c>
      <c r="K642" s="554" t="s">
        <v>221</v>
      </c>
      <c r="L642" s="562">
        <v>12</v>
      </c>
      <c r="M642" s="909">
        <v>30000</v>
      </c>
      <c r="N642" s="592">
        <v>0.1</v>
      </c>
      <c r="O642" s="594">
        <v>0.7</v>
      </c>
      <c r="P642" s="590">
        <v>54</v>
      </c>
      <c r="Q642" s="431">
        <v>0.05</v>
      </c>
      <c r="R642" s="430">
        <v>3480</v>
      </c>
      <c r="S642" s="497">
        <v>612</v>
      </c>
      <c r="T642" s="751">
        <v>7972.2</v>
      </c>
      <c r="U642" s="444">
        <v>20.67</v>
      </c>
      <c r="V642" s="908">
        <v>2.0299999999999998</v>
      </c>
      <c r="W642" s="908">
        <v>0.85765798846153829</v>
      </c>
      <c r="X642" s="444">
        <v>1.4000000000000001</v>
      </c>
      <c r="Y642" s="910">
        <v>2.8876579884615383</v>
      </c>
      <c r="Z642" s="776">
        <v>151.22267574615384</v>
      </c>
      <c r="AA642" s="787">
        <v>7.5611337873076918</v>
      </c>
      <c r="AB642" s="811"/>
      <c r="AC642" s="818">
        <v>234</v>
      </c>
      <c r="AD642" s="811" t="s">
        <v>1124</v>
      </c>
      <c r="AE642" s="811">
        <v>0</v>
      </c>
      <c r="AF642" s="643">
        <v>9127</v>
      </c>
    </row>
    <row r="643" spans="1:32" ht="15.75">
      <c r="A643" s="643">
        <v>9128</v>
      </c>
      <c r="B643" s="644" t="s">
        <v>411</v>
      </c>
      <c r="C643" s="542" t="s">
        <v>1129</v>
      </c>
      <c r="D643" s="906">
        <v>60</v>
      </c>
      <c r="E643" s="545">
        <v>220000</v>
      </c>
      <c r="F643" s="546">
        <v>470</v>
      </c>
      <c r="G643" s="907">
        <v>7.9</v>
      </c>
      <c r="H643" s="908">
        <v>6.8</v>
      </c>
      <c r="I643" s="908">
        <v>9.6999999999999993</v>
      </c>
      <c r="J643" s="909">
        <v>4000</v>
      </c>
      <c r="K643" s="554" t="s">
        <v>221</v>
      </c>
      <c r="L643" s="562">
        <v>12</v>
      </c>
      <c r="M643" s="909">
        <v>70000</v>
      </c>
      <c r="N643" s="592">
        <v>0.1</v>
      </c>
      <c r="O643" s="594">
        <v>0.55000000000000004</v>
      </c>
      <c r="P643" s="590">
        <v>78</v>
      </c>
      <c r="Q643" s="431">
        <v>0.05</v>
      </c>
      <c r="R643" s="430">
        <v>5046</v>
      </c>
      <c r="S643" s="175"/>
      <c r="T643" s="751">
        <v>19658</v>
      </c>
      <c r="U643" s="444">
        <v>29.555</v>
      </c>
      <c r="V643" s="908">
        <v>1.7285714285714286</v>
      </c>
      <c r="W643" s="908">
        <v>0.54276923076923067</v>
      </c>
      <c r="X643" s="444">
        <v>1.4000000000000001</v>
      </c>
      <c r="Y643" s="910">
        <v>2.2713406593406593</v>
      </c>
      <c r="Z643" s="776">
        <v>474.26548351648358</v>
      </c>
      <c r="AA643" s="801">
        <v>7.9044247252747262</v>
      </c>
      <c r="AB643" s="811"/>
      <c r="AC643" s="818">
        <v>500</v>
      </c>
      <c r="AD643" s="811" t="s">
        <v>1124</v>
      </c>
      <c r="AE643" s="811">
        <v>0</v>
      </c>
      <c r="AF643" s="643">
        <v>9128</v>
      </c>
    </row>
    <row r="644" spans="1:32" ht="15.75">
      <c r="A644" s="643">
        <v>9129</v>
      </c>
      <c r="B644" s="644" t="s">
        <v>411</v>
      </c>
      <c r="C644" s="542" t="s">
        <v>1130</v>
      </c>
      <c r="D644" s="906">
        <v>40</v>
      </c>
      <c r="E644" s="545">
        <v>244000</v>
      </c>
      <c r="F644" s="546">
        <v>450</v>
      </c>
      <c r="G644" s="907">
        <v>11</v>
      </c>
      <c r="H644" s="908">
        <v>9.5</v>
      </c>
      <c r="I644" s="908">
        <v>14</v>
      </c>
      <c r="J644" s="909">
        <v>3000</v>
      </c>
      <c r="K644" s="554" t="s">
        <v>221</v>
      </c>
      <c r="L644" s="562">
        <v>12</v>
      </c>
      <c r="M644" s="909">
        <v>60000</v>
      </c>
      <c r="N644" s="592">
        <v>0.1</v>
      </c>
      <c r="O644" s="594">
        <v>0.5</v>
      </c>
      <c r="P644" s="590">
        <v>93</v>
      </c>
      <c r="Q644" s="431">
        <v>0.05</v>
      </c>
      <c r="R644" s="430">
        <v>5916</v>
      </c>
      <c r="S644" s="496"/>
      <c r="T644" s="751">
        <v>21841.4</v>
      </c>
      <c r="U644" s="444">
        <v>34.81</v>
      </c>
      <c r="V644" s="908">
        <v>2.0333333333333332</v>
      </c>
      <c r="W644" s="908">
        <v>0.8593846153846153</v>
      </c>
      <c r="X644" s="444">
        <v>1.4000000000000001</v>
      </c>
      <c r="Y644" s="910">
        <v>2.8927179487179484</v>
      </c>
      <c r="Z644" s="776">
        <v>447.62012307692311</v>
      </c>
      <c r="AA644" s="801">
        <v>11.190503076923077</v>
      </c>
      <c r="AB644" s="811"/>
      <c r="AC644" s="818">
        <v>548</v>
      </c>
      <c r="AD644" s="811" t="s">
        <v>1124</v>
      </c>
      <c r="AE644" s="811">
        <v>0</v>
      </c>
      <c r="AF644" s="643">
        <v>9129</v>
      </c>
    </row>
    <row r="645" spans="1:32" ht="31.5">
      <c r="A645" s="643">
        <v>9142</v>
      </c>
      <c r="B645" s="644" t="s">
        <v>411</v>
      </c>
      <c r="C645" s="542" t="s">
        <v>1131</v>
      </c>
      <c r="D645" s="906">
        <v>35</v>
      </c>
      <c r="E645" s="545">
        <v>292000</v>
      </c>
      <c r="F645" s="546">
        <v>430</v>
      </c>
      <c r="G645" s="907">
        <v>12.5</v>
      </c>
      <c r="H645" s="908">
        <v>10.5</v>
      </c>
      <c r="I645" s="908">
        <v>15.5</v>
      </c>
      <c r="J645" s="909">
        <v>3000</v>
      </c>
      <c r="K645" s="554" t="s">
        <v>221</v>
      </c>
      <c r="L645" s="562">
        <v>12</v>
      </c>
      <c r="M645" s="909">
        <v>60000</v>
      </c>
      <c r="N645" s="592">
        <v>0.1</v>
      </c>
      <c r="O645" s="594">
        <v>0.5</v>
      </c>
      <c r="P645" s="590">
        <v>93</v>
      </c>
      <c r="Q645" s="431">
        <v>0.05</v>
      </c>
      <c r="R645" s="430">
        <v>247.2</v>
      </c>
      <c r="S645" s="175"/>
      <c r="T645" s="751">
        <v>25998.2</v>
      </c>
      <c r="U645" s="444">
        <v>2.0709999999999997</v>
      </c>
      <c r="V645" s="908">
        <v>2.4333333333333331</v>
      </c>
      <c r="W645" s="908">
        <v>4.4400000000000002E-2</v>
      </c>
      <c r="X645" s="444">
        <v>1.4000000000000001</v>
      </c>
      <c r="Y645" s="910">
        <v>2.4777333333333331</v>
      </c>
      <c r="Z645" s="776">
        <v>429.03630000000004</v>
      </c>
      <c r="AA645" s="801">
        <v>12.258180000000001</v>
      </c>
      <c r="AB645" s="811"/>
      <c r="AC645" s="818">
        <v>644</v>
      </c>
      <c r="AD645" s="811" t="s">
        <v>1124</v>
      </c>
      <c r="AE645" s="811">
        <v>0</v>
      </c>
      <c r="AF645" s="643">
        <v>9142</v>
      </c>
    </row>
    <row r="646" spans="1:32" ht="31.5">
      <c r="A646" s="643">
        <v>9130</v>
      </c>
      <c r="B646" s="644" t="s">
        <v>411</v>
      </c>
      <c r="C646" s="542" t="s">
        <v>1132</v>
      </c>
      <c r="D646" s="906">
        <v>20</v>
      </c>
      <c r="E646" s="545">
        <v>129000</v>
      </c>
      <c r="F646" s="546">
        <v>290</v>
      </c>
      <c r="G646" s="907">
        <v>14.5</v>
      </c>
      <c r="H646" s="908">
        <v>13</v>
      </c>
      <c r="I646" s="908">
        <v>16.5</v>
      </c>
      <c r="J646" s="909">
        <v>2500</v>
      </c>
      <c r="K646" s="554" t="s">
        <v>221</v>
      </c>
      <c r="L646" s="562">
        <v>10</v>
      </c>
      <c r="M646" s="909">
        <v>30000</v>
      </c>
      <c r="N646" s="592">
        <v>0.1</v>
      </c>
      <c r="O646" s="594">
        <v>0.55000000000000004</v>
      </c>
      <c r="P646" s="590">
        <v>106</v>
      </c>
      <c r="Q646" s="431">
        <v>0.05</v>
      </c>
      <c r="R646" s="430">
        <v>3955.2</v>
      </c>
      <c r="S646" s="497">
        <v>192</v>
      </c>
      <c r="T646" s="751">
        <v>13908.4</v>
      </c>
      <c r="U646" s="444">
        <v>23.125999999999998</v>
      </c>
      <c r="V646" s="908">
        <v>2.3650000000000002</v>
      </c>
      <c r="W646" s="908">
        <v>5.1981084401190474</v>
      </c>
      <c r="X646" s="444">
        <v>1.4000000000000001</v>
      </c>
      <c r="Y646" s="910">
        <v>7.5631084401190476</v>
      </c>
      <c r="Z646" s="776">
        <v>288.7823056826191</v>
      </c>
      <c r="AA646" s="787">
        <v>14.439115284130954</v>
      </c>
      <c r="AB646" s="811"/>
      <c r="AC646" s="818">
        <v>318</v>
      </c>
      <c r="AD646" s="811" t="s">
        <v>1124</v>
      </c>
      <c r="AE646" s="811">
        <v>0</v>
      </c>
      <c r="AF646" s="643">
        <v>9130</v>
      </c>
    </row>
    <row r="647" spans="1:32" ht="31.5">
      <c r="A647" s="643">
        <v>9144</v>
      </c>
      <c r="B647" s="644" t="s">
        <v>411</v>
      </c>
      <c r="C647" s="542" t="s">
        <v>1133</v>
      </c>
      <c r="D647" s="906">
        <v>18</v>
      </c>
      <c r="E647" s="545">
        <v>146000</v>
      </c>
      <c r="F647" s="546">
        <v>300</v>
      </c>
      <c r="G647" s="907">
        <v>16.5</v>
      </c>
      <c r="H647" s="908">
        <v>15</v>
      </c>
      <c r="I647" s="908">
        <v>18.5</v>
      </c>
      <c r="J647" s="909">
        <v>2500</v>
      </c>
      <c r="K647" s="554" t="s">
        <v>221</v>
      </c>
      <c r="L647" s="562">
        <v>10</v>
      </c>
      <c r="M647" s="909">
        <v>30000</v>
      </c>
      <c r="N647" s="592">
        <v>0.1</v>
      </c>
      <c r="O647" s="594">
        <v>0.55000000000000004</v>
      </c>
      <c r="P647" s="590">
        <v>110</v>
      </c>
      <c r="Q647" s="431">
        <v>0.05</v>
      </c>
      <c r="R647" s="430">
        <v>7333.6</v>
      </c>
      <c r="S647" s="175">
        <v>330</v>
      </c>
      <c r="T647" s="751">
        <v>15663.6</v>
      </c>
      <c r="U647" s="444">
        <v>41.303000000000004</v>
      </c>
      <c r="V647" s="908">
        <v>2.6766666666666667</v>
      </c>
      <c r="W647" s="908">
        <v>5.9576579884615377</v>
      </c>
      <c r="X647" s="444">
        <v>1.4000000000000001</v>
      </c>
      <c r="Y647" s="910">
        <v>8.6343246551282036</v>
      </c>
      <c r="Z647" s="776">
        <v>295.01534017153847</v>
      </c>
      <c r="AA647" s="787">
        <v>16.389741120641027</v>
      </c>
      <c r="AB647" s="811"/>
      <c r="AC647" s="818">
        <v>352</v>
      </c>
      <c r="AD647" s="811" t="s">
        <v>1124</v>
      </c>
      <c r="AE647" s="811">
        <v>0</v>
      </c>
      <c r="AF647" s="643">
        <v>9144</v>
      </c>
    </row>
    <row r="648" spans="1:32" ht="31.5">
      <c r="A648" s="643">
        <v>9131</v>
      </c>
      <c r="B648" s="644" t="s">
        <v>411</v>
      </c>
      <c r="C648" s="644" t="s">
        <v>1134</v>
      </c>
      <c r="D648" s="906">
        <v>45</v>
      </c>
      <c r="E648" s="545">
        <v>6600</v>
      </c>
      <c r="F648" s="546">
        <v>90</v>
      </c>
      <c r="G648" s="907">
        <v>2.1</v>
      </c>
      <c r="H648" s="908">
        <v>2</v>
      </c>
      <c r="I648" s="908">
        <v>2.2000000000000002</v>
      </c>
      <c r="J648" s="909">
        <v>2000</v>
      </c>
      <c r="K648" s="554" t="s">
        <v>221</v>
      </c>
      <c r="L648" s="562">
        <v>12</v>
      </c>
      <c r="M648" s="909">
        <v>35000</v>
      </c>
      <c r="N648" s="592">
        <v>0.1</v>
      </c>
      <c r="O648" s="594">
        <v>1</v>
      </c>
      <c r="P648" s="590">
        <v>12</v>
      </c>
      <c r="Q648" s="431">
        <v>0.05</v>
      </c>
      <c r="R648" s="430">
        <v>10547.2</v>
      </c>
      <c r="S648" s="175">
        <v>330</v>
      </c>
      <c r="T648" s="751">
        <v>655.56000000000006</v>
      </c>
      <c r="U648" s="444">
        <v>58.566000000000003</v>
      </c>
      <c r="V648" s="908">
        <v>0.18857142857142858</v>
      </c>
      <c r="W648" s="908">
        <v>1.3963166666666664</v>
      </c>
      <c r="X648" s="444">
        <v>1.4000000000000001</v>
      </c>
      <c r="Y648" s="910">
        <v>1.584888095238095</v>
      </c>
      <c r="Z648" s="776">
        <v>94.677070714285705</v>
      </c>
      <c r="AA648" s="787">
        <v>2.1039349047619047</v>
      </c>
      <c r="AB648" s="811"/>
      <c r="AC648" s="818">
        <v>13.200000000000001</v>
      </c>
      <c r="AD648" s="811" t="s">
        <v>1124</v>
      </c>
      <c r="AE648" s="811">
        <v>0</v>
      </c>
      <c r="AF648" s="643">
        <v>9131</v>
      </c>
    </row>
    <row r="649" spans="1:32" ht="31.5">
      <c r="A649" s="643">
        <v>9132</v>
      </c>
      <c r="B649" s="644" t="s">
        <v>411</v>
      </c>
      <c r="C649" s="644" t="s">
        <v>1135</v>
      </c>
      <c r="D649" s="906">
        <v>22</v>
      </c>
      <c r="E649" s="545">
        <v>24000</v>
      </c>
      <c r="F649" s="546">
        <v>145</v>
      </c>
      <c r="G649" s="907">
        <v>6.7</v>
      </c>
      <c r="H649" s="908">
        <v>6.4</v>
      </c>
      <c r="I649" s="908">
        <v>7</v>
      </c>
      <c r="J649" s="909">
        <v>2500</v>
      </c>
      <c r="K649" s="554" t="s">
        <v>221</v>
      </c>
      <c r="L649" s="562">
        <v>12</v>
      </c>
      <c r="M649" s="909">
        <v>35000</v>
      </c>
      <c r="N649" s="592">
        <v>0</v>
      </c>
      <c r="O649" s="594">
        <v>0.75</v>
      </c>
      <c r="P649" s="590">
        <v>36</v>
      </c>
      <c r="Q649" s="431"/>
      <c r="R649" s="430" t="s">
        <v>129</v>
      </c>
      <c r="S649" s="497">
        <v>420</v>
      </c>
      <c r="T649" s="751">
        <v>2516</v>
      </c>
      <c r="U649" s="444"/>
      <c r="V649" s="908">
        <v>0.51428571428571423</v>
      </c>
      <c r="W649" s="908">
        <v>4.5333333333333332</v>
      </c>
      <c r="X649" s="444"/>
      <c r="Y649" s="910">
        <v>5.0476190476190474</v>
      </c>
      <c r="Z649" s="776">
        <v>146.50726095238096</v>
      </c>
      <c r="AA649" s="787">
        <v>6.6594209523809527</v>
      </c>
      <c r="AB649" s="811"/>
      <c r="AC649" s="818">
        <v>48</v>
      </c>
      <c r="AD649" s="811" t="s">
        <v>1124</v>
      </c>
      <c r="AE649" s="811">
        <v>0</v>
      </c>
      <c r="AF649" s="643">
        <v>9132</v>
      </c>
    </row>
    <row r="650" spans="1:32" ht="31.5">
      <c r="A650" s="643">
        <v>9133</v>
      </c>
      <c r="B650" s="644" t="s">
        <v>411</v>
      </c>
      <c r="C650" s="644" t="s">
        <v>1136</v>
      </c>
      <c r="D650" s="906">
        <v>22</v>
      </c>
      <c r="E650" s="545">
        <v>36000</v>
      </c>
      <c r="F650" s="546">
        <v>180</v>
      </c>
      <c r="G650" s="907">
        <v>8.1</v>
      </c>
      <c r="H650" s="908">
        <v>7.8</v>
      </c>
      <c r="I650" s="908">
        <v>8.8000000000000007</v>
      </c>
      <c r="J650" s="909">
        <v>2000</v>
      </c>
      <c r="K650" s="554" t="s">
        <v>221</v>
      </c>
      <c r="L650" s="562">
        <v>12</v>
      </c>
      <c r="M650" s="909">
        <v>35000</v>
      </c>
      <c r="N650" s="592">
        <v>0.1</v>
      </c>
      <c r="O650" s="594">
        <v>0.6</v>
      </c>
      <c r="P650" s="590">
        <v>36</v>
      </c>
      <c r="Q650" s="429"/>
      <c r="R650" s="430" t="s">
        <v>129</v>
      </c>
      <c r="S650" s="175">
        <v>336</v>
      </c>
      <c r="T650" s="751">
        <v>3369.6</v>
      </c>
      <c r="U650" s="438"/>
      <c r="V650" s="908">
        <v>0.6171428571428571</v>
      </c>
      <c r="W650" s="908">
        <v>5.0999999999999996</v>
      </c>
      <c r="X650" s="438"/>
      <c r="Y650" s="910">
        <v>5.7171428571428571</v>
      </c>
      <c r="Z650" s="776">
        <v>179.12701714285714</v>
      </c>
      <c r="AA650" s="787">
        <v>8.142137142857143</v>
      </c>
      <c r="AB650" s="811"/>
      <c r="AC650" s="818">
        <v>72</v>
      </c>
      <c r="AD650" s="811" t="s">
        <v>1124</v>
      </c>
      <c r="AE650" s="811">
        <v>0</v>
      </c>
      <c r="AF650" s="643">
        <v>9133</v>
      </c>
    </row>
    <row r="651" spans="1:32" ht="15.75">
      <c r="A651" s="643">
        <v>9134</v>
      </c>
      <c r="B651" s="644" t="s">
        <v>411</v>
      </c>
      <c r="C651" s="644" t="s">
        <v>1137</v>
      </c>
      <c r="D651" s="906">
        <v>30</v>
      </c>
      <c r="E651" s="545">
        <v>45000</v>
      </c>
      <c r="F651" s="546">
        <v>280</v>
      </c>
      <c r="G651" s="907">
        <v>9.4</v>
      </c>
      <c r="H651" s="908">
        <v>8.8000000000000007</v>
      </c>
      <c r="I651" s="908">
        <v>10.5</v>
      </c>
      <c r="J651" s="909">
        <v>1500</v>
      </c>
      <c r="K651" s="554" t="s">
        <v>221</v>
      </c>
      <c r="L651" s="562">
        <v>12</v>
      </c>
      <c r="M651" s="909">
        <v>30000</v>
      </c>
      <c r="N651" s="592">
        <v>0.1</v>
      </c>
      <c r="O651" s="594">
        <v>0.5</v>
      </c>
      <c r="P651" s="590">
        <v>39</v>
      </c>
      <c r="Q651" s="431"/>
      <c r="R651" s="430" t="s">
        <v>129</v>
      </c>
      <c r="S651" s="497">
        <v>360</v>
      </c>
      <c r="T651" s="751">
        <v>4170</v>
      </c>
      <c r="U651" s="444"/>
      <c r="V651" s="908">
        <v>0.75</v>
      </c>
      <c r="W651" s="908">
        <v>5.043333333333333</v>
      </c>
      <c r="X651" s="444"/>
      <c r="Y651" s="910">
        <v>5.793333333333333</v>
      </c>
      <c r="Z651" s="776">
        <v>282.92</v>
      </c>
      <c r="AA651" s="801">
        <v>9.4306666666666672</v>
      </c>
      <c r="AB651" s="811"/>
      <c r="AC651" s="818">
        <v>90</v>
      </c>
      <c r="AD651" s="811" t="s">
        <v>1124</v>
      </c>
      <c r="AE651" s="811">
        <v>0</v>
      </c>
      <c r="AF651" s="643">
        <v>9134</v>
      </c>
    </row>
    <row r="652" spans="1:32" ht="31.5">
      <c r="A652" s="643">
        <v>9135</v>
      </c>
      <c r="B652" s="644" t="s">
        <v>411</v>
      </c>
      <c r="C652" s="644" t="s">
        <v>1138</v>
      </c>
      <c r="D652" s="906">
        <v>30</v>
      </c>
      <c r="E652" s="545">
        <v>352000</v>
      </c>
      <c r="F652" s="546">
        <v>470</v>
      </c>
      <c r="G652" s="907">
        <v>15.5</v>
      </c>
      <c r="H652" s="908">
        <v>14</v>
      </c>
      <c r="I652" s="908">
        <v>18</v>
      </c>
      <c r="J652" s="909">
        <v>6000</v>
      </c>
      <c r="K652" s="554" t="s">
        <v>221</v>
      </c>
      <c r="L652" s="562">
        <v>10</v>
      </c>
      <c r="M652" s="909">
        <v>80000</v>
      </c>
      <c r="N652" s="592">
        <v>0.1</v>
      </c>
      <c r="O652" s="594">
        <v>0.65</v>
      </c>
      <c r="P652" s="590">
        <v>124</v>
      </c>
      <c r="Q652" s="436">
        <v>2.5000000000000001E-3</v>
      </c>
      <c r="R652" s="430">
        <v>10616.6</v>
      </c>
      <c r="S652" s="175"/>
      <c r="T652" s="751">
        <v>36631.199999999997</v>
      </c>
      <c r="U652" s="445">
        <v>1.4094500000000001</v>
      </c>
      <c r="V652" s="908">
        <v>2.8600000000000003</v>
      </c>
      <c r="W652" s="908">
        <v>5.1981084401190474</v>
      </c>
      <c r="X652" s="445">
        <v>7.0000000000000007E-2</v>
      </c>
      <c r="Y652" s="910">
        <v>8.0581084401190477</v>
      </c>
      <c r="Z652" s="776">
        <v>467.38917852392854</v>
      </c>
      <c r="AA652" s="787">
        <v>15.579639284130952</v>
      </c>
      <c r="AB652" s="811"/>
      <c r="AC652" s="818">
        <v>704</v>
      </c>
      <c r="AD652" s="811" t="s">
        <v>1124</v>
      </c>
      <c r="AE652" s="811">
        <v>0</v>
      </c>
      <c r="AF652" s="643">
        <v>9135</v>
      </c>
    </row>
    <row r="653" spans="1:32" ht="15.75">
      <c r="A653" s="643">
        <v>9136</v>
      </c>
      <c r="B653" s="644"/>
      <c r="C653" s="644" t="s">
        <v>1139</v>
      </c>
      <c r="D653" s="901">
        <v>100</v>
      </c>
      <c r="E653" s="545">
        <v>8300</v>
      </c>
      <c r="F653" s="546">
        <v>20</v>
      </c>
      <c r="G653" s="902">
        <v>0.2</v>
      </c>
      <c r="H653" s="903">
        <v>0.2</v>
      </c>
      <c r="I653" s="903">
        <v>0.2</v>
      </c>
      <c r="J653" s="904">
        <v>7000</v>
      </c>
      <c r="K653" s="554" t="s">
        <v>221</v>
      </c>
      <c r="L653" s="562">
        <v>15</v>
      </c>
      <c r="M653" s="904">
        <v>200000</v>
      </c>
      <c r="N653" s="592">
        <v>0.25</v>
      </c>
      <c r="O653" s="594">
        <v>1.25</v>
      </c>
      <c r="P653" s="590">
        <v>55</v>
      </c>
      <c r="Q653" s="433">
        <v>2E-3</v>
      </c>
      <c r="R653" s="430">
        <v>3214.2</v>
      </c>
      <c r="S653" s="496"/>
      <c r="T653" s="751">
        <v>903.75</v>
      </c>
      <c r="U653" s="449">
        <v>0.36091999999999996</v>
      </c>
      <c r="V653" s="903">
        <v>5.1875000000000004E-2</v>
      </c>
      <c r="W653" s="636"/>
      <c r="X653" s="449">
        <v>5.6000000000000001E-2</v>
      </c>
      <c r="Y653" s="905">
        <v>5.1875000000000004E-2</v>
      </c>
      <c r="Z653" s="776">
        <v>19.908035714285717</v>
      </c>
      <c r="AA653" s="800">
        <v>0.19908035714285718</v>
      </c>
      <c r="AB653" s="811"/>
      <c r="AC653" s="818">
        <v>16.600000000000001</v>
      </c>
      <c r="AD653" s="811" t="s">
        <v>1122</v>
      </c>
      <c r="AE653" s="811">
        <v>0</v>
      </c>
      <c r="AF653" s="643">
        <v>9136</v>
      </c>
    </row>
    <row r="654" spans="1:32" ht="15.75">
      <c r="A654" s="643">
        <v>9140</v>
      </c>
      <c r="B654" s="644"/>
      <c r="C654" s="644" t="s">
        <v>1140</v>
      </c>
      <c r="D654" s="911">
        <v>16</v>
      </c>
      <c r="E654" s="545">
        <v>36000</v>
      </c>
      <c r="F654" s="546"/>
      <c r="G654" s="907">
        <v>5.6</v>
      </c>
      <c r="H654" s="908">
        <v>4.7</v>
      </c>
      <c r="I654" s="908">
        <v>7</v>
      </c>
      <c r="J654" s="909">
        <v>800</v>
      </c>
      <c r="K654" s="554" t="s">
        <v>221</v>
      </c>
      <c r="L654" s="562">
        <v>15</v>
      </c>
      <c r="M654" s="909">
        <v>15000</v>
      </c>
      <c r="N654" s="592">
        <v>0.1</v>
      </c>
      <c r="O654" s="594">
        <v>0.5</v>
      </c>
      <c r="P654" s="590">
        <v>74</v>
      </c>
      <c r="Q654" s="433">
        <v>2E-3</v>
      </c>
      <c r="R654" s="430">
        <v>1558.4</v>
      </c>
      <c r="S654" s="175"/>
      <c r="T654" s="751">
        <v>3095.6</v>
      </c>
      <c r="U654" s="450">
        <v>0.83720000000000006</v>
      </c>
      <c r="V654" s="908">
        <v>1.2</v>
      </c>
      <c r="W654" s="636"/>
      <c r="X654" s="450">
        <v>5.6000000000000001E-2</v>
      </c>
      <c r="Y654" s="910">
        <v>1.2</v>
      </c>
      <c r="Z654" s="776"/>
      <c r="AA654" s="800">
        <v>5.5764500000000004</v>
      </c>
      <c r="AB654" s="811"/>
      <c r="AC654" s="818">
        <v>72</v>
      </c>
      <c r="AD654" s="811" t="s">
        <v>1122</v>
      </c>
      <c r="AE654" s="811">
        <v>0</v>
      </c>
      <c r="AF654" s="643">
        <v>9140</v>
      </c>
    </row>
    <row r="655" spans="1:32" ht="15.75">
      <c r="A655" s="643">
        <v>9139</v>
      </c>
      <c r="B655" s="644"/>
      <c r="C655" s="644" t="s">
        <v>1141</v>
      </c>
      <c r="D655" s="888">
        <v>1</v>
      </c>
      <c r="E655" s="545">
        <v>28000</v>
      </c>
      <c r="F655" s="546"/>
      <c r="G655" s="891">
        <v>42</v>
      </c>
      <c r="H655" s="892">
        <v>35</v>
      </c>
      <c r="I655" s="892">
        <v>53</v>
      </c>
      <c r="J655" s="893">
        <v>80</v>
      </c>
      <c r="K655" s="554" t="s">
        <v>221</v>
      </c>
      <c r="L655" s="562">
        <v>15</v>
      </c>
      <c r="M655" s="893">
        <v>5000</v>
      </c>
      <c r="N655" s="592">
        <v>0.25</v>
      </c>
      <c r="O655" s="594">
        <v>1.25</v>
      </c>
      <c r="P655" s="590">
        <v>102</v>
      </c>
      <c r="Q655" s="431">
        <v>0.02</v>
      </c>
      <c r="R655" s="430">
        <v>5357</v>
      </c>
      <c r="S655" s="497">
        <v>612</v>
      </c>
      <c r="T655" s="751">
        <v>2464</v>
      </c>
      <c r="U655" s="450">
        <v>2.87</v>
      </c>
      <c r="V655" s="892">
        <v>7</v>
      </c>
      <c r="W655" s="636"/>
      <c r="X655" s="450">
        <v>0.56000000000000005</v>
      </c>
      <c r="Y655" s="894">
        <v>7</v>
      </c>
      <c r="Z655" s="776"/>
      <c r="AA655" s="788">
        <v>41.58</v>
      </c>
      <c r="AB655" s="811"/>
      <c r="AC655" s="818">
        <v>56</v>
      </c>
      <c r="AD655" s="811" t="s">
        <v>784</v>
      </c>
      <c r="AE655" s="811">
        <v>0</v>
      </c>
      <c r="AF655" s="643">
        <v>9139</v>
      </c>
    </row>
    <row r="656" spans="1:32" ht="15.75">
      <c r="A656" s="633"/>
      <c r="B656" s="634"/>
      <c r="C656" s="633"/>
      <c r="D656" s="566"/>
      <c r="E656" s="545"/>
      <c r="F656" s="546"/>
      <c r="G656" s="680" t="s">
        <v>129</v>
      </c>
      <c r="H656" s="682"/>
      <c r="I656" s="682"/>
      <c r="J656" s="554"/>
      <c r="K656" s="635"/>
      <c r="L656" s="633"/>
      <c r="M656" s="568"/>
      <c r="N656" s="592" t="s">
        <v>129</v>
      </c>
      <c r="O656" s="594" t="s">
        <v>129</v>
      </c>
      <c r="P656" s="743"/>
      <c r="Q656" s="431">
        <v>0.02</v>
      </c>
      <c r="R656" s="430">
        <v>6781.666666666667</v>
      </c>
      <c r="S656" s="175"/>
      <c r="T656" s="751" t="s">
        <v>129</v>
      </c>
      <c r="U656" s="450">
        <v>2.8738666666666668</v>
      </c>
      <c r="V656" s="682"/>
      <c r="W656" s="636"/>
      <c r="X656" s="450">
        <v>0.56000000000000005</v>
      </c>
      <c r="Y656" s="761" t="s">
        <v>129</v>
      </c>
      <c r="Z656" s="776"/>
      <c r="AA656" s="788"/>
      <c r="AB656" s="633"/>
      <c r="AC656" s="818" t="s">
        <v>129</v>
      </c>
      <c r="AD656" s="811"/>
      <c r="AE656" s="811"/>
      <c r="AF656" s="633"/>
    </row>
    <row r="657" spans="1:32" ht="15.75">
      <c r="A657" s="624">
        <v>9180</v>
      </c>
      <c r="B657" s="625"/>
      <c r="C657" s="650" t="s">
        <v>1142</v>
      </c>
      <c r="D657" s="708"/>
      <c r="E657" s="628"/>
      <c r="F657" s="629"/>
      <c r="G657" s="630" t="s">
        <v>129</v>
      </c>
      <c r="H657" s="631"/>
      <c r="I657" s="631"/>
      <c r="J657" s="632"/>
      <c r="K657" s="632"/>
      <c r="L657" s="627"/>
      <c r="M657" s="632"/>
      <c r="N657" s="739" t="s">
        <v>129</v>
      </c>
      <c r="O657" s="744" t="s">
        <v>129</v>
      </c>
      <c r="P657" s="742"/>
      <c r="Q657" s="431">
        <v>0.02</v>
      </c>
      <c r="R657" s="430">
        <v>6331</v>
      </c>
      <c r="S657" s="497"/>
      <c r="T657" s="750" t="s">
        <v>129</v>
      </c>
      <c r="U657" s="450">
        <v>4.0817647058823532</v>
      </c>
      <c r="V657" s="631"/>
      <c r="W657" s="631"/>
      <c r="X657" s="450">
        <v>0.56000000000000005</v>
      </c>
      <c r="Y657" s="763" t="s">
        <v>129</v>
      </c>
      <c r="Z657" s="774"/>
      <c r="AA657" s="775"/>
      <c r="AB657" s="810"/>
      <c r="AC657" s="817" t="s">
        <v>129</v>
      </c>
      <c r="AD657" s="810"/>
      <c r="AE657" s="810"/>
      <c r="AF657" s="624">
        <v>9180</v>
      </c>
    </row>
    <row r="658" spans="1:32" ht="15.75">
      <c r="A658" s="633"/>
      <c r="B658" s="634"/>
      <c r="C658" s="633"/>
      <c r="D658" s="566"/>
      <c r="E658" s="545"/>
      <c r="F658" s="546"/>
      <c r="G658" s="680" t="s">
        <v>129</v>
      </c>
      <c r="H658" s="682"/>
      <c r="I658" s="682"/>
      <c r="J658" s="554"/>
      <c r="K658" s="635"/>
      <c r="L658" s="633"/>
      <c r="M658" s="568"/>
      <c r="N658" s="592" t="s">
        <v>129</v>
      </c>
      <c r="O658" s="594" t="s">
        <v>129</v>
      </c>
      <c r="P658" s="743"/>
      <c r="Q658" s="431">
        <v>0.02</v>
      </c>
      <c r="R658" s="430">
        <v>6720.6</v>
      </c>
      <c r="S658" s="175">
        <v>678</v>
      </c>
      <c r="T658" s="751" t="s">
        <v>129</v>
      </c>
      <c r="U658" s="450">
        <v>3.6683000000000003</v>
      </c>
      <c r="V658" s="682"/>
      <c r="W658" s="636"/>
      <c r="X658" s="450">
        <v>0.56000000000000005</v>
      </c>
      <c r="Y658" s="761" t="s">
        <v>129</v>
      </c>
      <c r="Z658" s="776"/>
      <c r="AA658" s="788"/>
      <c r="AB658" s="633"/>
      <c r="AC658" s="818" t="s">
        <v>129</v>
      </c>
      <c r="AD658" s="811"/>
      <c r="AE658" s="811"/>
      <c r="AF658" s="633"/>
    </row>
    <row r="659" spans="1:32" ht="15.75">
      <c r="A659" s="541">
        <v>9181</v>
      </c>
      <c r="B659" s="542"/>
      <c r="C659" s="542" t="s">
        <v>1143</v>
      </c>
      <c r="D659" s="559">
        <v>32</v>
      </c>
      <c r="E659" s="545">
        <v>14500</v>
      </c>
      <c r="F659" s="546">
        <v>100</v>
      </c>
      <c r="G659" s="717">
        <v>310</v>
      </c>
      <c r="H659" s="560">
        <v>270</v>
      </c>
      <c r="I659" s="560">
        <v>380</v>
      </c>
      <c r="J659" s="561">
        <v>7</v>
      </c>
      <c r="K659" s="554" t="s">
        <v>221</v>
      </c>
      <c r="L659" s="562">
        <v>12</v>
      </c>
      <c r="M659" s="561">
        <v>150</v>
      </c>
      <c r="N659" s="592">
        <v>0.25</v>
      </c>
      <c r="O659" s="594">
        <v>0.95</v>
      </c>
      <c r="P659" s="590">
        <v>32</v>
      </c>
      <c r="Q659" s="433">
        <v>5.0000000000000001E-3</v>
      </c>
      <c r="R659" s="430">
        <v>15681.4</v>
      </c>
      <c r="S659" s="497"/>
      <c r="T659" s="595">
        <v>1311.5</v>
      </c>
      <c r="U659" s="451">
        <v>4.16235</v>
      </c>
      <c r="V659" s="560">
        <v>91.833333333333329</v>
      </c>
      <c r="W659" s="548"/>
      <c r="X659" s="451">
        <v>0.14000000000000001</v>
      </c>
      <c r="Y659" s="598">
        <v>91.833333333333329</v>
      </c>
      <c r="Z659" s="596">
        <v>98.275047619047641</v>
      </c>
      <c r="AA659" s="597">
        <v>307.10952380952386</v>
      </c>
      <c r="AB659" s="602"/>
      <c r="AC659" s="603">
        <v>29</v>
      </c>
      <c r="AD659" s="602" t="s">
        <v>667</v>
      </c>
      <c r="AE659" s="602">
        <v>0</v>
      </c>
      <c r="AF659" s="541">
        <v>9181</v>
      </c>
    </row>
    <row r="660" spans="1:32" ht="15.75">
      <c r="A660" s="643">
        <v>9182</v>
      </c>
      <c r="B660" s="644"/>
      <c r="C660" s="644" t="s">
        <v>1144</v>
      </c>
      <c r="D660" s="559">
        <v>62</v>
      </c>
      <c r="E660" s="545">
        <v>20000</v>
      </c>
      <c r="F660" s="546">
        <v>100</v>
      </c>
      <c r="G660" s="653">
        <v>165</v>
      </c>
      <c r="H660" s="654">
        <v>140</v>
      </c>
      <c r="I660" s="654">
        <v>200</v>
      </c>
      <c r="J660" s="561">
        <v>20</v>
      </c>
      <c r="K660" s="554" t="s">
        <v>221</v>
      </c>
      <c r="L660" s="562">
        <v>12</v>
      </c>
      <c r="M660" s="561">
        <v>400</v>
      </c>
      <c r="N660" s="592">
        <v>0.1</v>
      </c>
      <c r="O660" s="594">
        <v>0.85</v>
      </c>
      <c r="P660" s="590">
        <v>55</v>
      </c>
      <c r="Q660" s="433">
        <v>5.0000000000000001E-3</v>
      </c>
      <c r="R660" s="430">
        <v>18311.2</v>
      </c>
      <c r="S660" s="175"/>
      <c r="T660" s="751">
        <v>2117</v>
      </c>
      <c r="U660" s="451">
        <v>6.4794</v>
      </c>
      <c r="V660" s="654">
        <v>42.5</v>
      </c>
      <c r="W660" s="636"/>
      <c r="X660" s="451">
        <v>0.14000000000000001</v>
      </c>
      <c r="Y660" s="764">
        <v>42.5</v>
      </c>
      <c r="Z660" s="776">
        <v>101.17469999999999</v>
      </c>
      <c r="AA660" s="780">
        <v>163.185</v>
      </c>
      <c r="AB660" s="811"/>
      <c r="AC660" s="818">
        <v>40</v>
      </c>
      <c r="AD660" s="811" t="s">
        <v>667</v>
      </c>
      <c r="AE660" s="811">
        <v>0</v>
      </c>
      <c r="AF660" s="643">
        <v>9182</v>
      </c>
    </row>
    <row r="661" spans="1:32" ht="15.75">
      <c r="A661" s="643">
        <v>9185</v>
      </c>
      <c r="B661" s="644"/>
      <c r="C661" s="644" t="s">
        <v>1145</v>
      </c>
      <c r="D661" s="559">
        <v>100</v>
      </c>
      <c r="E661" s="545">
        <v>46000</v>
      </c>
      <c r="F661" s="546">
        <v>170</v>
      </c>
      <c r="G661" s="653">
        <v>170</v>
      </c>
      <c r="H661" s="654">
        <v>150</v>
      </c>
      <c r="I661" s="654">
        <v>210</v>
      </c>
      <c r="J661" s="561">
        <v>40</v>
      </c>
      <c r="K661" s="554" t="s">
        <v>221</v>
      </c>
      <c r="L661" s="562">
        <v>12</v>
      </c>
      <c r="M661" s="561">
        <v>800</v>
      </c>
      <c r="N661" s="592">
        <v>0.1</v>
      </c>
      <c r="O661" s="594">
        <v>0.75</v>
      </c>
      <c r="P661" s="590">
        <v>70</v>
      </c>
      <c r="Q661" s="436">
        <v>0.01</v>
      </c>
      <c r="R661" s="430">
        <v>11689.6</v>
      </c>
      <c r="S661" s="497"/>
      <c r="T661" s="751">
        <v>4473.6000000000004</v>
      </c>
      <c r="U661" s="450">
        <v>5.0958399999999999</v>
      </c>
      <c r="V661" s="654">
        <v>43.125</v>
      </c>
      <c r="W661" s="636"/>
      <c r="X661" s="450">
        <v>0.28000000000000003</v>
      </c>
      <c r="Y661" s="764">
        <v>43.125</v>
      </c>
      <c r="Z661" s="776">
        <v>170.4615</v>
      </c>
      <c r="AA661" s="780">
        <v>170.46150000000003</v>
      </c>
      <c r="AB661" s="811"/>
      <c r="AC661" s="818">
        <v>92</v>
      </c>
      <c r="AD661" s="811" t="s">
        <v>667</v>
      </c>
      <c r="AE661" s="811">
        <v>0</v>
      </c>
      <c r="AF661" s="643">
        <v>9185</v>
      </c>
    </row>
    <row r="662" spans="1:32" ht="15.75">
      <c r="A662" s="643"/>
      <c r="B662" s="644"/>
      <c r="C662" s="644"/>
      <c r="D662" s="559"/>
      <c r="E662" s="545"/>
      <c r="F662" s="546"/>
      <c r="G662" s="653" t="s">
        <v>129</v>
      </c>
      <c r="H662" s="654"/>
      <c r="I662" s="654"/>
      <c r="J662" s="561"/>
      <c r="K662" s="554"/>
      <c r="L662" s="562"/>
      <c r="M662" s="561"/>
      <c r="N662" s="592"/>
      <c r="O662" s="594"/>
      <c r="P662" s="590"/>
      <c r="Q662" s="436">
        <v>2E-3</v>
      </c>
      <c r="R662" s="430">
        <v>759.71999999999991</v>
      </c>
      <c r="S662" s="175"/>
      <c r="T662" s="751"/>
      <c r="U662" s="450">
        <v>0.42965999999999999</v>
      </c>
      <c r="V662" s="654"/>
      <c r="W662" s="636"/>
      <c r="X662" s="450">
        <v>5.6000000000000001E-2</v>
      </c>
      <c r="Y662" s="764"/>
      <c r="Z662" s="776"/>
      <c r="AA662" s="780"/>
      <c r="AB662" s="811"/>
      <c r="AC662" s="818"/>
      <c r="AD662" s="811"/>
      <c r="AE662" s="811"/>
      <c r="AF662" s="643"/>
    </row>
    <row r="663" spans="1:32" ht="15.75">
      <c r="A663" s="624">
        <v>9200</v>
      </c>
      <c r="B663" s="625" t="s">
        <v>411</v>
      </c>
      <c r="C663" s="626" t="s">
        <v>1146</v>
      </c>
      <c r="D663" s="627"/>
      <c r="E663" s="628"/>
      <c r="F663" s="629"/>
      <c r="G663" s="630" t="s">
        <v>129</v>
      </c>
      <c r="H663" s="631"/>
      <c r="I663" s="631"/>
      <c r="J663" s="632"/>
      <c r="K663" s="632"/>
      <c r="L663" s="627"/>
      <c r="M663" s="632"/>
      <c r="N663" s="739" t="s">
        <v>129</v>
      </c>
      <c r="O663" s="744" t="s">
        <v>129</v>
      </c>
      <c r="P663" s="742"/>
      <c r="Q663" s="436">
        <v>0.01</v>
      </c>
      <c r="R663" s="430">
        <v>2399.666666666667</v>
      </c>
      <c r="S663" s="496"/>
      <c r="T663" s="750" t="s">
        <v>129</v>
      </c>
      <c r="U663" s="450">
        <v>1.0790666666666668</v>
      </c>
      <c r="V663" s="631"/>
      <c r="W663" s="631"/>
      <c r="X663" s="450">
        <v>0.28000000000000003</v>
      </c>
      <c r="Y663" s="763" t="s">
        <v>129</v>
      </c>
      <c r="Z663" s="774"/>
      <c r="AA663" s="775"/>
      <c r="AB663" s="810"/>
      <c r="AC663" s="817" t="s">
        <v>129</v>
      </c>
      <c r="AD663" s="810"/>
      <c r="AE663" s="810"/>
      <c r="AF663" s="624">
        <v>9200</v>
      </c>
    </row>
    <row r="664" spans="1:32" ht="15.75">
      <c r="A664" s="633"/>
      <c r="B664" s="634"/>
      <c r="C664" s="633"/>
      <c r="D664" s="566"/>
      <c r="E664" s="545"/>
      <c r="F664" s="546"/>
      <c r="G664" s="680" t="s">
        <v>129</v>
      </c>
      <c r="H664" s="682"/>
      <c r="I664" s="682"/>
      <c r="J664" s="554"/>
      <c r="K664" s="635"/>
      <c r="L664" s="633"/>
      <c r="M664" s="568"/>
      <c r="N664" s="592" t="s">
        <v>129</v>
      </c>
      <c r="O664" s="594" t="s">
        <v>129</v>
      </c>
      <c r="P664" s="743"/>
      <c r="Q664" s="436">
        <v>0.01</v>
      </c>
      <c r="R664" s="430">
        <v>2435</v>
      </c>
      <c r="S664" s="175"/>
      <c r="T664" s="751" t="s">
        <v>129</v>
      </c>
      <c r="U664" s="450">
        <v>1.3685</v>
      </c>
      <c r="V664" s="682"/>
      <c r="W664" s="636"/>
      <c r="X664" s="450">
        <v>0.28000000000000003</v>
      </c>
      <c r="Y664" s="761" t="s">
        <v>129</v>
      </c>
      <c r="Z664" s="776"/>
      <c r="AA664" s="788"/>
      <c r="AB664" s="633"/>
      <c r="AC664" s="818" t="s">
        <v>129</v>
      </c>
      <c r="AD664" s="811"/>
      <c r="AE664" s="811"/>
      <c r="AF664" s="633"/>
    </row>
    <row r="665" spans="1:32" ht="15.75">
      <c r="A665" s="643">
        <v>9201</v>
      </c>
      <c r="B665" s="644" t="s">
        <v>411</v>
      </c>
      <c r="C665" s="644" t="s">
        <v>1147</v>
      </c>
      <c r="D665" s="559"/>
      <c r="E665" s="545">
        <v>445000</v>
      </c>
      <c r="F665" s="649">
        <v>430</v>
      </c>
      <c r="G665" s="655" t="s">
        <v>129</v>
      </c>
      <c r="H665" s="654"/>
      <c r="I665" s="654"/>
      <c r="J665" s="549">
        <v>200</v>
      </c>
      <c r="K665" s="554">
        <v>70</v>
      </c>
      <c r="L665" s="562">
        <v>12</v>
      </c>
      <c r="M665" s="549">
        <v>2800</v>
      </c>
      <c r="N665" s="592">
        <v>0</v>
      </c>
      <c r="O665" s="594">
        <v>0.4</v>
      </c>
      <c r="P665" s="590">
        <v>102</v>
      </c>
      <c r="Q665" s="436">
        <v>0.01</v>
      </c>
      <c r="R665" s="430">
        <v>4188.2</v>
      </c>
      <c r="S665" s="497">
        <v>252</v>
      </c>
      <c r="T665" s="751">
        <v>43152.333333333336</v>
      </c>
      <c r="U665" s="451">
        <v>3.0314666666666668</v>
      </c>
      <c r="V665" s="636">
        <v>63.571428571428569</v>
      </c>
      <c r="W665" s="636">
        <v>107.60400000000001</v>
      </c>
      <c r="X665" s="451">
        <v>0.28000000000000003</v>
      </c>
      <c r="Y665" s="761">
        <v>171.1754285714286</v>
      </c>
      <c r="Z665" s="798">
        <v>425.63080476190481</v>
      </c>
      <c r="AA665" s="780"/>
      <c r="AB665" s="811">
        <v>280</v>
      </c>
      <c r="AC665" s="818">
        <v>1350</v>
      </c>
      <c r="AD665" s="811" t="s">
        <v>633</v>
      </c>
      <c r="AE665" s="811">
        <v>1</v>
      </c>
      <c r="AF665" s="643">
        <v>9201</v>
      </c>
    </row>
    <row r="666" spans="1:32" ht="15.75">
      <c r="A666" s="643"/>
      <c r="B666" s="644"/>
      <c r="C666" s="644" t="s">
        <v>1148</v>
      </c>
      <c r="D666" s="559">
        <v>100</v>
      </c>
      <c r="E666" s="545">
        <v>528000</v>
      </c>
      <c r="F666" s="649">
        <v>480</v>
      </c>
      <c r="G666" s="655">
        <v>480</v>
      </c>
      <c r="H666" s="654">
        <v>380</v>
      </c>
      <c r="I666" s="654">
        <v>500</v>
      </c>
      <c r="J666" s="549">
        <v>200</v>
      </c>
      <c r="K666" s="554">
        <v>70</v>
      </c>
      <c r="L666" s="562">
        <v>12</v>
      </c>
      <c r="M666" s="549">
        <v>2800</v>
      </c>
      <c r="N666" s="592">
        <v>0</v>
      </c>
      <c r="O666" s="594">
        <v>0.4</v>
      </c>
      <c r="P666" s="545">
        <v>144</v>
      </c>
      <c r="Q666" s="436">
        <v>0.01</v>
      </c>
      <c r="R666" s="430">
        <v>33720</v>
      </c>
      <c r="S666" s="175">
        <v>252</v>
      </c>
      <c r="T666" s="751">
        <v>51276</v>
      </c>
      <c r="U666" s="450">
        <v>5.8646666666666665</v>
      </c>
      <c r="V666" s="636">
        <v>75.428571428571431</v>
      </c>
      <c r="W666" s="636">
        <v>107.60400000000001</v>
      </c>
      <c r="X666" s="450">
        <v>0.28000000000000003</v>
      </c>
      <c r="Y666" s="761">
        <v>183.03257142857143</v>
      </c>
      <c r="Z666" s="798">
        <v>483.35382857142861</v>
      </c>
      <c r="AA666" s="780">
        <v>483.35382857142861</v>
      </c>
      <c r="AB666" s="811">
        <v>280</v>
      </c>
      <c r="AC666" s="818">
        <v>1516</v>
      </c>
      <c r="AD666" s="811" t="s">
        <v>633</v>
      </c>
      <c r="AE666" s="811">
        <v>1</v>
      </c>
      <c r="AF666" s="643"/>
    </row>
    <row r="667" spans="1:32" ht="15.75">
      <c r="A667" s="643"/>
      <c r="B667" s="644"/>
      <c r="C667" s="644" t="s">
        <v>1149</v>
      </c>
      <c r="D667" s="559">
        <v>286</v>
      </c>
      <c r="E667" s="545">
        <v>480000</v>
      </c>
      <c r="F667" s="649">
        <v>410</v>
      </c>
      <c r="G667" s="655">
        <v>145</v>
      </c>
      <c r="H667" s="654">
        <v>120</v>
      </c>
      <c r="I667" s="654">
        <v>170</v>
      </c>
      <c r="J667" s="549">
        <v>200</v>
      </c>
      <c r="K667" s="554">
        <v>45</v>
      </c>
      <c r="L667" s="562">
        <v>12</v>
      </c>
      <c r="M667" s="549">
        <v>2800</v>
      </c>
      <c r="N667" s="592">
        <v>0</v>
      </c>
      <c r="O667" s="594">
        <v>0.4</v>
      </c>
      <c r="P667" s="545">
        <v>133</v>
      </c>
      <c r="Q667" s="433">
        <v>1E-3</v>
      </c>
      <c r="R667" s="430">
        <v>573.65</v>
      </c>
      <c r="S667" s="497">
        <v>360</v>
      </c>
      <c r="T667" s="751">
        <v>46671</v>
      </c>
      <c r="U667" s="449">
        <v>0.13915</v>
      </c>
      <c r="V667" s="636">
        <v>68.571428571428569</v>
      </c>
      <c r="W667" s="636">
        <v>69.174000000000007</v>
      </c>
      <c r="X667" s="449">
        <v>2.8000000000000001E-2</v>
      </c>
      <c r="Y667" s="761">
        <v>137.74542857142859</v>
      </c>
      <c r="Z667" s="798">
        <v>408.21047142857145</v>
      </c>
      <c r="AA667" s="780">
        <v>142.73093406593406</v>
      </c>
      <c r="AB667" s="811">
        <v>280</v>
      </c>
      <c r="AC667" s="818">
        <v>1420</v>
      </c>
      <c r="AD667" s="811" t="s">
        <v>633</v>
      </c>
      <c r="AE667" s="811">
        <v>1</v>
      </c>
      <c r="AF667" s="643"/>
    </row>
    <row r="668" spans="1:32" ht="15.75">
      <c r="A668" s="643">
        <v>9202</v>
      </c>
      <c r="B668" s="644" t="s">
        <v>411</v>
      </c>
      <c r="C668" s="644" t="s">
        <v>1150</v>
      </c>
      <c r="D668" s="559"/>
      <c r="E668" s="545">
        <v>526000</v>
      </c>
      <c r="F668" s="649">
        <v>520</v>
      </c>
      <c r="G668" s="655" t="s">
        <v>129</v>
      </c>
      <c r="H668" s="654"/>
      <c r="I668" s="654"/>
      <c r="J668" s="549">
        <v>200</v>
      </c>
      <c r="K668" s="554">
        <v>70</v>
      </c>
      <c r="L668" s="562">
        <v>12</v>
      </c>
      <c r="M668" s="549">
        <v>2800</v>
      </c>
      <c r="N668" s="592">
        <v>0</v>
      </c>
      <c r="O668" s="594">
        <v>0.45</v>
      </c>
      <c r="P668" s="590">
        <v>113</v>
      </c>
      <c r="Q668" s="433">
        <v>1E-3</v>
      </c>
      <c r="R668" s="430">
        <v>594.14</v>
      </c>
      <c r="S668" s="175">
        <v>186</v>
      </c>
      <c r="T668" s="751">
        <v>50870.333333333336</v>
      </c>
      <c r="U668" s="449">
        <v>0.12262000000000001</v>
      </c>
      <c r="V668" s="636">
        <v>84.535714285714292</v>
      </c>
      <c r="W668" s="636">
        <v>138.34800000000001</v>
      </c>
      <c r="X668" s="449">
        <v>2.8000000000000001E-2</v>
      </c>
      <c r="Y668" s="761">
        <v>222.88371428571429</v>
      </c>
      <c r="Z668" s="798">
        <v>524.95891904761913</v>
      </c>
      <c r="AA668" s="780"/>
      <c r="AB668" s="811">
        <v>360</v>
      </c>
      <c r="AC668" s="818">
        <v>1512</v>
      </c>
      <c r="AD668" s="811" t="s">
        <v>633</v>
      </c>
      <c r="AE668" s="811">
        <v>1</v>
      </c>
      <c r="AF668" s="643">
        <v>9202</v>
      </c>
    </row>
    <row r="669" spans="1:32" ht="15.75">
      <c r="A669" s="643"/>
      <c r="B669" s="644"/>
      <c r="C669" s="644" t="s">
        <v>1151</v>
      </c>
      <c r="D669" s="559">
        <v>140</v>
      </c>
      <c r="E669" s="545">
        <v>614000</v>
      </c>
      <c r="F669" s="649">
        <v>590</v>
      </c>
      <c r="G669" s="655">
        <v>420</v>
      </c>
      <c r="H669" s="654">
        <v>340</v>
      </c>
      <c r="I669" s="654">
        <v>440</v>
      </c>
      <c r="J669" s="549">
        <v>200</v>
      </c>
      <c r="K669" s="554">
        <v>70</v>
      </c>
      <c r="L669" s="562">
        <v>12</v>
      </c>
      <c r="M669" s="549">
        <v>2800</v>
      </c>
      <c r="N669" s="592">
        <v>0</v>
      </c>
      <c r="O669" s="594">
        <v>0.45</v>
      </c>
      <c r="P669" s="590">
        <v>155</v>
      </c>
      <c r="Q669" s="433">
        <v>1E-3</v>
      </c>
      <c r="R669" s="430">
        <v>3409</v>
      </c>
      <c r="S669" s="497">
        <v>186</v>
      </c>
      <c r="T669" s="751">
        <v>59465.666666666664</v>
      </c>
      <c r="U669" s="449">
        <v>0.32200000000000001</v>
      </c>
      <c r="V669" s="636">
        <v>98.678571428571431</v>
      </c>
      <c r="W669" s="636">
        <v>138.34800000000001</v>
      </c>
      <c r="X669" s="449">
        <v>2.8000000000000001E-2</v>
      </c>
      <c r="Y669" s="761">
        <v>237.02657142857146</v>
      </c>
      <c r="Z669" s="798">
        <v>587.79039523809536</v>
      </c>
      <c r="AA669" s="780">
        <v>419.85028231292523</v>
      </c>
      <c r="AB669" s="811">
        <v>360</v>
      </c>
      <c r="AC669" s="818">
        <v>1688</v>
      </c>
      <c r="AD669" s="811" t="s">
        <v>633</v>
      </c>
      <c r="AE669" s="811">
        <v>1</v>
      </c>
      <c r="AF669" s="643"/>
    </row>
    <row r="670" spans="1:32" ht="15.75">
      <c r="A670" s="643"/>
      <c r="B670" s="644"/>
      <c r="C670" s="644" t="s">
        <v>1152</v>
      </c>
      <c r="D670" s="559">
        <v>200</v>
      </c>
      <c r="E670" s="545">
        <v>655000</v>
      </c>
      <c r="F670" s="649">
        <v>650</v>
      </c>
      <c r="G670" s="655">
        <v>320</v>
      </c>
      <c r="H670" s="654">
        <v>290</v>
      </c>
      <c r="I670" s="654">
        <v>380</v>
      </c>
      <c r="J670" s="549">
        <v>200</v>
      </c>
      <c r="K670" s="554">
        <v>85</v>
      </c>
      <c r="L670" s="562">
        <v>12</v>
      </c>
      <c r="M670" s="549">
        <v>2800</v>
      </c>
      <c r="N670" s="592">
        <v>0</v>
      </c>
      <c r="O670" s="594">
        <v>0.45</v>
      </c>
      <c r="P670" s="590">
        <v>173</v>
      </c>
      <c r="Q670" s="431">
        <v>0.05</v>
      </c>
      <c r="R670" s="430">
        <v>1490</v>
      </c>
      <c r="S670" s="175"/>
      <c r="T670" s="751">
        <v>63459.333333333336</v>
      </c>
      <c r="U670" s="444">
        <v>28.05</v>
      </c>
      <c r="V670" s="636">
        <v>105.26785714285714</v>
      </c>
      <c r="W670" s="636">
        <v>167.994</v>
      </c>
      <c r="X670" s="444">
        <v>1.4000000000000001</v>
      </c>
      <c r="Y670" s="761">
        <v>273.26185714285714</v>
      </c>
      <c r="Z670" s="798">
        <v>649.61437619047626</v>
      </c>
      <c r="AA670" s="780">
        <v>324.80718809523813</v>
      </c>
      <c r="AB670" s="811">
        <v>360</v>
      </c>
      <c r="AC670" s="818">
        <v>1770</v>
      </c>
      <c r="AD670" s="811" t="s">
        <v>633</v>
      </c>
      <c r="AE670" s="811">
        <v>1</v>
      </c>
      <c r="AF670" s="643"/>
    </row>
    <row r="671" spans="1:32" ht="15.75">
      <c r="A671" s="643"/>
      <c r="B671" s="644"/>
      <c r="C671" s="644" t="s">
        <v>1149</v>
      </c>
      <c r="D671" s="559">
        <v>360</v>
      </c>
      <c r="E671" s="545">
        <v>562000</v>
      </c>
      <c r="F671" s="649">
        <v>500</v>
      </c>
      <c r="G671" s="655">
        <v>140</v>
      </c>
      <c r="H671" s="654">
        <v>130</v>
      </c>
      <c r="I671" s="654">
        <v>180</v>
      </c>
      <c r="J671" s="549">
        <v>200</v>
      </c>
      <c r="K671" s="554">
        <v>45</v>
      </c>
      <c r="L671" s="562">
        <v>12</v>
      </c>
      <c r="M671" s="549">
        <v>2800</v>
      </c>
      <c r="N671" s="592">
        <v>0</v>
      </c>
      <c r="O671" s="594">
        <v>0.45</v>
      </c>
      <c r="P671" s="590">
        <v>144</v>
      </c>
      <c r="Q671" s="436">
        <v>0.01</v>
      </c>
      <c r="R671" s="430">
        <v>2554.4</v>
      </c>
      <c r="S671" s="498"/>
      <c r="T671" s="751">
        <v>54483.333333333336</v>
      </c>
      <c r="U671" s="450">
        <v>3.3374000000000001</v>
      </c>
      <c r="V671" s="636">
        <v>90.321428571428584</v>
      </c>
      <c r="W671" s="636">
        <v>88.938000000000002</v>
      </c>
      <c r="X671" s="450">
        <v>0.28000000000000003</v>
      </c>
      <c r="Y671" s="761">
        <v>179.2594285714286</v>
      </c>
      <c r="Z671" s="798">
        <v>496.84370476190486</v>
      </c>
      <c r="AA671" s="780">
        <v>138.01214021164023</v>
      </c>
      <c r="AB671" s="811">
        <v>360</v>
      </c>
      <c r="AC671" s="818">
        <v>1584</v>
      </c>
      <c r="AD671" s="811" t="s">
        <v>633</v>
      </c>
      <c r="AE671" s="811">
        <v>1</v>
      </c>
      <c r="AF671" s="643"/>
    </row>
    <row r="672" spans="1:32" ht="15.75">
      <c r="A672" s="643">
        <v>9203</v>
      </c>
      <c r="B672" s="644" t="s">
        <v>411</v>
      </c>
      <c r="C672" s="644" t="s">
        <v>1153</v>
      </c>
      <c r="D672" s="559"/>
      <c r="E672" s="545">
        <v>617000</v>
      </c>
      <c r="F672" s="649">
        <v>640</v>
      </c>
      <c r="G672" s="655" t="s">
        <v>129</v>
      </c>
      <c r="H672" s="654"/>
      <c r="I672" s="654"/>
      <c r="J672" s="549">
        <v>200</v>
      </c>
      <c r="K672" s="562">
        <v>70</v>
      </c>
      <c r="L672" s="617">
        <v>12</v>
      </c>
      <c r="M672" s="549">
        <v>2800</v>
      </c>
      <c r="N672" s="592">
        <v>0</v>
      </c>
      <c r="O672" s="594">
        <v>0.45</v>
      </c>
      <c r="P672" s="590">
        <v>122</v>
      </c>
      <c r="Q672" s="436">
        <v>0.01</v>
      </c>
      <c r="R672" s="430">
        <v>2966.4</v>
      </c>
      <c r="S672" s="175"/>
      <c r="T672" s="751">
        <v>59517.666666666664</v>
      </c>
      <c r="U672" s="451">
        <v>3.7594000000000003</v>
      </c>
      <c r="V672" s="636">
        <v>99.160714285714292</v>
      </c>
      <c r="W672" s="636">
        <v>183.69540000000001</v>
      </c>
      <c r="X672" s="451">
        <v>0.28000000000000003</v>
      </c>
      <c r="Y672" s="761">
        <v>282.85611428571428</v>
      </c>
      <c r="Z672" s="798">
        <v>638.48889238095251</v>
      </c>
      <c r="AA672" s="780"/>
      <c r="AB672" s="811">
        <v>478</v>
      </c>
      <c r="AC672" s="818">
        <v>1694</v>
      </c>
      <c r="AD672" s="811" t="s">
        <v>633</v>
      </c>
      <c r="AE672" s="811">
        <v>1</v>
      </c>
      <c r="AF672" s="643">
        <v>9203</v>
      </c>
    </row>
    <row r="673" spans="1:32" ht="15.75">
      <c r="A673" s="643"/>
      <c r="B673" s="644"/>
      <c r="C673" s="644" t="s">
        <v>1152</v>
      </c>
      <c r="D673" s="559">
        <v>220</v>
      </c>
      <c r="E673" s="545">
        <v>746000</v>
      </c>
      <c r="F673" s="649">
        <v>770</v>
      </c>
      <c r="G673" s="655">
        <v>350</v>
      </c>
      <c r="H673" s="654">
        <v>300</v>
      </c>
      <c r="I673" s="654">
        <v>380</v>
      </c>
      <c r="J673" s="549">
        <v>200</v>
      </c>
      <c r="K673" s="554">
        <v>85</v>
      </c>
      <c r="L673" s="617">
        <v>12</v>
      </c>
      <c r="M673" s="549">
        <v>2800</v>
      </c>
      <c r="N673" s="592">
        <v>0</v>
      </c>
      <c r="O673" s="594">
        <v>0.45</v>
      </c>
      <c r="P673" s="590">
        <v>182</v>
      </c>
      <c r="Q673" s="431"/>
      <c r="R673" s="430" t="s">
        <v>129</v>
      </c>
      <c r="S673" s="496"/>
      <c r="T673" s="751">
        <v>72106.666666666657</v>
      </c>
      <c r="U673" s="444"/>
      <c r="V673" s="636">
        <v>119.89285714285715</v>
      </c>
      <c r="W673" s="636">
        <v>223.05870000000002</v>
      </c>
      <c r="X673" s="444"/>
      <c r="Y673" s="761">
        <v>342.95155714285715</v>
      </c>
      <c r="Z673" s="798">
        <v>773.83337952380953</v>
      </c>
      <c r="AA673" s="780">
        <v>351.74244523809523</v>
      </c>
      <c r="AB673" s="811">
        <v>478</v>
      </c>
      <c r="AC673" s="818">
        <v>1952</v>
      </c>
      <c r="AD673" s="811" t="s">
        <v>633</v>
      </c>
      <c r="AE673" s="811">
        <v>1</v>
      </c>
      <c r="AF673" s="643"/>
    </row>
    <row r="674" spans="1:32" ht="15.75">
      <c r="A674" s="643"/>
      <c r="B674" s="644"/>
      <c r="C674" s="644" t="s">
        <v>1149</v>
      </c>
      <c r="D674" s="559">
        <v>390</v>
      </c>
      <c r="E674" s="545">
        <v>657000</v>
      </c>
      <c r="F674" s="649">
        <v>600</v>
      </c>
      <c r="G674" s="655">
        <v>155</v>
      </c>
      <c r="H674" s="654">
        <v>130</v>
      </c>
      <c r="I674" s="654">
        <v>180</v>
      </c>
      <c r="J674" s="549">
        <v>200</v>
      </c>
      <c r="K674" s="554">
        <v>45</v>
      </c>
      <c r="L674" s="617">
        <v>12</v>
      </c>
      <c r="M674" s="549">
        <v>2800</v>
      </c>
      <c r="N674" s="592">
        <v>0</v>
      </c>
      <c r="O674" s="594">
        <v>0.45</v>
      </c>
      <c r="P674" s="590">
        <v>153</v>
      </c>
      <c r="Q674" s="429"/>
      <c r="R674" s="430" t="s">
        <v>129</v>
      </c>
      <c r="S674" s="175"/>
      <c r="T674" s="751">
        <v>63508</v>
      </c>
      <c r="U674" s="438"/>
      <c r="V674" s="636">
        <v>105.58928571428571</v>
      </c>
      <c r="W674" s="636">
        <v>118.0899</v>
      </c>
      <c r="X674" s="438"/>
      <c r="Y674" s="761">
        <v>223.67918571428572</v>
      </c>
      <c r="Z674" s="798">
        <v>595.34110428571432</v>
      </c>
      <c r="AA674" s="780">
        <v>152.65156520146522</v>
      </c>
      <c r="AB674" s="811">
        <v>478</v>
      </c>
      <c r="AC674" s="818">
        <v>1774</v>
      </c>
      <c r="AD674" s="811" t="s">
        <v>633</v>
      </c>
      <c r="AE674" s="811">
        <v>1</v>
      </c>
      <c r="AF674" s="643"/>
    </row>
    <row r="675" spans="1:32" ht="15.75">
      <c r="A675" s="643">
        <v>9204</v>
      </c>
      <c r="B675" s="644"/>
      <c r="C675" s="643" t="s">
        <v>1154</v>
      </c>
      <c r="D675" s="559"/>
      <c r="E675" s="545">
        <v>707000</v>
      </c>
      <c r="F675" s="649">
        <v>730</v>
      </c>
      <c r="G675" s="655" t="s">
        <v>129</v>
      </c>
      <c r="H675" s="654"/>
      <c r="I675" s="654"/>
      <c r="J675" s="549">
        <v>200</v>
      </c>
      <c r="K675" s="562">
        <v>70</v>
      </c>
      <c r="L675" s="617">
        <v>12</v>
      </c>
      <c r="M675" s="549">
        <v>3000</v>
      </c>
      <c r="N675" s="592">
        <v>0.1</v>
      </c>
      <c r="O675" s="594">
        <v>0.45</v>
      </c>
      <c r="P675" s="590">
        <v>131</v>
      </c>
      <c r="Q675" s="431"/>
      <c r="R675" s="430" t="s">
        <v>129</v>
      </c>
      <c r="S675" s="497">
        <v>102</v>
      </c>
      <c r="T675" s="751">
        <v>62603.199999999997</v>
      </c>
      <c r="U675" s="444"/>
      <c r="V675" s="636">
        <v>106.05</v>
      </c>
      <c r="W675" s="636">
        <v>240.1875</v>
      </c>
      <c r="X675" s="444"/>
      <c r="Y675" s="761">
        <v>346.23750000000001</v>
      </c>
      <c r="Z675" s="798">
        <v>725.17885000000012</v>
      </c>
      <c r="AA675" s="780"/>
      <c r="AB675" s="811">
        <v>625</v>
      </c>
      <c r="AC675" s="818">
        <v>1874</v>
      </c>
      <c r="AD675" s="811" t="s">
        <v>633</v>
      </c>
      <c r="AE675" s="811">
        <v>1</v>
      </c>
      <c r="AF675" s="643">
        <v>9204</v>
      </c>
    </row>
    <row r="676" spans="1:32" ht="15.75">
      <c r="A676" s="643"/>
      <c r="B676" s="644"/>
      <c r="C676" s="644" t="s">
        <v>1155</v>
      </c>
      <c r="D676" s="559">
        <v>280</v>
      </c>
      <c r="E676" s="545">
        <v>872000</v>
      </c>
      <c r="F676" s="649">
        <v>810</v>
      </c>
      <c r="G676" s="655">
        <v>290</v>
      </c>
      <c r="H676" s="654">
        <v>240</v>
      </c>
      <c r="I676" s="654">
        <v>310</v>
      </c>
      <c r="J676" s="549">
        <v>200</v>
      </c>
      <c r="K676" s="554">
        <v>85</v>
      </c>
      <c r="L676" s="617">
        <v>12</v>
      </c>
      <c r="M676" s="549">
        <v>3000</v>
      </c>
      <c r="N676" s="592">
        <v>0.1</v>
      </c>
      <c r="O676" s="594">
        <v>0.45</v>
      </c>
      <c r="P676" s="590">
        <v>200</v>
      </c>
      <c r="Q676" s="431">
        <v>0.5</v>
      </c>
      <c r="R676" s="430">
        <v>1131</v>
      </c>
      <c r="S676" s="175">
        <v>78</v>
      </c>
      <c r="T676" s="751">
        <v>77375.199999999997</v>
      </c>
      <c r="U676" s="440">
        <v>197.28571428571428</v>
      </c>
      <c r="V676" s="636">
        <v>130.80000000000001</v>
      </c>
      <c r="W676" s="636">
        <v>223.05870000000002</v>
      </c>
      <c r="X676" s="440">
        <v>14</v>
      </c>
      <c r="Y676" s="761">
        <v>353.8587</v>
      </c>
      <c r="Z676" s="798">
        <v>814.80817000000002</v>
      </c>
      <c r="AA676" s="780">
        <v>291.00291785714285</v>
      </c>
      <c r="AB676" s="811">
        <v>478</v>
      </c>
      <c r="AC676" s="818">
        <v>2204</v>
      </c>
      <c r="AD676" s="811" t="s">
        <v>633</v>
      </c>
      <c r="AE676" s="811">
        <v>1</v>
      </c>
      <c r="AF676" s="643"/>
    </row>
    <row r="677" spans="1:32" ht="15.75">
      <c r="A677" s="643"/>
      <c r="B677" s="644"/>
      <c r="C677" s="644" t="s">
        <v>1149</v>
      </c>
      <c r="D677" s="559">
        <v>420</v>
      </c>
      <c r="E677" s="545">
        <v>747000</v>
      </c>
      <c r="F677" s="649">
        <v>620</v>
      </c>
      <c r="G677" s="655">
        <v>145</v>
      </c>
      <c r="H677" s="654">
        <v>130</v>
      </c>
      <c r="I677" s="654">
        <v>170</v>
      </c>
      <c r="J677" s="549">
        <v>200</v>
      </c>
      <c r="K677" s="554">
        <v>45</v>
      </c>
      <c r="L677" s="617">
        <v>12</v>
      </c>
      <c r="M677" s="549">
        <v>3000</v>
      </c>
      <c r="N677" s="592">
        <v>0.1</v>
      </c>
      <c r="O677" s="594">
        <v>0.45</v>
      </c>
      <c r="P677" s="590">
        <v>162</v>
      </c>
      <c r="Q677" s="431">
        <v>0.25</v>
      </c>
      <c r="R677" s="430">
        <v>4188.2</v>
      </c>
      <c r="S677" s="497">
        <v>618</v>
      </c>
      <c r="T677" s="751">
        <v>66284.2</v>
      </c>
      <c r="U677" s="440">
        <v>232.95999999999998</v>
      </c>
      <c r="V677" s="636">
        <v>112.05</v>
      </c>
      <c r="W677" s="636">
        <v>118.0899</v>
      </c>
      <c r="X677" s="440">
        <v>7</v>
      </c>
      <c r="Y677" s="761">
        <v>230.13990000000001</v>
      </c>
      <c r="Z677" s="798">
        <v>617.71699000000001</v>
      </c>
      <c r="AA677" s="780">
        <v>147.07547380952383</v>
      </c>
      <c r="AB677" s="811">
        <v>478</v>
      </c>
      <c r="AC677" s="818">
        <v>1954</v>
      </c>
      <c r="AD677" s="811" t="s">
        <v>633</v>
      </c>
      <c r="AE677" s="811">
        <v>1</v>
      </c>
      <c r="AF677" s="643"/>
    </row>
    <row r="678" spans="1:32" ht="15.75">
      <c r="A678" s="633"/>
      <c r="B678" s="634"/>
      <c r="C678" s="633"/>
      <c r="D678" s="559"/>
      <c r="E678" s="545"/>
      <c r="F678" s="546"/>
      <c r="G678" s="655" t="s">
        <v>129</v>
      </c>
      <c r="H678" s="654"/>
      <c r="I678" s="654"/>
      <c r="J678" s="561"/>
      <c r="K678" s="635"/>
      <c r="L678" s="633"/>
      <c r="M678" s="561"/>
      <c r="N678" s="592" t="s">
        <v>129</v>
      </c>
      <c r="O678" s="594" t="s">
        <v>129</v>
      </c>
      <c r="P678" s="743"/>
      <c r="Q678" s="431">
        <v>0.25</v>
      </c>
      <c r="R678" s="430">
        <v>3311.6</v>
      </c>
      <c r="S678" s="175">
        <v>90</v>
      </c>
      <c r="T678" s="751" t="s">
        <v>129</v>
      </c>
      <c r="U678" s="440">
        <v>188.23</v>
      </c>
      <c r="V678" s="654"/>
      <c r="W678" s="636"/>
      <c r="X678" s="440">
        <v>7</v>
      </c>
      <c r="Y678" s="761" t="s">
        <v>129</v>
      </c>
      <c r="Z678" s="776"/>
      <c r="AA678" s="780"/>
      <c r="AB678" s="633"/>
      <c r="AC678" s="818" t="s">
        <v>129</v>
      </c>
      <c r="AD678" s="811"/>
      <c r="AE678" s="811"/>
      <c r="AF678" s="633"/>
    </row>
    <row r="679" spans="1:32" ht="15.75">
      <c r="A679" s="624">
        <v>9220</v>
      </c>
      <c r="B679" s="625"/>
      <c r="C679" s="626" t="s">
        <v>1156</v>
      </c>
      <c r="D679" s="627"/>
      <c r="E679" s="628"/>
      <c r="F679" s="629"/>
      <c r="G679" s="630" t="s">
        <v>129</v>
      </c>
      <c r="H679" s="631"/>
      <c r="I679" s="631"/>
      <c r="J679" s="632"/>
      <c r="K679" s="632"/>
      <c r="L679" s="627"/>
      <c r="M679" s="632"/>
      <c r="N679" s="739" t="s">
        <v>129</v>
      </c>
      <c r="O679" s="744" t="s">
        <v>129</v>
      </c>
      <c r="P679" s="742"/>
      <c r="Q679" s="431">
        <v>0.1</v>
      </c>
      <c r="R679" s="430">
        <v>7597.2</v>
      </c>
      <c r="S679" s="497">
        <v>120</v>
      </c>
      <c r="T679" s="750" t="s">
        <v>129</v>
      </c>
      <c r="U679" s="440">
        <v>271.27333333333331</v>
      </c>
      <c r="V679" s="631"/>
      <c r="W679" s="631"/>
      <c r="X679" s="440">
        <v>2.8000000000000003</v>
      </c>
      <c r="Y679" s="763" t="s">
        <v>129</v>
      </c>
      <c r="Z679" s="774"/>
      <c r="AA679" s="775"/>
      <c r="AB679" s="810"/>
      <c r="AC679" s="817" t="s">
        <v>129</v>
      </c>
      <c r="AD679" s="810"/>
      <c r="AE679" s="810"/>
      <c r="AF679" s="624">
        <v>9220</v>
      </c>
    </row>
    <row r="680" spans="1:32" ht="15.75">
      <c r="A680" s="633"/>
      <c r="B680" s="634"/>
      <c r="C680" s="633"/>
      <c r="D680" s="559"/>
      <c r="E680" s="545"/>
      <c r="F680" s="546"/>
      <c r="G680" s="655" t="s">
        <v>129</v>
      </c>
      <c r="H680" s="654"/>
      <c r="I680" s="654"/>
      <c r="J680" s="561"/>
      <c r="K680" s="635"/>
      <c r="L680" s="633"/>
      <c r="M680" s="561"/>
      <c r="N680" s="592" t="s">
        <v>129</v>
      </c>
      <c r="O680" s="594" t="s">
        <v>129</v>
      </c>
      <c r="P680" s="743"/>
      <c r="Q680" s="431">
        <v>0.1</v>
      </c>
      <c r="R680" s="430">
        <v>9350.4</v>
      </c>
      <c r="S680" s="175">
        <v>120</v>
      </c>
      <c r="T680" s="751" t="s">
        <v>129</v>
      </c>
      <c r="U680" s="440">
        <v>250.81</v>
      </c>
      <c r="V680" s="654"/>
      <c r="W680" s="636"/>
      <c r="X680" s="440">
        <v>2.8000000000000003</v>
      </c>
      <c r="Y680" s="761" t="s">
        <v>129</v>
      </c>
      <c r="Z680" s="776"/>
      <c r="AA680" s="780"/>
      <c r="AB680" s="633"/>
      <c r="AC680" s="818" t="s">
        <v>129</v>
      </c>
      <c r="AD680" s="811"/>
      <c r="AE680" s="811"/>
      <c r="AF680" s="633"/>
    </row>
    <row r="681" spans="1:32" ht="15.75">
      <c r="A681" s="643">
        <v>9221</v>
      </c>
      <c r="B681" s="644"/>
      <c r="C681" s="644" t="s">
        <v>1157</v>
      </c>
      <c r="D681" s="559">
        <v>100</v>
      </c>
      <c r="E681" s="545">
        <v>83000</v>
      </c>
      <c r="F681" s="546">
        <v>85</v>
      </c>
      <c r="G681" s="653">
        <v>85</v>
      </c>
      <c r="H681" s="654">
        <v>73</v>
      </c>
      <c r="I681" s="654">
        <v>105</v>
      </c>
      <c r="J681" s="561">
        <v>160</v>
      </c>
      <c r="K681" s="554"/>
      <c r="L681" s="562">
        <v>10</v>
      </c>
      <c r="M681" s="561">
        <v>2000</v>
      </c>
      <c r="N681" s="592">
        <v>0.1</v>
      </c>
      <c r="O681" s="594">
        <v>0.55000000000000004</v>
      </c>
      <c r="P681" s="590">
        <v>42</v>
      </c>
      <c r="Q681" s="431">
        <v>0.02</v>
      </c>
      <c r="R681" s="430">
        <v>6428.4</v>
      </c>
      <c r="S681" s="175"/>
      <c r="T681" s="751">
        <v>8726.7999999999993</v>
      </c>
      <c r="U681" s="440">
        <v>34.762</v>
      </c>
      <c r="V681" s="654">
        <v>22.825000000000003</v>
      </c>
      <c r="W681" s="654"/>
      <c r="X681" s="440">
        <v>0.56000000000000005</v>
      </c>
      <c r="Y681" s="764">
        <v>22.825000000000003</v>
      </c>
      <c r="Z681" s="776">
        <v>85.104250000000008</v>
      </c>
      <c r="AA681" s="780">
        <v>85.104250000000008</v>
      </c>
      <c r="AB681" s="814"/>
      <c r="AC681" s="818">
        <v>166</v>
      </c>
      <c r="AD681" s="811" t="s">
        <v>667</v>
      </c>
      <c r="AE681" s="811">
        <v>0</v>
      </c>
      <c r="AF681" s="643">
        <v>9221</v>
      </c>
    </row>
    <row r="682" spans="1:32" ht="15.75">
      <c r="A682" s="643">
        <v>9222</v>
      </c>
      <c r="B682" s="644"/>
      <c r="C682" s="644" t="s">
        <v>1158</v>
      </c>
      <c r="D682" s="559">
        <v>140</v>
      </c>
      <c r="E682" s="545">
        <v>88000</v>
      </c>
      <c r="F682" s="546">
        <v>100</v>
      </c>
      <c r="G682" s="653">
        <v>69</v>
      </c>
      <c r="H682" s="654">
        <v>58</v>
      </c>
      <c r="I682" s="654">
        <v>85</v>
      </c>
      <c r="J682" s="561">
        <v>200</v>
      </c>
      <c r="K682" s="554"/>
      <c r="L682" s="562">
        <v>10</v>
      </c>
      <c r="M682" s="561">
        <v>3000</v>
      </c>
      <c r="N682" s="592">
        <v>0.1</v>
      </c>
      <c r="O682" s="594">
        <v>0.55000000000000004</v>
      </c>
      <c r="P682" s="590">
        <v>42</v>
      </c>
      <c r="Q682" s="431">
        <v>0.02</v>
      </c>
      <c r="R682" s="430">
        <v>8863.4</v>
      </c>
      <c r="S682" s="496"/>
      <c r="T682" s="751">
        <v>9234.7999999999993</v>
      </c>
      <c r="U682" s="440">
        <v>43.024545454545454</v>
      </c>
      <c r="V682" s="654">
        <v>16.133333333333333</v>
      </c>
      <c r="W682" s="654"/>
      <c r="X682" s="440">
        <v>0.56000000000000005</v>
      </c>
      <c r="Y682" s="764">
        <v>16.133333333333333</v>
      </c>
      <c r="Z682" s="776">
        <v>95.953293333333335</v>
      </c>
      <c r="AA682" s="780">
        <v>68.538066666666666</v>
      </c>
      <c r="AB682" s="814"/>
      <c r="AC682" s="818">
        <v>176</v>
      </c>
      <c r="AD682" s="811" t="s">
        <v>667</v>
      </c>
      <c r="AE682" s="811">
        <v>0</v>
      </c>
      <c r="AF682" s="643">
        <v>9222</v>
      </c>
    </row>
    <row r="683" spans="1:32" ht="15.75">
      <c r="A683" s="643">
        <v>9223</v>
      </c>
      <c r="B683" s="644"/>
      <c r="C683" s="644" t="s">
        <v>1159</v>
      </c>
      <c r="D683" s="559">
        <v>200</v>
      </c>
      <c r="E683" s="545">
        <v>129000</v>
      </c>
      <c r="F683" s="546">
        <v>140</v>
      </c>
      <c r="G683" s="653">
        <v>69</v>
      </c>
      <c r="H683" s="654">
        <v>59</v>
      </c>
      <c r="I683" s="654">
        <v>86</v>
      </c>
      <c r="J683" s="561">
        <v>290</v>
      </c>
      <c r="K683" s="554"/>
      <c r="L683" s="562">
        <v>10</v>
      </c>
      <c r="M683" s="561">
        <v>4000</v>
      </c>
      <c r="N683" s="592">
        <v>0.1</v>
      </c>
      <c r="O683" s="594">
        <v>0.5</v>
      </c>
      <c r="P683" s="590">
        <v>60</v>
      </c>
      <c r="Q683" s="431"/>
      <c r="R683" s="430" t="s">
        <v>129</v>
      </c>
      <c r="S683" s="175"/>
      <c r="T683" s="751">
        <v>13526.4</v>
      </c>
      <c r="U683" s="444"/>
      <c r="V683" s="654">
        <v>16.125</v>
      </c>
      <c r="W683" s="654"/>
      <c r="X683" s="444"/>
      <c r="Y683" s="764">
        <v>16.125</v>
      </c>
      <c r="Z683" s="776">
        <v>138.08906896551724</v>
      </c>
      <c r="AA683" s="780">
        <v>69.044534482758621</v>
      </c>
      <c r="AB683" s="814"/>
      <c r="AC683" s="818">
        <v>258</v>
      </c>
      <c r="AD683" s="811" t="s">
        <v>667</v>
      </c>
      <c r="AE683" s="811">
        <v>0</v>
      </c>
      <c r="AF683" s="643">
        <v>9223</v>
      </c>
    </row>
    <row r="684" spans="1:32" ht="15.75">
      <c r="A684" s="643">
        <v>9226</v>
      </c>
      <c r="B684" s="644"/>
      <c r="C684" s="644" t="s">
        <v>1160</v>
      </c>
      <c r="D684" s="559">
        <v>280</v>
      </c>
      <c r="E684" s="545">
        <v>165000</v>
      </c>
      <c r="F684" s="546">
        <v>220</v>
      </c>
      <c r="G684" s="653">
        <v>78</v>
      </c>
      <c r="H684" s="654">
        <v>68</v>
      </c>
      <c r="I684" s="654">
        <v>96</v>
      </c>
      <c r="J684" s="561">
        <v>360</v>
      </c>
      <c r="K684" s="554"/>
      <c r="L684" s="562">
        <v>10</v>
      </c>
      <c r="M684" s="561">
        <v>5000</v>
      </c>
      <c r="N684" s="592">
        <v>0.1</v>
      </c>
      <c r="O684" s="594">
        <v>0.7</v>
      </c>
      <c r="P684" s="590">
        <v>69</v>
      </c>
      <c r="Q684" s="429"/>
      <c r="R684" s="430" t="s">
        <v>129</v>
      </c>
      <c r="S684" s="497">
        <v>294</v>
      </c>
      <c r="T684" s="751">
        <v>17247</v>
      </c>
      <c r="U684" s="438"/>
      <c r="V684" s="654">
        <v>23.099999999999998</v>
      </c>
      <c r="W684" s="654"/>
      <c r="X684" s="438"/>
      <c r="Y684" s="764">
        <v>23.099999999999998</v>
      </c>
      <c r="Z684" s="776">
        <v>218.70566666666664</v>
      </c>
      <c r="AA684" s="780">
        <v>78.109166666666667</v>
      </c>
      <c r="AB684" s="814"/>
      <c r="AC684" s="818">
        <v>330</v>
      </c>
      <c r="AD684" s="811" t="s">
        <v>667</v>
      </c>
      <c r="AE684" s="811">
        <v>0</v>
      </c>
      <c r="AF684" s="643">
        <v>9226</v>
      </c>
    </row>
    <row r="685" spans="1:32" ht="15.75">
      <c r="A685" s="643">
        <v>9224</v>
      </c>
      <c r="B685" s="644"/>
      <c r="C685" s="644" t="s">
        <v>1161</v>
      </c>
      <c r="D685" s="559">
        <v>286</v>
      </c>
      <c r="E685" s="545">
        <v>35000</v>
      </c>
      <c r="F685" s="649">
        <v>105</v>
      </c>
      <c r="G685" s="655">
        <v>37</v>
      </c>
      <c r="H685" s="636">
        <v>89</v>
      </c>
      <c r="I685" s="636">
        <v>137</v>
      </c>
      <c r="J685" s="549">
        <v>40</v>
      </c>
      <c r="K685" s="554"/>
      <c r="L685" s="562">
        <v>10</v>
      </c>
      <c r="M685" s="549">
        <v>2800</v>
      </c>
      <c r="N685" s="592">
        <v>0.25</v>
      </c>
      <c r="O685" s="594">
        <v>1.2</v>
      </c>
      <c r="P685" s="590">
        <v>31</v>
      </c>
      <c r="Q685" s="431"/>
      <c r="R685" s="430" t="s">
        <v>129</v>
      </c>
      <c r="S685" s="175">
        <v>450</v>
      </c>
      <c r="T685" s="751">
        <v>3279.5</v>
      </c>
      <c r="U685" s="444"/>
      <c r="V685" s="636">
        <v>15</v>
      </c>
      <c r="W685" s="654"/>
      <c r="X685" s="444"/>
      <c r="Y685" s="761">
        <v>15</v>
      </c>
      <c r="Z685" s="776">
        <v>106.68625</v>
      </c>
      <c r="AA685" s="780">
        <v>36.713286713286713</v>
      </c>
      <c r="AB685" s="814"/>
      <c r="AC685" s="818">
        <v>70</v>
      </c>
      <c r="AD685" s="811" t="s">
        <v>633</v>
      </c>
      <c r="AE685" s="811">
        <v>0</v>
      </c>
      <c r="AF685" s="643">
        <v>9224</v>
      </c>
    </row>
    <row r="686" spans="1:32" ht="15.75">
      <c r="A686" s="643">
        <v>9225</v>
      </c>
      <c r="B686" s="644"/>
      <c r="C686" s="644" t="s">
        <v>1162</v>
      </c>
      <c r="D686" s="559">
        <v>360</v>
      </c>
      <c r="E686" s="545">
        <v>36000</v>
      </c>
      <c r="F686" s="649">
        <v>115</v>
      </c>
      <c r="G686" s="655">
        <v>32</v>
      </c>
      <c r="H686" s="636">
        <v>95</v>
      </c>
      <c r="I686" s="636">
        <v>144</v>
      </c>
      <c r="J686" s="549">
        <v>40</v>
      </c>
      <c r="K686" s="554"/>
      <c r="L686" s="562">
        <v>10</v>
      </c>
      <c r="M686" s="549">
        <v>2800</v>
      </c>
      <c r="N686" s="592">
        <v>0.25</v>
      </c>
      <c r="O686" s="594">
        <v>1.45</v>
      </c>
      <c r="P686" s="590">
        <v>31</v>
      </c>
      <c r="Q686" s="431">
        <v>8.3333299999999999E-2</v>
      </c>
      <c r="R686" s="430">
        <v>31752.400000000001</v>
      </c>
      <c r="S686" s="497">
        <v>294</v>
      </c>
      <c r="T686" s="751">
        <v>3367</v>
      </c>
      <c r="U686" s="439">
        <v>168.09200000000001</v>
      </c>
      <c r="V686" s="636">
        <v>18.642857142857142</v>
      </c>
      <c r="W686" s="654"/>
      <c r="X686" s="439">
        <v>2.3333323999999998</v>
      </c>
      <c r="Y686" s="761">
        <v>18.642857142857142</v>
      </c>
      <c r="Z686" s="776">
        <v>113.09964285714285</v>
      </c>
      <c r="AA686" s="780">
        <v>31.944444444444443</v>
      </c>
      <c r="AB686" s="814"/>
      <c r="AC686" s="818">
        <v>72</v>
      </c>
      <c r="AD686" s="811" t="s">
        <v>633</v>
      </c>
      <c r="AE686" s="811">
        <v>0</v>
      </c>
      <c r="AF686" s="643">
        <v>9225</v>
      </c>
    </row>
    <row r="687" spans="1:32" ht="15.75">
      <c r="A687" s="643">
        <v>9227</v>
      </c>
      <c r="B687" s="644"/>
      <c r="C687" s="644" t="s">
        <v>1163</v>
      </c>
      <c r="D687" s="559">
        <v>390</v>
      </c>
      <c r="E687" s="545">
        <v>40000</v>
      </c>
      <c r="F687" s="649">
        <v>125</v>
      </c>
      <c r="G687" s="655">
        <v>32</v>
      </c>
      <c r="H687" s="636">
        <v>106</v>
      </c>
      <c r="I687" s="636">
        <v>161</v>
      </c>
      <c r="J687" s="549">
        <v>40</v>
      </c>
      <c r="K687" s="554"/>
      <c r="L687" s="562">
        <v>10</v>
      </c>
      <c r="M687" s="549">
        <v>2800</v>
      </c>
      <c r="N687" s="592">
        <v>0.25</v>
      </c>
      <c r="O687" s="594">
        <v>1.55</v>
      </c>
      <c r="P687" s="590">
        <v>31</v>
      </c>
      <c r="Q687" s="431"/>
      <c r="R687" s="430" t="s">
        <v>129</v>
      </c>
      <c r="S687" s="175">
        <v>450</v>
      </c>
      <c r="T687" s="751">
        <v>3717</v>
      </c>
      <c r="U687" s="439"/>
      <c r="V687" s="636">
        <v>22.142857142857146</v>
      </c>
      <c r="W687" s="654"/>
      <c r="X687" s="439"/>
      <c r="Y687" s="761">
        <v>22.142857142857146</v>
      </c>
      <c r="Z687" s="776">
        <v>126.57464285714288</v>
      </c>
      <c r="AA687" s="780">
        <v>32.051282051282051</v>
      </c>
      <c r="AB687" s="814"/>
      <c r="AC687" s="818">
        <v>80</v>
      </c>
      <c r="AD687" s="811" t="s">
        <v>633</v>
      </c>
      <c r="AE687" s="811">
        <v>0</v>
      </c>
      <c r="AF687" s="643">
        <v>9227</v>
      </c>
    </row>
    <row r="688" spans="1:32" ht="15.75">
      <c r="A688" s="643">
        <v>9228</v>
      </c>
      <c r="B688" s="644"/>
      <c r="C688" s="644" t="s">
        <v>1164</v>
      </c>
      <c r="D688" s="559">
        <v>420</v>
      </c>
      <c r="E688" s="545">
        <v>40000</v>
      </c>
      <c r="F688" s="649">
        <v>130</v>
      </c>
      <c r="G688" s="655">
        <v>31</v>
      </c>
      <c r="H688" s="636">
        <v>112</v>
      </c>
      <c r="I688" s="636">
        <v>166</v>
      </c>
      <c r="J688" s="549">
        <v>40</v>
      </c>
      <c r="K688" s="554"/>
      <c r="L688" s="562">
        <v>10</v>
      </c>
      <c r="M688" s="549">
        <v>3000</v>
      </c>
      <c r="N688" s="592">
        <v>0.25</v>
      </c>
      <c r="O688" s="594">
        <v>2.0499999999999998</v>
      </c>
      <c r="P688" s="590">
        <v>31</v>
      </c>
      <c r="Q688" s="431"/>
      <c r="R688" s="430" t="s">
        <v>129</v>
      </c>
      <c r="S688" s="497">
        <v>90</v>
      </c>
      <c r="T688" s="751">
        <v>3717</v>
      </c>
      <c r="U688" s="439"/>
      <c r="V688" s="636">
        <v>27.333333333333332</v>
      </c>
      <c r="W688" s="654"/>
      <c r="X688" s="439"/>
      <c r="Y688" s="761">
        <v>27.333333333333332</v>
      </c>
      <c r="Z688" s="776">
        <v>132.28416666666666</v>
      </c>
      <c r="AA688" s="780">
        <v>30.952380952380953</v>
      </c>
      <c r="AB688" s="814"/>
      <c r="AC688" s="818">
        <v>80</v>
      </c>
      <c r="AD688" s="811" t="s">
        <v>633</v>
      </c>
      <c r="AE688" s="811">
        <v>0</v>
      </c>
      <c r="AF688" s="643">
        <v>9228</v>
      </c>
    </row>
    <row r="689" spans="1:32" ht="15.75">
      <c r="A689" s="643"/>
      <c r="B689" s="644"/>
      <c r="C689" s="644"/>
      <c r="D689" s="559"/>
      <c r="E689" s="545"/>
      <c r="F689" s="546"/>
      <c r="G689" s="655" t="s">
        <v>129</v>
      </c>
      <c r="H689" s="654"/>
      <c r="I689" s="654"/>
      <c r="J689" s="561"/>
      <c r="K689" s="554"/>
      <c r="L689" s="562"/>
      <c r="M689" s="561"/>
      <c r="N689" s="592" t="s">
        <v>129</v>
      </c>
      <c r="O689" s="594" t="s">
        <v>129</v>
      </c>
      <c r="P689" s="590"/>
      <c r="Q689" s="431">
        <v>8.3333299999999999E-2</v>
      </c>
      <c r="R689" s="430">
        <v>38765.199999999997</v>
      </c>
      <c r="S689" s="175">
        <v>594</v>
      </c>
      <c r="T689" s="751" t="s">
        <v>129</v>
      </c>
      <c r="U689" s="439">
        <v>226.95666666666665</v>
      </c>
      <c r="V689" s="654"/>
      <c r="W689" s="636"/>
      <c r="X689" s="439">
        <v>2.3333323999999998</v>
      </c>
      <c r="Y689" s="761" t="s">
        <v>129</v>
      </c>
      <c r="Z689" s="778"/>
      <c r="AA689" s="780"/>
      <c r="AB689" s="811"/>
      <c r="AC689" s="818" t="s">
        <v>129</v>
      </c>
      <c r="AD689" s="811"/>
      <c r="AE689" s="811"/>
      <c r="AF689" s="643"/>
    </row>
    <row r="690" spans="1:32" ht="15.75">
      <c r="A690" s="663"/>
      <c r="B690" s="664"/>
      <c r="C690" s="665" t="s">
        <v>1165</v>
      </c>
      <c r="D690" s="688"/>
      <c r="E690" s="667"/>
      <c r="F690" s="668"/>
      <c r="G690" s="718" t="s">
        <v>129</v>
      </c>
      <c r="H690" s="670"/>
      <c r="I690" s="670"/>
      <c r="J690" s="671"/>
      <c r="K690" s="672"/>
      <c r="L690" s="737"/>
      <c r="M690" s="671"/>
      <c r="N690" s="740" t="s">
        <v>129</v>
      </c>
      <c r="O690" s="746" t="s">
        <v>129</v>
      </c>
      <c r="P690" s="747"/>
      <c r="Q690" s="431"/>
      <c r="R690" s="430" t="s">
        <v>129</v>
      </c>
      <c r="S690" s="175"/>
      <c r="T690" s="754" t="s">
        <v>129</v>
      </c>
      <c r="U690" s="439"/>
      <c r="V690" s="690"/>
      <c r="W690" s="670"/>
      <c r="X690" s="439"/>
      <c r="Y690" s="766" t="s">
        <v>129</v>
      </c>
      <c r="Z690" s="785"/>
      <c r="AA690" s="802"/>
      <c r="AB690" s="813"/>
      <c r="AC690" s="821" t="s">
        <v>129</v>
      </c>
      <c r="AD690" s="813"/>
      <c r="AE690" s="813"/>
      <c r="AF690" s="663"/>
    </row>
    <row r="691" spans="1:32" ht="15.75">
      <c r="A691" s="633"/>
      <c r="B691" s="634"/>
      <c r="C691" s="633"/>
      <c r="D691" s="551"/>
      <c r="E691" s="545"/>
      <c r="F691" s="546"/>
      <c r="G691" s="635" t="s">
        <v>129</v>
      </c>
      <c r="H691" s="636"/>
      <c r="I691" s="636"/>
      <c r="J691" s="549"/>
      <c r="K691" s="635"/>
      <c r="L691" s="633"/>
      <c r="M691" s="549"/>
      <c r="N691" s="592" t="s">
        <v>129</v>
      </c>
      <c r="O691" s="594" t="s">
        <v>129</v>
      </c>
      <c r="P691" s="743"/>
      <c r="Q691" s="431"/>
      <c r="R691" s="430" t="s">
        <v>129</v>
      </c>
      <c r="S691" s="496"/>
      <c r="T691" s="751" t="s">
        <v>129</v>
      </c>
      <c r="U691" s="439"/>
      <c r="V691" s="636"/>
      <c r="W691" s="636"/>
      <c r="X691" s="439"/>
      <c r="Y691" s="761" t="s">
        <v>129</v>
      </c>
      <c r="Z691" s="776"/>
      <c r="AA691" s="777"/>
      <c r="AB691" s="633"/>
      <c r="AC691" s="818" t="s">
        <v>129</v>
      </c>
      <c r="AD691" s="811"/>
      <c r="AE691" s="811"/>
      <c r="AF691" s="633"/>
    </row>
    <row r="692" spans="1:32" ht="15.75">
      <c r="A692" s="624">
        <v>10000</v>
      </c>
      <c r="B692" s="625"/>
      <c r="C692" s="626" t="s">
        <v>1166</v>
      </c>
      <c r="D692" s="627"/>
      <c r="E692" s="628"/>
      <c r="F692" s="629"/>
      <c r="G692" s="630" t="s">
        <v>129</v>
      </c>
      <c r="H692" s="631"/>
      <c r="I692" s="631"/>
      <c r="J692" s="632"/>
      <c r="K692" s="632"/>
      <c r="L692" s="627"/>
      <c r="M692" s="632"/>
      <c r="N692" s="739" t="s">
        <v>129</v>
      </c>
      <c r="O692" s="744" t="s">
        <v>129</v>
      </c>
      <c r="P692" s="742"/>
      <c r="Q692" s="431"/>
      <c r="R692" s="430" t="s">
        <v>129</v>
      </c>
      <c r="S692" s="124"/>
      <c r="T692" s="750" t="s">
        <v>129</v>
      </c>
      <c r="U692" s="439"/>
      <c r="V692" s="631"/>
      <c r="W692" s="631"/>
      <c r="X692" s="439"/>
      <c r="Y692" s="763" t="s">
        <v>129</v>
      </c>
      <c r="Z692" s="774"/>
      <c r="AA692" s="775"/>
      <c r="AB692" s="810"/>
      <c r="AC692" s="817" t="s">
        <v>129</v>
      </c>
      <c r="AD692" s="810"/>
      <c r="AE692" s="810"/>
      <c r="AF692" s="624">
        <v>10000</v>
      </c>
    </row>
    <row r="693" spans="1:32" ht="15.75">
      <c r="A693" s="633"/>
      <c r="B693" s="634"/>
      <c r="C693" s="633"/>
      <c r="D693" s="551"/>
      <c r="E693" s="545"/>
      <c r="F693" s="546"/>
      <c r="G693" s="635" t="s">
        <v>129</v>
      </c>
      <c r="H693" s="636"/>
      <c r="I693" s="636"/>
      <c r="J693" s="549"/>
      <c r="K693" s="635"/>
      <c r="L693" s="633"/>
      <c r="M693" s="549"/>
      <c r="N693" s="592" t="s">
        <v>129</v>
      </c>
      <c r="O693" s="594" t="s">
        <v>129</v>
      </c>
      <c r="P693" s="743"/>
      <c r="Q693" s="431"/>
      <c r="R693" s="430" t="s">
        <v>129</v>
      </c>
      <c r="S693" s="497">
        <v>300</v>
      </c>
      <c r="T693" s="751" t="s">
        <v>129</v>
      </c>
      <c r="U693" s="440"/>
      <c r="V693" s="636"/>
      <c r="W693" s="636"/>
      <c r="X693" s="440"/>
      <c r="Y693" s="761" t="s">
        <v>129</v>
      </c>
      <c r="Z693" s="776"/>
      <c r="AA693" s="777"/>
      <c r="AB693" s="633"/>
      <c r="AC693" s="818" t="s">
        <v>129</v>
      </c>
      <c r="AD693" s="811"/>
      <c r="AE693" s="811"/>
      <c r="AF693" s="633"/>
    </row>
    <row r="694" spans="1:32" ht="15.75">
      <c r="A694" s="643">
        <v>10001</v>
      </c>
      <c r="B694" s="644"/>
      <c r="C694" s="644" t="s">
        <v>1167</v>
      </c>
      <c r="D694" s="559" t="s">
        <v>221</v>
      </c>
      <c r="E694" s="545">
        <v>17000</v>
      </c>
      <c r="F694" s="649">
        <v>32</v>
      </c>
      <c r="G694" s="655" t="s">
        <v>129</v>
      </c>
      <c r="H694" s="636">
        <v>28</v>
      </c>
      <c r="I694" s="636">
        <v>38</v>
      </c>
      <c r="J694" s="549">
        <v>100</v>
      </c>
      <c r="K694" s="554" t="s">
        <v>221</v>
      </c>
      <c r="L694" s="562">
        <v>12</v>
      </c>
      <c r="M694" s="549">
        <v>1200</v>
      </c>
      <c r="N694" s="592">
        <v>0</v>
      </c>
      <c r="O694" s="594">
        <v>0.85</v>
      </c>
      <c r="P694" s="590">
        <v>17</v>
      </c>
      <c r="Q694" s="429"/>
      <c r="R694" s="430" t="s">
        <v>129</v>
      </c>
      <c r="S694" s="175">
        <v>360</v>
      </c>
      <c r="T694" s="751">
        <v>1688.6666666666667</v>
      </c>
      <c r="U694" s="438"/>
      <c r="V694" s="636">
        <v>12.041666666666666</v>
      </c>
      <c r="W694" s="654"/>
      <c r="X694" s="438"/>
      <c r="Y694" s="761">
        <v>12.041666666666666</v>
      </c>
      <c r="Z694" s="776">
        <v>31.82116666666667</v>
      </c>
      <c r="AA694" s="780"/>
      <c r="AB694" s="814"/>
      <c r="AC694" s="818">
        <v>0</v>
      </c>
      <c r="AD694" s="811" t="s">
        <v>633</v>
      </c>
      <c r="AE694" s="811">
        <v>0</v>
      </c>
      <c r="AF694" s="643">
        <v>10001</v>
      </c>
    </row>
    <row r="695" spans="1:32" ht="15.75">
      <c r="A695" s="643">
        <v>10002</v>
      </c>
      <c r="B695" s="644"/>
      <c r="C695" s="644" t="s">
        <v>1168</v>
      </c>
      <c r="D695" s="559" t="s">
        <v>438</v>
      </c>
      <c r="E695" s="545">
        <v>11000</v>
      </c>
      <c r="F695" s="649">
        <v>30</v>
      </c>
      <c r="G695" s="655" t="s">
        <v>129</v>
      </c>
      <c r="H695" s="636">
        <v>25</v>
      </c>
      <c r="I695" s="636">
        <v>37</v>
      </c>
      <c r="J695" s="549">
        <v>50</v>
      </c>
      <c r="K695" s="554" t="s">
        <v>221</v>
      </c>
      <c r="L695" s="562">
        <v>12</v>
      </c>
      <c r="M695" s="549">
        <v>1000</v>
      </c>
      <c r="N695" s="592">
        <v>0.1</v>
      </c>
      <c r="O695" s="594">
        <v>0.6</v>
      </c>
      <c r="P695" s="590">
        <v>13</v>
      </c>
      <c r="Q695" s="431"/>
      <c r="R695" s="430" t="s">
        <v>129</v>
      </c>
      <c r="S695" s="497">
        <v>402</v>
      </c>
      <c r="T695" s="751">
        <v>1021.6</v>
      </c>
      <c r="U695" s="440"/>
      <c r="V695" s="636">
        <v>6.6</v>
      </c>
      <c r="W695" s="654"/>
      <c r="X695" s="440"/>
      <c r="Y695" s="761">
        <v>6.6</v>
      </c>
      <c r="Z695" s="776">
        <v>29.735200000000006</v>
      </c>
      <c r="AA695" s="780"/>
      <c r="AB695" s="814"/>
      <c r="AC695" s="818">
        <v>0</v>
      </c>
      <c r="AD695" s="811" t="s">
        <v>633</v>
      </c>
      <c r="AE695" s="811">
        <v>0</v>
      </c>
      <c r="AF695" s="643">
        <v>10002</v>
      </c>
    </row>
    <row r="696" spans="1:32" ht="15.75">
      <c r="A696" s="643">
        <v>10003</v>
      </c>
      <c r="B696" s="644"/>
      <c r="C696" s="644" t="s">
        <v>1169</v>
      </c>
      <c r="D696" s="888">
        <v>4</v>
      </c>
      <c r="E696" s="545">
        <v>40000</v>
      </c>
      <c r="F696" s="649">
        <v>87</v>
      </c>
      <c r="G696" s="889">
        <v>22</v>
      </c>
      <c r="H696" s="636">
        <v>73</v>
      </c>
      <c r="I696" s="636">
        <v>111</v>
      </c>
      <c r="J696" s="549">
        <v>50</v>
      </c>
      <c r="K696" s="554" t="s">
        <v>221</v>
      </c>
      <c r="L696" s="562">
        <v>15</v>
      </c>
      <c r="M696" s="549">
        <v>2000</v>
      </c>
      <c r="N696" s="592">
        <v>0.25</v>
      </c>
      <c r="O696" s="594">
        <v>0.75</v>
      </c>
      <c r="P696" s="590">
        <v>103</v>
      </c>
      <c r="Q696" s="431">
        <v>0.25</v>
      </c>
      <c r="R696" s="430">
        <v>7986</v>
      </c>
      <c r="S696" s="175">
        <v>444</v>
      </c>
      <c r="T696" s="751">
        <v>3221</v>
      </c>
      <c r="U696" s="440">
        <v>70.099999999999994</v>
      </c>
      <c r="V696" s="636">
        <v>15</v>
      </c>
      <c r="W696" s="636"/>
      <c r="X696" s="440">
        <v>7</v>
      </c>
      <c r="Y696" s="761">
        <v>15</v>
      </c>
      <c r="Z696" s="776">
        <v>87.362000000000009</v>
      </c>
      <c r="AA696" s="788">
        <v>21.840500000000002</v>
      </c>
      <c r="AB696" s="811"/>
      <c r="AC696" s="818">
        <v>80</v>
      </c>
      <c r="AD696" s="811" t="s">
        <v>633</v>
      </c>
      <c r="AE696" s="811">
        <v>0</v>
      </c>
      <c r="AF696" s="643">
        <v>10003</v>
      </c>
    </row>
    <row r="697" spans="1:32" ht="15.75">
      <c r="A697" s="643">
        <v>10004</v>
      </c>
      <c r="B697" s="644"/>
      <c r="C697" s="644" t="s">
        <v>1170</v>
      </c>
      <c r="D697" s="888">
        <v>4</v>
      </c>
      <c r="E697" s="545">
        <v>5200</v>
      </c>
      <c r="F697" s="649">
        <v>17</v>
      </c>
      <c r="G697" s="889">
        <v>4.3</v>
      </c>
      <c r="H697" s="636">
        <v>15</v>
      </c>
      <c r="I697" s="636">
        <v>21.5</v>
      </c>
      <c r="J697" s="549">
        <v>50</v>
      </c>
      <c r="K697" s="554" t="s">
        <v>221</v>
      </c>
      <c r="L697" s="562">
        <v>12</v>
      </c>
      <c r="M697" s="549">
        <v>1000</v>
      </c>
      <c r="N697" s="592">
        <v>0.1</v>
      </c>
      <c r="O697" s="594">
        <v>0.9</v>
      </c>
      <c r="P697" s="590">
        <v>15</v>
      </c>
      <c r="Q697" s="431">
        <v>0.25</v>
      </c>
      <c r="R697" s="430">
        <v>10648</v>
      </c>
      <c r="S697" s="497">
        <v>474</v>
      </c>
      <c r="T697" s="751">
        <v>555.31999999999994</v>
      </c>
      <c r="U697" s="440">
        <v>74.12</v>
      </c>
      <c r="V697" s="636">
        <v>4.6800000000000006</v>
      </c>
      <c r="W697" s="636"/>
      <c r="X697" s="440">
        <v>7</v>
      </c>
      <c r="Y697" s="761">
        <v>4.6800000000000006</v>
      </c>
      <c r="Z697" s="776">
        <v>17.36504</v>
      </c>
      <c r="AA697" s="788">
        <v>4.3412600000000001</v>
      </c>
      <c r="AB697" s="811"/>
      <c r="AC697" s="818">
        <v>10.4</v>
      </c>
      <c r="AD697" s="811" t="s">
        <v>633</v>
      </c>
      <c r="AE697" s="811">
        <v>0</v>
      </c>
      <c r="AF697" s="643">
        <v>10004</v>
      </c>
    </row>
    <row r="698" spans="1:32" ht="31.5">
      <c r="A698" s="643">
        <v>10005</v>
      </c>
      <c r="B698" s="644"/>
      <c r="C698" s="644" t="s">
        <v>1171</v>
      </c>
      <c r="D698" s="551">
        <v>175</v>
      </c>
      <c r="E698" s="545">
        <v>26000</v>
      </c>
      <c r="F698" s="649">
        <v>29</v>
      </c>
      <c r="G698" s="680"/>
      <c r="H698" s="636">
        <v>25</v>
      </c>
      <c r="I698" s="636">
        <v>34.5</v>
      </c>
      <c r="J698" s="549">
        <v>150</v>
      </c>
      <c r="K698" s="554">
        <v>40</v>
      </c>
      <c r="L698" s="562">
        <v>12</v>
      </c>
      <c r="M698" s="549">
        <v>3000</v>
      </c>
      <c r="N698" s="592">
        <v>0.1</v>
      </c>
      <c r="O698" s="594">
        <v>1.1499999999999999</v>
      </c>
      <c r="P698" s="590">
        <v>20</v>
      </c>
      <c r="Q698" s="431">
        <v>0.25</v>
      </c>
      <c r="R698" s="430">
        <v>15004</v>
      </c>
      <c r="S698" s="175">
        <v>540</v>
      </c>
      <c r="T698" s="751">
        <v>2391.6</v>
      </c>
      <c r="U698" s="440">
        <v>89.554285714285712</v>
      </c>
      <c r="V698" s="636">
        <v>9.966666666666665</v>
      </c>
      <c r="W698" s="636"/>
      <c r="X698" s="440">
        <v>7</v>
      </c>
      <c r="Y698" s="761">
        <v>9.966666666666665</v>
      </c>
      <c r="Z698" s="776">
        <v>28.501733333333334</v>
      </c>
      <c r="AA698" s="788">
        <v>0.16286704761904763</v>
      </c>
      <c r="AB698" s="811"/>
      <c r="AC698" s="818">
        <v>52</v>
      </c>
      <c r="AD698" s="811" t="s">
        <v>633</v>
      </c>
      <c r="AE698" s="811">
        <v>0</v>
      </c>
      <c r="AF698" s="643">
        <v>10005</v>
      </c>
    </row>
    <row r="699" spans="1:32" ht="31.5">
      <c r="A699" s="643">
        <v>10006</v>
      </c>
      <c r="B699" s="644"/>
      <c r="C699" s="644" t="s">
        <v>1172</v>
      </c>
      <c r="D699" s="551">
        <v>175</v>
      </c>
      <c r="E699" s="545">
        <v>36000</v>
      </c>
      <c r="F699" s="649">
        <v>28</v>
      </c>
      <c r="G699" s="680"/>
      <c r="H699" s="636">
        <v>25</v>
      </c>
      <c r="I699" s="636">
        <v>34.5</v>
      </c>
      <c r="J699" s="549">
        <v>200</v>
      </c>
      <c r="K699" s="554">
        <v>40</v>
      </c>
      <c r="L699" s="562">
        <v>12</v>
      </c>
      <c r="M699" s="549">
        <v>3000</v>
      </c>
      <c r="N699" s="592">
        <v>0.1</v>
      </c>
      <c r="O699" s="594">
        <v>0.8</v>
      </c>
      <c r="P699" s="590">
        <v>20</v>
      </c>
      <c r="Q699" s="431">
        <v>0.25</v>
      </c>
      <c r="R699" s="430">
        <v>3509</v>
      </c>
      <c r="S699" s="497">
        <v>330</v>
      </c>
      <c r="T699" s="751">
        <v>3257.6</v>
      </c>
      <c r="U699" s="440">
        <v>31.533333333333335</v>
      </c>
      <c r="V699" s="636">
        <v>9.6000000000000014</v>
      </c>
      <c r="W699" s="636"/>
      <c r="X699" s="440">
        <v>7</v>
      </c>
      <c r="Y699" s="761">
        <v>9.6000000000000014</v>
      </c>
      <c r="Z699" s="776">
        <v>28.476800000000004</v>
      </c>
      <c r="AA699" s="788">
        <v>0.16272457142857144</v>
      </c>
      <c r="AB699" s="811"/>
      <c r="AC699" s="818">
        <v>72</v>
      </c>
      <c r="AD699" s="811" t="s">
        <v>633</v>
      </c>
      <c r="AE699" s="811">
        <v>0</v>
      </c>
      <c r="AF699" s="643">
        <v>10006</v>
      </c>
    </row>
    <row r="700" spans="1:32" ht="15.75">
      <c r="A700" s="643"/>
      <c r="B700" s="644"/>
      <c r="C700" s="643"/>
      <c r="D700" s="566"/>
      <c r="E700" s="545"/>
      <c r="F700" s="546"/>
      <c r="G700" s="680"/>
      <c r="H700" s="636"/>
      <c r="I700" s="636"/>
      <c r="J700" s="549"/>
      <c r="K700" s="554"/>
      <c r="L700" s="562"/>
      <c r="M700" s="549"/>
      <c r="N700" s="592"/>
      <c r="O700" s="594"/>
      <c r="P700" s="590"/>
      <c r="Q700" s="431">
        <v>0.25</v>
      </c>
      <c r="R700" s="430">
        <v>3751</v>
      </c>
      <c r="S700" s="175">
        <v>384</v>
      </c>
      <c r="T700" s="751"/>
      <c r="U700" s="440">
        <v>26.866666666666667</v>
      </c>
      <c r="V700" s="636"/>
      <c r="W700" s="636"/>
      <c r="X700" s="440">
        <v>7</v>
      </c>
      <c r="Y700" s="761"/>
      <c r="Z700" s="776"/>
      <c r="AA700" s="797"/>
      <c r="AB700" s="811"/>
      <c r="AC700" s="818"/>
      <c r="AD700" s="811"/>
      <c r="AE700" s="811"/>
      <c r="AF700" s="643"/>
    </row>
    <row r="701" spans="1:32" ht="15.75">
      <c r="A701" s="624">
        <v>10010</v>
      </c>
      <c r="B701" s="625"/>
      <c r="C701" s="626" t="s">
        <v>1173</v>
      </c>
      <c r="D701" s="632"/>
      <c r="E701" s="628"/>
      <c r="F701" s="629"/>
      <c r="G701" s="630" t="s">
        <v>129</v>
      </c>
      <c r="H701" s="631"/>
      <c r="I701" s="631"/>
      <c r="J701" s="632"/>
      <c r="K701" s="632"/>
      <c r="L701" s="627"/>
      <c r="M701" s="632"/>
      <c r="N701" s="739" t="s">
        <v>129</v>
      </c>
      <c r="O701" s="744" t="s">
        <v>129</v>
      </c>
      <c r="P701" s="742"/>
      <c r="Q701" s="431"/>
      <c r="R701" s="430" t="s">
        <v>129</v>
      </c>
      <c r="S701" s="497">
        <v>408</v>
      </c>
      <c r="T701" s="750" t="s">
        <v>129</v>
      </c>
      <c r="U701" s="440"/>
      <c r="V701" s="631"/>
      <c r="W701" s="631"/>
      <c r="X701" s="440"/>
      <c r="Y701" s="763" t="s">
        <v>129</v>
      </c>
      <c r="Z701" s="774"/>
      <c r="AA701" s="775"/>
      <c r="AB701" s="810"/>
      <c r="AC701" s="817" t="s">
        <v>129</v>
      </c>
      <c r="AD701" s="810"/>
      <c r="AE701" s="810"/>
      <c r="AF701" s="624">
        <v>10010</v>
      </c>
    </row>
    <row r="702" spans="1:32" ht="15.75">
      <c r="A702" s="633"/>
      <c r="B702" s="634"/>
      <c r="C702" s="633"/>
      <c r="D702" s="579"/>
      <c r="E702" s="545"/>
      <c r="F702" s="546"/>
      <c r="G702" s="680" t="s">
        <v>129</v>
      </c>
      <c r="H702" s="636"/>
      <c r="I702" s="636"/>
      <c r="J702" s="549"/>
      <c r="K702" s="635"/>
      <c r="L702" s="633"/>
      <c r="M702" s="549"/>
      <c r="N702" s="592" t="s">
        <v>129</v>
      </c>
      <c r="O702" s="594" t="s">
        <v>129</v>
      </c>
      <c r="P702" s="743"/>
      <c r="Q702" s="431"/>
      <c r="R702" s="430" t="s">
        <v>129</v>
      </c>
      <c r="S702" s="175">
        <v>444</v>
      </c>
      <c r="T702" s="751" t="s">
        <v>129</v>
      </c>
      <c r="U702" s="440"/>
      <c r="V702" s="636"/>
      <c r="W702" s="636"/>
      <c r="X702" s="439"/>
      <c r="Y702" s="761" t="s">
        <v>129</v>
      </c>
      <c r="Z702" s="776"/>
      <c r="AA702" s="788"/>
      <c r="AB702" s="633"/>
      <c r="AC702" s="818" t="s">
        <v>129</v>
      </c>
      <c r="AD702" s="811"/>
      <c r="AE702" s="811"/>
      <c r="AF702" s="633"/>
    </row>
    <row r="703" spans="1:32" ht="15.75">
      <c r="A703" s="643">
        <v>10011</v>
      </c>
      <c r="B703" s="644"/>
      <c r="C703" s="644" t="s">
        <v>1174</v>
      </c>
      <c r="D703" s="569" t="s">
        <v>113</v>
      </c>
      <c r="E703" s="545">
        <v>15000</v>
      </c>
      <c r="F703" s="649">
        <v>34</v>
      </c>
      <c r="G703" s="660" t="s">
        <v>129</v>
      </c>
      <c r="H703" s="548">
        <v>29</v>
      </c>
      <c r="I703" s="636">
        <v>43</v>
      </c>
      <c r="J703" s="549">
        <v>70</v>
      </c>
      <c r="K703" s="554" t="s">
        <v>221</v>
      </c>
      <c r="L703" s="562">
        <v>12</v>
      </c>
      <c r="M703" s="549">
        <v>1200</v>
      </c>
      <c r="N703" s="592">
        <v>0.1</v>
      </c>
      <c r="O703" s="594">
        <v>0.6</v>
      </c>
      <c r="P703" s="590">
        <v>49</v>
      </c>
      <c r="Q703" s="431"/>
      <c r="R703" s="430" t="s">
        <v>129</v>
      </c>
      <c r="S703" s="497">
        <v>480</v>
      </c>
      <c r="T703" s="751">
        <v>1642</v>
      </c>
      <c r="U703" s="439"/>
      <c r="V703" s="636">
        <v>7.5</v>
      </c>
      <c r="W703" s="636"/>
      <c r="X703" s="439"/>
      <c r="Y703" s="761">
        <v>7.5</v>
      </c>
      <c r="Z703" s="776">
        <v>34.052857142857142</v>
      </c>
      <c r="AA703" s="788"/>
      <c r="AB703" s="811"/>
      <c r="AC703" s="818">
        <v>30</v>
      </c>
      <c r="AD703" s="811" t="s">
        <v>633</v>
      </c>
      <c r="AE703" s="811">
        <v>0</v>
      </c>
      <c r="AF703" s="643">
        <v>10011</v>
      </c>
    </row>
    <row r="704" spans="1:32" ht="15.75">
      <c r="A704" s="643">
        <v>10012</v>
      </c>
      <c r="B704" s="644"/>
      <c r="C704" s="644" t="s">
        <v>1175</v>
      </c>
      <c r="D704" s="569" t="s">
        <v>130</v>
      </c>
      <c r="E704" s="545">
        <v>19000</v>
      </c>
      <c r="F704" s="649">
        <v>45</v>
      </c>
      <c r="G704" s="660" t="s">
        <v>129</v>
      </c>
      <c r="H704" s="548">
        <v>38</v>
      </c>
      <c r="I704" s="636">
        <v>56</v>
      </c>
      <c r="J704" s="549">
        <v>70</v>
      </c>
      <c r="K704" s="554" t="s">
        <v>221</v>
      </c>
      <c r="L704" s="562">
        <v>12</v>
      </c>
      <c r="M704" s="549">
        <v>1200</v>
      </c>
      <c r="N704" s="592">
        <v>0.1</v>
      </c>
      <c r="O704" s="594">
        <v>0.6</v>
      </c>
      <c r="P704" s="590">
        <v>75</v>
      </c>
      <c r="Q704" s="429"/>
      <c r="R704" s="430" t="s">
        <v>129</v>
      </c>
      <c r="S704" s="175">
        <v>510</v>
      </c>
      <c r="T704" s="751">
        <v>2170.4</v>
      </c>
      <c r="U704" s="438"/>
      <c r="V704" s="636">
        <v>9.5</v>
      </c>
      <c r="W704" s="636"/>
      <c r="X704" s="438"/>
      <c r="Y704" s="761">
        <v>9.5</v>
      </c>
      <c r="Z704" s="776">
        <v>44.556285714285721</v>
      </c>
      <c r="AA704" s="788"/>
      <c r="AB704" s="811"/>
      <c r="AC704" s="818">
        <v>38</v>
      </c>
      <c r="AD704" s="811" t="s">
        <v>633</v>
      </c>
      <c r="AE704" s="811">
        <v>0</v>
      </c>
      <c r="AF704" s="643">
        <v>10012</v>
      </c>
    </row>
    <row r="705" spans="1:32" ht="15.75">
      <c r="A705" s="643"/>
      <c r="B705" s="644"/>
      <c r="C705" s="644"/>
      <c r="D705" s="579"/>
      <c r="E705" s="545"/>
      <c r="F705" s="649"/>
      <c r="G705" s="680" t="s">
        <v>129</v>
      </c>
      <c r="H705" s="636"/>
      <c r="I705" s="636"/>
      <c r="J705" s="549"/>
      <c r="K705" s="554"/>
      <c r="L705" s="562"/>
      <c r="M705" s="549"/>
      <c r="N705" s="592" t="s">
        <v>129</v>
      </c>
      <c r="O705" s="594" t="s">
        <v>129</v>
      </c>
      <c r="P705" s="590"/>
      <c r="Q705" s="431"/>
      <c r="R705" s="430" t="s">
        <v>129</v>
      </c>
      <c r="S705" s="497">
        <v>588</v>
      </c>
      <c r="T705" s="751" t="s">
        <v>129</v>
      </c>
      <c r="U705" s="439"/>
      <c r="V705" s="636"/>
      <c r="W705" s="636"/>
      <c r="X705" s="439"/>
      <c r="Y705" s="761" t="s">
        <v>129</v>
      </c>
      <c r="Z705" s="778"/>
      <c r="AA705" s="788"/>
      <c r="AB705" s="811"/>
      <c r="AC705" s="818" t="s">
        <v>129</v>
      </c>
      <c r="AD705" s="811"/>
      <c r="AE705" s="811"/>
      <c r="AF705" s="643"/>
    </row>
    <row r="706" spans="1:32" ht="15.75">
      <c r="A706" s="624">
        <v>10030</v>
      </c>
      <c r="B706" s="625"/>
      <c r="C706" s="626" t="s">
        <v>1176</v>
      </c>
      <c r="D706" s="632"/>
      <c r="E706" s="628"/>
      <c r="F706" s="646"/>
      <c r="G706" s="630" t="s">
        <v>129</v>
      </c>
      <c r="H706" s="631"/>
      <c r="I706" s="631"/>
      <c r="J706" s="632"/>
      <c r="K706" s="632"/>
      <c r="L706" s="627"/>
      <c r="M706" s="632"/>
      <c r="N706" s="739" t="s">
        <v>129</v>
      </c>
      <c r="O706" s="744" t="s">
        <v>129</v>
      </c>
      <c r="P706" s="742"/>
      <c r="Q706" s="431">
        <v>6.7000000000000004E-2</v>
      </c>
      <c r="R706" s="430">
        <v>1147.6666666666665</v>
      </c>
      <c r="S706" s="175">
        <v>120</v>
      </c>
      <c r="T706" s="750" t="s">
        <v>129</v>
      </c>
      <c r="U706" s="439">
        <v>12.886666666666665</v>
      </c>
      <c r="V706" s="631"/>
      <c r="W706" s="631"/>
      <c r="X706" s="439">
        <v>1.8760000000000001</v>
      </c>
      <c r="Y706" s="763" t="s">
        <v>129</v>
      </c>
      <c r="Z706" s="774"/>
      <c r="AA706" s="775"/>
      <c r="AB706" s="810"/>
      <c r="AC706" s="817" t="s">
        <v>129</v>
      </c>
      <c r="AD706" s="810"/>
      <c r="AE706" s="810"/>
      <c r="AF706" s="624">
        <v>10030</v>
      </c>
    </row>
    <row r="707" spans="1:32" ht="15.75">
      <c r="A707" s="633"/>
      <c r="B707" s="634"/>
      <c r="C707" s="633"/>
      <c r="D707" s="637"/>
      <c r="E707" s="545"/>
      <c r="F707" s="633"/>
      <c r="G707" s="635" t="s">
        <v>129</v>
      </c>
      <c r="H707" s="635"/>
      <c r="I707" s="635"/>
      <c r="J707" s="637"/>
      <c r="K707" s="635"/>
      <c r="L707" s="633"/>
      <c r="M707" s="637"/>
      <c r="N707" s="592" t="s">
        <v>129</v>
      </c>
      <c r="O707" s="594" t="s">
        <v>129</v>
      </c>
      <c r="P707" s="743"/>
      <c r="Q707" s="431">
        <v>0.05</v>
      </c>
      <c r="R707" s="430">
        <v>925.3</v>
      </c>
      <c r="S707" s="497">
        <v>72</v>
      </c>
      <c r="T707" s="751" t="s">
        <v>129</v>
      </c>
      <c r="U707" s="439">
        <v>20.706</v>
      </c>
      <c r="V707" s="633"/>
      <c r="W707" s="633"/>
      <c r="X707" s="439">
        <v>1.4000000000000001</v>
      </c>
      <c r="Y707" s="761" t="s">
        <v>129</v>
      </c>
      <c r="Z707" s="633"/>
      <c r="AA707" s="634"/>
      <c r="AB707" s="633"/>
      <c r="AC707" s="818" t="s">
        <v>129</v>
      </c>
      <c r="AD707" s="811"/>
      <c r="AE707" s="633"/>
      <c r="AF707" s="633"/>
    </row>
    <row r="708" spans="1:32" ht="15.75">
      <c r="A708" s="643">
        <v>10031</v>
      </c>
      <c r="B708" s="644"/>
      <c r="C708" s="644" t="s">
        <v>1177</v>
      </c>
      <c r="D708" s="579">
        <v>2</v>
      </c>
      <c r="E708" s="545">
        <v>34000</v>
      </c>
      <c r="F708" s="546">
        <v>25</v>
      </c>
      <c r="G708" s="891">
        <v>12.5</v>
      </c>
      <c r="H708" s="892">
        <v>11</v>
      </c>
      <c r="I708" s="892">
        <v>16</v>
      </c>
      <c r="J708" s="893">
        <v>400</v>
      </c>
      <c r="K708" s="554" t="s">
        <v>221</v>
      </c>
      <c r="L708" s="562">
        <v>12</v>
      </c>
      <c r="M708" s="893">
        <v>8000</v>
      </c>
      <c r="N708" s="592">
        <v>0.1</v>
      </c>
      <c r="O708" s="594">
        <v>0.75</v>
      </c>
      <c r="P708" s="590">
        <v>50</v>
      </c>
      <c r="Q708" s="431">
        <v>0.1</v>
      </c>
      <c r="R708" s="430">
        <v>2309.5</v>
      </c>
      <c r="S708" s="175">
        <v>90</v>
      </c>
      <c r="T708" s="751">
        <v>3294.4</v>
      </c>
      <c r="U708" s="439">
        <v>61.85</v>
      </c>
      <c r="V708" s="892">
        <v>3.1875</v>
      </c>
      <c r="W708" s="636"/>
      <c r="X708" s="439">
        <v>2.8000000000000003</v>
      </c>
      <c r="Y708" s="894">
        <v>3.1875</v>
      </c>
      <c r="Z708" s="776">
        <v>25.131700000000002</v>
      </c>
      <c r="AA708" s="788">
        <v>12.565850000000001</v>
      </c>
      <c r="AB708" s="811">
        <v>7</v>
      </c>
      <c r="AC708" s="818">
        <v>68</v>
      </c>
      <c r="AD708" s="811" t="s">
        <v>784</v>
      </c>
      <c r="AE708" s="811">
        <v>0</v>
      </c>
      <c r="AF708" s="643">
        <v>10031</v>
      </c>
    </row>
    <row r="709" spans="1:32" ht="15.75">
      <c r="A709" s="643">
        <v>10032</v>
      </c>
      <c r="B709" s="644"/>
      <c r="C709" s="644" t="s">
        <v>1178</v>
      </c>
      <c r="D709" s="579">
        <v>2</v>
      </c>
      <c r="E709" s="545">
        <v>42000</v>
      </c>
      <c r="F709" s="546">
        <v>30</v>
      </c>
      <c r="G709" s="891">
        <v>15</v>
      </c>
      <c r="H709" s="892">
        <v>13</v>
      </c>
      <c r="I709" s="892">
        <v>19</v>
      </c>
      <c r="J709" s="893">
        <v>400</v>
      </c>
      <c r="K709" s="554" t="s">
        <v>221</v>
      </c>
      <c r="L709" s="562">
        <v>12</v>
      </c>
      <c r="M709" s="893">
        <v>8000</v>
      </c>
      <c r="N709" s="592">
        <v>0.1</v>
      </c>
      <c r="O709" s="594">
        <v>0.7</v>
      </c>
      <c r="P709" s="590">
        <v>60</v>
      </c>
      <c r="Q709" s="431">
        <v>0.02</v>
      </c>
      <c r="R709" s="430">
        <v>409.08</v>
      </c>
      <c r="S709" s="497">
        <v>144</v>
      </c>
      <c r="T709" s="751">
        <v>4057.2</v>
      </c>
      <c r="U709" s="439">
        <v>10.449599999999998</v>
      </c>
      <c r="V709" s="892">
        <v>3.6749999999999998</v>
      </c>
      <c r="W709" s="636"/>
      <c r="X709" s="439">
        <v>0.56000000000000005</v>
      </c>
      <c r="Y709" s="894">
        <v>3.6749999999999998</v>
      </c>
      <c r="Z709" s="776">
        <v>30.399599999999996</v>
      </c>
      <c r="AA709" s="788">
        <v>15.199799999999998</v>
      </c>
      <c r="AB709" s="811">
        <v>10</v>
      </c>
      <c r="AC709" s="818">
        <v>84</v>
      </c>
      <c r="AD709" s="811" t="s">
        <v>784</v>
      </c>
      <c r="AE709" s="811">
        <v>0</v>
      </c>
      <c r="AF709" s="643">
        <v>10032</v>
      </c>
    </row>
    <row r="710" spans="1:32" ht="15.75">
      <c r="A710" s="643">
        <v>10033</v>
      </c>
      <c r="B710" s="644"/>
      <c r="C710" s="644" t="s">
        <v>1179</v>
      </c>
      <c r="D710" s="566">
        <v>2</v>
      </c>
      <c r="E710" s="545">
        <v>48000</v>
      </c>
      <c r="F710" s="546">
        <v>34</v>
      </c>
      <c r="G710" s="891">
        <v>17</v>
      </c>
      <c r="H710" s="892">
        <v>14</v>
      </c>
      <c r="I710" s="892">
        <v>21</v>
      </c>
      <c r="J710" s="893">
        <v>400</v>
      </c>
      <c r="K710" s="554" t="s">
        <v>221</v>
      </c>
      <c r="L710" s="562">
        <v>12</v>
      </c>
      <c r="M710" s="893">
        <v>8000</v>
      </c>
      <c r="N710" s="592">
        <v>0.1</v>
      </c>
      <c r="O710" s="594">
        <v>0.65</v>
      </c>
      <c r="P710" s="590">
        <v>67</v>
      </c>
      <c r="Q710" s="431">
        <v>0.05</v>
      </c>
      <c r="R710" s="430">
        <v>2240.1999999999998</v>
      </c>
      <c r="S710" s="175">
        <v>120</v>
      </c>
      <c r="T710" s="751">
        <v>4625.8</v>
      </c>
      <c r="U710" s="439">
        <v>16.174666666666667</v>
      </c>
      <c r="V710" s="892">
        <v>3.9000000000000004</v>
      </c>
      <c r="W710" s="636"/>
      <c r="X710" s="439">
        <v>1.4000000000000001</v>
      </c>
      <c r="Y710" s="894">
        <v>3.9000000000000004</v>
      </c>
      <c r="Z710" s="776">
        <v>34.021900000000002</v>
      </c>
      <c r="AA710" s="788">
        <v>17.010950000000001</v>
      </c>
      <c r="AB710" s="811">
        <v>12</v>
      </c>
      <c r="AC710" s="818">
        <v>96</v>
      </c>
      <c r="AD710" s="811" t="s">
        <v>784</v>
      </c>
      <c r="AE710" s="811">
        <v>0</v>
      </c>
      <c r="AF710" s="643">
        <v>10033</v>
      </c>
    </row>
    <row r="711" spans="1:32" ht="15.75">
      <c r="A711" s="643">
        <v>10034</v>
      </c>
      <c r="B711" s="644"/>
      <c r="C711" s="644" t="s">
        <v>1180</v>
      </c>
      <c r="D711" s="566">
        <v>2</v>
      </c>
      <c r="E711" s="545">
        <v>54000</v>
      </c>
      <c r="F711" s="546">
        <v>33</v>
      </c>
      <c r="G711" s="891">
        <v>16.5</v>
      </c>
      <c r="H711" s="892">
        <v>14</v>
      </c>
      <c r="I711" s="892">
        <v>21</v>
      </c>
      <c r="J711" s="893">
        <v>400</v>
      </c>
      <c r="K711" s="554" t="s">
        <v>221</v>
      </c>
      <c r="L711" s="562">
        <v>12</v>
      </c>
      <c r="M711" s="893">
        <v>10000</v>
      </c>
      <c r="N711" s="592">
        <v>0.25</v>
      </c>
      <c r="O711" s="594">
        <v>0.65</v>
      </c>
      <c r="P711" s="590">
        <v>74</v>
      </c>
      <c r="Q711" s="431">
        <v>0.05</v>
      </c>
      <c r="R711" s="430">
        <v>3701.2</v>
      </c>
      <c r="S711" s="497">
        <v>132</v>
      </c>
      <c r="T711" s="751">
        <v>4568</v>
      </c>
      <c r="U711" s="439">
        <v>19.585999999999999</v>
      </c>
      <c r="V711" s="892">
        <v>3.5100000000000002</v>
      </c>
      <c r="W711" s="636"/>
      <c r="X711" s="439">
        <v>1.4000000000000001</v>
      </c>
      <c r="Y711" s="894">
        <v>3.5100000000000002</v>
      </c>
      <c r="Z711" s="776">
        <v>32.846000000000004</v>
      </c>
      <c r="AA711" s="788">
        <v>16.423000000000002</v>
      </c>
      <c r="AB711" s="811">
        <v>14</v>
      </c>
      <c r="AC711" s="818">
        <v>108</v>
      </c>
      <c r="AD711" s="811" t="s">
        <v>784</v>
      </c>
      <c r="AE711" s="811">
        <v>0</v>
      </c>
      <c r="AF711" s="643">
        <v>10034</v>
      </c>
    </row>
    <row r="712" spans="1:32" ht="15.75">
      <c r="A712" s="643">
        <v>10035</v>
      </c>
      <c r="B712" s="644"/>
      <c r="C712" s="644" t="s">
        <v>1181</v>
      </c>
      <c r="D712" s="566">
        <v>2</v>
      </c>
      <c r="E712" s="545">
        <v>66000</v>
      </c>
      <c r="F712" s="546">
        <v>40</v>
      </c>
      <c r="G712" s="891">
        <v>20</v>
      </c>
      <c r="H712" s="892">
        <v>17</v>
      </c>
      <c r="I712" s="892">
        <v>25</v>
      </c>
      <c r="J712" s="893">
        <v>400</v>
      </c>
      <c r="K712" s="554" t="s">
        <v>221</v>
      </c>
      <c r="L712" s="562">
        <v>12</v>
      </c>
      <c r="M712" s="893">
        <v>10000</v>
      </c>
      <c r="N712" s="592">
        <v>0.25</v>
      </c>
      <c r="O712" s="594">
        <v>0.65</v>
      </c>
      <c r="P712" s="590">
        <v>79</v>
      </c>
      <c r="Q712" s="431"/>
      <c r="R712" s="430" t="s">
        <v>129</v>
      </c>
      <c r="T712" s="751">
        <v>5503</v>
      </c>
      <c r="U712" s="439"/>
      <c r="V712" s="892">
        <v>4.29</v>
      </c>
      <c r="W712" s="636"/>
      <c r="X712" s="439"/>
      <c r="Y712" s="894">
        <v>4.29</v>
      </c>
      <c r="Z712" s="776">
        <v>39.704500000000003</v>
      </c>
      <c r="AA712" s="788">
        <v>19.852250000000002</v>
      </c>
      <c r="AB712" s="811">
        <v>16</v>
      </c>
      <c r="AC712" s="818">
        <v>132</v>
      </c>
      <c r="AD712" s="811" t="s">
        <v>784</v>
      </c>
      <c r="AE712" s="811">
        <v>0</v>
      </c>
      <c r="AF712" s="643">
        <v>10035</v>
      </c>
    </row>
    <row r="713" spans="1:32" ht="15.75">
      <c r="A713" s="643">
        <v>10049</v>
      </c>
      <c r="B713" s="644"/>
      <c r="C713" s="644" t="s">
        <v>1182</v>
      </c>
      <c r="D713" s="566">
        <v>2</v>
      </c>
      <c r="E713" s="545">
        <v>85000</v>
      </c>
      <c r="F713" s="546">
        <v>50</v>
      </c>
      <c r="G713" s="891">
        <v>25</v>
      </c>
      <c r="H713" s="892">
        <v>21</v>
      </c>
      <c r="I713" s="892">
        <v>31</v>
      </c>
      <c r="J713" s="893">
        <v>400</v>
      </c>
      <c r="K713" s="554" t="s">
        <v>221</v>
      </c>
      <c r="L713" s="562">
        <v>12</v>
      </c>
      <c r="M713" s="893">
        <v>10000</v>
      </c>
      <c r="N713" s="592">
        <v>0.25</v>
      </c>
      <c r="O713" s="594">
        <v>0.6</v>
      </c>
      <c r="P713" s="590">
        <v>90</v>
      </c>
      <c r="Q713" s="429"/>
      <c r="R713" s="430" t="s">
        <v>129</v>
      </c>
      <c r="S713" s="498"/>
      <c r="T713" s="751">
        <v>7005</v>
      </c>
      <c r="U713" s="438"/>
      <c r="V713" s="892">
        <v>5.0999999999999996</v>
      </c>
      <c r="W713" s="636"/>
      <c r="X713" s="438"/>
      <c r="Y713" s="894">
        <v>5.0999999999999996</v>
      </c>
      <c r="Z713" s="776">
        <v>49.747499999999995</v>
      </c>
      <c r="AA713" s="788">
        <v>24.873749999999998</v>
      </c>
      <c r="AB713" s="811">
        <v>16</v>
      </c>
      <c r="AC713" s="818">
        <v>170</v>
      </c>
      <c r="AD713" s="811" t="s">
        <v>784</v>
      </c>
      <c r="AE713" s="811">
        <v>0</v>
      </c>
      <c r="AF713" s="643">
        <v>10049</v>
      </c>
    </row>
    <row r="714" spans="1:32" ht="31.5">
      <c r="A714" s="643">
        <v>10036</v>
      </c>
      <c r="B714" s="644"/>
      <c r="C714" s="644" t="s">
        <v>1183</v>
      </c>
      <c r="D714" s="566">
        <v>2</v>
      </c>
      <c r="E714" s="545">
        <v>46000</v>
      </c>
      <c r="F714" s="546">
        <v>32</v>
      </c>
      <c r="G714" s="891">
        <v>16</v>
      </c>
      <c r="H714" s="892">
        <v>14</v>
      </c>
      <c r="I714" s="892">
        <v>20</v>
      </c>
      <c r="J714" s="893">
        <v>400</v>
      </c>
      <c r="K714" s="554" t="s">
        <v>221</v>
      </c>
      <c r="L714" s="562">
        <v>12</v>
      </c>
      <c r="M714" s="893">
        <v>8000</v>
      </c>
      <c r="N714" s="592">
        <v>0.1</v>
      </c>
      <c r="O714" s="594">
        <v>0.65</v>
      </c>
      <c r="P714" s="590">
        <v>55</v>
      </c>
      <c r="Q714" s="431"/>
      <c r="R714" s="430" t="s">
        <v>129</v>
      </c>
      <c r="S714" s="175"/>
      <c r="T714" s="751">
        <v>4368.6000000000004</v>
      </c>
      <c r="U714" s="439"/>
      <c r="V714" s="892">
        <v>3.7375000000000003</v>
      </c>
      <c r="W714" s="636"/>
      <c r="X714" s="439"/>
      <c r="Y714" s="894">
        <v>3.7375000000000003</v>
      </c>
      <c r="Z714" s="776">
        <v>32.249800000000008</v>
      </c>
      <c r="AA714" s="788">
        <v>16.124900000000004</v>
      </c>
      <c r="AB714" s="811">
        <v>7</v>
      </c>
      <c r="AC714" s="818">
        <v>92</v>
      </c>
      <c r="AD714" s="811" t="s">
        <v>784</v>
      </c>
      <c r="AE714" s="811">
        <v>0</v>
      </c>
      <c r="AF714" s="643">
        <v>10036</v>
      </c>
    </row>
    <row r="715" spans="1:32" ht="31.5">
      <c r="A715" s="643">
        <v>10037</v>
      </c>
      <c r="B715" s="644"/>
      <c r="C715" s="644" t="s">
        <v>1184</v>
      </c>
      <c r="D715" s="566">
        <v>2</v>
      </c>
      <c r="E715" s="545">
        <v>60000</v>
      </c>
      <c r="F715" s="546">
        <v>41</v>
      </c>
      <c r="G715" s="891">
        <v>20</v>
      </c>
      <c r="H715" s="892">
        <v>17</v>
      </c>
      <c r="I715" s="892">
        <v>26</v>
      </c>
      <c r="J715" s="893">
        <v>400</v>
      </c>
      <c r="K715" s="554" t="s">
        <v>221</v>
      </c>
      <c r="L715" s="562">
        <v>12</v>
      </c>
      <c r="M715" s="893">
        <v>8000</v>
      </c>
      <c r="N715" s="592">
        <v>0.1</v>
      </c>
      <c r="O715" s="594">
        <v>0.6</v>
      </c>
      <c r="P715" s="590">
        <v>64</v>
      </c>
      <c r="Q715" s="436">
        <v>0.01</v>
      </c>
      <c r="R715" s="430">
        <v>1022.7</v>
      </c>
      <c r="S715" s="496"/>
      <c r="T715" s="751">
        <v>5644</v>
      </c>
      <c r="U715" s="439">
        <v>19.810000000000002</v>
      </c>
      <c r="V715" s="892">
        <v>4.5</v>
      </c>
      <c r="W715" s="636"/>
      <c r="X715" s="439">
        <v>0.28000000000000003</v>
      </c>
      <c r="Y715" s="894">
        <v>4.5</v>
      </c>
      <c r="Z715" s="776">
        <v>40.942</v>
      </c>
      <c r="AA715" s="788">
        <v>20.471</v>
      </c>
      <c r="AB715" s="811">
        <v>10</v>
      </c>
      <c r="AC715" s="818">
        <v>120</v>
      </c>
      <c r="AD715" s="811" t="s">
        <v>784</v>
      </c>
      <c r="AE715" s="811">
        <v>0</v>
      </c>
      <c r="AF715" s="643">
        <v>10037</v>
      </c>
    </row>
    <row r="716" spans="1:32" ht="31.5">
      <c r="A716" s="643">
        <v>10038</v>
      </c>
      <c r="B716" s="644"/>
      <c r="C716" s="644" t="s">
        <v>1185</v>
      </c>
      <c r="D716" s="566">
        <v>2</v>
      </c>
      <c r="E716" s="545">
        <v>63000</v>
      </c>
      <c r="F716" s="546">
        <v>43</v>
      </c>
      <c r="G716" s="891">
        <v>22</v>
      </c>
      <c r="H716" s="892">
        <v>18</v>
      </c>
      <c r="I716" s="892">
        <v>27</v>
      </c>
      <c r="J716" s="893">
        <v>400</v>
      </c>
      <c r="K716" s="554" t="s">
        <v>221</v>
      </c>
      <c r="L716" s="562">
        <v>12</v>
      </c>
      <c r="M716" s="893">
        <v>8000</v>
      </c>
      <c r="N716" s="592">
        <v>0.1</v>
      </c>
      <c r="O716" s="594">
        <v>0.6</v>
      </c>
      <c r="P716" s="590">
        <v>68</v>
      </c>
      <c r="Q716" s="436">
        <v>0.01</v>
      </c>
      <c r="R716" s="430">
        <v>1363.6</v>
      </c>
      <c r="S716" s="175"/>
      <c r="T716" s="751">
        <v>5931.8</v>
      </c>
      <c r="U716" s="439">
        <v>27.38</v>
      </c>
      <c r="V716" s="892">
        <v>4.7249999999999996</v>
      </c>
      <c r="W716" s="636"/>
      <c r="X716" s="439">
        <v>0.28000000000000003</v>
      </c>
      <c r="Y716" s="894">
        <v>4.7249999999999996</v>
      </c>
      <c r="Z716" s="776">
        <v>43.019900000000007</v>
      </c>
      <c r="AA716" s="788">
        <v>21.509950000000003</v>
      </c>
      <c r="AB716" s="811">
        <v>12</v>
      </c>
      <c r="AC716" s="818">
        <v>126</v>
      </c>
      <c r="AD716" s="811" t="s">
        <v>784</v>
      </c>
      <c r="AE716" s="811">
        <v>0</v>
      </c>
      <c r="AF716" s="643">
        <v>10038</v>
      </c>
    </row>
    <row r="717" spans="1:32" ht="15.75">
      <c r="A717" s="643">
        <v>10039</v>
      </c>
      <c r="B717" s="644"/>
      <c r="C717" s="644" t="s">
        <v>1186</v>
      </c>
      <c r="D717" s="566">
        <v>2</v>
      </c>
      <c r="E717" s="545">
        <v>81000</v>
      </c>
      <c r="F717" s="546">
        <v>47</v>
      </c>
      <c r="G717" s="891">
        <v>23</v>
      </c>
      <c r="H717" s="892">
        <v>20</v>
      </c>
      <c r="I717" s="892">
        <v>30</v>
      </c>
      <c r="J717" s="893">
        <v>400</v>
      </c>
      <c r="K717" s="554" t="s">
        <v>221</v>
      </c>
      <c r="L717" s="562">
        <v>12</v>
      </c>
      <c r="M717" s="893">
        <v>10000</v>
      </c>
      <c r="N717" s="592">
        <v>0.25</v>
      </c>
      <c r="O717" s="594">
        <v>0.6</v>
      </c>
      <c r="P717" s="590">
        <v>74</v>
      </c>
      <c r="Q717" s="436">
        <v>0.01</v>
      </c>
      <c r="R717" s="430">
        <v>876.6</v>
      </c>
      <c r="S717" s="497">
        <v>42</v>
      </c>
      <c r="T717" s="751">
        <v>6593</v>
      </c>
      <c r="U717" s="439">
        <v>17.68</v>
      </c>
      <c r="V717" s="892">
        <v>4.8599999999999994</v>
      </c>
      <c r="W717" s="636"/>
      <c r="X717" s="439">
        <v>0.28000000000000003</v>
      </c>
      <c r="Y717" s="894">
        <v>4.8599999999999994</v>
      </c>
      <c r="Z717" s="776">
        <v>46.953500000000005</v>
      </c>
      <c r="AA717" s="788">
        <v>23.476750000000003</v>
      </c>
      <c r="AB717" s="811">
        <v>14</v>
      </c>
      <c r="AC717" s="818">
        <v>162</v>
      </c>
      <c r="AD717" s="811" t="s">
        <v>784</v>
      </c>
      <c r="AE717" s="811">
        <v>0</v>
      </c>
      <c r="AF717" s="643">
        <v>10039</v>
      </c>
    </row>
    <row r="718" spans="1:32" ht="15.75">
      <c r="A718" s="643">
        <v>10040</v>
      </c>
      <c r="B718" s="644"/>
      <c r="C718" s="644" t="s">
        <v>1187</v>
      </c>
      <c r="D718" s="566">
        <v>2</v>
      </c>
      <c r="E718" s="545">
        <v>90000</v>
      </c>
      <c r="F718" s="546">
        <v>52</v>
      </c>
      <c r="G718" s="891">
        <v>26</v>
      </c>
      <c r="H718" s="892">
        <v>22</v>
      </c>
      <c r="I718" s="892">
        <v>33</v>
      </c>
      <c r="J718" s="893">
        <v>400</v>
      </c>
      <c r="K718" s="554" t="s">
        <v>221</v>
      </c>
      <c r="L718" s="562">
        <v>12</v>
      </c>
      <c r="M718" s="893">
        <v>10000</v>
      </c>
      <c r="N718" s="592">
        <v>0.25</v>
      </c>
      <c r="O718" s="594">
        <v>0.6</v>
      </c>
      <c r="P718" s="590">
        <v>80</v>
      </c>
      <c r="Q718" s="436">
        <v>0.01</v>
      </c>
      <c r="R718" s="430">
        <v>1120.0999999999999</v>
      </c>
      <c r="S718" s="175">
        <v>48</v>
      </c>
      <c r="T718" s="751">
        <v>7310</v>
      </c>
      <c r="U718" s="439">
        <v>23.83</v>
      </c>
      <c r="V718" s="892">
        <v>5.3999999999999995</v>
      </c>
      <c r="W718" s="636"/>
      <c r="X718" s="439">
        <v>0.28000000000000003</v>
      </c>
      <c r="Y718" s="894">
        <v>5.3999999999999995</v>
      </c>
      <c r="Z718" s="776">
        <v>52.085000000000001</v>
      </c>
      <c r="AA718" s="788">
        <v>26.0425</v>
      </c>
      <c r="AB718" s="811">
        <v>16</v>
      </c>
      <c r="AC718" s="818">
        <v>180</v>
      </c>
      <c r="AD718" s="811" t="s">
        <v>784</v>
      </c>
      <c r="AE718" s="811">
        <v>0</v>
      </c>
      <c r="AF718" s="643">
        <v>10040</v>
      </c>
    </row>
    <row r="719" spans="1:32" ht="15.75">
      <c r="A719" s="643">
        <v>10041</v>
      </c>
      <c r="B719" s="644"/>
      <c r="C719" s="644" t="s">
        <v>1188</v>
      </c>
      <c r="D719" s="566">
        <v>2</v>
      </c>
      <c r="E719" s="545">
        <v>95000</v>
      </c>
      <c r="F719" s="546">
        <v>53</v>
      </c>
      <c r="G719" s="891">
        <v>26</v>
      </c>
      <c r="H719" s="892">
        <v>22</v>
      </c>
      <c r="I719" s="892">
        <v>34</v>
      </c>
      <c r="J719" s="893">
        <v>400</v>
      </c>
      <c r="K719" s="554" t="s">
        <v>221</v>
      </c>
      <c r="L719" s="562">
        <v>12</v>
      </c>
      <c r="M719" s="893">
        <v>10000</v>
      </c>
      <c r="N719" s="592">
        <v>0.25</v>
      </c>
      <c r="O719" s="594">
        <v>0.5</v>
      </c>
      <c r="P719" s="590">
        <v>85</v>
      </c>
      <c r="Q719" s="436">
        <v>0.02</v>
      </c>
      <c r="R719" s="430">
        <v>350.64000000000004</v>
      </c>
      <c r="S719" s="497">
        <v>12</v>
      </c>
      <c r="T719" s="751">
        <v>7720</v>
      </c>
      <c r="U719" s="439">
        <v>6.6120000000000001</v>
      </c>
      <c r="V719" s="892">
        <v>4.75</v>
      </c>
      <c r="W719" s="636"/>
      <c r="X719" s="439">
        <v>0.56000000000000005</v>
      </c>
      <c r="Y719" s="894">
        <v>4.75</v>
      </c>
      <c r="Z719" s="776">
        <v>52.910000000000004</v>
      </c>
      <c r="AA719" s="788">
        <v>26.455000000000002</v>
      </c>
      <c r="AB719" s="811">
        <v>18</v>
      </c>
      <c r="AC719" s="818">
        <v>190</v>
      </c>
      <c r="AD719" s="811" t="s">
        <v>784</v>
      </c>
      <c r="AE719" s="811">
        <v>0</v>
      </c>
      <c r="AF719" s="643">
        <v>10041</v>
      </c>
    </row>
    <row r="720" spans="1:32" ht="31.5">
      <c r="A720" s="643">
        <v>10042</v>
      </c>
      <c r="B720" s="644"/>
      <c r="C720" s="644" t="s">
        <v>1189</v>
      </c>
      <c r="D720" s="566">
        <v>4</v>
      </c>
      <c r="E720" s="545">
        <v>255000</v>
      </c>
      <c r="F720" s="546">
        <v>120</v>
      </c>
      <c r="G720" s="891">
        <v>30</v>
      </c>
      <c r="H720" s="900">
        <v>27</v>
      </c>
      <c r="I720" s="892">
        <v>37</v>
      </c>
      <c r="J720" s="893">
        <v>1400</v>
      </c>
      <c r="K720" s="554">
        <v>30</v>
      </c>
      <c r="L720" s="562">
        <v>12</v>
      </c>
      <c r="M720" s="893">
        <v>20000</v>
      </c>
      <c r="N720" s="592">
        <v>0.1</v>
      </c>
      <c r="O720" s="594">
        <v>0.45</v>
      </c>
      <c r="P720" s="590">
        <v>98</v>
      </c>
      <c r="Q720" s="436">
        <v>0.01</v>
      </c>
      <c r="R720" s="430">
        <v>1753.2</v>
      </c>
      <c r="S720" s="175">
        <v>138</v>
      </c>
      <c r="T720" s="751">
        <v>23229</v>
      </c>
      <c r="U720" s="439">
        <v>35.46</v>
      </c>
      <c r="V720" s="892">
        <v>5.7374999999999998</v>
      </c>
      <c r="W720" s="892">
        <v>5.3527500000000003</v>
      </c>
      <c r="X720" s="439">
        <v>0.28000000000000003</v>
      </c>
      <c r="Y720" s="894">
        <v>11.090250000000001</v>
      </c>
      <c r="Z720" s="776">
        <v>121.80252857142858</v>
      </c>
      <c r="AA720" s="788">
        <v>30.450632142857145</v>
      </c>
      <c r="AB720" s="812">
        <v>130</v>
      </c>
      <c r="AC720" s="818">
        <v>970</v>
      </c>
      <c r="AD720" s="811" t="s">
        <v>784</v>
      </c>
      <c r="AE720" s="811">
        <v>1</v>
      </c>
      <c r="AF720" s="643">
        <v>10042</v>
      </c>
    </row>
    <row r="721" spans="1:32" ht="15.75">
      <c r="A721" s="643">
        <v>10043</v>
      </c>
      <c r="B721" s="644"/>
      <c r="C721" s="644" t="s">
        <v>1190</v>
      </c>
      <c r="D721" s="612">
        <v>5</v>
      </c>
      <c r="E721" s="545">
        <v>15500</v>
      </c>
      <c r="F721" s="546">
        <v>16</v>
      </c>
      <c r="G721" s="698">
        <v>3.3</v>
      </c>
      <c r="H721" s="699">
        <v>2.9</v>
      </c>
      <c r="I721" s="699">
        <v>4</v>
      </c>
      <c r="J721" s="615">
        <v>700</v>
      </c>
      <c r="K721" s="554" t="s">
        <v>221</v>
      </c>
      <c r="L721" s="562">
        <v>12</v>
      </c>
      <c r="M721" s="615">
        <v>15000</v>
      </c>
      <c r="N721" s="592">
        <v>0.25</v>
      </c>
      <c r="O721" s="594">
        <v>1.1000000000000001</v>
      </c>
      <c r="P721" s="590">
        <v>20</v>
      </c>
      <c r="Q721" s="431"/>
      <c r="R721" s="430" t="s">
        <v>129</v>
      </c>
      <c r="S721" s="175"/>
      <c r="T721" s="751">
        <v>1302.5</v>
      </c>
      <c r="U721" s="439"/>
      <c r="V721" s="699">
        <v>1.1366666666666669</v>
      </c>
      <c r="W721" s="699"/>
      <c r="X721" s="439"/>
      <c r="Y721" s="770">
        <v>1.1366666666666669</v>
      </c>
      <c r="Z721" s="776">
        <v>16.48559523809524</v>
      </c>
      <c r="AA721" s="793">
        <v>3.2971190476190482</v>
      </c>
      <c r="AB721" s="811"/>
      <c r="AC721" s="818">
        <v>31</v>
      </c>
      <c r="AD721" s="811" t="s">
        <v>383</v>
      </c>
      <c r="AE721" s="811">
        <v>0</v>
      </c>
      <c r="AF721" s="643">
        <v>10043</v>
      </c>
    </row>
    <row r="722" spans="1:32" ht="15.75">
      <c r="A722" s="643">
        <v>10045</v>
      </c>
      <c r="B722" s="644"/>
      <c r="C722" s="644" t="s">
        <v>1191</v>
      </c>
      <c r="D722" s="612">
        <v>10</v>
      </c>
      <c r="E722" s="545">
        <v>18000</v>
      </c>
      <c r="F722" s="546">
        <v>29</v>
      </c>
      <c r="G722" s="698">
        <v>2.9</v>
      </c>
      <c r="H722" s="699">
        <v>2.5</v>
      </c>
      <c r="I722" s="699">
        <v>3.5</v>
      </c>
      <c r="J722" s="615">
        <v>1000</v>
      </c>
      <c r="K722" s="554" t="s">
        <v>221</v>
      </c>
      <c r="L722" s="562">
        <v>12</v>
      </c>
      <c r="M722" s="615">
        <v>20000</v>
      </c>
      <c r="N722" s="592">
        <v>0.1</v>
      </c>
      <c r="O722" s="594">
        <v>1.05</v>
      </c>
      <c r="P722" s="590">
        <v>15</v>
      </c>
      <c r="Q722" s="429"/>
      <c r="R722" s="430" t="s">
        <v>129</v>
      </c>
      <c r="S722" s="496"/>
      <c r="T722" s="751">
        <v>1663.8</v>
      </c>
      <c r="U722" s="438"/>
      <c r="V722" s="699">
        <v>0.94500000000000006</v>
      </c>
      <c r="W722" s="699"/>
      <c r="X722" s="438"/>
      <c r="Y722" s="770">
        <v>0.94500000000000006</v>
      </c>
      <c r="Z722" s="776">
        <v>28.696800000000003</v>
      </c>
      <c r="AA722" s="793">
        <v>2.8696800000000002</v>
      </c>
      <c r="AB722" s="811"/>
      <c r="AC722" s="818">
        <v>36</v>
      </c>
      <c r="AD722" s="811" t="s">
        <v>383</v>
      </c>
      <c r="AE722" s="811">
        <v>0</v>
      </c>
      <c r="AF722" s="643">
        <v>10045</v>
      </c>
    </row>
    <row r="723" spans="1:32" ht="15.75">
      <c r="A723" s="643">
        <v>10046</v>
      </c>
      <c r="B723" s="644"/>
      <c r="C723" s="644" t="s">
        <v>1192</v>
      </c>
      <c r="D723" s="551"/>
      <c r="E723" s="545">
        <v>6500</v>
      </c>
      <c r="F723" s="649">
        <v>18</v>
      </c>
      <c r="G723" s="659" t="s">
        <v>129</v>
      </c>
      <c r="H723" s="636">
        <v>15</v>
      </c>
      <c r="I723" s="636">
        <v>22.5</v>
      </c>
      <c r="J723" s="549">
        <v>50</v>
      </c>
      <c r="K723" s="554"/>
      <c r="L723" s="562">
        <v>12</v>
      </c>
      <c r="M723" s="549">
        <v>4000</v>
      </c>
      <c r="N723" s="592">
        <v>0.25</v>
      </c>
      <c r="O723" s="594">
        <v>1.95</v>
      </c>
      <c r="P723" s="590">
        <v>24</v>
      </c>
      <c r="Q723" s="432"/>
      <c r="R723" s="430" t="s">
        <v>129</v>
      </c>
      <c r="S723" s="175"/>
      <c r="T723" s="751">
        <v>655.5</v>
      </c>
      <c r="U723" s="432"/>
      <c r="V723" s="636">
        <v>3.1687499999999997</v>
      </c>
      <c r="W723" s="636"/>
      <c r="X723" s="432"/>
      <c r="Y723" s="761">
        <v>3.1687499999999997</v>
      </c>
      <c r="Z723" s="776">
        <v>17.906625000000002</v>
      </c>
      <c r="AA723" s="782"/>
      <c r="AB723" s="811"/>
      <c r="AC723" s="818">
        <v>13</v>
      </c>
      <c r="AD723" s="811" t="s">
        <v>633</v>
      </c>
      <c r="AE723" s="811">
        <v>0</v>
      </c>
      <c r="AF723" s="643">
        <v>10046</v>
      </c>
    </row>
    <row r="724" spans="1:32" ht="15.75">
      <c r="A724" s="643">
        <v>10047</v>
      </c>
      <c r="B724" s="644"/>
      <c r="C724" s="644" t="s">
        <v>1193</v>
      </c>
      <c r="D724" s="551"/>
      <c r="E724" s="545">
        <v>14000</v>
      </c>
      <c r="F724" s="649">
        <v>28</v>
      </c>
      <c r="G724" s="659" t="s">
        <v>129</v>
      </c>
      <c r="H724" s="636">
        <v>23</v>
      </c>
      <c r="I724" s="636">
        <v>37</v>
      </c>
      <c r="J724" s="549">
        <v>50</v>
      </c>
      <c r="K724" s="554"/>
      <c r="L724" s="562">
        <v>12</v>
      </c>
      <c r="M724" s="549">
        <v>4000</v>
      </c>
      <c r="N724" s="592">
        <v>0.25</v>
      </c>
      <c r="O724" s="594">
        <v>0.45</v>
      </c>
      <c r="P724" s="590">
        <v>20</v>
      </c>
      <c r="Q724" s="431">
        <v>3.3329999999999999E-2</v>
      </c>
      <c r="R724" s="430">
        <v>3993.4</v>
      </c>
      <c r="S724" s="497">
        <v>114</v>
      </c>
      <c r="T724" s="751">
        <v>1190</v>
      </c>
      <c r="U724" s="444">
        <v>11.063499999999999</v>
      </c>
      <c r="V724" s="636">
        <v>1.575</v>
      </c>
      <c r="W724" s="636"/>
      <c r="X724" s="444">
        <v>0.93323999999999996</v>
      </c>
      <c r="Y724" s="761">
        <v>1.575</v>
      </c>
      <c r="Z724" s="776">
        <v>27.912500000000001</v>
      </c>
      <c r="AA724" s="782"/>
      <c r="AB724" s="811"/>
      <c r="AC724" s="818">
        <v>28</v>
      </c>
      <c r="AD724" s="811" t="s">
        <v>633</v>
      </c>
      <c r="AE724" s="811">
        <v>0</v>
      </c>
      <c r="AF724" s="643">
        <v>10047</v>
      </c>
    </row>
    <row r="725" spans="1:32" ht="31.5">
      <c r="A725" s="643">
        <v>10048</v>
      </c>
      <c r="B725" s="644"/>
      <c r="C725" s="644" t="s">
        <v>1194</v>
      </c>
      <c r="D725" s="551">
        <v>4</v>
      </c>
      <c r="E725" s="545">
        <v>10500</v>
      </c>
      <c r="F725" s="649">
        <v>27</v>
      </c>
      <c r="G725" s="660" t="s">
        <v>129</v>
      </c>
      <c r="H725" s="636">
        <v>22</v>
      </c>
      <c r="I725" s="636">
        <v>34</v>
      </c>
      <c r="J725" s="549">
        <v>50</v>
      </c>
      <c r="K725" s="554">
        <v>100</v>
      </c>
      <c r="L725" s="562">
        <v>12</v>
      </c>
      <c r="M725" s="549">
        <v>3000</v>
      </c>
      <c r="N725" s="592">
        <v>0.25</v>
      </c>
      <c r="O725" s="594">
        <v>1.2</v>
      </c>
      <c r="P725" s="590">
        <v>22</v>
      </c>
      <c r="Q725" s="431">
        <v>3.3329999999999999E-2</v>
      </c>
      <c r="R725" s="430">
        <v>4577.8</v>
      </c>
      <c r="S725" s="175">
        <v>36</v>
      </c>
      <c r="T725" s="751">
        <v>941.5</v>
      </c>
      <c r="U725" s="444">
        <v>12.7295</v>
      </c>
      <c r="V725" s="636">
        <v>4.2</v>
      </c>
      <c r="W725" s="636">
        <v>1.1599999999999999</v>
      </c>
      <c r="X725" s="444">
        <v>0.93323999999999996</v>
      </c>
      <c r="Y725" s="761">
        <v>5.36</v>
      </c>
      <c r="Z725" s="776">
        <v>26.608999999999998</v>
      </c>
      <c r="AA725" s="788"/>
      <c r="AB725" s="811"/>
      <c r="AC725" s="818">
        <v>21</v>
      </c>
      <c r="AD725" s="811" t="s">
        <v>633</v>
      </c>
      <c r="AE725" s="811">
        <v>5</v>
      </c>
      <c r="AF725" s="643">
        <v>10048</v>
      </c>
    </row>
    <row r="726" spans="1:32" ht="31.5">
      <c r="A726" s="643">
        <v>10051</v>
      </c>
      <c r="B726" s="644"/>
      <c r="C726" s="644" t="s">
        <v>1195</v>
      </c>
      <c r="D726" s="579">
        <v>2</v>
      </c>
      <c r="E726" s="545">
        <v>50000</v>
      </c>
      <c r="F726" s="546">
        <v>45</v>
      </c>
      <c r="G726" s="891">
        <v>23</v>
      </c>
      <c r="H726" s="892">
        <v>20</v>
      </c>
      <c r="I726" s="892">
        <v>27</v>
      </c>
      <c r="J726" s="893">
        <v>400</v>
      </c>
      <c r="K726" s="554">
        <v>100</v>
      </c>
      <c r="L726" s="562">
        <v>12</v>
      </c>
      <c r="M726" s="893">
        <v>8000</v>
      </c>
      <c r="N726" s="592">
        <v>0.1</v>
      </c>
      <c r="O726" s="594">
        <v>0.6</v>
      </c>
      <c r="P726" s="590">
        <v>50</v>
      </c>
      <c r="Q726" s="431">
        <v>3.3329999999999999E-2</v>
      </c>
      <c r="R726" s="430">
        <v>5259.6</v>
      </c>
      <c r="S726" s="497">
        <v>54</v>
      </c>
      <c r="T726" s="751">
        <v>4680</v>
      </c>
      <c r="U726" s="444">
        <v>14.591500000000002</v>
      </c>
      <c r="V726" s="892">
        <v>3.75</v>
      </c>
      <c r="W726" s="892">
        <v>5.22</v>
      </c>
      <c r="X726" s="444">
        <v>0.93323999999999996</v>
      </c>
      <c r="Y726" s="894">
        <v>8.9699999999999989</v>
      </c>
      <c r="Z726" s="776">
        <v>45.473999999999997</v>
      </c>
      <c r="AA726" s="788">
        <v>22.736999999999998</v>
      </c>
      <c r="AB726" s="811">
        <v>18</v>
      </c>
      <c r="AC726" s="818">
        <v>100</v>
      </c>
      <c r="AD726" s="811" t="s">
        <v>784</v>
      </c>
      <c r="AE726" s="811">
        <v>5</v>
      </c>
      <c r="AF726" s="643">
        <v>10051</v>
      </c>
    </row>
    <row r="727" spans="1:32" ht="31.5">
      <c r="A727" s="643">
        <v>10052</v>
      </c>
      <c r="B727" s="644"/>
      <c r="C727" s="644" t="s">
        <v>1196</v>
      </c>
      <c r="D727" s="579">
        <v>2</v>
      </c>
      <c r="E727" s="545">
        <v>65000</v>
      </c>
      <c r="F727" s="546">
        <v>57</v>
      </c>
      <c r="G727" s="891">
        <v>29</v>
      </c>
      <c r="H727" s="892">
        <v>25</v>
      </c>
      <c r="I727" s="892">
        <v>34</v>
      </c>
      <c r="J727" s="893">
        <v>400</v>
      </c>
      <c r="K727" s="554">
        <v>100</v>
      </c>
      <c r="L727" s="562">
        <v>12</v>
      </c>
      <c r="M727" s="893">
        <v>8000</v>
      </c>
      <c r="N727" s="592">
        <v>0.1</v>
      </c>
      <c r="O727" s="594">
        <v>0.55000000000000004</v>
      </c>
      <c r="P727" s="590">
        <v>60</v>
      </c>
      <c r="Q727" s="431">
        <v>3.3329999999999999E-2</v>
      </c>
      <c r="R727" s="430">
        <v>5133</v>
      </c>
      <c r="S727" s="175"/>
      <c r="T727" s="751">
        <v>6049</v>
      </c>
      <c r="U727" s="444">
        <v>14.422499999999999</v>
      </c>
      <c r="V727" s="892">
        <v>4.46875</v>
      </c>
      <c r="W727" s="892">
        <v>6.38</v>
      </c>
      <c r="X727" s="444">
        <v>0.93323999999999996</v>
      </c>
      <c r="Y727" s="894">
        <v>10.848749999999999</v>
      </c>
      <c r="Z727" s="776">
        <v>57.136749999999999</v>
      </c>
      <c r="AA727" s="788">
        <v>28.568375</v>
      </c>
      <c r="AB727" s="811">
        <v>22</v>
      </c>
      <c r="AC727" s="818">
        <v>130</v>
      </c>
      <c r="AD727" s="811" t="s">
        <v>784</v>
      </c>
      <c r="AE727" s="811">
        <v>5</v>
      </c>
      <c r="AF727" s="643">
        <v>10052</v>
      </c>
    </row>
    <row r="728" spans="1:32" ht="31.5">
      <c r="A728" s="643">
        <v>10053</v>
      </c>
      <c r="B728" s="644"/>
      <c r="C728" s="644" t="s">
        <v>1197</v>
      </c>
      <c r="D728" s="566">
        <v>2</v>
      </c>
      <c r="E728" s="545">
        <v>78000</v>
      </c>
      <c r="F728" s="546">
        <v>60</v>
      </c>
      <c r="G728" s="891">
        <v>30</v>
      </c>
      <c r="H728" s="892">
        <v>27</v>
      </c>
      <c r="I728" s="892">
        <v>36</v>
      </c>
      <c r="J728" s="893">
        <v>400</v>
      </c>
      <c r="K728" s="554">
        <v>100</v>
      </c>
      <c r="L728" s="562">
        <v>12</v>
      </c>
      <c r="M728" s="893">
        <v>10000</v>
      </c>
      <c r="N728" s="592">
        <v>0.25</v>
      </c>
      <c r="O728" s="594">
        <v>0.65</v>
      </c>
      <c r="P728" s="590">
        <v>70</v>
      </c>
      <c r="Q728" s="431">
        <v>3.3329999999999999E-2</v>
      </c>
      <c r="R728" s="430">
        <v>5742</v>
      </c>
      <c r="S728" s="496"/>
      <c r="T728" s="751">
        <v>6340</v>
      </c>
      <c r="U728" s="444">
        <v>16.067499999999999</v>
      </c>
      <c r="V728" s="892">
        <v>5.07</v>
      </c>
      <c r="W728" s="892">
        <v>6.38</v>
      </c>
      <c r="X728" s="444">
        <v>0.93323999999999996</v>
      </c>
      <c r="Y728" s="894">
        <v>11.45</v>
      </c>
      <c r="Z728" s="776">
        <v>60.059999999999995</v>
      </c>
      <c r="AA728" s="788">
        <v>30.029999999999998</v>
      </c>
      <c r="AB728" s="811">
        <v>22</v>
      </c>
      <c r="AC728" s="818">
        <v>156</v>
      </c>
      <c r="AD728" s="811" t="s">
        <v>784</v>
      </c>
      <c r="AE728" s="811">
        <v>5</v>
      </c>
      <c r="AF728" s="643">
        <v>10053</v>
      </c>
    </row>
    <row r="729" spans="1:32" ht="15.75">
      <c r="A729" s="643"/>
      <c r="B729" s="644"/>
      <c r="C729" s="644"/>
      <c r="D729" s="559"/>
      <c r="E729" s="545"/>
      <c r="F729" s="553"/>
      <c r="G729" s="645" t="s">
        <v>129</v>
      </c>
      <c r="H729" s="657"/>
      <c r="I729" s="657"/>
      <c r="J729" s="554"/>
      <c r="K729" s="554"/>
      <c r="L729" s="562"/>
      <c r="M729" s="554"/>
      <c r="N729" s="592" t="s">
        <v>129</v>
      </c>
      <c r="O729" s="594" t="s">
        <v>129</v>
      </c>
      <c r="P729" s="590"/>
      <c r="Q729" s="431">
        <v>3.3329999999999999E-2</v>
      </c>
      <c r="R729" s="430">
        <v>7743</v>
      </c>
      <c r="S729" s="175"/>
      <c r="T729" s="751" t="s">
        <v>129</v>
      </c>
      <c r="U729" s="444">
        <v>21.377500000000001</v>
      </c>
      <c r="V729" s="657"/>
      <c r="W729" s="657"/>
      <c r="X729" s="444">
        <v>0.93323999999999996</v>
      </c>
      <c r="Y729" s="761" t="s">
        <v>129</v>
      </c>
      <c r="Z729" s="777"/>
      <c r="AA729" s="777"/>
      <c r="AB729" s="811"/>
      <c r="AC729" s="818" t="s">
        <v>129</v>
      </c>
      <c r="AD729" s="811"/>
      <c r="AE729" s="602"/>
      <c r="AF729" s="643"/>
    </row>
    <row r="730" spans="1:32" ht="15.75">
      <c r="A730" s="663"/>
      <c r="B730" s="664"/>
      <c r="C730" s="665" t="s">
        <v>1198</v>
      </c>
      <c r="D730" s="688"/>
      <c r="E730" s="667"/>
      <c r="F730" s="668"/>
      <c r="G730" s="718" t="s">
        <v>129</v>
      </c>
      <c r="H730" s="670"/>
      <c r="I730" s="670"/>
      <c r="J730" s="671"/>
      <c r="K730" s="672"/>
      <c r="L730" s="737"/>
      <c r="M730" s="671"/>
      <c r="N730" s="740" t="s">
        <v>129</v>
      </c>
      <c r="O730" s="746" t="s">
        <v>129</v>
      </c>
      <c r="P730" s="747"/>
      <c r="Q730" s="431">
        <v>3.3329999999999999E-2</v>
      </c>
      <c r="R730" s="430">
        <v>5259.6</v>
      </c>
      <c r="S730" s="497">
        <v>6</v>
      </c>
      <c r="T730" s="754" t="s">
        <v>129</v>
      </c>
      <c r="U730" s="444">
        <v>14.381500000000001</v>
      </c>
      <c r="V730" s="690"/>
      <c r="W730" s="670"/>
      <c r="X730" s="444">
        <v>0.93323999999999996</v>
      </c>
      <c r="Y730" s="766" t="s">
        <v>129</v>
      </c>
      <c r="Z730" s="785"/>
      <c r="AA730" s="802"/>
      <c r="AB730" s="813"/>
      <c r="AC730" s="821" t="s">
        <v>129</v>
      </c>
      <c r="AD730" s="813"/>
      <c r="AE730" s="813"/>
      <c r="AF730" s="663"/>
    </row>
    <row r="731" spans="1:32" ht="15.75">
      <c r="A731" s="633"/>
      <c r="B731" s="634"/>
      <c r="C731" s="633"/>
      <c r="D731" s="612"/>
      <c r="E731" s="545"/>
      <c r="F731" s="546"/>
      <c r="G731" s="696" t="s">
        <v>129</v>
      </c>
      <c r="H731" s="719"/>
      <c r="I731" s="699"/>
      <c r="J731" s="615"/>
      <c r="K731" s="635"/>
      <c r="L731" s="633"/>
      <c r="M731" s="615"/>
      <c r="N731" s="592" t="s">
        <v>129</v>
      </c>
      <c r="O731" s="594" t="s">
        <v>129</v>
      </c>
      <c r="P731" s="743"/>
      <c r="Q731" s="431">
        <v>3.3329999999999999E-2</v>
      </c>
      <c r="R731" s="430">
        <v>6233.6</v>
      </c>
      <c r="S731" s="175">
        <v>6</v>
      </c>
      <c r="T731" s="751" t="s">
        <v>129</v>
      </c>
      <c r="U731" s="444">
        <v>17.024000000000001</v>
      </c>
      <c r="V731" s="699"/>
      <c r="W731" s="699"/>
      <c r="X731" s="444">
        <v>0.93323999999999996</v>
      </c>
      <c r="Y731" s="761" t="s">
        <v>129</v>
      </c>
      <c r="Z731" s="776"/>
      <c r="AA731" s="793"/>
      <c r="AB731" s="633"/>
      <c r="AC731" s="818" t="s">
        <v>129</v>
      </c>
      <c r="AD731" s="811"/>
      <c r="AE731" s="811"/>
      <c r="AF731" s="633"/>
    </row>
    <row r="732" spans="1:32" ht="15.75">
      <c r="A732" s="624">
        <v>11000</v>
      </c>
      <c r="B732" s="625"/>
      <c r="C732" s="626" t="s">
        <v>1199</v>
      </c>
      <c r="D732" s="627"/>
      <c r="E732" s="628"/>
      <c r="F732" s="629"/>
      <c r="G732" s="630" t="s">
        <v>129</v>
      </c>
      <c r="H732" s="720"/>
      <c r="I732" s="631"/>
      <c r="J732" s="632"/>
      <c r="K732" s="632"/>
      <c r="L732" s="627"/>
      <c r="M732" s="632"/>
      <c r="N732" s="739" t="s">
        <v>129</v>
      </c>
      <c r="O732" s="744" t="s">
        <v>129</v>
      </c>
      <c r="P732" s="742"/>
      <c r="Q732" s="431">
        <v>3.3329999999999999E-2</v>
      </c>
      <c r="R732" s="430">
        <v>6623.2</v>
      </c>
      <c r="S732" s="497">
        <v>36</v>
      </c>
      <c r="T732" s="750" t="s">
        <v>129</v>
      </c>
      <c r="U732" s="444">
        <v>18.088000000000001</v>
      </c>
      <c r="V732" s="631"/>
      <c r="W732" s="631"/>
      <c r="X732" s="444">
        <v>0.93323999999999996</v>
      </c>
      <c r="Y732" s="763" t="s">
        <v>129</v>
      </c>
      <c r="Z732" s="774"/>
      <c r="AA732" s="775"/>
      <c r="AB732" s="810"/>
      <c r="AC732" s="817" t="s">
        <v>129</v>
      </c>
      <c r="AD732" s="810"/>
      <c r="AE732" s="810"/>
      <c r="AF732" s="624">
        <v>11000</v>
      </c>
    </row>
    <row r="733" spans="1:32" ht="15.75">
      <c r="A733" s="633"/>
      <c r="B733" s="634"/>
      <c r="C733" s="633"/>
      <c r="D733" s="612"/>
      <c r="E733" s="545"/>
      <c r="F733" s="546"/>
      <c r="G733" s="696" t="s">
        <v>129</v>
      </c>
      <c r="H733" s="719"/>
      <c r="I733" s="699"/>
      <c r="J733" s="615"/>
      <c r="K733" s="635"/>
      <c r="L733" s="633"/>
      <c r="M733" s="615"/>
      <c r="N733" s="592" t="s">
        <v>129</v>
      </c>
      <c r="O733" s="594" t="s">
        <v>129</v>
      </c>
      <c r="P733" s="743"/>
      <c r="Q733" s="431">
        <v>3.3329999999999999E-2</v>
      </c>
      <c r="R733" s="430">
        <v>6351</v>
      </c>
      <c r="S733" s="175">
        <v>60</v>
      </c>
      <c r="T733" s="751" t="s">
        <v>129</v>
      </c>
      <c r="U733" s="444">
        <v>17.537500000000001</v>
      </c>
      <c r="V733" s="699"/>
      <c r="W733" s="699"/>
      <c r="X733" s="444">
        <v>0.93323999999999996</v>
      </c>
      <c r="Y733" s="761" t="s">
        <v>129</v>
      </c>
      <c r="Z733" s="776"/>
      <c r="AA733" s="793"/>
      <c r="AB733" s="633"/>
      <c r="AC733" s="818" t="s">
        <v>129</v>
      </c>
      <c r="AD733" s="811"/>
      <c r="AE733" s="811"/>
      <c r="AF733" s="633"/>
    </row>
    <row r="734" spans="1:32" ht="15.75">
      <c r="A734" s="643">
        <v>11004</v>
      </c>
      <c r="B734" s="644"/>
      <c r="C734" s="644" t="s">
        <v>1200</v>
      </c>
      <c r="D734" s="559"/>
      <c r="E734" s="545">
        <v>30000</v>
      </c>
      <c r="F734" s="649">
        <v>59</v>
      </c>
      <c r="G734" s="660" t="s">
        <v>129</v>
      </c>
      <c r="H734" s="636">
        <v>48</v>
      </c>
      <c r="I734" s="636">
        <v>76</v>
      </c>
      <c r="J734" s="549">
        <v>50</v>
      </c>
      <c r="K734" s="554" t="s">
        <v>221</v>
      </c>
      <c r="L734" s="562">
        <v>12</v>
      </c>
      <c r="M734" s="549">
        <v>4000</v>
      </c>
      <c r="N734" s="592">
        <v>0.25</v>
      </c>
      <c r="O734" s="594">
        <v>0.7</v>
      </c>
      <c r="P734" s="590">
        <v>23</v>
      </c>
      <c r="Q734" s="431">
        <v>3.3329999999999999E-2</v>
      </c>
      <c r="R734" s="430">
        <v>7308</v>
      </c>
      <c r="S734" s="175">
        <v>66</v>
      </c>
      <c r="T734" s="751">
        <v>2411</v>
      </c>
      <c r="U734" s="444">
        <v>20.09</v>
      </c>
      <c r="V734" s="636">
        <v>5.25</v>
      </c>
      <c r="W734" s="636"/>
      <c r="X734" s="444">
        <v>0.93323999999999996</v>
      </c>
      <c r="Y734" s="761">
        <v>5.25</v>
      </c>
      <c r="Z734" s="776">
        <v>58.817</v>
      </c>
      <c r="AA734" s="788"/>
      <c r="AB734" s="811"/>
      <c r="AC734" s="818">
        <v>60</v>
      </c>
      <c r="AD734" s="811" t="s">
        <v>633</v>
      </c>
      <c r="AE734" s="811">
        <v>0</v>
      </c>
      <c r="AF734" s="643">
        <v>11004</v>
      </c>
    </row>
    <row r="735" spans="1:32" ht="15.75">
      <c r="A735" s="633"/>
      <c r="B735" s="634"/>
      <c r="C735" s="633"/>
      <c r="D735" s="612"/>
      <c r="E735" s="545"/>
      <c r="F735" s="649"/>
      <c r="G735" s="696" t="s">
        <v>129</v>
      </c>
      <c r="H735" s="699"/>
      <c r="I735" s="699"/>
      <c r="J735" s="615"/>
      <c r="K735" s="635"/>
      <c r="L735" s="633"/>
      <c r="M735" s="615"/>
      <c r="N735" s="592" t="s">
        <v>129</v>
      </c>
      <c r="O735" s="594" t="s">
        <v>129</v>
      </c>
      <c r="P735" s="743"/>
      <c r="Q735" s="431">
        <v>3.3329999999999999E-2</v>
      </c>
      <c r="R735" s="430">
        <v>7569</v>
      </c>
      <c r="S735" s="497">
        <v>78</v>
      </c>
      <c r="T735" s="751" t="s">
        <v>129</v>
      </c>
      <c r="U735" s="444">
        <v>20.844999999999999</v>
      </c>
      <c r="V735" s="699"/>
      <c r="W735" s="699"/>
      <c r="X735" s="444">
        <v>0.93323999999999996</v>
      </c>
      <c r="Y735" s="761" t="s">
        <v>129</v>
      </c>
      <c r="Z735" s="776"/>
      <c r="AA735" s="793"/>
      <c r="AB735" s="633"/>
      <c r="AC735" s="818" t="s">
        <v>129</v>
      </c>
      <c r="AD735" s="811"/>
      <c r="AE735" s="811"/>
      <c r="AF735" s="633"/>
    </row>
    <row r="736" spans="1:32" ht="15.75">
      <c r="A736" s="624">
        <v>11010</v>
      </c>
      <c r="B736" s="625"/>
      <c r="C736" s="626" t="s">
        <v>1201</v>
      </c>
      <c r="D736" s="627"/>
      <c r="E736" s="628"/>
      <c r="F736" s="646"/>
      <c r="G736" s="630" t="s">
        <v>129</v>
      </c>
      <c r="H736" s="631"/>
      <c r="I736" s="631"/>
      <c r="J736" s="632"/>
      <c r="K736" s="632"/>
      <c r="L736" s="627"/>
      <c r="M736" s="632"/>
      <c r="N736" s="739" t="s">
        <v>129</v>
      </c>
      <c r="O736" s="744" t="s">
        <v>129</v>
      </c>
      <c r="P736" s="742"/>
      <c r="Q736" s="431">
        <v>0.02</v>
      </c>
      <c r="R736" s="430">
        <v>20746.2</v>
      </c>
      <c r="S736" s="175">
        <v>162</v>
      </c>
      <c r="T736" s="750" t="s">
        <v>129</v>
      </c>
      <c r="U736" s="444">
        <v>15.970142857142857</v>
      </c>
      <c r="V736" s="631"/>
      <c r="W736" s="631"/>
      <c r="X736" s="444">
        <v>0.56000000000000005</v>
      </c>
      <c r="Y736" s="763" t="s">
        <v>129</v>
      </c>
      <c r="Z736" s="774"/>
      <c r="AA736" s="775"/>
      <c r="AB736" s="810"/>
      <c r="AC736" s="817" t="s">
        <v>129</v>
      </c>
      <c r="AD736" s="810"/>
      <c r="AE736" s="810"/>
      <c r="AF736" s="624">
        <v>11010</v>
      </c>
    </row>
    <row r="737" spans="1:32" ht="15.75">
      <c r="A737" s="633"/>
      <c r="B737" s="634"/>
      <c r="C737" s="633"/>
      <c r="D737" s="612"/>
      <c r="E737" s="545"/>
      <c r="F737" s="649"/>
      <c r="G737" s="696" t="s">
        <v>129</v>
      </c>
      <c r="H737" s="699"/>
      <c r="I737" s="699"/>
      <c r="J737" s="615"/>
      <c r="K737" s="635"/>
      <c r="L737" s="633"/>
      <c r="M737" s="615"/>
      <c r="N737" s="592" t="s">
        <v>129</v>
      </c>
      <c r="O737" s="594" t="s">
        <v>129</v>
      </c>
      <c r="P737" s="743"/>
      <c r="Q737" s="431">
        <v>1.43E-2</v>
      </c>
      <c r="R737" s="430">
        <v>1218</v>
      </c>
      <c r="S737" s="497">
        <v>6</v>
      </c>
      <c r="T737" s="751" t="s">
        <v>129</v>
      </c>
      <c r="U737" s="445">
        <v>1.98</v>
      </c>
      <c r="V737" s="699"/>
      <c r="W737" s="699"/>
      <c r="X737" s="445">
        <v>0.40039999999999998</v>
      </c>
      <c r="Y737" s="761" t="s">
        <v>129</v>
      </c>
      <c r="Z737" s="776"/>
      <c r="AA737" s="793"/>
      <c r="AB737" s="633"/>
      <c r="AC737" s="818" t="s">
        <v>129</v>
      </c>
      <c r="AD737" s="811"/>
      <c r="AE737" s="811"/>
      <c r="AF737" s="633"/>
    </row>
    <row r="738" spans="1:32" ht="15.75">
      <c r="A738" s="643">
        <v>11011</v>
      </c>
      <c r="B738" s="644"/>
      <c r="C738" s="644" t="s">
        <v>1202</v>
      </c>
      <c r="D738" s="559"/>
      <c r="E738" s="545">
        <v>4400</v>
      </c>
      <c r="F738" s="649">
        <v>16</v>
      </c>
      <c r="G738" s="655" t="s">
        <v>129</v>
      </c>
      <c r="H738" s="636">
        <v>14</v>
      </c>
      <c r="I738" s="636">
        <v>19</v>
      </c>
      <c r="J738" s="549">
        <v>50</v>
      </c>
      <c r="K738" s="554" t="s">
        <v>221</v>
      </c>
      <c r="L738" s="562">
        <v>12</v>
      </c>
      <c r="M738" s="549">
        <v>1200</v>
      </c>
      <c r="N738" s="592">
        <v>0.25</v>
      </c>
      <c r="O738" s="594">
        <v>1.4</v>
      </c>
      <c r="P738" s="590">
        <v>19</v>
      </c>
      <c r="Q738" s="431">
        <v>1.43E-2</v>
      </c>
      <c r="R738" s="430">
        <v>1131</v>
      </c>
      <c r="S738" s="175">
        <v>30</v>
      </c>
      <c r="T738" s="751">
        <v>463</v>
      </c>
      <c r="U738" s="445">
        <v>1.7728571428571429</v>
      </c>
      <c r="V738" s="636">
        <v>5.1333333333333329</v>
      </c>
      <c r="W738" s="636"/>
      <c r="X738" s="445">
        <v>0.40039999999999998</v>
      </c>
      <c r="Y738" s="761">
        <v>5.1333333333333329</v>
      </c>
      <c r="Z738" s="776">
        <v>15.832666666666666</v>
      </c>
      <c r="AA738" s="780"/>
      <c r="AB738" s="811"/>
      <c r="AC738" s="818">
        <v>8.8000000000000007</v>
      </c>
      <c r="AD738" s="811" t="s">
        <v>633</v>
      </c>
      <c r="AE738" s="811">
        <v>0</v>
      </c>
      <c r="AF738" s="643">
        <v>11011</v>
      </c>
    </row>
    <row r="739" spans="1:32" ht="31.5">
      <c r="A739" s="643">
        <v>11012</v>
      </c>
      <c r="B739" s="644"/>
      <c r="C739" s="644" t="s">
        <v>1203</v>
      </c>
      <c r="D739" s="559" t="s">
        <v>221</v>
      </c>
      <c r="E739" s="545">
        <v>3500</v>
      </c>
      <c r="F739" s="649">
        <v>12</v>
      </c>
      <c r="G739" s="660" t="s">
        <v>129</v>
      </c>
      <c r="H739" s="636">
        <v>10.5</v>
      </c>
      <c r="I739" s="636">
        <v>14</v>
      </c>
      <c r="J739" s="549">
        <v>50</v>
      </c>
      <c r="K739" s="554" t="s">
        <v>221</v>
      </c>
      <c r="L739" s="562">
        <v>12</v>
      </c>
      <c r="M739" s="549">
        <v>2000</v>
      </c>
      <c r="N739" s="592">
        <v>0.25</v>
      </c>
      <c r="O739" s="594">
        <v>2.7</v>
      </c>
      <c r="P739" s="590">
        <v>6</v>
      </c>
      <c r="Q739" s="436">
        <v>0.01</v>
      </c>
      <c r="R739" s="430">
        <v>1655.8</v>
      </c>
      <c r="S739" s="497">
        <v>96</v>
      </c>
      <c r="T739" s="751">
        <v>304.5</v>
      </c>
      <c r="U739" s="445">
        <v>1.7948</v>
      </c>
      <c r="V739" s="636">
        <v>4.7250000000000005</v>
      </c>
      <c r="W739" s="636"/>
      <c r="X739" s="445">
        <v>0.28000000000000003</v>
      </c>
      <c r="Y739" s="761">
        <v>4.7250000000000005</v>
      </c>
      <c r="Z739" s="776">
        <v>11.896500000000003</v>
      </c>
      <c r="AA739" s="788"/>
      <c r="AB739" s="811"/>
      <c r="AC739" s="818">
        <v>7</v>
      </c>
      <c r="AD739" s="811" t="s">
        <v>633</v>
      </c>
      <c r="AE739" s="811">
        <v>0</v>
      </c>
      <c r="AF739" s="643">
        <v>11012</v>
      </c>
    </row>
    <row r="740" spans="1:32" ht="31.5">
      <c r="A740" s="643">
        <v>11013</v>
      </c>
      <c r="B740" s="644"/>
      <c r="C740" s="644" t="s">
        <v>1204</v>
      </c>
      <c r="D740" s="559" t="s">
        <v>221</v>
      </c>
      <c r="E740" s="545">
        <v>5800</v>
      </c>
      <c r="F740" s="649">
        <v>16.5</v>
      </c>
      <c r="G740" s="660" t="s">
        <v>129</v>
      </c>
      <c r="H740" s="636">
        <v>15</v>
      </c>
      <c r="I740" s="636">
        <v>20</v>
      </c>
      <c r="J740" s="549">
        <v>60</v>
      </c>
      <c r="K740" s="554" t="s">
        <v>221</v>
      </c>
      <c r="L740" s="562">
        <v>12</v>
      </c>
      <c r="M740" s="549">
        <v>2000</v>
      </c>
      <c r="N740" s="592">
        <v>0.25</v>
      </c>
      <c r="O740" s="594">
        <v>2.35</v>
      </c>
      <c r="P740" s="590">
        <v>9</v>
      </c>
      <c r="Q740" s="431">
        <v>0.05</v>
      </c>
      <c r="R740" s="430">
        <v>330.6</v>
      </c>
      <c r="S740" s="175">
        <v>96</v>
      </c>
      <c r="T740" s="751">
        <v>498</v>
      </c>
      <c r="U740" s="439">
        <v>10.124000000000001</v>
      </c>
      <c r="V740" s="636">
        <v>6.8150000000000004</v>
      </c>
      <c r="W740" s="636"/>
      <c r="X740" s="439">
        <v>1.4000000000000001</v>
      </c>
      <c r="Y740" s="761">
        <v>6.8150000000000004</v>
      </c>
      <c r="Z740" s="776">
        <v>16.626500000000004</v>
      </c>
      <c r="AA740" s="788"/>
      <c r="AB740" s="811"/>
      <c r="AC740" s="818">
        <v>11.6</v>
      </c>
      <c r="AD740" s="811" t="s">
        <v>633</v>
      </c>
      <c r="AE740" s="811">
        <v>0</v>
      </c>
      <c r="AF740" s="643">
        <v>11013</v>
      </c>
    </row>
    <row r="741" spans="1:32" ht="15.75">
      <c r="A741" s="643"/>
      <c r="B741" s="644"/>
      <c r="C741" s="643"/>
      <c r="D741" s="616"/>
      <c r="E741" s="545"/>
      <c r="F741" s="649"/>
      <c r="G741" s="696" t="s">
        <v>129</v>
      </c>
      <c r="H741" s="699"/>
      <c r="I741" s="699"/>
      <c r="J741" s="615"/>
      <c r="K741" s="554"/>
      <c r="L741" s="562"/>
      <c r="M741" s="615"/>
      <c r="N741" s="592" t="s">
        <v>129</v>
      </c>
      <c r="O741" s="594" t="s">
        <v>129</v>
      </c>
      <c r="P741" s="590"/>
      <c r="Q741" s="431">
        <v>0.02</v>
      </c>
      <c r="R741" s="430">
        <v>957</v>
      </c>
      <c r="S741" s="497">
        <v>390</v>
      </c>
      <c r="T741" s="751" t="s">
        <v>129</v>
      </c>
      <c r="U741" s="439">
        <v>22.38</v>
      </c>
      <c r="V741" s="699"/>
      <c r="W741" s="699"/>
      <c r="X741" s="439">
        <v>0.56000000000000005</v>
      </c>
      <c r="Y741" s="761" t="s">
        <v>129</v>
      </c>
      <c r="Z741" s="776"/>
      <c r="AA741" s="803"/>
      <c r="AB741" s="811"/>
      <c r="AC741" s="818" t="s">
        <v>129</v>
      </c>
      <c r="AD741" s="811"/>
      <c r="AE741" s="811"/>
      <c r="AF741" s="643"/>
    </row>
    <row r="742" spans="1:32" ht="15.75">
      <c r="A742" s="624">
        <v>11020</v>
      </c>
      <c r="B742" s="625"/>
      <c r="C742" s="626" t="s">
        <v>1205</v>
      </c>
      <c r="D742" s="627"/>
      <c r="E742" s="628"/>
      <c r="F742" s="646"/>
      <c r="G742" s="630" t="s">
        <v>129</v>
      </c>
      <c r="H742" s="631"/>
      <c r="I742" s="631"/>
      <c r="J742" s="632"/>
      <c r="K742" s="632"/>
      <c r="L742" s="627"/>
      <c r="M742" s="632"/>
      <c r="N742" s="739" t="s">
        <v>129</v>
      </c>
      <c r="O742" s="744" t="s">
        <v>129</v>
      </c>
      <c r="P742" s="742"/>
      <c r="Q742" s="431">
        <v>0.02</v>
      </c>
      <c r="R742" s="430">
        <v>765.6</v>
      </c>
      <c r="S742" s="175">
        <v>24</v>
      </c>
      <c r="T742" s="750" t="s">
        <v>129</v>
      </c>
      <c r="U742" s="439">
        <v>18.744</v>
      </c>
      <c r="V742" s="631"/>
      <c r="W742" s="631"/>
      <c r="X742" s="439">
        <v>0.56000000000000005</v>
      </c>
      <c r="Y742" s="763" t="s">
        <v>129</v>
      </c>
      <c r="Z742" s="774"/>
      <c r="AA742" s="775"/>
      <c r="AB742" s="810"/>
      <c r="AC742" s="817" t="s">
        <v>129</v>
      </c>
      <c r="AD742" s="810"/>
      <c r="AE742" s="810"/>
      <c r="AF742" s="624">
        <v>11020</v>
      </c>
    </row>
    <row r="743" spans="1:32" ht="15.75">
      <c r="A743" s="633"/>
      <c r="B743" s="634"/>
      <c r="C743" s="633"/>
      <c r="D743" s="612"/>
      <c r="E743" s="545"/>
      <c r="F743" s="649"/>
      <c r="G743" s="696" t="s">
        <v>129</v>
      </c>
      <c r="H743" s="699"/>
      <c r="I743" s="699"/>
      <c r="J743" s="554"/>
      <c r="K743" s="635"/>
      <c r="L743" s="633"/>
      <c r="M743" s="615"/>
      <c r="N743" s="592" t="s">
        <v>129</v>
      </c>
      <c r="O743" s="594" t="s">
        <v>129</v>
      </c>
      <c r="P743" s="743"/>
      <c r="Q743" s="429"/>
      <c r="R743" s="430" t="s">
        <v>129</v>
      </c>
      <c r="S743" s="175"/>
      <c r="T743" s="751" t="s">
        <v>129</v>
      </c>
      <c r="U743" s="438"/>
      <c r="V743" s="699"/>
      <c r="W743" s="699"/>
      <c r="X743" s="438"/>
      <c r="Y743" s="761" t="s">
        <v>129</v>
      </c>
      <c r="Z743" s="776"/>
      <c r="AA743" s="793"/>
      <c r="AB743" s="633"/>
      <c r="AC743" s="818" t="s">
        <v>129</v>
      </c>
      <c r="AD743" s="811"/>
      <c r="AE743" s="811"/>
      <c r="AF743" s="633"/>
    </row>
    <row r="744" spans="1:32" ht="31.5">
      <c r="A744" s="643">
        <v>11021</v>
      </c>
      <c r="B744" s="644"/>
      <c r="C744" s="644" t="s">
        <v>1206</v>
      </c>
      <c r="D744" s="570">
        <v>24</v>
      </c>
      <c r="E744" s="545">
        <v>6700</v>
      </c>
      <c r="F744" s="649">
        <v>8.5</v>
      </c>
      <c r="G744" s="660" t="s">
        <v>129</v>
      </c>
      <c r="H744" s="636">
        <v>7.3</v>
      </c>
      <c r="I744" s="636">
        <v>10.5</v>
      </c>
      <c r="J744" s="549">
        <v>80</v>
      </c>
      <c r="K744" s="554">
        <v>40</v>
      </c>
      <c r="L744" s="562">
        <v>15</v>
      </c>
      <c r="M744" s="549">
        <v>4000</v>
      </c>
      <c r="N744" s="592">
        <v>0.25</v>
      </c>
      <c r="O744" s="594">
        <v>1.35</v>
      </c>
      <c r="P744" s="590">
        <v>3</v>
      </c>
      <c r="Q744" s="431"/>
      <c r="R744" s="430" t="s">
        <v>129</v>
      </c>
      <c r="S744" s="498"/>
      <c r="T744" s="751">
        <v>439.75</v>
      </c>
      <c r="U744" s="440"/>
      <c r="V744" s="636">
        <v>2.2612500000000004</v>
      </c>
      <c r="W744" s="636"/>
      <c r="X744" s="439"/>
      <c r="Y744" s="761">
        <v>2.2612500000000004</v>
      </c>
      <c r="Z744" s="776"/>
      <c r="AA744" s="788"/>
      <c r="AB744" s="811">
        <v>24</v>
      </c>
      <c r="AC744" s="818">
        <v>13.4</v>
      </c>
      <c r="AD744" s="811" t="s">
        <v>633</v>
      </c>
      <c r="AE744" s="811">
        <v>0</v>
      </c>
      <c r="AF744" s="643">
        <v>11021</v>
      </c>
    </row>
    <row r="745" spans="1:32" ht="31.5">
      <c r="A745" s="643">
        <v>11022</v>
      </c>
      <c r="B745" s="644"/>
      <c r="C745" s="644" t="s">
        <v>1207</v>
      </c>
      <c r="D745" s="570">
        <v>40</v>
      </c>
      <c r="E745" s="545">
        <v>8600</v>
      </c>
      <c r="F745" s="649">
        <v>10.6</v>
      </c>
      <c r="G745" s="660" t="s">
        <v>129</v>
      </c>
      <c r="H745" s="636">
        <v>9.1</v>
      </c>
      <c r="I745" s="636">
        <v>13.2</v>
      </c>
      <c r="J745" s="549">
        <v>80</v>
      </c>
      <c r="K745" s="554">
        <v>40</v>
      </c>
      <c r="L745" s="562">
        <v>15</v>
      </c>
      <c r="M745" s="549">
        <v>4000</v>
      </c>
      <c r="N745" s="592">
        <v>0.25</v>
      </c>
      <c r="O745" s="594">
        <v>1.25</v>
      </c>
      <c r="P745" s="590">
        <v>3</v>
      </c>
      <c r="Q745" s="432"/>
      <c r="R745" s="430" t="s">
        <v>129</v>
      </c>
      <c r="S745" s="175"/>
      <c r="T745" s="751">
        <v>558.5</v>
      </c>
      <c r="U745" s="445"/>
      <c r="V745" s="636">
        <v>2.6875</v>
      </c>
      <c r="W745" s="636"/>
      <c r="X745" s="445"/>
      <c r="Y745" s="761">
        <v>2.6875</v>
      </c>
      <c r="Z745" s="776"/>
      <c r="AA745" s="788"/>
      <c r="AB745" s="811">
        <v>24</v>
      </c>
      <c r="AC745" s="818">
        <v>17.2</v>
      </c>
      <c r="AD745" s="811" t="s">
        <v>633</v>
      </c>
      <c r="AE745" s="811">
        <v>0</v>
      </c>
      <c r="AF745" s="643">
        <v>11022</v>
      </c>
    </row>
    <row r="746" spans="1:32" ht="15.75">
      <c r="A746" s="643">
        <v>11023</v>
      </c>
      <c r="B746" s="644"/>
      <c r="C746" s="644" t="s">
        <v>1208</v>
      </c>
      <c r="D746" s="570">
        <v>32</v>
      </c>
      <c r="E746" s="545">
        <v>23000</v>
      </c>
      <c r="F746" s="649">
        <v>45</v>
      </c>
      <c r="G746" s="660" t="s">
        <v>129</v>
      </c>
      <c r="H746" s="636">
        <v>40.799999999999997</v>
      </c>
      <c r="I746" s="636">
        <v>51.7</v>
      </c>
      <c r="J746" s="549">
        <v>80</v>
      </c>
      <c r="K746" s="554">
        <v>90</v>
      </c>
      <c r="L746" s="562">
        <v>15</v>
      </c>
      <c r="M746" s="549">
        <v>4000</v>
      </c>
      <c r="N746" s="592">
        <v>0.25</v>
      </c>
      <c r="O746" s="594">
        <v>1.1000000000000001</v>
      </c>
      <c r="P746" s="590">
        <v>8</v>
      </c>
      <c r="Q746" s="429"/>
      <c r="R746" s="430" t="s">
        <v>129</v>
      </c>
      <c r="S746" s="496"/>
      <c r="T746" s="751">
        <v>1493.5</v>
      </c>
      <c r="U746" s="438"/>
      <c r="V746" s="636">
        <v>6.3250000000000002</v>
      </c>
      <c r="W746" s="642">
        <v>15.811200000000001</v>
      </c>
      <c r="X746" s="438"/>
      <c r="Y746" s="761">
        <v>22.136200000000002</v>
      </c>
      <c r="Z746" s="776"/>
      <c r="AA746" s="788"/>
      <c r="AB746" s="811">
        <v>32</v>
      </c>
      <c r="AC746" s="818">
        <v>46</v>
      </c>
      <c r="AD746" s="811" t="s">
        <v>633</v>
      </c>
      <c r="AE746" s="811">
        <v>1</v>
      </c>
      <c r="AF746" s="643">
        <v>11023</v>
      </c>
    </row>
    <row r="747" spans="1:32" ht="15.75">
      <c r="A747" s="643">
        <v>11024</v>
      </c>
      <c r="B747" s="644"/>
      <c r="C747" s="644" t="s">
        <v>1209</v>
      </c>
      <c r="D747" s="570">
        <v>48</v>
      </c>
      <c r="E747" s="545">
        <v>27000</v>
      </c>
      <c r="F747" s="649">
        <v>58</v>
      </c>
      <c r="G747" s="660" t="s">
        <v>129</v>
      </c>
      <c r="H747" s="636">
        <v>53.1</v>
      </c>
      <c r="I747" s="636">
        <v>65.8</v>
      </c>
      <c r="J747" s="549">
        <v>80</v>
      </c>
      <c r="K747" s="554">
        <v>90</v>
      </c>
      <c r="L747" s="562">
        <v>15</v>
      </c>
      <c r="M747" s="549">
        <v>4000</v>
      </c>
      <c r="N747" s="592">
        <v>0.25</v>
      </c>
      <c r="O747" s="594">
        <v>1.05</v>
      </c>
      <c r="P747" s="590">
        <v>8</v>
      </c>
      <c r="Q747" s="432"/>
      <c r="R747" s="430" t="s">
        <v>129</v>
      </c>
      <c r="S747" s="124"/>
      <c r="T747" s="751">
        <v>1743.5</v>
      </c>
      <c r="U747" s="445"/>
      <c r="V747" s="636">
        <v>7.0875000000000004</v>
      </c>
      <c r="W747" s="642">
        <v>23.716800000000003</v>
      </c>
      <c r="X747" s="445"/>
      <c r="Y747" s="761">
        <v>30.804300000000005</v>
      </c>
      <c r="Z747" s="776"/>
      <c r="AA747" s="788"/>
      <c r="AB747" s="811">
        <v>48</v>
      </c>
      <c r="AC747" s="818">
        <v>54</v>
      </c>
      <c r="AD747" s="811" t="s">
        <v>633</v>
      </c>
      <c r="AE747" s="811">
        <v>1</v>
      </c>
      <c r="AF747" s="643">
        <v>11024</v>
      </c>
    </row>
    <row r="748" spans="1:32" ht="31.5">
      <c r="A748" s="643">
        <v>11026</v>
      </c>
      <c r="B748" s="644"/>
      <c r="C748" s="644" t="s">
        <v>1210</v>
      </c>
      <c r="D748" s="559" t="s">
        <v>221</v>
      </c>
      <c r="E748" s="545">
        <v>8400</v>
      </c>
      <c r="F748" s="649">
        <v>4.5</v>
      </c>
      <c r="G748" s="660" t="s">
        <v>129</v>
      </c>
      <c r="H748" s="636">
        <v>3.8</v>
      </c>
      <c r="I748" s="636">
        <v>5.6</v>
      </c>
      <c r="J748" s="549">
        <v>200</v>
      </c>
      <c r="K748" s="554" t="s">
        <v>221</v>
      </c>
      <c r="L748" s="562">
        <v>15</v>
      </c>
      <c r="M748" s="549">
        <v>6000</v>
      </c>
      <c r="N748" s="592">
        <v>0.25</v>
      </c>
      <c r="O748" s="594">
        <v>0.75</v>
      </c>
      <c r="P748" s="590">
        <v>11</v>
      </c>
      <c r="Q748" s="431">
        <v>0.05</v>
      </c>
      <c r="R748" s="430">
        <v>525.96</v>
      </c>
      <c r="S748" s="497">
        <v>42</v>
      </c>
      <c r="T748" s="751">
        <v>602</v>
      </c>
      <c r="U748" s="439">
        <v>11.715199999999999</v>
      </c>
      <c r="V748" s="636">
        <v>1.0499999999999998</v>
      </c>
      <c r="W748" s="636"/>
      <c r="X748" s="439">
        <v>1.4000000000000001</v>
      </c>
      <c r="Y748" s="761">
        <v>1.0499999999999998</v>
      </c>
      <c r="Z748" s="776">
        <v>4.4660000000000002</v>
      </c>
      <c r="AA748" s="788"/>
      <c r="AB748" s="811"/>
      <c r="AC748" s="818">
        <v>16.8</v>
      </c>
      <c r="AD748" s="811" t="s">
        <v>633</v>
      </c>
      <c r="AE748" s="811">
        <v>0</v>
      </c>
      <c r="AF748" s="643">
        <v>11026</v>
      </c>
    </row>
    <row r="749" spans="1:32" ht="31.5">
      <c r="A749" s="643">
        <v>11027</v>
      </c>
      <c r="B749" s="644"/>
      <c r="C749" s="644" t="s">
        <v>1211</v>
      </c>
      <c r="D749" s="581">
        <v>10</v>
      </c>
      <c r="E749" s="545">
        <v>13000</v>
      </c>
      <c r="F749" s="546">
        <v>59</v>
      </c>
      <c r="G749" s="678">
        <v>5.9</v>
      </c>
      <c r="H749" s="636">
        <v>5.3</v>
      </c>
      <c r="I749" s="679">
        <v>6.8</v>
      </c>
      <c r="J749" s="567">
        <v>500</v>
      </c>
      <c r="K749" s="554" t="s">
        <v>221</v>
      </c>
      <c r="L749" s="562">
        <v>12</v>
      </c>
      <c r="M749" s="567">
        <v>6000</v>
      </c>
      <c r="N749" s="592">
        <v>0</v>
      </c>
      <c r="O749" s="594">
        <v>1.25</v>
      </c>
      <c r="P749" s="590">
        <v>13</v>
      </c>
      <c r="Q749" s="431">
        <v>0.05</v>
      </c>
      <c r="R749" s="430">
        <v>808.42</v>
      </c>
      <c r="S749" s="175">
        <v>54</v>
      </c>
      <c r="T749" s="751">
        <v>1317.3333333333333</v>
      </c>
      <c r="U749" s="439">
        <v>17.6204</v>
      </c>
      <c r="V749" s="679">
        <v>2.708333333333333</v>
      </c>
      <c r="W749" s="636"/>
      <c r="X749" s="439">
        <v>1.4000000000000001</v>
      </c>
      <c r="Y749" s="767">
        <v>2.708333333333333</v>
      </c>
      <c r="Z749" s="776">
        <v>58.77300000000001</v>
      </c>
      <c r="AA749" s="790">
        <v>5.8773000000000009</v>
      </c>
      <c r="AB749" s="811"/>
      <c r="AC749" s="818">
        <v>26</v>
      </c>
      <c r="AD749" s="811" t="s">
        <v>774</v>
      </c>
      <c r="AE749" s="811">
        <v>0</v>
      </c>
      <c r="AF749" s="643">
        <v>11027</v>
      </c>
    </row>
    <row r="750" spans="1:32" ht="15.75">
      <c r="A750" s="643">
        <v>11033</v>
      </c>
      <c r="B750" s="644"/>
      <c r="C750" s="644" t="s">
        <v>1212</v>
      </c>
      <c r="D750" s="581">
        <v>10</v>
      </c>
      <c r="E750" s="545">
        <v>1800</v>
      </c>
      <c r="F750" s="546">
        <v>40</v>
      </c>
      <c r="G750" s="678">
        <v>4</v>
      </c>
      <c r="H750" s="636">
        <v>3.4</v>
      </c>
      <c r="I750" s="679">
        <v>5</v>
      </c>
      <c r="J750" s="567">
        <v>130</v>
      </c>
      <c r="K750" s="554" t="s">
        <v>221</v>
      </c>
      <c r="L750" s="562">
        <v>12</v>
      </c>
      <c r="M750" s="567">
        <v>2500</v>
      </c>
      <c r="N750" s="592">
        <v>0.1</v>
      </c>
      <c r="O750" s="594">
        <v>1.4</v>
      </c>
      <c r="P750" s="590">
        <v>27</v>
      </c>
      <c r="Q750" s="431">
        <v>0.05</v>
      </c>
      <c r="R750" s="430">
        <v>594.14</v>
      </c>
      <c r="S750" s="497">
        <v>48</v>
      </c>
      <c r="T750" s="751">
        <v>344.88</v>
      </c>
      <c r="U750" s="439">
        <v>12.4068</v>
      </c>
      <c r="V750" s="679">
        <v>1.008</v>
      </c>
      <c r="W750" s="636"/>
      <c r="X750" s="439">
        <v>1.4000000000000001</v>
      </c>
      <c r="Y750" s="767">
        <v>1.008</v>
      </c>
      <c r="Z750" s="776">
        <v>40.270153846153846</v>
      </c>
      <c r="AA750" s="790">
        <v>4.0270153846153844</v>
      </c>
      <c r="AB750" s="811"/>
      <c r="AC750" s="818">
        <v>3.6</v>
      </c>
      <c r="AD750" s="811" t="s">
        <v>774</v>
      </c>
      <c r="AE750" s="811">
        <v>0</v>
      </c>
      <c r="AF750" s="643">
        <v>11033</v>
      </c>
    </row>
    <row r="751" spans="1:32" ht="31.5">
      <c r="A751" s="643">
        <v>11030</v>
      </c>
      <c r="B751" s="644"/>
      <c r="C751" s="644" t="s">
        <v>1213</v>
      </c>
      <c r="D751" s="559" t="s">
        <v>221</v>
      </c>
      <c r="E751" s="545">
        <v>19500</v>
      </c>
      <c r="F751" s="546"/>
      <c r="G751" s="912">
        <v>9.1</v>
      </c>
      <c r="H751" s="913">
        <v>7.7</v>
      </c>
      <c r="I751" s="913">
        <v>11.4</v>
      </c>
      <c r="J751" s="914">
        <v>250</v>
      </c>
      <c r="K751" s="554" t="s">
        <v>221</v>
      </c>
      <c r="L751" s="562">
        <v>12</v>
      </c>
      <c r="M751" s="914">
        <v>7000</v>
      </c>
      <c r="N751" s="592">
        <v>0.25</v>
      </c>
      <c r="O751" s="594">
        <v>0.7</v>
      </c>
      <c r="P751" s="590">
        <v>16</v>
      </c>
      <c r="Q751" s="431">
        <v>3.3329999999999999E-2</v>
      </c>
      <c r="R751" s="430">
        <v>1783.5</v>
      </c>
      <c r="S751" s="175">
        <v>102</v>
      </c>
      <c r="T751" s="751">
        <v>1574.5</v>
      </c>
      <c r="U751" s="439">
        <v>39.71</v>
      </c>
      <c r="V751" s="913">
        <v>1.9499999999999997</v>
      </c>
      <c r="W751" s="636"/>
      <c r="X751" s="439">
        <v>0.93323999999999996</v>
      </c>
      <c r="Y751" s="915">
        <v>1.9499999999999997</v>
      </c>
      <c r="Z751" s="776"/>
      <c r="AA751" s="804">
        <v>9.0728000000000009</v>
      </c>
      <c r="AB751" s="811"/>
      <c r="AC751" s="818">
        <v>39</v>
      </c>
      <c r="AD751" s="811" t="s">
        <v>1214</v>
      </c>
      <c r="AE751" s="811">
        <v>0</v>
      </c>
      <c r="AF751" s="643">
        <v>11030</v>
      </c>
    </row>
    <row r="752" spans="1:32" ht="15.75">
      <c r="A752" s="643">
        <v>11031</v>
      </c>
      <c r="B752" s="644"/>
      <c r="C752" s="644" t="s">
        <v>1215</v>
      </c>
      <c r="D752" s="559"/>
      <c r="E752" s="545">
        <v>5100</v>
      </c>
      <c r="F752" s="546"/>
      <c r="G752" s="912">
        <v>1.3</v>
      </c>
      <c r="H752" s="913">
        <v>1.1000000000000001</v>
      </c>
      <c r="I752" s="913">
        <v>1.6</v>
      </c>
      <c r="J752" s="914">
        <v>500</v>
      </c>
      <c r="K752" s="554" t="s">
        <v>221</v>
      </c>
      <c r="L752" s="562">
        <v>15</v>
      </c>
      <c r="M752" s="914">
        <v>20000</v>
      </c>
      <c r="N752" s="592">
        <v>0.25</v>
      </c>
      <c r="O752" s="594">
        <v>1.1000000000000001</v>
      </c>
      <c r="P752" s="590">
        <v>16</v>
      </c>
      <c r="Q752" s="432"/>
      <c r="R752" s="430" t="s">
        <v>129</v>
      </c>
      <c r="S752" s="497">
        <v>0</v>
      </c>
      <c r="T752" s="751">
        <v>430.75</v>
      </c>
      <c r="U752" s="445"/>
      <c r="V752" s="913">
        <v>0.28050000000000003</v>
      </c>
      <c r="W752" s="636"/>
      <c r="X752" s="445"/>
      <c r="Y752" s="915">
        <v>0.28050000000000003</v>
      </c>
      <c r="Z752" s="776"/>
      <c r="AA752" s="804">
        <v>1.2562000000000002</v>
      </c>
      <c r="AB752" s="811"/>
      <c r="AC752" s="818">
        <v>10.200000000000001</v>
      </c>
      <c r="AD752" s="811" t="s">
        <v>1214</v>
      </c>
      <c r="AE752" s="811">
        <v>0</v>
      </c>
      <c r="AF752" s="643">
        <v>11031</v>
      </c>
    </row>
    <row r="753" spans="1:32" ht="15.75">
      <c r="A753" s="643">
        <v>11034</v>
      </c>
      <c r="B753" s="644"/>
      <c r="C753" s="644" t="s">
        <v>1216</v>
      </c>
      <c r="D753" s="559"/>
      <c r="E753" s="545">
        <v>12500</v>
      </c>
      <c r="F753" s="546"/>
      <c r="G753" s="912">
        <v>2.1</v>
      </c>
      <c r="H753" s="913">
        <v>1.7</v>
      </c>
      <c r="I753" s="913">
        <v>2.7</v>
      </c>
      <c r="J753" s="914">
        <v>800</v>
      </c>
      <c r="K753" s="554" t="s">
        <v>221</v>
      </c>
      <c r="L753" s="562">
        <v>15</v>
      </c>
      <c r="M753" s="914">
        <v>30000</v>
      </c>
      <c r="N753" s="592">
        <v>0.25</v>
      </c>
      <c r="O753" s="594">
        <v>0.85</v>
      </c>
      <c r="P753" s="590">
        <v>65</v>
      </c>
      <c r="Q753" s="429"/>
      <c r="R753" s="430" t="s">
        <v>129</v>
      </c>
      <c r="S753" s="175">
        <v>156</v>
      </c>
      <c r="T753" s="751">
        <v>1236.25</v>
      </c>
      <c r="U753" s="438"/>
      <c r="V753" s="913">
        <v>0.35416666666666669</v>
      </c>
      <c r="W753" s="636"/>
      <c r="X753" s="438"/>
      <c r="Y753" s="915">
        <v>0.35416666666666669</v>
      </c>
      <c r="Z753" s="776"/>
      <c r="AA753" s="804">
        <v>2.0894270833333337</v>
      </c>
      <c r="AB753" s="811"/>
      <c r="AC753" s="818">
        <v>25</v>
      </c>
      <c r="AD753" s="811" t="s">
        <v>1214</v>
      </c>
      <c r="AE753" s="811">
        <v>0</v>
      </c>
      <c r="AF753" s="643">
        <v>11034</v>
      </c>
    </row>
    <row r="754" spans="1:32" ht="31.5">
      <c r="A754" s="643">
        <v>11032</v>
      </c>
      <c r="B754" s="644"/>
      <c r="C754" s="644" t="s">
        <v>1217</v>
      </c>
      <c r="D754" s="559"/>
      <c r="E754" s="545">
        <v>4100</v>
      </c>
      <c r="F754" s="546"/>
      <c r="G754" s="912">
        <v>1.5</v>
      </c>
      <c r="H754" s="913">
        <v>1.3</v>
      </c>
      <c r="I754" s="913">
        <v>1.7</v>
      </c>
      <c r="J754" s="914">
        <v>500</v>
      </c>
      <c r="K754" s="554" t="s">
        <v>221</v>
      </c>
      <c r="L754" s="562">
        <v>12</v>
      </c>
      <c r="M754" s="914">
        <v>10000</v>
      </c>
      <c r="N754" s="592">
        <v>0.1</v>
      </c>
      <c r="O754" s="594">
        <v>1.35</v>
      </c>
      <c r="P754" s="590">
        <v>4</v>
      </c>
      <c r="Q754" s="432"/>
      <c r="R754" s="430" t="s">
        <v>129</v>
      </c>
      <c r="S754" s="497">
        <v>156</v>
      </c>
      <c r="T754" s="751">
        <v>383.06</v>
      </c>
      <c r="U754" s="445"/>
      <c r="V754" s="913">
        <v>0.55349999999999999</v>
      </c>
      <c r="W754" s="636"/>
      <c r="X754" s="445"/>
      <c r="Y754" s="915">
        <v>0.55349999999999999</v>
      </c>
      <c r="Z754" s="776"/>
      <c r="AA754" s="804">
        <v>1.4515820000000001</v>
      </c>
      <c r="AB754" s="811"/>
      <c r="AC754" s="818">
        <v>8.1999999999999993</v>
      </c>
      <c r="AD754" s="811" t="s">
        <v>1214</v>
      </c>
      <c r="AE754" s="811">
        <v>0</v>
      </c>
      <c r="AF754" s="643">
        <v>11032</v>
      </c>
    </row>
    <row r="755" spans="1:32" ht="15.75">
      <c r="A755" s="633"/>
      <c r="B755" s="634"/>
      <c r="C755" s="633"/>
      <c r="D755" s="559"/>
      <c r="E755" s="545"/>
      <c r="F755" s="546"/>
      <c r="G755" s="722" t="s">
        <v>129</v>
      </c>
      <c r="H755" s="721"/>
      <c r="I755" s="721"/>
      <c r="J755" s="554"/>
      <c r="K755" s="635"/>
      <c r="L755" s="633"/>
      <c r="M755" s="554"/>
      <c r="N755" s="592" t="s">
        <v>129</v>
      </c>
      <c r="O755" s="594" t="s">
        <v>129</v>
      </c>
      <c r="P755" s="743"/>
      <c r="Q755" s="431">
        <v>0.05</v>
      </c>
      <c r="R755" s="430">
        <v>678.6</v>
      </c>
      <c r="S755" s="175">
        <v>60</v>
      </c>
      <c r="T755" s="751" t="s">
        <v>129</v>
      </c>
      <c r="U755" s="439">
        <v>16.544</v>
      </c>
      <c r="V755" s="721"/>
      <c r="W755" s="636"/>
      <c r="X755" s="439">
        <v>1.4000000000000001</v>
      </c>
      <c r="Y755" s="761" t="s">
        <v>129</v>
      </c>
      <c r="Z755" s="776"/>
      <c r="AA755" s="804"/>
      <c r="AB755" s="633"/>
      <c r="AC755" s="818" t="s">
        <v>129</v>
      </c>
      <c r="AD755" s="811"/>
      <c r="AE755" s="811"/>
      <c r="AF755" s="633"/>
    </row>
    <row r="756" spans="1:32" ht="15.75">
      <c r="A756" s="663"/>
      <c r="B756" s="664"/>
      <c r="C756" s="665" t="s">
        <v>1218</v>
      </c>
      <c r="D756" s="688"/>
      <c r="E756" s="667"/>
      <c r="F756" s="668"/>
      <c r="G756" s="718" t="s">
        <v>129</v>
      </c>
      <c r="H756" s="670"/>
      <c r="I756" s="670"/>
      <c r="J756" s="671"/>
      <c r="K756" s="672"/>
      <c r="L756" s="737"/>
      <c r="M756" s="671"/>
      <c r="N756" s="740" t="s">
        <v>129</v>
      </c>
      <c r="O756" s="746" t="s">
        <v>129</v>
      </c>
      <c r="P756" s="747"/>
      <c r="Q756" s="431">
        <v>6.7000000000000004E-2</v>
      </c>
      <c r="R756" s="430">
        <v>234.9</v>
      </c>
      <c r="S756" s="497">
        <v>108</v>
      </c>
      <c r="T756" s="754" t="s">
        <v>129</v>
      </c>
      <c r="U756" s="439">
        <v>5.645999999999999</v>
      </c>
      <c r="V756" s="690"/>
      <c r="W756" s="670"/>
      <c r="X756" s="439">
        <v>1.8760000000000001</v>
      </c>
      <c r="Y756" s="766" t="s">
        <v>129</v>
      </c>
      <c r="Z756" s="785"/>
      <c r="AA756" s="802"/>
      <c r="AB756" s="813"/>
      <c r="AC756" s="821" t="s">
        <v>129</v>
      </c>
      <c r="AD756" s="813"/>
      <c r="AE756" s="813"/>
      <c r="AF756" s="663"/>
    </row>
    <row r="757" spans="1:32" ht="15.75">
      <c r="A757" s="633"/>
      <c r="B757" s="634"/>
      <c r="C757" s="633"/>
      <c r="D757" s="559"/>
      <c r="E757" s="545"/>
      <c r="F757" s="546"/>
      <c r="G757" s="660" t="s">
        <v>129</v>
      </c>
      <c r="H757" s="636"/>
      <c r="I757" s="636"/>
      <c r="J757" s="549"/>
      <c r="K757" s="635"/>
      <c r="L757" s="633"/>
      <c r="M757" s="549"/>
      <c r="N757" s="592" t="s">
        <v>129</v>
      </c>
      <c r="O757" s="594" t="s">
        <v>129</v>
      </c>
      <c r="P757" s="743"/>
      <c r="Q757" s="431">
        <v>0.125</v>
      </c>
      <c r="R757" s="430">
        <v>522</v>
      </c>
      <c r="S757" s="175">
        <v>66</v>
      </c>
      <c r="T757" s="751" t="s">
        <v>129</v>
      </c>
      <c r="U757" s="439">
        <v>9.9499999999999993</v>
      </c>
      <c r="V757" s="654"/>
      <c r="W757" s="636"/>
      <c r="X757" s="439">
        <v>3.5</v>
      </c>
      <c r="Y757" s="761" t="s">
        <v>129</v>
      </c>
      <c r="Z757" s="776"/>
      <c r="AA757" s="788"/>
      <c r="AB757" s="633"/>
      <c r="AC757" s="818" t="s">
        <v>129</v>
      </c>
      <c r="AD757" s="811"/>
      <c r="AE757" s="811"/>
      <c r="AF757" s="633"/>
    </row>
    <row r="758" spans="1:32" ht="15.75">
      <c r="A758" s="624">
        <v>12000</v>
      </c>
      <c r="B758" s="625" t="s">
        <v>411</v>
      </c>
      <c r="C758" s="723" t="s">
        <v>1219</v>
      </c>
      <c r="D758" s="651"/>
      <c r="E758" s="628"/>
      <c r="F758" s="629"/>
      <c r="G758" s="630" t="s">
        <v>129</v>
      </c>
      <c r="H758" s="631"/>
      <c r="I758" s="631"/>
      <c r="J758" s="632"/>
      <c r="K758" s="632"/>
      <c r="L758" s="627"/>
      <c r="M758" s="632"/>
      <c r="N758" s="739" t="s">
        <v>129</v>
      </c>
      <c r="O758" s="744" t="s">
        <v>129</v>
      </c>
      <c r="P758" s="742"/>
      <c r="Q758" s="429"/>
      <c r="R758" s="430" t="s">
        <v>129</v>
      </c>
      <c r="S758" s="497">
        <v>42</v>
      </c>
      <c r="T758" s="750" t="s">
        <v>129</v>
      </c>
      <c r="U758" s="445"/>
      <c r="V758" s="631"/>
      <c r="W758" s="631"/>
      <c r="X758" s="445"/>
      <c r="Y758" s="763" t="s">
        <v>129</v>
      </c>
      <c r="Z758" s="774"/>
      <c r="AA758" s="775"/>
      <c r="AB758" s="810"/>
      <c r="AC758" s="817" t="s">
        <v>129</v>
      </c>
      <c r="AD758" s="810"/>
      <c r="AE758" s="810"/>
      <c r="AF758" s="624">
        <v>12000</v>
      </c>
    </row>
    <row r="759" spans="1:32" ht="15.75">
      <c r="A759" s="633"/>
      <c r="B759" s="634"/>
      <c r="C759" s="633"/>
      <c r="D759" s="637"/>
      <c r="E759" s="545"/>
      <c r="F759" s="633"/>
      <c r="G759" s="635" t="s">
        <v>129</v>
      </c>
      <c r="H759" s="635"/>
      <c r="I759" s="635"/>
      <c r="J759" s="637"/>
      <c r="K759" s="635"/>
      <c r="L759" s="633"/>
      <c r="M759" s="637"/>
      <c r="N759" s="592" t="s">
        <v>129</v>
      </c>
      <c r="O759" s="594" t="s">
        <v>129</v>
      </c>
      <c r="P759" s="743"/>
      <c r="Q759" s="429"/>
      <c r="R759" s="430" t="s">
        <v>129</v>
      </c>
      <c r="S759" s="175"/>
      <c r="T759" s="751" t="s">
        <v>129</v>
      </c>
      <c r="U759" s="438"/>
      <c r="V759" s="633"/>
      <c r="W759" s="633"/>
      <c r="X759" s="438"/>
      <c r="Y759" s="761" t="s">
        <v>129</v>
      </c>
      <c r="Z759" s="633"/>
      <c r="AA759" s="634"/>
      <c r="AB759" s="633"/>
      <c r="AC759" s="818" t="s">
        <v>129</v>
      </c>
      <c r="AD759" s="811"/>
      <c r="AE759" s="633"/>
      <c r="AF759" s="633"/>
    </row>
    <row r="760" spans="1:32" ht="15.75">
      <c r="A760" s="643">
        <v>12001</v>
      </c>
      <c r="B760" s="644"/>
      <c r="C760" s="644" t="s">
        <v>1220</v>
      </c>
      <c r="D760" s="559" t="s">
        <v>221</v>
      </c>
      <c r="E760" s="545">
        <v>2200</v>
      </c>
      <c r="F760" s="649">
        <v>8.4</v>
      </c>
      <c r="G760" s="660" t="s">
        <v>129</v>
      </c>
      <c r="H760" s="636">
        <v>7.6</v>
      </c>
      <c r="I760" s="636">
        <v>9.8000000000000007</v>
      </c>
      <c r="J760" s="549">
        <v>50</v>
      </c>
      <c r="K760" s="554" t="s">
        <v>221</v>
      </c>
      <c r="L760" s="562">
        <v>15</v>
      </c>
      <c r="M760" s="549">
        <v>3000</v>
      </c>
      <c r="N760" s="592">
        <v>0.25</v>
      </c>
      <c r="O760" s="594">
        <v>5.35</v>
      </c>
      <c r="P760" s="590">
        <v>7</v>
      </c>
      <c r="Q760" s="432"/>
      <c r="R760" s="430" t="s">
        <v>129</v>
      </c>
      <c r="S760" s="496"/>
      <c r="T760" s="751">
        <v>186.5</v>
      </c>
      <c r="U760" s="445"/>
      <c r="V760" s="636">
        <v>3.9233333333333329</v>
      </c>
      <c r="W760" s="636"/>
      <c r="X760" s="445"/>
      <c r="Y760" s="761">
        <v>3.9233333333333329</v>
      </c>
      <c r="Z760" s="776">
        <v>8.4186666666666667</v>
      </c>
      <c r="AA760" s="788"/>
      <c r="AB760" s="811"/>
      <c r="AC760" s="818">
        <v>4.4000000000000004</v>
      </c>
      <c r="AD760" s="811" t="s">
        <v>633</v>
      </c>
      <c r="AE760" s="811">
        <v>0</v>
      </c>
      <c r="AF760" s="643">
        <v>12001</v>
      </c>
    </row>
    <row r="761" spans="1:32" ht="15.75">
      <c r="A761" s="643">
        <v>12002</v>
      </c>
      <c r="B761" s="644"/>
      <c r="C761" s="644" t="s">
        <v>1221</v>
      </c>
      <c r="D761" s="559" t="s">
        <v>221</v>
      </c>
      <c r="E761" s="545">
        <v>2800</v>
      </c>
      <c r="F761" s="649">
        <v>10</v>
      </c>
      <c r="G761" s="660" t="s">
        <v>129</v>
      </c>
      <c r="H761" s="636">
        <v>8.6999999999999993</v>
      </c>
      <c r="I761" s="636">
        <v>11.5</v>
      </c>
      <c r="J761" s="549">
        <v>50</v>
      </c>
      <c r="K761" s="554" t="s">
        <v>221</v>
      </c>
      <c r="L761" s="562">
        <v>15</v>
      </c>
      <c r="M761" s="549">
        <v>3000</v>
      </c>
      <c r="N761" s="592">
        <v>0.25</v>
      </c>
      <c r="O761" s="594">
        <v>4.4000000000000004</v>
      </c>
      <c r="P761" s="590">
        <v>9</v>
      </c>
      <c r="Q761" s="431">
        <v>0.02</v>
      </c>
      <c r="R761" s="430">
        <v>178.8</v>
      </c>
      <c r="S761" s="175"/>
      <c r="T761" s="751">
        <v>238</v>
      </c>
      <c r="U761" s="439">
        <v>2.3825000000000003</v>
      </c>
      <c r="V761" s="636">
        <v>4.1066666666666674</v>
      </c>
      <c r="W761" s="636"/>
      <c r="X761" s="439">
        <v>0.56000000000000005</v>
      </c>
      <c r="Y761" s="761">
        <v>4.1066666666666674</v>
      </c>
      <c r="Z761" s="776">
        <v>9.7533333333333339</v>
      </c>
      <c r="AA761" s="788"/>
      <c r="AB761" s="811"/>
      <c r="AC761" s="818">
        <v>5.6000000000000005</v>
      </c>
      <c r="AD761" s="811" t="s">
        <v>633</v>
      </c>
      <c r="AE761" s="811">
        <v>0</v>
      </c>
      <c r="AF761" s="643">
        <v>12002</v>
      </c>
    </row>
    <row r="762" spans="1:32" ht="31.5">
      <c r="A762" s="643">
        <v>12004</v>
      </c>
      <c r="B762" s="644"/>
      <c r="C762" s="644" t="s">
        <v>1222</v>
      </c>
      <c r="D762" s="612">
        <v>1</v>
      </c>
      <c r="E762" s="545">
        <v>1900</v>
      </c>
      <c r="F762" s="649">
        <v>6.8</v>
      </c>
      <c r="G762" s="696">
        <v>6.8</v>
      </c>
      <c r="H762" s="699">
        <v>6</v>
      </c>
      <c r="I762" s="699">
        <v>8.5</v>
      </c>
      <c r="J762" s="549">
        <v>50</v>
      </c>
      <c r="K762" s="554" t="s">
        <v>221</v>
      </c>
      <c r="L762" s="562">
        <v>12</v>
      </c>
      <c r="M762" s="549">
        <v>3000</v>
      </c>
      <c r="N762" s="592">
        <v>0.25</v>
      </c>
      <c r="O762" s="594">
        <v>3.5</v>
      </c>
      <c r="P762" s="590">
        <v>8</v>
      </c>
      <c r="Q762" s="431">
        <v>0.02</v>
      </c>
      <c r="R762" s="430">
        <v>1043</v>
      </c>
      <c r="S762" s="175">
        <v>60</v>
      </c>
      <c r="T762" s="751">
        <v>198.5</v>
      </c>
      <c r="U762" s="439">
        <v>13.475</v>
      </c>
      <c r="V762" s="636">
        <v>2.2166666666666668</v>
      </c>
      <c r="W762" s="636"/>
      <c r="X762" s="439">
        <v>0.56000000000000005</v>
      </c>
      <c r="Y762" s="761">
        <v>2.2166666666666668</v>
      </c>
      <c r="Z762" s="776">
        <v>6.8053333333333343</v>
      </c>
      <c r="AA762" s="793">
        <v>6.8053333333333343</v>
      </c>
      <c r="AB762" s="811"/>
      <c r="AC762" s="818">
        <v>3.8000000000000003</v>
      </c>
      <c r="AD762" s="811" t="s">
        <v>633</v>
      </c>
      <c r="AE762" s="811">
        <v>0</v>
      </c>
      <c r="AF762" s="643">
        <v>12004</v>
      </c>
    </row>
    <row r="763" spans="1:32" ht="15.75">
      <c r="A763" s="643">
        <v>12005</v>
      </c>
      <c r="B763" s="644"/>
      <c r="C763" s="644" t="s">
        <v>1223</v>
      </c>
      <c r="D763" s="612">
        <v>3</v>
      </c>
      <c r="E763" s="545">
        <v>6500</v>
      </c>
      <c r="F763" s="649">
        <v>14</v>
      </c>
      <c r="G763" s="696">
        <v>4.7</v>
      </c>
      <c r="H763" s="699">
        <v>4</v>
      </c>
      <c r="I763" s="699">
        <v>5.5</v>
      </c>
      <c r="J763" s="549">
        <v>80</v>
      </c>
      <c r="K763" s="554" t="s">
        <v>221</v>
      </c>
      <c r="L763" s="562">
        <v>12</v>
      </c>
      <c r="M763" s="549">
        <v>3000</v>
      </c>
      <c r="N763" s="592">
        <v>0.25</v>
      </c>
      <c r="O763" s="594">
        <v>2.4500000000000002</v>
      </c>
      <c r="P763" s="590">
        <v>17</v>
      </c>
      <c r="Q763" s="431">
        <v>0.02</v>
      </c>
      <c r="R763" s="430">
        <v>290.55</v>
      </c>
      <c r="S763" s="497">
        <v>66</v>
      </c>
      <c r="T763" s="751">
        <v>606.5</v>
      </c>
      <c r="U763" s="439">
        <v>4.2543750000000005</v>
      </c>
      <c r="V763" s="636">
        <v>5.3083333333333336</v>
      </c>
      <c r="W763" s="636"/>
      <c r="X763" s="439">
        <v>0.56000000000000005</v>
      </c>
      <c r="Y763" s="761">
        <v>5.3083333333333336</v>
      </c>
      <c r="Z763" s="776">
        <v>14.178541666666669</v>
      </c>
      <c r="AA763" s="793">
        <v>4.7261805555555565</v>
      </c>
      <c r="AB763" s="811"/>
      <c r="AC763" s="818">
        <v>13</v>
      </c>
      <c r="AD763" s="811" t="s">
        <v>633</v>
      </c>
      <c r="AE763" s="811">
        <v>0</v>
      </c>
      <c r="AF763" s="643">
        <v>12005</v>
      </c>
    </row>
    <row r="764" spans="1:32" ht="15.75">
      <c r="A764" s="643">
        <v>12006</v>
      </c>
      <c r="B764" s="644"/>
      <c r="C764" s="644" t="s">
        <v>1224</v>
      </c>
      <c r="D764" s="612">
        <v>3</v>
      </c>
      <c r="E764" s="545">
        <v>2800</v>
      </c>
      <c r="F764" s="649">
        <v>7.4</v>
      </c>
      <c r="G764" s="696">
        <v>2.5</v>
      </c>
      <c r="H764" s="699">
        <v>2.5</v>
      </c>
      <c r="I764" s="699">
        <v>3</v>
      </c>
      <c r="J764" s="549">
        <v>80</v>
      </c>
      <c r="K764" s="554" t="s">
        <v>221</v>
      </c>
      <c r="L764" s="562">
        <v>12</v>
      </c>
      <c r="M764" s="549">
        <v>3000</v>
      </c>
      <c r="N764" s="592">
        <v>0.25</v>
      </c>
      <c r="O764" s="594">
        <v>4.4000000000000004</v>
      </c>
      <c r="P764" s="590">
        <v>0</v>
      </c>
      <c r="Q764" s="431">
        <v>0.02</v>
      </c>
      <c r="R764" s="430">
        <v>80.039999999999992</v>
      </c>
      <c r="S764" s="175">
        <v>72</v>
      </c>
      <c r="T764" s="751">
        <v>210</v>
      </c>
      <c r="U764" s="439">
        <v>3.0375999999999999</v>
      </c>
      <c r="V764" s="636">
        <v>4.1066666666666674</v>
      </c>
      <c r="W764" s="636"/>
      <c r="X764" s="439">
        <v>0.56000000000000005</v>
      </c>
      <c r="Y764" s="761">
        <v>4.1066666666666674</v>
      </c>
      <c r="Z764" s="776">
        <v>7.4048333333333343</v>
      </c>
      <c r="AA764" s="793">
        <v>2.4682777777777782</v>
      </c>
      <c r="AB764" s="811"/>
      <c r="AC764" s="818">
        <v>5.6000000000000005</v>
      </c>
      <c r="AD764" s="811" t="s">
        <v>633</v>
      </c>
      <c r="AE764" s="811">
        <v>0</v>
      </c>
      <c r="AF764" s="643">
        <v>12006</v>
      </c>
    </row>
    <row r="765" spans="1:32" ht="15.75">
      <c r="A765" s="643">
        <v>12007</v>
      </c>
      <c r="B765" s="644"/>
      <c r="C765" s="644" t="s">
        <v>1225</v>
      </c>
      <c r="D765" s="612">
        <v>4</v>
      </c>
      <c r="E765" s="545">
        <v>12500</v>
      </c>
      <c r="F765" s="649">
        <v>22</v>
      </c>
      <c r="G765" s="696">
        <v>5.4</v>
      </c>
      <c r="H765" s="699">
        <v>4.5</v>
      </c>
      <c r="I765" s="699">
        <v>6.5</v>
      </c>
      <c r="J765" s="549">
        <v>80</v>
      </c>
      <c r="K765" s="554" t="s">
        <v>221</v>
      </c>
      <c r="L765" s="562">
        <v>12</v>
      </c>
      <c r="M765" s="549">
        <v>3000</v>
      </c>
      <c r="N765" s="592">
        <v>0.25</v>
      </c>
      <c r="O765" s="594">
        <v>1.35</v>
      </c>
      <c r="P765" s="590">
        <v>26</v>
      </c>
      <c r="Q765" s="431">
        <v>0.02</v>
      </c>
      <c r="R765" s="430">
        <v>126.65</v>
      </c>
      <c r="S765" s="497">
        <v>90</v>
      </c>
      <c r="T765" s="751">
        <v>1119.5</v>
      </c>
      <c r="U765" s="439">
        <v>5.0012500000000006</v>
      </c>
      <c r="V765" s="636">
        <v>5.6250000000000009</v>
      </c>
      <c r="W765" s="636"/>
      <c r="X765" s="439">
        <v>0.56000000000000005</v>
      </c>
      <c r="Y765" s="761">
        <v>5.6250000000000009</v>
      </c>
      <c r="Z765" s="776">
        <v>21.580625000000005</v>
      </c>
      <c r="AA765" s="793">
        <v>5.3951562500000012</v>
      </c>
      <c r="AB765" s="811"/>
      <c r="AC765" s="818">
        <v>25</v>
      </c>
      <c r="AD765" s="811" t="s">
        <v>633</v>
      </c>
      <c r="AE765" s="811">
        <v>0</v>
      </c>
      <c r="AF765" s="643">
        <v>12007</v>
      </c>
    </row>
    <row r="766" spans="1:32" ht="31.5">
      <c r="A766" s="643">
        <v>12008</v>
      </c>
      <c r="B766" s="644"/>
      <c r="C766" s="644" t="s">
        <v>1226</v>
      </c>
      <c r="D766" s="612">
        <v>4</v>
      </c>
      <c r="E766" s="545">
        <v>11500</v>
      </c>
      <c r="F766" s="649">
        <v>24</v>
      </c>
      <c r="G766" s="696">
        <v>6.1</v>
      </c>
      <c r="H766" s="699">
        <v>5.5</v>
      </c>
      <c r="I766" s="699">
        <v>7.5</v>
      </c>
      <c r="J766" s="549">
        <v>80</v>
      </c>
      <c r="K766" s="554">
        <v>50</v>
      </c>
      <c r="L766" s="562">
        <v>12</v>
      </c>
      <c r="M766" s="549">
        <v>3000</v>
      </c>
      <c r="N766" s="592">
        <v>0.25</v>
      </c>
      <c r="O766" s="594">
        <v>1.2</v>
      </c>
      <c r="P766" s="590">
        <v>26</v>
      </c>
      <c r="Q766" s="431">
        <v>0.02</v>
      </c>
      <c r="R766" s="430">
        <v>618.35</v>
      </c>
      <c r="S766" s="175">
        <v>84</v>
      </c>
      <c r="T766" s="751">
        <v>1044.5</v>
      </c>
      <c r="U766" s="439">
        <v>3.5597500000000002</v>
      </c>
      <c r="V766" s="636">
        <v>4.5999999999999996</v>
      </c>
      <c r="W766" s="636">
        <v>4.375</v>
      </c>
      <c r="X766" s="439">
        <v>0.56000000000000005</v>
      </c>
      <c r="Y766" s="761">
        <v>8.9749999999999996</v>
      </c>
      <c r="Z766" s="776">
        <v>24.234375000000004</v>
      </c>
      <c r="AA766" s="793">
        <v>6.0585937500000009</v>
      </c>
      <c r="AB766" s="812">
        <v>10</v>
      </c>
      <c r="AC766" s="818">
        <v>23</v>
      </c>
      <c r="AD766" s="811" t="s">
        <v>633</v>
      </c>
      <c r="AE766" s="811">
        <v>2</v>
      </c>
      <c r="AF766" s="643">
        <v>12008</v>
      </c>
    </row>
    <row r="767" spans="1:32" ht="15.75">
      <c r="A767" s="643">
        <v>12009</v>
      </c>
      <c r="B767" s="644" t="s">
        <v>411</v>
      </c>
      <c r="C767" s="644" t="s">
        <v>1227</v>
      </c>
      <c r="D767" s="612"/>
      <c r="E767" s="545">
        <v>3700</v>
      </c>
      <c r="F767" s="546"/>
      <c r="G767" s="696">
        <v>4.5</v>
      </c>
      <c r="H767" s="699">
        <v>4.2</v>
      </c>
      <c r="I767" s="699">
        <v>4.8</v>
      </c>
      <c r="J767" s="615">
        <v>400</v>
      </c>
      <c r="K767" s="554" t="s">
        <v>221</v>
      </c>
      <c r="L767" s="562">
        <v>12</v>
      </c>
      <c r="M767" s="615">
        <v>7000</v>
      </c>
      <c r="N767" s="592">
        <v>0.1</v>
      </c>
      <c r="O767" s="594">
        <v>2.2000000000000002</v>
      </c>
      <c r="P767" s="590">
        <v>10</v>
      </c>
      <c r="Q767" s="431">
        <v>0.02</v>
      </c>
      <c r="R767" s="430">
        <v>1199.8333333333335</v>
      </c>
      <c r="S767" s="497">
        <v>6</v>
      </c>
      <c r="T767" s="751">
        <v>390.41999999999996</v>
      </c>
      <c r="U767" s="442">
        <v>2.6276666666666668</v>
      </c>
      <c r="V767" s="699">
        <v>1.162857142857143</v>
      </c>
      <c r="W767" s="699">
        <v>1.9104477611940298</v>
      </c>
      <c r="X767" s="442">
        <v>0.56000000000000005</v>
      </c>
      <c r="Y767" s="770">
        <v>3.0733049040511728</v>
      </c>
      <c r="Z767" s="776"/>
      <c r="AA767" s="793">
        <v>4.4542903944562902</v>
      </c>
      <c r="AB767" s="811"/>
      <c r="AC767" s="818">
        <v>7.4</v>
      </c>
      <c r="AD767" s="811" t="s">
        <v>383</v>
      </c>
      <c r="AE767" s="811">
        <v>0</v>
      </c>
      <c r="AF767" s="643">
        <v>12009</v>
      </c>
    </row>
    <row r="768" spans="1:32" ht="15.75">
      <c r="A768" s="643">
        <v>12010</v>
      </c>
      <c r="B768" s="644"/>
      <c r="C768" s="644" t="s">
        <v>1228</v>
      </c>
      <c r="D768" s="612">
        <v>3</v>
      </c>
      <c r="E768" s="545">
        <v>19000</v>
      </c>
      <c r="F768" s="649">
        <v>22</v>
      </c>
      <c r="G768" s="696">
        <v>7.3</v>
      </c>
      <c r="H768" s="699">
        <v>6.5</v>
      </c>
      <c r="I768" s="699">
        <v>9</v>
      </c>
      <c r="J768" s="549">
        <v>120</v>
      </c>
      <c r="K768" s="554" t="s">
        <v>221</v>
      </c>
      <c r="L768" s="562">
        <v>12</v>
      </c>
      <c r="M768" s="549">
        <v>3000</v>
      </c>
      <c r="N768" s="592">
        <v>0.25</v>
      </c>
      <c r="O768" s="594">
        <v>1.1000000000000001</v>
      </c>
      <c r="P768" s="590">
        <v>18</v>
      </c>
      <c r="Q768" s="433">
        <v>0.01</v>
      </c>
      <c r="R768" s="430">
        <v>262.98</v>
      </c>
      <c r="S768" s="175">
        <v>6</v>
      </c>
      <c r="T768" s="751">
        <v>1551</v>
      </c>
      <c r="U768" s="442">
        <v>3.5183076923076921</v>
      </c>
      <c r="V768" s="636">
        <v>6.9666666666666668</v>
      </c>
      <c r="W768" s="636"/>
      <c r="X768" s="442">
        <v>0.28000000000000003</v>
      </c>
      <c r="Y768" s="761">
        <v>6.9666666666666668</v>
      </c>
      <c r="Z768" s="776">
        <v>21.880833333333335</v>
      </c>
      <c r="AA768" s="793">
        <v>7.2936111111111117</v>
      </c>
      <c r="AB768" s="811"/>
      <c r="AC768" s="818">
        <v>38</v>
      </c>
      <c r="AD768" s="811" t="s">
        <v>633</v>
      </c>
      <c r="AE768" s="811">
        <v>0</v>
      </c>
      <c r="AF768" s="643">
        <v>12010</v>
      </c>
    </row>
    <row r="769" spans="1:32" ht="15.75">
      <c r="A769" s="643">
        <v>12012</v>
      </c>
      <c r="B769" s="644"/>
      <c r="C769" s="644" t="s">
        <v>1229</v>
      </c>
      <c r="D769" s="559" t="s">
        <v>221</v>
      </c>
      <c r="E769" s="545">
        <v>6100</v>
      </c>
      <c r="F769" s="649">
        <v>17</v>
      </c>
      <c r="G769" s="660" t="s">
        <v>129</v>
      </c>
      <c r="H769" s="636"/>
      <c r="I769" s="636"/>
      <c r="J769" s="549">
        <v>40</v>
      </c>
      <c r="K769" s="554" t="s">
        <v>221</v>
      </c>
      <c r="L769" s="562">
        <v>15</v>
      </c>
      <c r="M769" s="549">
        <v>2000</v>
      </c>
      <c r="N769" s="592">
        <v>0.25</v>
      </c>
      <c r="O769" s="594">
        <v>1.5</v>
      </c>
      <c r="P769" s="590">
        <v>7</v>
      </c>
      <c r="Q769" s="433">
        <v>1E-3</v>
      </c>
      <c r="R769" s="430">
        <v>238.96</v>
      </c>
      <c r="S769" s="506">
        <v>120</v>
      </c>
      <c r="T769" s="751">
        <v>430.25</v>
      </c>
      <c r="U769" s="452">
        <v>6.294000000000001E-2</v>
      </c>
      <c r="V769" s="636">
        <v>4.5749999999999993</v>
      </c>
      <c r="W769" s="636"/>
      <c r="X769" s="452">
        <v>2.8000000000000001E-2</v>
      </c>
      <c r="Y769" s="761">
        <v>4.5749999999999993</v>
      </c>
      <c r="Z769" s="776">
        <v>16.864374999999999</v>
      </c>
      <c r="AA769" s="788"/>
      <c r="AB769" s="811"/>
      <c r="AC769" s="818">
        <v>12.200000000000001</v>
      </c>
      <c r="AD769" s="811" t="s">
        <v>633</v>
      </c>
      <c r="AE769" s="811">
        <v>0</v>
      </c>
      <c r="AF769" s="643">
        <v>12012</v>
      </c>
    </row>
    <row r="770" spans="1:32" ht="15.75">
      <c r="A770" s="633"/>
      <c r="B770" s="634"/>
      <c r="C770" s="633"/>
      <c r="D770" s="551"/>
      <c r="E770" s="545"/>
      <c r="F770" s="546"/>
      <c r="G770" s="635" t="s">
        <v>129</v>
      </c>
      <c r="H770" s="636"/>
      <c r="I770" s="636"/>
      <c r="J770" s="549"/>
      <c r="K770" s="635"/>
      <c r="L770" s="633"/>
      <c r="M770" s="549"/>
      <c r="N770" s="592" t="s">
        <v>129</v>
      </c>
      <c r="O770" s="594" t="s">
        <v>129</v>
      </c>
      <c r="P770" s="743"/>
      <c r="Q770" s="431">
        <v>0.1</v>
      </c>
      <c r="R770" s="430">
        <v>130.5</v>
      </c>
      <c r="S770" s="175">
        <v>42</v>
      </c>
      <c r="T770" s="751" t="s">
        <v>129</v>
      </c>
      <c r="U770" s="439">
        <v>6.74</v>
      </c>
      <c r="V770" s="636"/>
      <c r="W770" s="636"/>
      <c r="X770" s="439">
        <v>2.8000000000000003</v>
      </c>
      <c r="Y770" s="761" t="s">
        <v>129</v>
      </c>
      <c r="Z770" s="776"/>
      <c r="AA770" s="777"/>
      <c r="AB770" s="633"/>
      <c r="AC770" s="818" t="s">
        <v>129</v>
      </c>
      <c r="AD770" s="811"/>
      <c r="AE770" s="811"/>
      <c r="AF770" s="633"/>
    </row>
    <row r="771" spans="1:32" ht="15.75">
      <c r="A771" s="624">
        <v>12020</v>
      </c>
      <c r="B771" s="625"/>
      <c r="C771" s="626" t="s">
        <v>1230</v>
      </c>
      <c r="D771" s="627"/>
      <c r="E771" s="628"/>
      <c r="F771" s="629"/>
      <c r="G771" s="630" t="s">
        <v>129</v>
      </c>
      <c r="H771" s="631"/>
      <c r="I771" s="631"/>
      <c r="J771" s="632"/>
      <c r="K771" s="632"/>
      <c r="L771" s="627"/>
      <c r="M771" s="632"/>
      <c r="N771" s="739" t="s">
        <v>129</v>
      </c>
      <c r="O771" s="744" t="s">
        <v>129</v>
      </c>
      <c r="P771" s="742"/>
      <c r="Q771" s="431">
        <v>0.02</v>
      </c>
      <c r="R771" s="430">
        <v>1026.5999999999999</v>
      </c>
      <c r="S771" s="497">
        <v>402</v>
      </c>
      <c r="T771" s="750" t="s">
        <v>129</v>
      </c>
      <c r="U771" s="453">
        <v>4.6487999999999996</v>
      </c>
      <c r="V771" s="631"/>
      <c r="W771" s="631"/>
      <c r="X771" s="453">
        <v>0.56000000000000005</v>
      </c>
      <c r="Y771" s="763" t="s">
        <v>129</v>
      </c>
      <c r="Z771" s="774"/>
      <c r="AA771" s="775"/>
      <c r="AB771" s="810"/>
      <c r="AC771" s="817" t="s">
        <v>129</v>
      </c>
      <c r="AD771" s="810"/>
      <c r="AE771" s="810"/>
      <c r="AF771" s="624">
        <v>12020</v>
      </c>
    </row>
    <row r="772" spans="1:32" ht="15.75">
      <c r="A772" s="633"/>
      <c r="B772" s="634"/>
      <c r="C772" s="633"/>
      <c r="D772" s="551"/>
      <c r="E772" s="545"/>
      <c r="F772" s="546"/>
      <c r="G772" s="635" t="s">
        <v>129</v>
      </c>
      <c r="H772" s="636"/>
      <c r="I772" s="636"/>
      <c r="J772" s="549"/>
      <c r="K772" s="635"/>
      <c r="L772" s="633"/>
      <c r="M772" s="549"/>
      <c r="N772" s="592" t="s">
        <v>129</v>
      </c>
      <c r="O772" s="594" t="s">
        <v>129</v>
      </c>
      <c r="P772" s="743"/>
      <c r="Q772" s="433">
        <v>5.0000000000000001E-3</v>
      </c>
      <c r="R772" s="430">
        <v>663.05</v>
      </c>
      <c r="S772" s="175"/>
      <c r="T772" s="751" t="s">
        <v>129</v>
      </c>
      <c r="U772" s="453">
        <v>1.5856999999999999</v>
      </c>
      <c r="V772" s="636"/>
      <c r="W772" s="636"/>
      <c r="X772" s="453">
        <v>0.14000000000000001</v>
      </c>
      <c r="Y772" s="761" t="s">
        <v>129</v>
      </c>
      <c r="Z772" s="776"/>
      <c r="AA772" s="777"/>
      <c r="AB772" s="633"/>
      <c r="AC772" s="818" t="s">
        <v>129</v>
      </c>
      <c r="AD772" s="811"/>
      <c r="AE772" s="811"/>
      <c r="AF772" s="633"/>
    </row>
    <row r="773" spans="1:32" ht="15.75">
      <c r="A773" s="643">
        <v>12022</v>
      </c>
      <c r="B773" s="644"/>
      <c r="C773" s="644" t="s">
        <v>1231</v>
      </c>
      <c r="D773" s="559" t="s">
        <v>221</v>
      </c>
      <c r="E773" s="545">
        <v>8600</v>
      </c>
      <c r="F773" s="649">
        <v>9</v>
      </c>
      <c r="G773" s="660" t="s">
        <v>129</v>
      </c>
      <c r="H773" s="636">
        <v>8</v>
      </c>
      <c r="I773" s="636">
        <v>11</v>
      </c>
      <c r="J773" s="549">
        <v>125</v>
      </c>
      <c r="K773" s="554" t="s">
        <v>221</v>
      </c>
      <c r="L773" s="562">
        <v>12</v>
      </c>
      <c r="M773" s="549">
        <v>5000</v>
      </c>
      <c r="N773" s="592">
        <v>0.25</v>
      </c>
      <c r="O773" s="594">
        <v>1.5</v>
      </c>
      <c r="P773" s="590">
        <v>10</v>
      </c>
      <c r="Q773" s="433">
        <v>5.0000000000000001E-3</v>
      </c>
      <c r="R773" s="430">
        <v>208.8</v>
      </c>
      <c r="S773" s="496"/>
      <c r="T773" s="751">
        <v>715</v>
      </c>
      <c r="U773" s="453">
        <v>1.2080000000000002</v>
      </c>
      <c r="V773" s="636">
        <v>2.58</v>
      </c>
      <c r="W773" s="636"/>
      <c r="X773" s="453">
        <v>0.14000000000000001</v>
      </c>
      <c r="Y773" s="761">
        <v>2.58</v>
      </c>
      <c r="Z773" s="776">
        <v>9.1300000000000008</v>
      </c>
      <c r="AA773" s="788"/>
      <c r="AB773" s="811"/>
      <c r="AC773" s="818">
        <v>17.2</v>
      </c>
      <c r="AD773" s="811" t="s">
        <v>633</v>
      </c>
      <c r="AE773" s="811">
        <v>0</v>
      </c>
      <c r="AF773" s="643">
        <v>12022</v>
      </c>
    </row>
    <row r="774" spans="1:32" ht="15.75">
      <c r="A774" s="643">
        <v>12023</v>
      </c>
      <c r="B774" s="644"/>
      <c r="C774" s="644" t="s">
        <v>1232</v>
      </c>
      <c r="D774" s="559" t="s">
        <v>221</v>
      </c>
      <c r="E774" s="545">
        <v>13000</v>
      </c>
      <c r="F774" s="649">
        <v>10</v>
      </c>
      <c r="G774" s="660" t="s">
        <v>129</v>
      </c>
      <c r="H774" s="636">
        <v>8.5</v>
      </c>
      <c r="I774" s="636">
        <v>12</v>
      </c>
      <c r="J774" s="549">
        <v>175</v>
      </c>
      <c r="K774" s="554" t="s">
        <v>221</v>
      </c>
      <c r="L774" s="562">
        <v>12</v>
      </c>
      <c r="M774" s="549">
        <v>6000</v>
      </c>
      <c r="N774" s="592">
        <v>0.25</v>
      </c>
      <c r="O774" s="594">
        <v>1.35</v>
      </c>
      <c r="P774" s="590">
        <v>11</v>
      </c>
      <c r="Q774" s="433"/>
      <c r="R774" s="430" t="s">
        <v>129</v>
      </c>
      <c r="S774" s="175"/>
      <c r="T774" s="751">
        <v>1052</v>
      </c>
      <c r="U774" s="453"/>
      <c r="V774" s="636">
        <v>2.9249999999999998</v>
      </c>
      <c r="W774" s="636"/>
      <c r="X774" s="453"/>
      <c r="Y774" s="761">
        <v>2.9249999999999998</v>
      </c>
      <c r="Z774" s="776">
        <v>9.8300714285714292</v>
      </c>
      <c r="AA774" s="788"/>
      <c r="AB774" s="811"/>
      <c r="AC774" s="818">
        <v>26</v>
      </c>
      <c r="AD774" s="811" t="s">
        <v>633</v>
      </c>
      <c r="AE774" s="811">
        <v>0</v>
      </c>
      <c r="AF774" s="643">
        <v>12023</v>
      </c>
    </row>
    <row r="775" spans="1:32" ht="15.75">
      <c r="A775" s="643">
        <v>12033</v>
      </c>
      <c r="B775" s="644"/>
      <c r="C775" s="644" t="s">
        <v>1233</v>
      </c>
      <c r="D775" s="559" t="s">
        <v>221</v>
      </c>
      <c r="E775" s="545">
        <v>21000</v>
      </c>
      <c r="F775" s="649">
        <v>13</v>
      </c>
      <c r="G775" s="660" t="s">
        <v>129</v>
      </c>
      <c r="H775" s="636">
        <v>11.5</v>
      </c>
      <c r="I775" s="636">
        <v>16</v>
      </c>
      <c r="J775" s="549">
        <v>200</v>
      </c>
      <c r="K775" s="554" t="s">
        <v>221</v>
      </c>
      <c r="L775" s="562">
        <v>12</v>
      </c>
      <c r="M775" s="549">
        <v>7000</v>
      </c>
      <c r="N775" s="592">
        <v>0.25</v>
      </c>
      <c r="O775" s="594">
        <v>1.2</v>
      </c>
      <c r="P775" s="590">
        <v>12</v>
      </c>
      <c r="Q775" s="431"/>
      <c r="R775" s="430" t="s">
        <v>129</v>
      </c>
      <c r="S775" s="497">
        <v>144</v>
      </c>
      <c r="T775" s="751">
        <v>1659</v>
      </c>
      <c r="U775" s="440"/>
      <c r="V775" s="636">
        <v>3.5999999999999996</v>
      </c>
      <c r="W775" s="636"/>
      <c r="X775" s="439"/>
      <c r="Y775" s="761">
        <v>3.5999999999999996</v>
      </c>
      <c r="Z775" s="776">
        <v>13.0845</v>
      </c>
      <c r="AA775" s="788"/>
      <c r="AB775" s="811"/>
      <c r="AC775" s="818">
        <v>42</v>
      </c>
      <c r="AD775" s="811" t="s">
        <v>633</v>
      </c>
      <c r="AE775" s="811">
        <v>0</v>
      </c>
      <c r="AF775" s="643">
        <v>12033</v>
      </c>
    </row>
    <row r="776" spans="1:32" ht="15.75">
      <c r="A776" s="643">
        <v>12034</v>
      </c>
      <c r="B776" s="644"/>
      <c r="C776" s="644" t="s">
        <v>1234</v>
      </c>
      <c r="D776" s="559" t="s">
        <v>221</v>
      </c>
      <c r="E776" s="545">
        <v>29000</v>
      </c>
      <c r="F776" s="649">
        <v>14.5</v>
      </c>
      <c r="G776" s="660" t="s">
        <v>129</v>
      </c>
      <c r="H776" s="636">
        <v>12.5</v>
      </c>
      <c r="I776" s="636">
        <v>18</v>
      </c>
      <c r="J776" s="549">
        <v>250</v>
      </c>
      <c r="K776" s="554" t="s">
        <v>221</v>
      </c>
      <c r="L776" s="562">
        <v>12</v>
      </c>
      <c r="M776" s="549">
        <v>8000</v>
      </c>
      <c r="N776" s="592">
        <v>0.25</v>
      </c>
      <c r="O776" s="594">
        <v>1.1499999999999999</v>
      </c>
      <c r="P776" s="590">
        <v>15</v>
      </c>
      <c r="Q776" s="431"/>
      <c r="R776" s="430" t="s">
        <v>129</v>
      </c>
      <c r="S776" s="175">
        <v>144</v>
      </c>
      <c r="T776" s="751">
        <v>2280</v>
      </c>
      <c r="U776" s="440"/>
      <c r="V776" s="636">
        <v>4.1687499999999993</v>
      </c>
      <c r="W776" s="636"/>
      <c r="X776" s="439"/>
      <c r="Y776" s="761">
        <v>4.1687499999999993</v>
      </c>
      <c r="Z776" s="776">
        <v>14.617625</v>
      </c>
      <c r="AA776" s="788"/>
      <c r="AB776" s="811"/>
      <c r="AC776" s="818">
        <v>58</v>
      </c>
      <c r="AD776" s="811" t="s">
        <v>633</v>
      </c>
      <c r="AE776" s="811">
        <v>0</v>
      </c>
      <c r="AF776" s="643">
        <v>12034</v>
      </c>
    </row>
    <row r="777" spans="1:32" ht="15.75">
      <c r="A777" s="643">
        <v>12024</v>
      </c>
      <c r="B777" s="644"/>
      <c r="C777" s="644" t="s">
        <v>1235</v>
      </c>
      <c r="D777" s="559" t="s">
        <v>221</v>
      </c>
      <c r="E777" s="545">
        <v>25000</v>
      </c>
      <c r="F777" s="649">
        <v>19</v>
      </c>
      <c r="G777" s="660" t="s">
        <v>129</v>
      </c>
      <c r="H777" s="636">
        <v>17</v>
      </c>
      <c r="I777" s="636">
        <v>23</v>
      </c>
      <c r="J777" s="549">
        <v>175</v>
      </c>
      <c r="K777" s="554" t="s">
        <v>221</v>
      </c>
      <c r="L777" s="562">
        <v>12</v>
      </c>
      <c r="M777" s="549">
        <v>5000</v>
      </c>
      <c r="N777" s="592">
        <v>0.25</v>
      </c>
      <c r="O777" s="594">
        <v>1.2</v>
      </c>
      <c r="P777" s="590">
        <v>14</v>
      </c>
      <c r="Q777" s="429"/>
      <c r="R777" s="430" t="s">
        <v>129</v>
      </c>
      <c r="S777" s="497">
        <v>294</v>
      </c>
      <c r="T777" s="751">
        <v>1973</v>
      </c>
      <c r="U777" s="438"/>
      <c r="V777" s="636">
        <v>6</v>
      </c>
      <c r="W777" s="636"/>
      <c r="X777" s="438"/>
      <c r="Y777" s="761">
        <v>6</v>
      </c>
      <c r="Z777" s="776">
        <v>19.001714285714286</v>
      </c>
      <c r="AA777" s="788"/>
      <c r="AB777" s="811"/>
      <c r="AC777" s="818">
        <v>50</v>
      </c>
      <c r="AD777" s="811" t="s">
        <v>633</v>
      </c>
      <c r="AE777" s="811">
        <v>0</v>
      </c>
      <c r="AF777" s="643">
        <v>12024</v>
      </c>
    </row>
    <row r="778" spans="1:32" ht="15.75">
      <c r="A778" s="643">
        <v>12025</v>
      </c>
      <c r="B778" s="644"/>
      <c r="C778" s="644" t="s">
        <v>1236</v>
      </c>
      <c r="D778" s="559" t="s">
        <v>221</v>
      </c>
      <c r="E778" s="545">
        <v>2300</v>
      </c>
      <c r="F778" s="649">
        <v>2.2000000000000002</v>
      </c>
      <c r="G778" s="660" t="s">
        <v>129</v>
      </c>
      <c r="H778" s="636">
        <v>2</v>
      </c>
      <c r="I778" s="636">
        <v>2.7</v>
      </c>
      <c r="J778" s="549">
        <v>175</v>
      </c>
      <c r="K778" s="554" t="s">
        <v>221</v>
      </c>
      <c r="L778" s="562">
        <v>12</v>
      </c>
      <c r="M778" s="549">
        <v>3000</v>
      </c>
      <c r="N778" s="592">
        <v>0.1</v>
      </c>
      <c r="O778" s="594">
        <v>1.1000000000000001</v>
      </c>
      <c r="P778" s="590">
        <v>1</v>
      </c>
      <c r="Q778" s="432"/>
      <c r="R778" s="430" t="s">
        <v>129</v>
      </c>
      <c r="S778" s="175"/>
      <c r="T778" s="751">
        <v>206.18</v>
      </c>
      <c r="U778" s="432"/>
      <c r="V778" s="636">
        <v>0.84333333333333349</v>
      </c>
      <c r="W778" s="636"/>
      <c r="X778" s="432"/>
      <c r="Y778" s="761">
        <v>0.84333333333333349</v>
      </c>
      <c r="Z778" s="776">
        <v>2.2236552380952386</v>
      </c>
      <c r="AA778" s="788"/>
      <c r="AB778" s="811"/>
      <c r="AC778" s="818">
        <v>4.6000000000000005</v>
      </c>
      <c r="AD778" s="811" t="s">
        <v>633</v>
      </c>
      <c r="AE778" s="811">
        <v>0</v>
      </c>
      <c r="AF778" s="643">
        <v>12025</v>
      </c>
    </row>
    <row r="779" spans="1:32" ht="15.75">
      <c r="A779" s="643">
        <v>12026</v>
      </c>
      <c r="B779" s="644"/>
      <c r="C779" s="644" t="s">
        <v>1237</v>
      </c>
      <c r="D779" s="559" t="s">
        <v>221</v>
      </c>
      <c r="E779" s="545">
        <v>2500</v>
      </c>
      <c r="F779" s="649">
        <v>2.4</v>
      </c>
      <c r="G779" s="660" t="s">
        <v>129</v>
      </c>
      <c r="H779" s="636">
        <v>2.1</v>
      </c>
      <c r="I779" s="636">
        <v>2.8</v>
      </c>
      <c r="J779" s="549">
        <v>175</v>
      </c>
      <c r="K779" s="554" t="s">
        <v>221</v>
      </c>
      <c r="L779" s="562">
        <v>12</v>
      </c>
      <c r="M779" s="549">
        <v>3000</v>
      </c>
      <c r="N779" s="592">
        <v>0.1</v>
      </c>
      <c r="O779" s="594">
        <v>1.05</v>
      </c>
      <c r="P779" s="590">
        <v>1</v>
      </c>
      <c r="Q779" s="431">
        <v>0.1</v>
      </c>
      <c r="R779" s="430">
        <v>223.5</v>
      </c>
      <c r="S779" s="496"/>
      <c r="T779" s="751">
        <v>223.5</v>
      </c>
      <c r="U779" s="439">
        <v>5.57</v>
      </c>
      <c r="V779" s="636">
        <v>0.87500000000000011</v>
      </c>
      <c r="W779" s="636"/>
      <c r="X779" s="439">
        <v>2.8000000000000003</v>
      </c>
      <c r="Y779" s="761">
        <v>0.87500000000000011</v>
      </c>
      <c r="Z779" s="776">
        <v>2.3673571428571432</v>
      </c>
      <c r="AA779" s="788"/>
      <c r="AB779" s="811"/>
      <c r="AC779" s="818">
        <v>5</v>
      </c>
      <c r="AD779" s="811" t="s">
        <v>633</v>
      </c>
      <c r="AE779" s="811">
        <v>0</v>
      </c>
      <c r="AF779" s="643">
        <v>12026</v>
      </c>
    </row>
    <row r="780" spans="1:32" ht="15.75">
      <c r="A780" s="643">
        <v>12030</v>
      </c>
      <c r="B780" s="644"/>
      <c r="C780" s="644" t="s">
        <v>1238</v>
      </c>
      <c r="D780" s="551"/>
      <c r="E780" s="545">
        <v>3700</v>
      </c>
      <c r="F780" s="649">
        <v>8.6999999999999993</v>
      </c>
      <c r="G780" s="724" t="s">
        <v>129</v>
      </c>
      <c r="H780" s="636">
        <v>7.5</v>
      </c>
      <c r="I780" s="636">
        <v>10.7</v>
      </c>
      <c r="J780" s="549">
        <v>75</v>
      </c>
      <c r="K780" s="554"/>
      <c r="L780" s="562">
        <v>12</v>
      </c>
      <c r="M780" s="549">
        <v>5000</v>
      </c>
      <c r="N780" s="592">
        <v>0.25</v>
      </c>
      <c r="O780" s="594">
        <v>3.15</v>
      </c>
      <c r="P780" s="590">
        <v>20</v>
      </c>
      <c r="Q780" s="431">
        <v>0.1</v>
      </c>
      <c r="R780" s="430">
        <v>238.4</v>
      </c>
      <c r="S780" s="175"/>
      <c r="T780" s="751">
        <v>417.5</v>
      </c>
      <c r="U780" s="439">
        <v>6.1559999999999988</v>
      </c>
      <c r="V780" s="548">
        <v>2.331</v>
      </c>
      <c r="W780" s="548"/>
      <c r="X780" s="439">
        <v>2.8000000000000003</v>
      </c>
      <c r="Y780" s="761">
        <v>2.331</v>
      </c>
      <c r="Z780" s="596">
        <v>8.6874333333333329</v>
      </c>
      <c r="AA780" s="805"/>
      <c r="AB780" s="815"/>
      <c r="AC780" s="818">
        <v>7.4</v>
      </c>
      <c r="AD780" s="811" t="s">
        <v>633</v>
      </c>
      <c r="AE780" s="811">
        <v>0</v>
      </c>
      <c r="AF780" s="643">
        <v>12030</v>
      </c>
    </row>
    <row r="781" spans="1:32" ht="15.75">
      <c r="A781" s="643">
        <v>12031</v>
      </c>
      <c r="B781" s="644"/>
      <c r="C781" s="644" t="s">
        <v>1239</v>
      </c>
      <c r="D781" s="559" t="s">
        <v>221</v>
      </c>
      <c r="E781" s="545">
        <v>5800</v>
      </c>
      <c r="F781" s="649">
        <v>11.5</v>
      </c>
      <c r="G781" s="660" t="s">
        <v>129</v>
      </c>
      <c r="H781" s="636">
        <v>9.5</v>
      </c>
      <c r="I781" s="636">
        <v>14.3</v>
      </c>
      <c r="J781" s="549">
        <v>50</v>
      </c>
      <c r="K781" s="554" t="s">
        <v>221</v>
      </c>
      <c r="L781" s="562">
        <v>15</v>
      </c>
      <c r="M781" s="549">
        <v>4000</v>
      </c>
      <c r="N781" s="592">
        <v>0.25</v>
      </c>
      <c r="O781" s="594">
        <v>1.4</v>
      </c>
      <c r="P781" s="590">
        <v>7</v>
      </c>
      <c r="Q781" s="431">
        <v>0.05</v>
      </c>
      <c r="R781" s="430">
        <v>287.10000000000002</v>
      </c>
      <c r="S781" s="497">
        <v>120</v>
      </c>
      <c r="T781" s="751">
        <v>411.5</v>
      </c>
      <c r="U781" s="439">
        <v>6.9940000000000007</v>
      </c>
      <c r="V781" s="636">
        <v>2.0299999999999998</v>
      </c>
      <c r="W781" s="636"/>
      <c r="X781" s="439">
        <v>1.4000000000000001</v>
      </c>
      <c r="Y781" s="761">
        <v>2.0299999999999998</v>
      </c>
      <c r="Z781" s="776">
        <v>11.286000000000001</v>
      </c>
      <c r="AA781" s="788"/>
      <c r="AB781" s="811"/>
      <c r="AC781" s="818">
        <v>11.6</v>
      </c>
      <c r="AD781" s="811" t="s">
        <v>633</v>
      </c>
      <c r="AE781" s="811">
        <v>0</v>
      </c>
      <c r="AF781" s="643">
        <v>12031</v>
      </c>
    </row>
    <row r="782" spans="1:32" ht="15.75">
      <c r="A782" s="643">
        <v>12032</v>
      </c>
      <c r="B782" s="644"/>
      <c r="C782" s="644" t="s">
        <v>1240</v>
      </c>
      <c r="D782" s="559" t="s">
        <v>221</v>
      </c>
      <c r="E782" s="545">
        <v>46000</v>
      </c>
      <c r="F782" s="649">
        <v>24</v>
      </c>
      <c r="G782" s="660" t="s">
        <v>129</v>
      </c>
      <c r="H782" s="636">
        <v>21</v>
      </c>
      <c r="I782" s="636">
        <v>30</v>
      </c>
      <c r="J782" s="549">
        <v>200</v>
      </c>
      <c r="K782" s="554" t="s">
        <v>221</v>
      </c>
      <c r="L782" s="562">
        <v>15</v>
      </c>
      <c r="M782" s="549">
        <v>6000</v>
      </c>
      <c r="N782" s="592">
        <v>0.25</v>
      </c>
      <c r="O782" s="594">
        <v>0.7</v>
      </c>
      <c r="P782" s="590">
        <v>67</v>
      </c>
      <c r="Q782" s="431">
        <v>0.1</v>
      </c>
      <c r="R782" s="430">
        <v>704.7</v>
      </c>
      <c r="S782" s="175">
        <v>126</v>
      </c>
      <c r="T782" s="751">
        <v>3344</v>
      </c>
      <c r="U782" s="439">
        <v>10.498750000000001</v>
      </c>
      <c r="V782" s="636">
        <v>5.3666666666666663</v>
      </c>
      <c r="W782" s="636"/>
      <c r="X782" s="439">
        <v>2.8000000000000003</v>
      </c>
      <c r="Y782" s="761">
        <v>5.3666666666666663</v>
      </c>
      <c r="Z782" s="776">
        <v>24.295333333333335</v>
      </c>
      <c r="AA782" s="788"/>
      <c r="AB782" s="811"/>
      <c r="AC782" s="818">
        <v>92</v>
      </c>
      <c r="AD782" s="811" t="s">
        <v>633</v>
      </c>
      <c r="AE782" s="811">
        <v>0</v>
      </c>
      <c r="AF782" s="643">
        <v>12032</v>
      </c>
    </row>
    <row r="783" spans="1:32" ht="15.75">
      <c r="A783" s="633"/>
      <c r="B783" s="634"/>
      <c r="C783" s="633"/>
      <c r="D783" s="559"/>
      <c r="E783" s="545"/>
      <c r="F783" s="649"/>
      <c r="G783" s="660" t="s">
        <v>129</v>
      </c>
      <c r="H783" s="636"/>
      <c r="I783" s="636"/>
      <c r="J783" s="549"/>
      <c r="K783" s="635"/>
      <c r="L783" s="633"/>
      <c r="M783" s="549"/>
      <c r="N783" s="592" t="s">
        <v>129</v>
      </c>
      <c r="O783" s="594" t="s">
        <v>129</v>
      </c>
      <c r="P783" s="743"/>
      <c r="Q783" s="431">
        <v>0.1</v>
      </c>
      <c r="R783" s="430">
        <v>339.3</v>
      </c>
      <c r="S783" s="497">
        <v>84</v>
      </c>
      <c r="T783" s="751" t="s">
        <v>129</v>
      </c>
      <c r="U783" s="439">
        <v>4.3387500000000001</v>
      </c>
      <c r="V783" s="636"/>
      <c r="W783" s="636"/>
      <c r="X783" s="439">
        <v>2.8000000000000003</v>
      </c>
      <c r="Y783" s="761" t="s">
        <v>129</v>
      </c>
      <c r="Z783" s="776"/>
      <c r="AA783" s="788"/>
      <c r="AB783" s="633"/>
      <c r="AC783" s="818" t="s">
        <v>129</v>
      </c>
      <c r="AD783" s="811"/>
      <c r="AE783" s="811"/>
      <c r="AF783" s="633"/>
    </row>
    <row r="784" spans="1:32" ht="15.75">
      <c r="A784" s="624">
        <v>12040</v>
      </c>
      <c r="B784" s="625"/>
      <c r="C784" s="626" t="s">
        <v>1241</v>
      </c>
      <c r="D784" s="627"/>
      <c r="E784" s="628"/>
      <c r="F784" s="646"/>
      <c r="G784" s="630" t="s">
        <v>129</v>
      </c>
      <c r="H784" s="631"/>
      <c r="I784" s="631"/>
      <c r="J784" s="632"/>
      <c r="K784" s="632"/>
      <c r="L784" s="627"/>
      <c r="M784" s="632"/>
      <c r="N784" s="739" t="s">
        <v>129</v>
      </c>
      <c r="O784" s="744" t="s">
        <v>129</v>
      </c>
      <c r="P784" s="742"/>
      <c r="Q784" s="431">
        <v>0.05</v>
      </c>
      <c r="R784" s="430">
        <v>1261.5</v>
      </c>
      <c r="S784" s="124"/>
      <c r="T784" s="750" t="s">
        <v>129</v>
      </c>
      <c r="U784" s="439">
        <v>18.40625</v>
      </c>
      <c r="V784" s="631"/>
      <c r="W784" s="631"/>
      <c r="X784" s="439">
        <v>1.4000000000000001</v>
      </c>
      <c r="Y784" s="763" t="s">
        <v>129</v>
      </c>
      <c r="Z784" s="774"/>
      <c r="AA784" s="775"/>
      <c r="AB784" s="810"/>
      <c r="AC784" s="817" t="s">
        <v>129</v>
      </c>
      <c r="AD784" s="810"/>
      <c r="AE784" s="810"/>
      <c r="AF784" s="624">
        <v>12040</v>
      </c>
    </row>
    <row r="785" spans="1:32" ht="15.75">
      <c r="A785" s="633"/>
      <c r="B785" s="634"/>
      <c r="C785" s="633"/>
      <c r="D785" s="551"/>
      <c r="E785" s="545"/>
      <c r="F785" s="649"/>
      <c r="G785" s="635" t="s">
        <v>129</v>
      </c>
      <c r="H785" s="636"/>
      <c r="I785" s="636"/>
      <c r="J785" s="549"/>
      <c r="K785" s="635"/>
      <c r="L785" s="633"/>
      <c r="M785" s="549"/>
      <c r="N785" s="592" t="s">
        <v>129</v>
      </c>
      <c r="O785" s="594" t="s">
        <v>129</v>
      </c>
      <c r="P785" s="743"/>
      <c r="Q785" s="431">
        <v>0.05</v>
      </c>
      <c r="R785" s="430">
        <v>1609.5</v>
      </c>
      <c r="S785" s="496"/>
      <c r="T785" s="751" t="s">
        <v>129</v>
      </c>
      <c r="U785" s="439">
        <v>22.856249999999999</v>
      </c>
      <c r="V785" s="636"/>
      <c r="W785" s="636"/>
      <c r="X785" s="439">
        <v>1.4000000000000001</v>
      </c>
      <c r="Y785" s="761" t="s">
        <v>129</v>
      </c>
      <c r="Z785" s="776"/>
      <c r="AA785" s="777"/>
      <c r="AB785" s="633"/>
      <c r="AC785" s="818" t="s">
        <v>129</v>
      </c>
      <c r="AD785" s="811"/>
      <c r="AE785" s="811"/>
      <c r="AF785" s="633"/>
    </row>
    <row r="786" spans="1:32" ht="31.5">
      <c r="A786" s="643">
        <v>12041</v>
      </c>
      <c r="B786" s="644"/>
      <c r="C786" s="644" t="s">
        <v>1242</v>
      </c>
      <c r="D786" s="559" t="s">
        <v>221</v>
      </c>
      <c r="E786" s="545">
        <v>13500</v>
      </c>
      <c r="F786" s="649">
        <v>19</v>
      </c>
      <c r="G786" s="660" t="s">
        <v>129</v>
      </c>
      <c r="H786" s="636">
        <v>17</v>
      </c>
      <c r="I786" s="636">
        <v>23</v>
      </c>
      <c r="J786" s="549">
        <v>120</v>
      </c>
      <c r="K786" s="554" t="s">
        <v>221</v>
      </c>
      <c r="L786" s="562">
        <v>12</v>
      </c>
      <c r="M786" s="549">
        <v>3000</v>
      </c>
      <c r="N786" s="592">
        <v>0.25</v>
      </c>
      <c r="O786" s="594">
        <v>1.7</v>
      </c>
      <c r="P786" s="590">
        <v>24</v>
      </c>
      <c r="Q786" s="431">
        <v>0.02</v>
      </c>
      <c r="R786" s="430">
        <v>399.34000000000003</v>
      </c>
      <c r="S786" s="124"/>
      <c r="T786" s="751">
        <v>1180.5</v>
      </c>
      <c r="U786" s="445">
        <v>1.1938500000000001</v>
      </c>
      <c r="V786" s="636">
        <v>7.6499999999999995</v>
      </c>
      <c r="W786" s="636"/>
      <c r="X786" s="445">
        <v>0.56000000000000005</v>
      </c>
      <c r="Y786" s="761">
        <v>7.6499999999999995</v>
      </c>
      <c r="Z786" s="776">
        <v>19.236250000000002</v>
      </c>
      <c r="AA786" s="788"/>
      <c r="AB786" s="811"/>
      <c r="AC786" s="818">
        <v>27</v>
      </c>
      <c r="AD786" s="811" t="s">
        <v>633</v>
      </c>
      <c r="AE786" s="811">
        <v>0</v>
      </c>
      <c r="AF786" s="643">
        <v>12041</v>
      </c>
    </row>
    <row r="787" spans="1:32" ht="31.5">
      <c r="A787" s="643">
        <v>12042</v>
      </c>
      <c r="B787" s="644"/>
      <c r="C787" s="644" t="s">
        <v>1243</v>
      </c>
      <c r="D787" s="559" t="s">
        <v>221</v>
      </c>
      <c r="E787" s="545">
        <v>17000</v>
      </c>
      <c r="F787" s="649">
        <v>23</v>
      </c>
      <c r="G787" s="660" t="s">
        <v>129</v>
      </c>
      <c r="H787" s="636">
        <v>20</v>
      </c>
      <c r="I787" s="636">
        <v>27</v>
      </c>
      <c r="J787" s="549">
        <v>120</v>
      </c>
      <c r="K787" s="554" t="s">
        <v>221</v>
      </c>
      <c r="L787" s="562">
        <v>12</v>
      </c>
      <c r="M787" s="549">
        <v>3000</v>
      </c>
      <c r="N787" s="592">
        <v>0.25</v>
      </c>
      <c r="O787" s="594">
        <v>1.55</v>
      </c>
      <c r="P787" s="590">
        <v>24</v>
      </c>
      <c r="Q787" s="431">
        <v>6.7000000000000004E-2</v>
      </c>
      <c r="R787" s="430">
        <v>1607.8818000000001</v>
      </c>
      <c r="S787" s="497">
        <v>468</v>
      </c>
      <c r="T787" s="751">
        <v>1443</v>
      </c>
      <c r="U787" s="439">
        <v>14.757038333333334</v>
      </c>
      <c r="V787" s="636">
        <v>8.7833333333333332</v>
      </c>
      <c r="W787" s="636"/>
      <c r="X787" s="439">
        <v>1.8760000000000001</v>
      </c>
      <c r="Y787" s="761">
        <v>8.7833333333333332</v>
      </c>
      <c r="Z787" s="776">
        <v>22.889166666666668</v>
      </c>
      <c r="AA787" s="788"/>
      <c r="AB787" s="811"/>
      <c r="AC787" s="818">
        <v>34</v>
      </c>
      <c r="AD787" s="811" t="s">
        <v>633</v>
      </c>
      <c r="AE787" s="811">
        <v>0</v>
      </c>
      <c r="AF787" s="643">
        <v>12042</v>
      </c>
    </row>
    <row r="788" spans="1:32" ht="15.75">
      <c r="A788" s="643"/>
      <c r="B788" s="644"/>
      <c r="C788" s="643"/>
      <c r="D788" s="569"/>
      <c r="E788" s="545"/>
      <c r="F788" s="649"/>
      <c r="G788" s="660" t="s">
        <v>129</v>
      </c>
      <c r="H788" s="636"/>
      <c r="I788" s="636"/>
      <c r="J788" s="549"/>
      <c r="K788" s="554"/>
      <c r="L788" s="562"/>
      <c r="M788" s="549"/>
      <c r="N788" s="592" t="s">
        <v>129</v>
      </c>
      <c r="O788" s="594" t="s">
        <v>129</v>
      </c>
      <c r="P788" s="590"/>
      <c r="Q788" s="431">
        <v>0.02</v>
      </c>
      <c r="R788" s="430">
        <v>452.4</v>
      </c>
      <c r="S788" s="175">
        <v>468</v>
      </c>
      <c r="T788" s="751" t="s">
        <v>129</v>
      </c>
      <c r="U788" s="439">
        <v>4.4983333333333331</v>
      </c>
      <c r="V788" s="636"/>
      <c r="W788" s="636"/>
      <c r="X788" s="439">
        <v>0.56000000000000005</v>
      </c>
      <c r="Y788" s="761" t="s">
        <v>129</v>
      </c>
      <c r="Z788" s="776"/>
      <c r="AA788" s="797"/>
      <c r="AB788" s="811"/>
      <c r="AC788" s="818" t="s">
        <v>129</v>
      </c>
      <c r="AD788" s="811"/>
      <c r="AE788" s="811"/>
      <c r="AF788" s="643"/>
    </row>
    <row r="789" spans="1:32" ht="15.75">
      <c r="A789" s="624">
        <v>12050</v>
      </c>
      <c r="B789" s="625"/>
      <c r="C789" s="626" t="s">
        <v>1244</v>
      </c>
      <c r="D789" s="632"/>
      <c r="E789" s="628"/>
      <c r="F789" s="646"/>
      <c r="G789" s="630" t="s">
        <v>129</v>
      </c>
      <c r="H789" s="631"/>
      <c r="I789" s="631"/>
      <c r="J789" s="632"/>
      <c r="K789" s="632"/>
      <c r="L789" s="627"/>
      <c r="M789" s="632"/>
      <c r="N789" s="739" t="s">
        <v>129</v>
      </c>
      <c r="O789" s="744" t="s">
        <v>129</v>
      </c>
      <c r="P789" s="742"/>
      <c r="Q789" s="431">
        <v>0.05</v>
      </c>
      <c r="R789" s="430">
        <v>439.55</v>
      </c>
      <c r="S789" s="503">
        <v>143</v>
      </c>
      <c r="T789" s="750" t="s">
        <v>129</v>
      </c>
      <c r="U789" s="439">
        <v>12.508750000000001</v>
      </c>
      <c r="V789" s="631"/>
      <c r="W789" s="631"/>
      <c r="X789" s="439">
        <v>1.4000000000000001</v>
      </c>
      <c r="Y789" s="763" t="s">
        <v>129</v>
      </c>
      <c r="Z789" s="774"/>
      <c r="AA789" s="775"/>
      <c r="AB789" s="810"/>
      <c r="AC789" s="817" t="s">
        <v>129</v>
      </c>
      <c r="AD789" s="810"/>
      <c r="AE789" s="810"/>
      <c r="AF789" s="624">
        <v>12050</v>
      </c>
    </row>
    <row r="790" spans="1:32" ht="15.75">
      <c r="A790" s="633"/>
      <c r="B790" s="634"/>
      <c r="C790" s="684"/>
      <c r="D790" s="637"/>
      <c r="E790" s="545"/>
      <c r="F790" s="658"/>
      <c r="G790" s="635" t="s">
        <v>129</v>
      </c>
      <c r="H790" s="635"/>
      <c r="I790" s="635"/>
      <c r="J790" s="637"/>
      <c r="K790" s="635"/>
      <c r="L790" s="633"/>
      <c r="M790" s="637"/>
      <c r="N790" s="592" t="s">
        <v>129</v>
      </c>
      <c r="O790" s="594" t="s">
        <v>129</v>
      </c>
      <c r="P790" s="743"/>
      <c r="Q790" s="431"/>
      <c r="R790" s="430" t="s">
        <v>129</v>
      </c>
      <c r="S790" s="175">
        <v>468</v>
      </c>
      <c r="T790" s="751" t="s">
        <v>129</v>
      </c>
      <c r="U790" s="439"/>
      <c r="V790" s="633"/>
      <c r="W790" s="633"/>
      <c r="X790" s="439"/>
      <c r="Y790" s="761" t="s">
        <v>129</v>
      </c>
      <c r="Z790" s="783"/>
      <c r="AA790" s="777"/>
      <c r="AB790" s="633"/>
      <c r="AC790" s="818" t="s">
        <v>129</v>
      </c>
      <c r="AD790" s="811"/>
      <c r="AE790" s="811"/>
      <c r="AF790" s="633"/>
    </row>
    <row r="791" spans="1:32" ht="15.75">
      <c r="A791" s="643">
        <v>12051</v>
      </c>
      <c r="B791" s="644"/>
      <c r="C791" s="644" t="s">
        <v>1245</v>
      </c>
      <c r="D791" s="569"/>
      <c r="E791" s="545">
        <v>29000</v>
      </c>
      <c r="F791" s="649">
        <v>41</v>
      </c>
      <c r="G791" s="655" t="s">
        <v>129</v>
      </c>
      <c r="H791" s="636">
        <v>35</v>
      </c>
      <c r="I791" s="636">
        <v>52</v>
      </c>
      <c r="J791" s="549">
        <v>80</v>
      </c>
      <c r="K791" s="554" t="s">
        <v>221</v>
      </c>
      <c r="L791" s="562">
        <v>12</v>
      </c>
      <c r="M791" s="549">
        <v>4000</v>
      </c>
      <c r="N791" s="592">
        <v>0.25</v>
      </c>
      <c r="O791" s="594">
        <v>1.2</v>
      </c>
      <c r="P791" s="590">
        <v>20</v>
      </c>
      <c r="Q791" s="429"/>
      <c r="R791" s="430" t="s">
        <v>129</v>
      </c>
      <c r="S791" s="503">
        <v>42</v>
      </c>
      <c r="T791" s="751">
        <v>2315</v>
      </c>
      <c r="U791" s="438"/>
      <c r="V791" s="636">
        <v>8.6999999999999993</v>
      </c>
      <c r="W791" s="636"/>
      <c r="X791" s="438"/>
      <c r="Y791" s="761">
        <v>8.6999999999999993</v>
      </c>
      <c r="Z791" s="776">
        <v>41.401250000000005</v>
      </c>
      <c r="AA791" s="780"/>
      <c r="AB791" s="811"/>
      <c r="AC791" s="818">
        <v>58</v>
      </c>
      <c r="AD791" s="811" t="s">
        <v>633</v>
      </c>
      <c r="AE791" s="811">
        <v>0</v>
      </c>
      <c r="AF791" s="643">
        <v>12051</v>
      </c>
    </row>
    <row r="792" spans="1:32" ht="15.75">
      <c r="A792" s="643">
        <v>12053</v>
      </c>
      <c r="B792" s="644"/>
      <c r="C792" s="644" t="s">
        <v>1246</v>
      </c>
      <c r="D792" s="569" t="s">
        <v>221</v>
      </c>
      <c r="E792" s="545">
        <v>34000</v>
      </c>
      <c r="F792" s="649">
        <v>40</v>
      </c>
      <c r="G792" s="660" t="s">
        <v>129</v>
      </c>
      <c r="H792" s="636">
        <v>34</v>
      </c>
      <c r="I792" s="636">
        <v>50</v>
      </c>
      <c r="J792" s="549">
        <v>100</v>
      </c>
      <c r="K792" s="554" t="s">
        <v>221</v>
      </c>
      <c r="L792" s="562">
        <v>12</v>
      </c>
      <c r="M792" s="549">
        <v>4000</v>
      </c>
      <c r="N792" s="592">
        <v>0.25</v>
      </c>
      <c r="O792" s="594">
        <v>1.1499999999999999</v>
      </c>
      <c r="P792" s="590">
        <v>21</v>
      </c>
      <c r="Q792" s="431"/>
      <c r="R792" s="430" t="s">
        <v>129</v>
      </c>
      <c r="S792" s="124"/>
      <c r="T792" s="751">
        <v>2697</v>
      </c>
      <c r="U792" s="439"/>
      <c r="V792" s="636">
        <v>9.7749999999999986</v>
      </c>
      <c r="W792" s="636"/>
      <c r="X792" s="439"/>
      <c r="Y792" s="761">
        <v>9.7749999999999986</v>
      </c>
      <c r="Z792" s="776">
        <v>40.419499999999999</v>
      </c>
      <c r="AA792" s="788"/>
      <c r="AB792" s="811"/>
      <c r="AC792" s="818">
        <v>68</v>
      </c>
      <c r="AD792" s="811" t="s">
        <v>633</v>
      </c>
      <c r="AE792" s="811">
        <v>0</v>
      </c>
      <c r="AF792" s="643">
        <v>12053</v>
      </c>
    </row>
    <row r="793" spans="1:32" ht="15.75">
      <c r="A793" s="643">
        <v>12055</v>
      </c>
      <c r="B793" s="644"/>
      <c r="C793" s="644" t="s">
        <v>1247</v>
      </c>
      <c r="D793" s="569" t="s">
        <v>221</v>
      </c>
      <c r="E793" s="545">
        <v>6800</v>
      </c>
      <c r="F793" s="649">
        <v>8.8000000000000007</v>
      </c>
      <c r="G793" s="660" t="s">
        <v>129</v>
      </c>
      <c r="H793" s="636">
        <v>8</v>
      </c>
      <c r="I793" s="636">
        <v>10.1</v>
      </c>
      <c r="J793" s="549">
        <v>175</v>
      </c>
      <c r="K793" s="554" t="s">
        <v>221</v>
      </c>
      <c r="L793" s="562">
        <v>12</v>
      </c>
      <c r="M793" s="549">
        <v>4000</v>
      </c>
      <c r="N793" s="592">
        <v>0.25</v>
      </c>
      <c r="O793" s="594">
        <v>2.65</v>
      </c>
      <c r="P793" s="590">
        <v>14</v>
      </c>
      <c r="Q793" s="431">
        <v>3.3333000000000002E-2</v>
      </c>
      <c r="R793" s="430">
        <v>2044.5</v>
      </c>
      <c r="S793" s="498"/>
      <c r="T793" s="751">
        <v>608</v>
      </c>
      <c r="U793" s="439">
        <v>16.899999999999999</v>
      </c>
      <c r="V793" s="636">
        <v>4.5049999999999999</v>
      </c>
      <c r="W793" s="636"/>
      <c r="X793" s="439">
        <v>0.93332400000000004</v>
      </c>
      <c r="Y793" s="761">
        <v>4.5049999999999999</v>
      </c>
      <c r="Z793" s="776">
        <v>8.7772142857142867</v>
      </c>
      <c r="AA793" s="788"/>
      <c r="AB793" s="811"/>
      <c r="AC793" s="818">
        <v>13.6</v>
      </c>
      <c r="AD793" s="811" t="s">
        <v>633</v>
      </c>
      <c r="AE793" s="811">
        <v>0</v>
      </c>
      <c r="AF793" s="643">
        <v>12055</v>
      </c>
    </row>
    <row r="794" spans="1:32" ht="15.75">
      <c r="A794" s="633"/>
      <c r="B794" s="634"/>
      <c r="C794" s="633"/>
      <c r="D794" s="637"/>
      <c r="E794" s="545"/>
      <c r="F794" s="658"/>
      <c r="G794" s="635" t="s">
        <v>129</v>
      </c>
      <c r="H794" s="635"/>
      <c r="I794" s="635"/>
      <c r="J794" s="637"/>
      <c r="K794" s="635"/>
      <c r="L794" s="633"/>
      <c r="M794" s="637"/>
      <c r="N794" s="592" t="s">
        <v>129</v>
      </c>
      <c r="O794" s="594" t="s">
        <v>129</v>
      </c>
      <c r="P794" s="743"/>
      <c r="Q794" s="431">
        <v>0.04</v>
      </c>
      <c r="R794" s="430">
        <v>765.6</v>
      </c>
      <c r="S794" s="175"/>
      <c r="T794" s="751" t="s">
        <v>129</v>
      </c>
      <c r="U794" s="439">
        <v>6.8256000000000006</v>
      </c>
      <c r="V794" s="633"/>
      <c r="W794" s="633"/>
      <c r="X794" s="439">
        <v>1.1200000000000001</v>
      </c>
      <c r="Y794" s="761" t="s">
        <v>129</v>
      </c>
      <c r="Z794" s="633"/>
      <c r="AA794" s="634"/>
      <c r="AB794" s="633"/>
      <c r="AC794" s="818" t="s">
        <v>129</v>
      </c>
      <c r="AD794" s="811"/>
      <c r="AE794" s="633"/>
      <c r="AF794" s="633"/>
    </row>
    <row r="795" spans="1:32" ht="15.75">
      <c r="A795" s="624">
        <v>12070</v>
      </c>
      <c r="B795" s="625"/>
      <c r="C795" s="626" t="s">
        <v>1248</v>
      </c>
      <c r="D795" s="632"/>
      <c r="E795" s="628"/>
      <c r="F795" s="646"/>
      <c r="G795" s="630" t="s">
        <v>129</v>
      </c>
      <c r="H795" s="631"/>
      <c r="I795" s="631"/>
      <c r="J795" s="632"/>
      <c r="K795" s="632"/>
      <c r="L795" s="627"/>
      <c r="M795" s="632"/>
      <c r="N795" s="739" t="s">
        <v>129</v>
      </c>
      <c r="O795" s="744" t="s">
        <v>129</v>
      </c>
      <c r="P795" s="742"/>
      <c r="Q795" s="431">
        <v>0.04</v>
      </c>
      <c r="R795" s="430">
        <v>1435.5</v>
      </c>
      <c r="S795" s="496"/>
      <c r="T795" s="750" t="s">
        <v>129</v>
      </c>
      <c r="U795" s="439">
        <v>8.831428571428571</v>
      </c>
      <c r="V795" s="631"/>
      <c r="W795" s="631"/>
      <c r="X795" s="439">
        <v>1.1200000000000001</v>
      </c>
      <c r="Y795" s="763" t="s">
        <v>129</v>
      </c>
      <c r="Z795" s="774"/>
      <c r="AA795" s="775"/>
      <c r="AB795" s="810"/>
      <c r="AC795" s="817" t="s">
        <v>129</v>
      </c>
      <c r="AD795" s="810"/>
      <c r="AE795" s="810"/>
      <c r="AF795" s="624">
        <v>12070</v>
      </c>
    </row>
    <row r="796" spans="1:32" ht="15.75">
      <c r="A796" s="633"/>
      <c r="B796" s="634"/>
      <c r="C796" s="633"/>
      <c r="D796" s="637"/>
      <c r="E796" s="545"/>
      <c r="F796" s="658"/>
      <c r="G796" s="635" t="s">
        <v>129</v>
      </c>
      <c r="H796" s="635"/>
      <c r="I796" s="635"/>
      <c r="J796" s="637"/>
      <c r="K796" s="635"/>
      <c r="L796" s="633"/>
      <c r="M796" s="637"/>
      <c r="N796" s="592" t="s">
        <v>129</v>
      </c>
      <c r="O796" s="594" t="s">
        <v>129</v>
      </c>
      <c r="P796" s="743"/>
      <c r="Q796" s="431">
        <v>3.3329999999999999E-2</v>
      </c>
      <c r="R796" s="430">
        <v>2871</v>
      </c>
      <c r="S796" s="175"/>
      <c r="T796" s="751" t="s">
        <v>129</v>
      </c>
      <c r="U796" s="439">
        <v>17.342857142857142</v>
      </c>
      <c r="V796" s="633"/>
      <c r="W796" s="633"/>
      <c r="X796" s="439">
        <v>0.93323999999999996</v>
      </c>
      <c r="Y796" s="761" t="s">
        <v>129</v>
      </c>
      <c r="Z796" s="633"/>
      <c r="AA796" s="634"/>
      <c r="AB796" s="633"/>
      <c r="AC796" s="818" t="s">
        <v>129</v>
      </c>
      <c r="AD796" s="811"/>
      <c r="AE796" s="633"/>
      <c r="AF796" s="633"/>
    </row>
    <row r="797" spans="1:32" ht="15.75">
      <c r="A797" s="643">
        <v>12073</v>
      </c>
      <c r="B797" s="644"/>
      <c r="C797" s="644" t="s">
        <v>1249</v>
      </c>
      <c r="D797" s="570">
        <v>7.5</v>
      </c>
      <c r="E797" s="545">
        <v>30000</v>
      </c>
      <c r="F797" s="649">
        <v>27</v>
      </c>
      <c r="G797" s="660" t="s">
        <v>129</v>
      </c>
      <c r="H797" s="636">
        <v>24</v>
      </c>
      <c r="I797" s="636">
        <v>32</v>
      </c>
      <c r="J797" s="549">
        <v>250</v>
      </c>
      <c r="K797" s="554">
        <v>75</v>
      </c>
      <c r="L797" s="562">
        <v>12</v>
      </c>
      <c r="M797" s="549">
        <v>4000</v>
      </c>
      <c r="N797" s="592">
        <v>0.1</v>
      </c>
      <c r="O797" s="594">
        <v>1.2</v>
      </c>
      <c r="P797" s="590">
        <v>78</v>
      </c>
      <c r="Q797" s="431">
        <v>0.02</v>
      </c>
      <c r="R797" s="430">
        <v>506.47999999999996</v>
      </c>
      <c r="S797" s="497">
        <v>114</v>
      </c>
      <c r="T797" s="751">
        <v>3144</v>
      </c>
      <c r="U797" s="439">
        <v>2.9935999999999998</v>
      </c>
      <c r="V797" s="636">
        <v>9</v>
      </c>
      <c r="W797" s="636">
        <v>3.0881250000000002</v>
      </c>
      <c r="X797" s="439">
        <v>0.56000000000000005</v>
      </c>
      <c r="Y797" s="761">
        <v>12.088125</v>
      </c>
      <c r="Z797" s="776">
        <v>27.130537499999999</v>
      </c>
      <c r="AA797" s="788"/>
      <c r="AB797" s="811"/>
      <c r="AC797" s="818">
        <v>60</v>
      </c>
      <c r="AD797" s="811" t="s">
        <v>633</v>
      </c>
      <c r="AE797" s="811">
        <v>1</v>
      </c>
      <c r="AF797" s="643">
        <v>12073</v>
      </c>
    </row>
    <row r="798" spans="1:32" ht="15.75">
      <c r="A798" s="643">
        <v>12074</v>
      </c>
      <c r="B798" s="644"/>
      <c r="C798" s="644" t="s">
        <v>1250</v>
      </c>
      <c r="D798" s="570">
        <v>12</v>
      </c>
      <c r="E798" s="545">
        <v>45000</v>
      </c>
      <c r="F798" s="649">
        <v>39</v>
      </c>
      <c r="G798" s="660" t="s">
        <v>129</v>
      </c>
      <c r="H798" s="636">
        <v>35</v>
      </c>
      <c r="I798" s="636">
        <v>45</v>
      </c>
      <c r="J798" s="549">
        <v>250</v>
      </c>
      <c r="K798" s="554">
        <v>75</v>
      </c>
      <c r="L798" s="562">
        <v>12</v>
      </c>
      <c r="M798" s="549">
        <v>4000</v>
      </c>
      <c r="N798" s="592">
        <v>0.1</v>
      </c>
      <c r="O798" s="594">
        <v>1.1000000000000001</v>
      </c>
      <c r="P798" s="590">
        <v>78</v>
      </c>
      <c r="Q798" s="431">
        <v>0.02</v>
      </c>
      <c r="R798" s="430">
        <v>876.6</v>
      </c>
      <c r="S798" s="175">
        <v>162</v>
      </c>
      <c r="T798" s="751">
        <v>4443</v>
      </c>
      <c r="U798" s="439">
        <v>5.1520000000000001</v>
      </c>
      <c r="V798" s="636">
        <v>12.375000000000002</v>
      </c>
      <c r="W798" s="636">
        <v>4.9410000000000007</v>
      </c>
      <c r="X798" s="439">
        <v>0.56000000000000005</v>
      </c>
      <c r="Y798" s="761">
        <v>17.316000000000003</v>
      </c>
      <c r="Z798" s="776">
        <v>38.596800000000002</v>
      </c>
      <c r="AA798" s="788"/>
      <c r="AB798" s="811"/>
      <c r="AC798" s="818">
        <v>90</v>
      </c>
      <c r="AD798" s="811" t="s">
        <v>633</v>
      </c>
      <c r="AE798" s="811">
        <v>1</v>
      </c>
      <c r="AF798" s="643">
        <v>12074</v>
      </c>
    </row>
    <row r="799" spans="1:32" ht="15.75">
      <c r="A799" s="643">
        <v>12075</v>
      </c>
      <c r="B799" s="644"/>
      <c r="C799" s="644" t="s">
        <v>1251</v>
      </c>
      <c r="D799" s="551">
        <v>4</v>
      </c>
      <c r="E799" s="545">
        <v>12500</v>
      </c>
      <c r="F799" s="649">
        <v>28</v>
      </c>
      <c r="G799" s="659" t="s">
        <v>129</v>
      </c>
      <c r="H799" s="636">
        <v>24</v>
      </c>
      <c r="I799" s="636">
        <v>33</v>
      </c>
      <c r="J799" s="549">
        <v>75</v>
      </c>
      <c r="K799" s="554">
        <v>70</v>
      </c>
      <c r="L799" s="562">
        <v>12</v>
      </c>
      <c r="M799" s="549">
        <v>2500</v>
      </c>
      <c r="N799" s="592">
        <v>0.25</v>
      </c>
      <c r="O799" s="594">
        <v>1.6</v>
      </c>
      <c r="P799" s="590">
        <v>11</v>
      </c>
      <c r="Q799" s="431">
        <v>3.3329999999999999E-2</v>
      </c>
      <c r="R799" s="430">
        <v>6960</v>
      </c>
      <c r="S799" s="497">
        <v>162</v>
      </c>
      <c r="T799" s="751">
        <v>1102.5</v>
      </c>
      <c r="U799" s="439">
        <v>24.176666666666666</v>
      </c>
      <c r="V799" s="636">
        <v>8</v>
      </c>
      <c r="W799" s="636">
        <v>2.4500000000000002</v>
      </c>
      <c r="X799" s="439">
        <v>0.93323999999999996</v>
      </c>
      <c r="Y799" s="761">
        <v>10.45</v>
      </c>
      <c r="Z799" s="776">
        <v>27.664999999999999</v>
      </c>
      <c r="AA799" s="782"/>
      <c r="AB799" s="811"/>
      <c r="AC799" s="818">
        <v>25</v>
      </c>
      <c r="AD799" s="811" t="s">
        <v>633</v>
      </c>
      <c r="AE799" s="811">
        <v>2</v>
      </c>
      <c r="AF799" s="643">
        <v>12075</v>
      </c>
    </row>
    <row r="800" spans="1:32" ht="15.75">
      <c r="A800" s="643">
        <v>12076</v>
      </c>
      <c r="B800" s="644"/>
      <c r="C800" s="644" t="s">
        <v>1252</v>
      </c>
      <c r="D800" s="570">
        <v>25</v>
      </c>
      <c r="E800" s="545">
        <v>20000</v>
      </c>
      <c r="F800" s="649">
        <v>35</v>
      </c>
      <c r="G800" s="660" t="s">
        <v>129</v>
      </c>
      <c r="H800" s="636">
        <v>33</v>
      </c>
      <c r="I800" s="636">
        <v>39</v>
      </c>
      <c r="J800" s="549">
        <v>250</v>
      </c>
      <c r="K800" s="554">
        <v>75</v>
      </c>
      <c r="L800" s="562">
        <v>12</v>
      </c>
      <c r="M800" s="549">
        <v>4000</v>
      </c>
      <c r="N800" s="592">
        <v>0.1</v>
      </c>
      <c r="O800" s="594">
        <v>1.3</v>
      </c>
      <c r="P800" s="590">
        <v>78</v>
      </c>
      <c r="Q800" s="431">
        <v>3.3329999999999999E-2</v>
      </c>
      <c r="R800" s="430">
        <v>10616.6</v>
      </c>
      <c r="S800" s="175">
        <v>114</v>
      </c>
      <c r="T800" s="751">
        <v>2278</v>
      </c>
      <c r="U800" s="439">
        <v>27.401500000000002</v>
      </c>
      <c r="V800" s="636">
        <v>6.5</v>
      </c>
      <c r="W800" s="636">
        <v>16.40625</v>
      </c>
      <c r="X800" s="439">
        <v>0.93323999999999996</v>
      </c>
      <c r="Y800" s="761">
        <v>22.90625</v>
      </c>
      <c r="Z800" s="776">
        <v>35.220075000000008</v>
      </c>
      <c r="AA800" s="788"/>
      <c r="AB800" s="811"/>
      <c r="AC800" s="818">
        <v>40</v>
      </c>
      <c r="AD800" s="811" t="s">
        <v>633</v>
      </c>
      <c r="AE800" s="811">
        <v>2</v>
      </c>
      <c r="AF800" s="643">
        <v>12076</v>
      </c>
    </row>
    <row r="801" spans="1:32" ht="15.75">
      <c r="A801" s="643">
        <v>12072</v>
      </c>
      <c r="B801" s="644"/>
      <c r="C801" s="644" t="s">
        <v>1253</v>
      </c>
      <c r="D801" s="569" t="s">
        <v>221</v>
      </c>
      <c r="E801" s="545">
        <v>6400</v>
      </c>
      <c r="F801" s="649">
        <v>8.5</v>
      </c>
      <c r="G801" s="660" t="s">
        <v>129</v>
      </c>
      <c r="H801" s="636">
        <v>7.4</v>
      </c>
      <c r="I801" s="636">
        <v>10.4</v>
      </c>
      <c r="J801" s="549">
        <v>120</v>
      </c>
      <c r="K801" s="554" t="s">
        <v>221</v>
      </c>
      <c r="L801" s="562">
        <v>10</v>
      </c>
      <c r="M801" s="549">
        <v>3000</v>
      </c>
      <c r="N801" s="592">
        <v>0.25</v>
      </c>
      <c r="O801" s="594">
        <v>1.25</v>
      </c>
      <c r="P801" s="590">
        <v>7</v>
      </c>
      <c r="Q801" s="431">
        <v>3.3329999999999999E-2</v>
      </c>
      <c r="R801" s="430">
        <v>17142.400000000001</v>
      </c>
      <c r="S801" s="497">
        <v>144</v>
      </c>
      <c r="T801" s="751">
        <v>609</v>
      </c>
      <c r="U801" s="439">
        <v>44.348500000000001</v>
      </c>
      <c r="V801" s="636">
        <v>2.6666666666666665</v>
      </c>
      <c r="W801" s="636"/>
      <c r="X801" s="439">
        <v>0.93323999999999996</v>
      </c>
      <c r="Y801" s="761">
        <v>2.6666666666666665</v>
      </c>
      <c r="Z801" s="776">
        <v>8.5158333333333349</v>
      </c>
      <c r="AA801" s="788"/>
      <c r="AB801" s="811"/>
      <c r="AC801" s="818">
        <v>12.8</v>
      </c>
      <c r="AD801" s="811" t="s">
        <v>633</v>
      </c>
      <c r="AE801" s="811">
        <v>0</v>
      </c>
      <c r="AF801" s="643">
        <v>12072</v>
      </c>
    </row>
    <row r="802" spans="1:32" ht="15.75">
      <c r="A802" s="633"/>
      <c r="B802" s="634"/>
      <c r="C802" s="633"/>
      <c r="D802" s="637"/>
      <c r="E802" s="545"/>
      <c r="F802" s="658"/>
      <c r="G802" s="635" t="s">
        <v>129</v>
      </c>
      <c r="H802" s="635"/>
      <c r="I802" s="635"/>
      <c r="J802" s="637"/>
      <c r="K802" s="635"/>
      <c r="L802" s="633"/>
      <c r="M802" s="637"/>
      <c r="N802" s="592" t="s">
        <v>129</v>
      </c>
      <c r="O802" s="594" t="s">
        <v>129</v>
      </c>
      <c r="P802" s="743"/>
      <c r="Q802" s="431">
        <v>0.05</v>
      </c>
      <c r="R802" s="430">
        <v>374.1</v>
      </c>
      <c r="S802" s="175">
        <v>138</v>
      </c>
      <c r="T802" s="751" t="s">
        <v>129</v>
      </c>
      <c r="U802" s="454">
        <v>6.969333333333334</v>
      </c>
      <c r="V802" s="633"/>
      <c r="W802" s="633"/>
      <c r="X802" s="454">
        <v>1.4000000000000001</v>
      </c>
      <c r="Y802" s="761" t="s">
        <v>129</v>
      </c>
      <c r="Z802" s="633"/>
      <c r="AA802" s="634"/>
      <c r="AB802" s="633"/>
      <c r="AC802" s="818" t="s">
        <v>129</v>
      </c>
      <c r="AD802" s="811"/>
      <c r="AE802" s="633"/>
      <c r="AF802" s="633"/>
    </row>
    <row r="803" spans="1:32" ht="31.5">
      <c r="A803" s="663"/>
      <c r="B803" s="664"/>
      <c r="C803" s="665" t="s">
        <v>1254</v>
      </c>
      <c r="D803" s="688"/>
      <c r="E803" s="667"/>
      <c r="F803" s="668"/>
      <c r="G803" s="718" t="s">
        <v>129</v>
      </c>
      <c r="H803" s="670"/>
      <c r="I803" s="670"/>
      <c r="J803" s="671"/>
      <c r="K803" s="672"/>
      <c r="L803" s="737"/>
      <c r="M803" s="671"/>
      <c r="N803" s="740" t="s">
        <v>129</v>
      </c>
      <c r="O803" s="746" t="s">
        <v>129</v>
      </c>
      <c r="P803" s="747"/>
      <c r="Q803" s="431">
        <v>0.02</v>
      </c>
      <c r="R803" s="430">
        <v>320.35000000000002</v>
      </c>
      <c r="S803" s="497">
        <v>174</v>
      </c>
      <c r="T803" s="754" t="s">
        <v>129</v>
      </c>
      <c r="U803" s="439">
        <v>7.5590000000000011</v>
      </c>
      <c r="V803" s="690"/>
      <c r="W803" s="670"/>
      <c r="X803" s="439">
        <v>0.56000000000000005</v>
      </c>
      <c r="Y803" s="766" t="s">
        <v>129</v>
      </c>
      <c r="Z803" s="785"/>
      <c r="AA803" s="802"/>
      <c r="AB803" s="813"/>
      <c r="AC803" s="821" t="s">
        <v>129</v>
      </c>
      <c r="AD803" s="813"/>
      <c r="AE803" s="813"/>
      <c r="AF803" s="663"/>
    </row>
    <row r="804" spans="1:32" ht="15.75">
      <c r="A804" s="633"/>
      <c r="B804" s="634"/>
      <c r="C804" s="633"/>
      <c r="D804" s="559"/>
      <c r="E804" s="545"/>
      <c r="F804" s="546"/>
      <c r="G804" s="660" t="s">
        <v>129</v>
      </c>
      <c r="H804" s="636"/>
      <c r="I804" s="636"/>
      <c r="J804" s="549"/>
      <c r="K804" s="635"/>
      <c r="L804" s="633"/>
      <c r="M804" s="549"/>
      <c r="N804" s="592" t="s">
        <v>129</v>
      </c>
      <c r="O804" s="594" t="s">
        <v>129</v>
      </c>
      <c r="P804" s="743"/>
      <c r="Q804" s="431">
        <v>3.3329999999999999E-2</v>
      </c>
      <c r="R804" s="430">
        <v>4842.5</v>
      </c>
      <c r="S804" s="175">
        <v>198</v>
      </c>
      <c r="T804" s="751" t="s">
        <v>129</v>
      </c>
      <c r="U804" s="439">
        <v>27.2075</v>
      </c>
      <c r="V804" s="654"/>
      <c r="W804" s="636"/>
      <c r="X804" s="439">
        <v>0.93323999999999996</v>
      </c>
      <c r="Y804" s="761" t="s">
        <v>129</v>
      </c>
      <c r="Z804" s="776"/>
      <c r="AA804" s="788"/>
      <c r="AB804" s="633"/>
      <c r="AC804" s="818" t="s">
        <v>129</v>
      </c>
      <c r="AD804" s="811"/>
      <c r="AE804" s="811"/>
      <c r="AF804" s="633"/>
    </row>
    <row r="805" spans="1:32" ht="15.75">
      <c r="A805" s="624">
        <v>13000</v>
      </c>
      <c r="B805" s="625"/>
      <c r="C805" s="626" t="s">
        <v>618</v>
      </c>
      <c r="D805" s="627"/>
      <c r="E805" s="628"/>
      <c r="F805" s="629"/>
      <c r="G805" s="630" t="s">
        <v>129</v>
      </c>
      <c r="H805" s="631"/>
      <c r="I805" s="631"/>
      <c r="J805" s="632"/>
      <c r="K805" s="632"/>
      <c r="L805" s="627"/>
      <c r="M805" s="632"/>
      <c r="N805" s="739" t="s">
        <v>129</v>
      </c>
      <c r="O805" s="744" t="s">
        <v>129</v>
      </c>
      <c r="P805" s="742"/>
      <c r="Q805" s="431"/>
      <c r="R805" s="430" t="s">
        <v>129</v>
      </c>
      <c r="S805" s="497">
        <v>174</v>
      </c>
      <c r="T805" s="750" t="s">
        <v>129</v>
      </c>
      <c r="U805" s="439"/>
      <c r="V805" s="631"/>
      <c r="W805" s="631"/>
      <c r="X805" s="439"/>
      <c r="Y805" s="763" t="s">
        <v>129</v>
      </c>
      <c r="Z805" s="774"/>
      <c r="AA805" s="775"/>
      <c r="AB805" s="810"/>
      <c r="AC805" s="817" t="s">
        <v>129</v>
      </c>
      <c r="AD805" s="810"/>
      <c r="AE805" s="810"/>
      <c r="AF805" s="624">
        <v>13000</v>
      </c>
    </row>
    <row r="806" spans="1:32" ht="15.75">
      <c r="A806" s="633"/>
      <c r="B806" s="634"/>
      <c r="C806" s="633"/>
      <c r="D806" s="551"/>
      <c r="E806" s="545"/>
      <c r="F806" s="552"/>
      <c r="G806" s="635" t="s">
        <v>129</v>
      </c>
      <c r="H806" s="636"/>
      <c r="I806" s="636"/>
      <c r="J806" s="549"/>
      <c r="K806" s="635"/>
      <c r="L806" s="633"/>
      <c r="M806" s="549"/>
      <c r="N806" s="592" t="s">
        <v>129</v>
      </c>
      <c r="O806" s="594" t="s">
        <v>129</v>
      </c>
      <c r="P806" s="743"/>
      <c r="Q806" s="429"/>
      <c r="R806" s="430" t="s">
        <v>129</v>
      </c>
      <c r="S806" s="175">
        <v>96</v>
      </c>
      <c r="T806" s="751" t="s">
        <v>129</v>
      </c>
      <c r="U806" s="438"/>
      <c r="V806" s="636"/>
      <c r="W806" s="636"/>
      <c r="X806" s="438"/>
      <c r="Y806" s="761" t="s">
        <v>129</v>
      </c>
      <c r="Z806" s="776"/>
      <c r="AA806" s="777"/>
      <c r="AB806" s="633"/>
      <c r="AC806" s="818" t="s">
        <v>129</v>
      </c>
      <c r="AD806" s="811"/>
      <c r="AE806" s="811"/>
      <c r="AF806" s="633"/>
    </row>
    <row r="807" spans="1:32" ht="15.75">
      <c r="A807" s="643">
        <v>13001</v>
      </c>
      <c r="B807" s="644"/>
      <c r="C807" s="644" t="s">
        <v>1255</v>
      </c>
      <c r="D807" s="559">
        <v>80</v>
      </c>
      <c r="E807" s="545">
        <v>9900</v>
      </c>
      <c r="F807" s="546">
        <v>24</v>
      </c>
      <c r="G807" s="653">
        <v>30</v>
      </c>
      <c r="H807" s="560">
        <v>27</v>
      </c>
      <c r="I807" s="654">
        <v>36</v>
      </c>
      <c r="J807" s="561">
        <v>60</v>
      </c>
      <c r="K807" s="554" t="s">
        <v>221</v>
      </c>
      <c r="L807" s="562">
        <v>12</v>
      </c>
      <c r="M807" s="561">
        <v>1000</v>
      </c>
      <c r="N807" s="592">
        <v>0.1</v>
      </c>
      <c r="O807" s="594">
        <v>1.1000000000000001</v>
      </c>
      <c r="P807" s="590">
        <v>19</v>
      </c>
      <c r="Q807" s="431"/>
      <c r="R807" s="430" t="s">
        <v>129</v>
      </c>
      <c r="S807" s="497">
        <v>84</v>
      </c>
      <c r="T807" s="751">
        <v>990.33999999999992</v>
      </c>
      <c r="U807" s="439"/>
      <c r="V807" s="654">
        <v>10.89</v>
      </c>
      <c r="W807" s="636"/>
      <c r="X807" s="439"/>
      <c r="Y807" s="764">
        <v>10.89</v>
      </c>
      <c r="Z807" s="776">
        <v>24.108186666666668</v>
      </c>
      <c r="AA807" s="780">
        <v>30.135233333333336</v>
      </c>
      <c r="AB807" s="811"/>
      <c r="AC807" s="818">
        <v>19.8</v>
      </c>
      <c r="AD807" s="811" t="s">
        <v>667</v>
      </c>
      <c r="AE807" s="811">
        <v>0</v>
      </c>
      <c r="AF807" s="643">
        <v>13001</v>
      </c>
    </row>
    <row r="808" spans="1:32" ht="31.5">
      <c r="A808" s="643">
        <v>13002</v>
      </c>
      <c r="B808" s="644"/>
      <c r="C808" s="644" t="s">
        <v>1256</v>
      </c>
      <c r="D808" s="559">
        <v>50</v>
      </c>
      <c r="E808" s="545">
        <v>11500</v>
      </c>
      <c r="F808" s="546">
        <v>18</v>
      </c>
      <c r="G808" s="653">
        <v>35</v>
      </c>
      <c r="H808" s="560">
        <v>31</v>
      </c>
      <c r="I808" s="654">
        <v>42</v>
      </c>
      <c r="J808" s="561">
        <v>60</v>
      </c>
      <c r="K808" s="554" t="s">
        <v>221</v>
      </c>
      <c r="L808" s="562">
        <v>12</v>
      </c>
      <c r="M808" s="561">
        <v>1000</v>
      </c>
      <c r="N808" s="592">
        <v>0.1</v>
      </c>
      <c r="O808" s="594">
        <v>1.05</v>
      </c>
      <c r="P808" s="590">
        <v>27</v>
      </c>
      <c r="Q808" s="431">
        <v>0.1</v>
      </c>
      <c r="R808" s="430">
        <v>2523</v>
      </c>
      <c r="S808" s="175"/>
      <c r="T808" s="751">
        <v>1184.9000000000001</v>
      </c>
      <c r="U808" s="439">
        <v>22.908333333333335</v>
      </c>
      <c r="V808" s="654">
        <v>12.075000000000001</v>
      </c>
      <c r="W808" s="636"/>
      <c r="X808" s="439">
        <v>2.8000000000000003</v>
      </c>
      <c r="Y808" s="764">
        <v>12.075000000000001</v>
      </c>
      <c r="Z808" s="776">
        <v>17.502833333333339</v>
      </c>
      <c r="AA808" s="780">
        <v>35.005666666666677</v>
      </c>
      <c r="AB808" s="811"/>
      <c r="AC808" s="818">
        <v>23</v>
      </c>
      <c r="AD808" s="811" t="s">
        <v>667</v>
      </c>
      <c r="AE808" s="811">
        <v>0</v>
      </c>
      <c r="AF808" s="643">
        <v>13002</v>
      </c>
    </row>
    <row r="809" spans="1:32" ht="31.5">
      <c r="A809" s="643">
        <v>13003</v>
      </c>
      <c r="B809" s="644"/>
      <c r="C809" s="644" t="s">
        <v>1257</v>
      </c>
      <c r="D809" s="559">
        <v>80</v>
      </c>
      <c r="E809" s="545">
        <v>15500</v>
      </c>
      <c r="F809" s="546">
        <v>36</v>
      </c>
      <c r="G809" s="653">
        <v>45</v>
      </c>
      <c r="H809" s="560">
        <v>40</v>
      </c>
      <c r="I809" s="654">
        <v>54</v>
      </c>
      <c r="J809" s="561">
        <v>60</v>
      </c>
      <c r="K809" s="554" t="s">
        <v>221</v>
      </c>
      <c r="L809" s="562">
        <v>12</v>
      </c>
      <c r="M809" s="561">
        <v>1000</v>
      </c>
      <c r="N809" s="592">
        <v>0.1</v>
      </c>
      <c r="O809" s="594">
        <v>1</v>
      </c>
      <c r="P809" s="590">
        <v>27</v>
      </c>
      <c r="Q809" s="431">
        <v>0.1</v>
      </c>
      <c r="R809" s="430">
        <v>2871</v>
      </c>
      <c r="S809" s="496"/>
      <c r="T809" s="751">
        <v>1531.3</v>
      </c>
      <c r="U809" s="439">
        <v>25.875</v>
      </c>
      <c r="V809" s="654">
        <v>15.5</v>
      </c>
      <c r="W809" s="636"/>
      <c r="X809" s="439">
        <v>2.8000000000000003</v>
      </c>
      <c r="Y809" s="764">
        <v>15.5</v>
      </c>
      <c r="Z809" s="776">
        <v>36.099066666666666</v>
      </c>
      <c r="AA809" s="780">
        <v>45.12383333333333</v>
      </c>
      <c r="AB809" s="811"/>
      <c r="AC809" s="818">
        <v>31</v>
      </c>
      <c r="AD809" s="811" t="s">
        <v>667</v>
      </c>
      <c r="AE809" s="811">
        <v>0</v>
      </c>
      <c r="AF809" s="643">
        <v>13003</v>
      </c>
    </row>
    <row r="810" spans="1:32" ht="15.75">
      <c r="A810" s="643">
        <v>13004</v>
      </c>
      <c r="B810" s="644"/>
      <c r="C810" s="644" t="s">
        <v>1258</v>
      </c>
      <c r="D810" s="559">
        <v>100</v>
      </c>
      <c r="E810" s="545">
        <v>9200</v>
      </c>
      <c r="F810" s="546">
        <v>49</v>
      </c>
      <c r="G810" s="653">
        <v>49</v>
      </c>
      <c r="H810" s="560">
        <v>42</v>
      </c>
      <c r="I810" s="654">
        <v>62</v>
      </c>
      <c r="J810" s="561">
        <v>25</v>
      </c>
      <c r="K810" s="554" t="s">
        <v>221</v>
      </c>
      <c r="L810" s="562">
        <v>12</v>
      </c>
      <c r="M810" s="561">
        <v>800</v>
      </c>
      <c r="N810" s="592">
        <v>0.25</v>
      </c>
      <c r="O810" s="594">
        <v>1.05</v>
      </c>
      <c r="P810" s="590">
        <v>19</v>
      </c>
      <c r="Q810" s="431">
        <v>0.05</v>
      </c>
      <c r="R810" s="430">
        <v>6090</v>
      </c>
      <c r="S810" s="175"/>
      <c r="T810" s="751">
        <v>823</v>
      </c>
      <c r="U810" s="439">
        <v>37.56</v>
      </c>
      <c r="V810" s="654">
        <v>12.075000000000001</v>
      </c>
      <c r="W810" s="636"/>
      <c r="X810" s="439">
        <v>1.4000000000000001</v>
      </c>
      <c r="Y810" s="764">
        <v>12.075000000000001</v>
      </c>
      <c r="Z810" s="776">
        <v>49.494500000000009</v>
      </c>
      <c r="AA810" s="780">
        <v>49.494500000000009</v>
      </c>
      <c r="AB810" s="811"/>
      <c r="AC810" s="818">
        <v>18.400000000000002</v>
      </c>
      <c r="AD810" s="811" t="s">
        <v>667</v>
      </c>
      <c r="AE810" s="811">
        <v>0</v>
      </c>
      <c r="AF810" s="643">
        <v>13004</v>
      </c>
    </row>
    <row r="811" spans="1:32" ht="31.5">
      <c r="A811" s="643">
        <v>13005</v>
      </c>
      <c r="B811" s="644"/>
      <c r="C811" s="644" t="s">
        <v>1259</v>
      </c>
      <c r="D811" s="559">
        <v>50</v>
      </c>
      <c r="E811" s="545">
        <v>11000</v>
      </c>
      <c r="F811" s="546">
        <v>29</v>
      </c>
      <c r="G811" s="653">
        <v>59</v>
      </c>
      <c r="H811" s="654">
        <v>50</v>
      </c>
      <c r="I811" s="654">
        <v>73</v>
      </c>
      <c r="J811" s="561">
        <v>25</v>
      </c>
      <c r="K811" s="554" t="s">
        <v>221</v>
      </c>
      <c r="L811" s="562">
        <v>12</v>
      </c>
      <c r="M811" s="561">
        <v>800</v>
      </c>
      <c r="N811" s="592">
        <v>0.25</v>
      </c>
      <c r="O811" s="594">
        <v>1</v>
      </c>
      <c r="P811" s="590">
        <v>24</v>
      </c>
      <c r="Q811" s="431"/>
      <c r="R811" s="430" t="s">
        <v>129</v>
      </c>
      <c r="S811" s="497">
        <v>66</v>
      </c>
      <c r="T811" s="751">
        <v>993</v>
      </c>
      <c r="U811" s="439"/>
      <c r="V811" s="654">
        <v>13.75</v>
      </c>
      <c r="W811" s="636"/>
      <c r="X811" s="439"/>
      <c r="Y811" s="764">
        <v>13.75</v>
      </c>
      <c r="Z811" s="776">
        <v>29.4085</v>
      </c>
      <c r="AA811" s="780">
        <v>58.817</v>
      </c>
      <c r="AB811" s="811"/>
      <c r="AC811" s="818">
        <v>22</v>
      </c>
      <c r="AD811" s="811" t="s">
        <v>667</v>
      </c>
      <c r="AE811" s="811">
        <v>0</v>
      </c>
      <c r="AF811" s="643">
        <v>13005</v>
      </c>
    </row>
    <row r="812" spans="1:32" ht="15.75">
      <c r="A812" s="643">
        <v>13006</v>
      </c>
      <c r="B812" s="644"/>
      <c r="C812" s="644" t="s">
        <v>1260</v>
      </c>
      <c r="D812" s="559">
        <v>50</v>
      </c>
      <c r="E812" s="545">
        <v>4900</v>
      </c>
      <c r="F812" s="546">
        <v>16</v>
      </c>
      <c r="G812" s="653">
        <v>32</v>
      </c>
      <c r="H812" s="654">
        <v>27</v>
      </c>
      <c r="I812" s="654">
        <v>40</v>
      </c>
      <c r="J812" s="561">
        <v>25</v>
      </c>
      <c r="K812" s="554" t="s">
        <v>221</v>
      </c>
      <c r="L812" s="562">
        <v>12</v>
      </c>
      <c r="M812" s="561">
        <v>800</v>
      </c>
      <c r="N812" s="592">
        <v>0.25</v>
      </c>
      <c r="O812" s="594">
        <v>1.3</v>
      </c>
      <c r="P812" s="590">
        <v>23</v>
      </c>
      <c r="Q812" s="429"/>
      <c r="R812" s="430" t="s">
        <v>129</v>
      </c>
      <c r="S812" s="175">
        <v>204</v>
      </c>
      <c r="T812" s="751">
        <v>528.5</v>
      </c>
      <c r="U812" s="438"/>
      <c r="V812" s="654">
        <v>7.9625000000000004</v>
      </c>
      <c r="W812" s="636"/>
      <c r="X812" s="438"/>
      <c r="Y812" s="764">
        <v>7.9625000000000004</v>
      </c>
      <c r="Z812" s="776">
        <v>16.006375000000002</v>
      </c>
      <c r="AA812" s="780">
        <v>32.012750000000004</v>
      </c>
      <c r="AB812" s="811"/>
      <c r="AC812" s="818">
        <v>9.8000000000000007</v>
      </c>
      <c r="AD812" s="811" t="s">
        <v>667</v>
      </c>
      <c r="AE812" s="811">
        <v>0</v>
      </c>
      <c r="AF812" s="643">
        <v>13006</v>
      </c>
    </row>
    <row r="813" spans="1:32" ht="31.5">
      <c r="A813" s="643">
        <v>13007</v>
      </c>
      <c r="B813" s="644"/>
      <c r="C813" s="644" t="s">
        <v>1261</v>
      </c>
      <c r="D813" s="559">
        <v>20</v>
      </c>
      <c r="E813" s="545">
        <v>19500</v>
      </c>
      <c r="F813" s="546">
        <v>26</v>
      </c>
      <c r="G813" s="653">
        <v>130</v>
      </c>
      <c r="H813" s="560">
        <v>110</v>
      </c>
      <c r="I813" s="654">
        <v>160</v>
      </c>
      <c r="J813" s="561">
        <v>20</v>
      </c>
      <c r="K813" s="554" t="s">
        <v>221</v>
      </c>
      <c r="L813" s="562">
        <v>10</v>
      </c>
      <c r="M813" s="561">
        <v>800</v>
      </c>
      <c r="N813" s="592">
        <v>0.25</v>
      </c>
      <c r="O813" s="594">
        <v>0.9</v>
      </c>
      <c r="P813" s="590">
        <v>29</v>
      </c>
      <c r="Q813" s="432"/>
      <c r="R813" s="430" t="s">
        <v>129</v>
      </c>
      <c r="S813" s="497">
        <v>54</v>
      </c>
      <c r="T813" s="751">
        <v>1909.25</v>
      </c>
      <c r="U813" s="432"/>
      <c r="V813" s="654">
        <v>21.9375</v>
      </c>
      <c r="W813" s="636"/>
      <c r="X813" s="432"/>
      <c r="Y813" s="764">
        <v>21.9375</v>
      </c>
      <c r="Z813" s="776">
        <v>25.828000000000003</v>
      </c>
      <c r="AA813" s="780">
        <v>129.14000000000001</v>
      </c>
      <c r="AB813" s="811"/>
      <c r="AC813" s="818">
        <v>39</v>
      </c>
      <c r="AD813" s="811" t="s">
        <v>667</v>
      </c>
      <c r="AE813" s="811">
        <v>0</v>
      </c>
      <c r="AF813" s="643">
        <v>13007</v>
      </c>
    </row>
    <row r="814" spans="1:32" ht="31.5">
      <c r="A814" s="643">
        <v>13008</v>
      </c>
      <c r="B814" s="644"/>
      <c r="C814" s="644" t="s">
        <v>1262</v>
      </c>
      <c r="D814" s="559">
        <v>40</v>
      </c>
      <c r="E814" s="545">
        <v>27000</v>
      </c>
      <c r="F814" s="546">
        <v>39</v>
      </c>
      <c r="G814" s="653">
        <v>98</v>
      </c>
      <c r="H814" s="654">
        <v>80</v>
      </c>
      <c r="I814" s="654">
        <v>120</v>
      </c>
      <c r="J814" s="561">
        <v>40</v>
      </c>
      <c r="K814" s="554" t="s">
        <v>221</v>
      </c>
      <c r="L814" s="562">
        <v>10</v>
      </c>
      <c r="M814" s="561">
        <v>1000</v>
      </c>
      <c r="N814" s="592">
        <v>0.25</v>
      </c>
      <c r="O814" s="594">
        <v>0.9</v>
      </c>
      <c r="P814" s="590">
        <v>33</v>
      </c>
      <c r="Q814" s="431">
        <v>0.05</v>
      </c>
      <c r="R814" s="430">
        <v>3211.8224999999998</v>
      </c>
      <c r="S814" s="175">
        <v>96</v>
      </c>
      <c r="T814" s="751">
        <v>2593.5</v>
      </c>
      <c r="U814" s="439">
        <v>42.820718749999997</v>
      </c>
      <c r="V814" s="654">
        <v>24.3</v>
      </c>
      <c r="W814" s="636"/>
      <c r="X814" s="439">
        <v>1.4000000000000001</v>
      </c>
      <c r="Y814" s="764">
        <v>24.3</v>
      </c>
      <c r="Z814" s="776">
        <v>39.220500000000001</v>
      </c>
      <c r="AA814" s="780">
        <v>98.05125000000001</v>
      </c>
      <c r="AB814" s="811"/>
      <c r="AC814" s="818">
        <v>54</v>
      </c>
      <c r="AD814" s="811" t="s">
        <v>667</v>
      </c>
      <c r="AE814" s="811">
        <v>0</v>
      </c>
      <c r="AF814" s="643">
        <v>13008</v>
      </c>
    </row>
    <row r="815" spans="1:32" ht="15.75">
      <c r="A815" s="643">
        <v>13012</v>
      </c>
      <c r="B815" s="644"/>
      <c r="C815" s="644" t="s">
        <v>1263</v>
      </c>
      <c r="D815" s="559">
        <v>60</v>
      </c>
      <c r="E815" s="545">
        <v>8500</v>
      </c>
      <c r="F815" s="546">
        <v>21</v>
      </c>
      <c r="G815" s="653">
        <v>35</v>
      </c>
      <c r="H815" s="654">
        <v>31</v>
      </c>
      <c r="I815" s="654">
        <v>42</v>
      </c>
      <c r="J815" s="561">
        <v>50</v>
      </c>
      <c r="K815" s="554" t="s">
        <v>221</v>
      </c>
      <c r="L815" s="562">
        <v>10</v>
      </c>
      <c r="M815" s="561">
        <v>1000</v>
      </c>
      <c r="N815" s="592">
        <v>0.25</v>
      </c>
      <c r="O815" s="594">
        <v>1.55</v>
      </c>
      <c r="P815" s="590">
        <v>30</v>
      </c>
      <c r="Q815" s="431">
        <v>0.1</v>
      </c>
      <c r="R815" s="430">
        <v>1492.5</v>
      </c>
      <c r="S815" s="497">
        <v>66</v>
      </c>
      <c r="T815" s="751">
        <v>953.75</v>
      </c>
      <c r="U815" s="439">
        <v>20.53125</v>
      </c>
      <c r="V815" s="654">
        <v>13.175000000000001</v>
      </c>
      <c r="W815" s="636"/>
      <c r="X815" s="439">
        <v>2.8000000000000003</v>
      </c>
      <c r="Y815" s="764">
        <v>13.175000000000001</v>
      </c>
      <c r="Z815" s="776">
        <v>21.285</v>
      </c>
      <c r="AA815" s="780">
        <v>35.475000000000001</v>
      </c>
      <c r="AB815" s="811"/>
      <c r="AC815" s="818">
        <v>17</v>
      </c>
      <c r="AD815" s="811" t="s">
        <v>667</v>
      </c>
      <c r="AE815" s="811">
        <v>0</v>
      </c>
      <c r="AF815" s="643">
        <v>13012</v>
      </c>
    </row>
    <row r="816" spans="1:32" ht="15.75">
      <c r="A816" s="643">
        <v>13013</v>
      </c>
      <c r="B816" s="644"/>
      <c r="C816" s="644" t="s">
        <v>1264</v>
      </c>
      <c r="D816" s="559">
        <v>120</v>
      </c>
      <c r="E816" s="545">
        <v>15500</v>
      </c>
      <c r="F816" s="546">
        <v>59</v>
      </c>
      <c r="G816" s="653">
        <v>49</v>
      </c>
      <c r="H816" s="654">
        <v>44</v>
      </c>
      <c r="I816" s="654">
        <v>57</v>
      </c>
      <c r="J816" s="561">
        <v>80</v>
      </c>
      <c r="K816" s="554" t="s">
        <v>221</v>
      </c>
      <c r="L816" s="562">
        <v>10</v>
      </c>
      <c r="M816" s="561">
        <v>1000</v>
      </c>
      <c r="N816" s="592">
        <v>0.1</v>
      </c>
      <c r="O816" s="594">
        <v>1.4</v>
      </c>
      <c r="P816" s="590">
        <v>35</v>
      </c>
      <c r="Q816" s="431">
        <v>0.05</v>
      </c>
      <c r="R816" s="430">
        <v>3828</v>
      </c>
      <c r="S816" s="175"/>
      <c r="T816" s="751">
        <v>1819.8</v>
      </c>
      <c r="U816" s="439">
        <v>40.630000000000003</v>
      </c>
      <c r="V816" s="654">
        <v>21.7</v>
      </c>
      <c r="W816" s="636"/>
      <c r="X816" s="439">
        <v>1.4000000000000001</v>
      </c>
      <c r="Y816" s="764">
        <v>21.7</v>
      </c>
      <c r="Z816" s="776">
        <v>58.670700000000004</v>
      </c>
      <c r="AA816" s="780">
        <v>48.892250000000004</v>
      </c>
      <c r="AB816" s="811"/>
      <c r="AC816" s="818">
        <v>31</v>
      </c>
      <c r="AD816" s="811" t="s">
        <v>667</v>
      </c>
      <c r="AE816" s="811">
        <v>0</v>
      </c>
      <c r="AF816" s="643">
        <v>13013</v>
      </c>
    </row>
    <row r="817" spans="1:32" ht="31.5">
      <c r="A817" s="643">
        <v>13014</v>
      </c>
      <c r="B817" s="644"/>
      <c r="C817" s="644" t="s">
        <v>1265</v>
      </c>
      <c r="D817" s="559">
        <v>70</v>
      </c>
      <c r="E817" s="545">
        <v>13000</v>
      </c>
      <c r="F817" s="546">
        <v>28</v>
      </c>
      <c r="G817" s="653">
        <v>40</v>
      </c>
      <c r="H817" s="654">
        <v>34</v>
      </c>
      <c r="I817" s="654">
        <v>50</v>
      </c>
      <c r="J817" s="561">
        <v>50</v>
      </c>
      <c r="K817" s="554" t="s">
        <v>221</v>
      </c>
      <c r="L817" s="562">
        <v>10</v>
      </c>
      <c r="M817" s="561">
        <v>1000</v>
      </c>
      <c r="N817" s="592">
        <v>0.25</v>
      </c>
      <c r="O817" s="594">
        <v>0.7</v>
      </c>
      <c r="P817" s="590">
        <v>30</v>
      </c>
      <c r="Q817" s="431">
        <v>0.05</v>
      </c>
      <c r="R817" s="430">
        <v>748.2</v>
      </c>
      <c r="S817" s="496"/>
      <c r="T817" s="751">
        <v>1347.5</v>
      </c>
      <c r="U817" s="439">
        <v>7.1950000000000012</v>
      </c>
      <c r="V817" s="654">
        <v>9.1</v>
      </c>
      <c r="W817" s="636"/>
      <c r="X817" s="439">
        <v>1.4000000000000001</v>
      </c>
      <c r="Y817" s="764">
        <v>9.1</v>
      </c>
      <c r="Z817" s="776">
        <v>27.758499999999998</v>
      </c>
      <c r="AA817" s="780">
        <v>39.655000000000001</v>
      </c>
      <c r="AB817" s="811"/>
      <c r="AC817" s="818">
        <v>26</v>
      </c>
      <c r="AD817" s="811" t="s">
        <v>667</v>
      </c>
      <c r="AE817" s="811">
        <v>0</v>
      </c>
      <c r="AF817" s="643">
        <v>13014</v>
      </c>
    </row>
    <row r="818" spans="1:32" ht="31.5">
      <c r="A818" s="643">
        <v>13015</v>
      </c>
      <c r="B818" s="644"/>
      <c r="C818" s="644" t="s">
        <v>1266</v>
      </c>
      <c r="D818" s="559">
        <v>160</v>
      </c>
      <c r="E818" s="545">
        <v>27000</v>
      </c>
      <c r="F818" s="546">
        <v>94</v>
      </c>
      <c r="G818" s="653">
        <v>59</v>
      </c>
      <c r="H818" s="654">
        <v>51</v>
      </c>
      <c r="I818" s="654">
        <v>73</v>
      </c>
      <c r="J818" s="561">
        <v>80</v>
      </c>
      <c r="K818" s="554" t="s">
        <v>221</v>
      </c>
      <c r="L818" s="562">
        <v>10</v>
      </c>
      <c r="M818" s="561">
        <v>1000</v>
      </c>
      <c r="N818" s="592">
        <v>0.1</v>
      </c>
      <c r="O818" s="594">
        <v>0.6</v>
      </c>
      <c r="P818" s="590">
        <v>35</v>
      </c>
      <c r="Q818" s="431">
        <v>0.1</v>
      </c>
      <c r="R818" s="430">
        <v>469.8</v>
      </c>
      <c r="S818" s="175"/>
      <c r="T818" s="751">
        <v>2988.2</v>
      </c>
      <c r="U818" s="439">
        <v>3.3062857142857136</v>
      </c>
      <c r="V818" s="654">
        <v>16.2</v>
      </c>
      <c r="W818" s="636"/>
      <c r="X818" s="439">
        <v>2.8000000000000003</v>
      </c>
      <c r="Y818" s="764">
        <v>16.2</v>
      </c>
      <c r="Z818" s="776">
        <v>94.252399999999994</v>
      </c>
      <c r="AA818" s="780">
        <v>58.90775</v>
      </c>
      <c r="AB818" s="811"/>
      <c r="AC818" s="818">
        <v>54</v>
      </c>
      <c r="AD818" s="811" t="s">
        <v>667</v>
      </c>
      <c r="AE818" s="811">
        <v>0</v>
      </c>
      <c r="AF818" s="643">
        <v>13015</v>
      </c>
    </row>
    <row r="819" spans="1:32" ht="15.75">
      <c r="A819" s="643">
        <v>13010</v>
      </c>
      <c r="B819" s="644"/>
      <c r="C819" s="644" t="s">
        <v>1267</v>
      </c>
      <c r="D819" s="559">
        <v>50</v>
      </c>
      <c r="E819" s="545">
        <v>15500</v>
      </c>
      <c r="F819" s="546">
        <v>33</v>
      </c>
      <c r="G819" s="653">
        <v>67</v>
      </c>
      <c r="H819" s="654">
        <v>56</v>
      </c>
      <c r="I819" s="654">
        <v>85</v>
      </c>
      <c r="J819" s="561">
        <v>25</v>
      </c>
      <c r="K819" s="554" t="s">
        <v>221</v>
      </c>
      <c r="L819" s="562">
        <v>12</v>
      </c>
      <c r="M819" s="561">
        <v>800</v>
      </c>
      <c r="N819" s="592">
        <v>0.25</v>
      </c>
      <c r="O819" s="594">
        <v>0.5</v>
      </c>
      <c r="P819" s="590">
        <v>16</v>
      </c>
      <c r="Q819" s="432"/>
      <c r="R819" s="430" t="s">
        <v>129</v>
      </c>
      <c r="S819" s="497">
        <v>18</v>
      </c>
      <c r="T819" s="751">
        <v>1274.5</v>
      </c>
      <c r="U819" s="432"/>
      <c r="V819" s="654">
        <v>9.6875</v>
      </c>
      <c r="W819" s="636"/>
      <c r="X819" s="432"/>
      <c r="Y819" s="764">
        <v>9.6875</v>
      </c>
      <c r="Z819" s="776">
        <v>33.367125000000001</v>
      </c>
      <c r="AA819" s="780">
        <v>66.734250000000003</v>
      </c>
      <c r="AB819" s="811"/>
      <c r="AC819" s="818">
        <v>31</v>
      </c>
      <c r="AD819" s="811" t="s">
        <v>667</v>
      </c>
      <c r="AE819" s="811">
        <v>0</v>
      </c>
      <c r="AF819" s="643">
        <v>13010</v>
      </c>
    </row>
    <row r="820" spans="1:32" ht="15.75">
      <c r="A820" s="643">
        <v>13011</v>
      </c>
      <c r="B820" s="644"/>
      <c r="C820" s="644" t="s">
        <v>1268</v>
      </c>
      <c r="D820" s="569" t="s">
        <v>221</v>
      </c>
      <c r="E820" s="545">
        <v>4500</v>
      </c>
      <c r="F820" s="546"/>
      <c r="G820" s="916">
        <v>0.05</v>
      </c>
      <c r="H820" s="725"/>
      <c r="I820" s="725"/>
      <c r="J820" s="917">
        <v>15000</v>
      </c>
      <c r="K820" s="554" t="s">
        <v>221</v>
      </c>
      <c r="L820" s="562">
        <v>12</v>
      </c>
      <c r="M820" s="917">
        <v>250000</v>
      </c>
      <c r="N820" s="592">
        <v>0.1</v>
      </c>
      <c r="O820" s="594">
        <v>0.4</v>
      </c>
      <c r="P820" s="590">
        <v>14</v>
      </c>
      <c r="Q820" s="429"/>
      <c r="R820" s="430" t="s">
        <v>129</v>
      </c>
      <c r="S820" s="175">
        <v>138</v>
      </c>
      <c r="T820" s="751">
        <v>487.7</v>
      </c>
      <c r="U820" s="438"/>
      <c r="V820" s="918">
        <v>7.1999999999999998E-3</v>
      </c>
      <c r="W820" s="636"/>
      <c r="X820" s="438"/>
      <c r="Y820" s="919">
        <v>7.1999999999999998E-3</v>
      </c>
      <c r="Z820" s="776"/>
      <c r="AA820" s="806">
        <v>4.3684666666666663E-2</v>
      </c>
      <c r="AB820" s="811"/>
      <c r="AC820" s="818">
        <v>9</v>
      </c>
      <c r="AD820" s="811" t="s">
        <v>1269</v>
      </c>
      <c r="AE820" s="811">
        <v>0</v>
      </c>
      <c r="AF820" s="643">
        <v>13011</v>
      </c>
    </row>
    <row r="821" spans="1:32" ht="15.75">
      <c r="A821" s="643">
        <v>13016</v>
      </c>
      <c r="B821" s="644"/>
      <c r="C821" s="644" t="s">
        <v>1270</v>
      </c>
      <c r="D821" s="559">
        <v>15</v>
      </c>
      <c r="E821" s="545">
        <v>45000</v>
      </c>
      <c r="F821" s="546">
        <v>26</v>
      </c>
      <c r="G821" s="653">
        <v>175</v>
      </c>
      <c r="H821" s="654">
        <v>140</v>
      </c>
      <c r="I821" s="654">
        <v>220</v>
      </c>
      <c r="J821" s="561">
        <v>30</v>
      </c>
      <c r="K821" s="554" t="s">
        <v>221</v>
      </c>
      <c r="L821" s="562">
        <v>10</v>
      </c>
      <c r="M821" s="561">
        <v>1000</v>
      </c>
      <c r="N821" s="592">
        <v>0.25</v>
      </c>
      <c r="O821" s="594">
        <v>0.55000000000000004</v>
      </c>
      <c r="P821" s="590">
        <v>10</v>
      </c>
      <c r="Q821" s="432"/>
      <c r="R821" s="430" t="s">
        <v>129</v>
      </c>
      <c r="S821" s="497">
        <v>72</v>
      </c>
      <c r="T821" s="751">
        <v>4008</v>
      </c>
      <c r="U821" s="432"/>
      <c r="V821" s="654">
        <v>24.75</v>
      </c>
      <c r="W821" s="636"/>
      <c r="X821" s="535">
        <v>15</v>
      </c>
      <c r="Y821" s="764">
        <v>24.75</v>
      </c>
      <c r="Z821" s="776">
        <v>26.13</v>
      </c>
      <c r="AA821" s="780">
        <v>174.17</v>
      </c>
      <c r="AB821" s="811"/>
      <c r="AC821" s="818">
        <v>9</v>
      </c>
      <c r="AD821" s="811" t="s">
        <v>667</v>
      </c>
      <c r="AE821" s="811">
        <v>0</v>
      </c>
      <c r="AF821" s="643">
        <v>13016</v>
      </c>
    </row>
    <row r="822" spans="1:32" ht="15.75">
      <c r="A822" s="633"/>
      <c r="B822" s="634"/>
      <c r="C822" s="633"/>
      <c r="D822" s="559"/>
      <c r="E822" s="545"/>
      <c r="F822" s="546"/>
      <c r="G822" s="655" t="s">
        <v>129</v>
      </c>
      <c r="H822" s="654"/>
      <c r="I822" s="654"/>
      <c r="J822" s="561"/>
      <c r="K822" s="635"/>
      <c r="L822" s="633"/>
      <c r="M822" s="561"/>
      <c r="N822" s="592" t="s">
        <v>129</v>
      </c>
      <c r="O822" s="594" t="s">
        <v>129</v>
      </c>
      <c r="P822" s="593"/>
      <c r="Q822" s="431">
        <v>0.05</v>
      </c>
      <c r="R822" s="430">
        <v>4285.6000000000004</v>
      </c>
      <c r="S822" s="175">
        <v>312</v>
      </c>
      <c r="T822" s="751" t="s">
        <v>129</v>
      </c>
      <c r="U822" s="439">
        <v>19.6784</v>
      </c>
      <c r="V822" s="654"/>
      <c r="W822" s="636"/>
      <c r="X822" s="439">
        <v>1.4000000000000001</v>
      </c>
      <c r="Y822" s="761" t="s">
        <v>129</v>
      </c>
      <c r="Z822" s="776"/>
      <c r="AA822" s="780"/>
      <c r="AB822" s="633"/>
      <c r="AC822" s="818" t="s">
        <v>129</v>
      </c>
      <c r="AD822" s="811"/>
      <c r="AE822" s="811"/>
      <c r="AF822" s="633"/>
    </row>
    <row r="823" spans="1:32" ht="15.75">
      <c r="A823" s="624">
        <v>13020</v>
      </c>
      <c r="B823" s="625" t="s">
        <v>411</v>
      </c>
      <c r="C823" s="626" t="s">
        <v>1271</v>
      </c>
      <c r="D823" s="627"/>
      <c r="E823" s="628"/>
      <c r="F823" s="629"/>
      <c r="G823" s="630" t="s">
        <v>129</v>
      </c>
      <c r="H823" s="631"/>
      <c r="I823" s="631"/>
      <c r="J823" s="632"/>
      <c r="K823" s="632"/>
      <c r="L823" s="627"/>
      <c r="M823" s="632"/>
      <c r="N823" s="739" t="s">
        <v>129</v>
      </c>
      <c r="O823" s="744" t="s">
        <v>129</v>
      </c>
      <c r="P823" s="742"/>
      <c r="Q823" s="431">
        <v>0.05</v>
      </c>
      <c r="R823" s="430">
        <v>497.5</v>
      </c>
      <c r="S823" s="497">
        <v>66</v>
      </c>
      <c r="T823" s="750" t="s">
        <v>129</v>
      </c>
      <c r="U823" s="439">
        <v>4.6375000000000002</v>
      </c>
      <c r="V823" s="631"/>
      <c r="W823" s="631"/>
      <c r="X823" s="439">
        <v>1.4000000000000001</v>
      </c>
      <c r="Y823" s="763" t="s">
        <v>129</v>
      </c>
      <c r="Z823" s="774"/>
      <c r="AA823" s="775"/>
      <c r="AB823" s="810"/>
      <c r="AC823" s="817" t="s">
        <v>129</v>
      </c>
      <c r="AD823" s="810"/>
      <c r="AE823" s="810"/>
      <c r="AF823" s="624">
        <v>13020</v>
      </c>
    </row>
    <row r="824" spans="1:32" ht="15.75">
      <c r="A824" s="633"/>
      <c r="B824" s="634"/>
      <c r="C824" s="633"/>
      <c r="D824" s="559"/>
      <c r="E824" s="545"/>
      <c r="F824" s="546"/>
      <c r="G824" s="655" t="s">
        <v>129</v>
      </c>
      <c r="H824" s="654"/>
      <c r="I824" s="654"/>
      <c r="J824" s="561"/>
      <c r="K824" s="635"/>
      <c r="L824" s="633"/>
      <c r="M824" s="561"/>
      <c r="N824" s="592" t="s">
        <v>129</v>
      </c>
      <c r="O824" s="594" t="s">
        <v>129</v>
      </c>
      <c r="P824" s="593"/>
      <c r="Q824" s="432"/>
      <c r="R824" s="430" t="s">
        <v>129</v>
      </c>
      <c r="S824" s="175">
        <v>54</v>
      </c>
      <c r="T824" s="751" t="s">
        <v>129</v>
      </c>
      <c r="U824" s="432"/>
      <c r="V824" s="654"/>
      <c r="W824" s="636"/>
      <c r="X824" s="432"/>
      <c r="Y824" s="761" t="s">
        <v>129</v>
      </c>
      <c r="Z824" s="776"/>
      <c r="AA824" s="780"/>
      <c r="AB824" s="633"/>
      <c r="AC824" s="818" t="s">
        <v>129</v>
      </c>
      <c r="AD824" s="811"/>
      <c r="AE824" s="811"/>
      <c r="AF824" s="633"/>
    </row>
    <row r="825" spans="1:32" ht="15.75">
      <c r="A825" s="643">
        <v>13021</v>
      </c>
      <c r="B825" s="644" t="s">
        <v>411</v>
      </c>
      <c r="C825" s="644" t="s">
        <v>1272</v>
      </c>
      <c r="D825" s="559"/>
      <c r="E825" s="545">
        <v>17000</v>
      </c>
      <c r="F825" s="546"/>
      <c r="G825" s="653">
        <v>29</v>
      </c>
      <c r="H825" s="654">
        <v>26</v>
      </c>
      <c r="I825" s="654">
        <v>35</v>
      </c>
      <c r="J825" s="561">
        <v>120</v>
      </c>
      <c r="K825" s="554" t="s">
        <v>221</v>
      </c>
      <c r="L825" s="562">
        <v>12</v>
      </c>
      <c r="M825" s="561">
        <v>800</v>
      </c>
      <c r="N825" s="592">
        <v>0</v>
      </c>
      <c r="O825" s="594">
        <v>0.6</v>
      </c>
      <c r="P825" s="590">
        <v>11</v>
      </c>
      <c r="Q825" s="431"/>
      <c r="R825" s="430" t="s">
        <v>129</v>
      </c>
      <c r="S825" s="497">
        <v>186</v>
      </c>
      <c r="T825" s="751">
        <v>1680.6666666666667</v>
      </c>
      <c r="U825" s="440"/>
      <c r="V825" s="654">
        <v>12.75</v>
      </c>
      <c r="W825" s="636"/>
      <c r="X825" s="439"/>
      <c r="Y825" s="764">
        <v>12.75</v>
      </c>
      <c r="Z825" s="776"/>
      <c r="AA825" s="780">
        <v>29.431111111111115</v>
      </c>
      <c r="AB825" s="811"/>
      <c r="AC825" s="818">
        <v>34</v>
      </c>
      <c r="AD825" s="811" t="s">
        <v>667</v>
      </c>
      <c r="AE825" s="811">
        <v>0</v>
      </c>
      <c r="AF825" s="643">
        <v>13021</v>
      </c>
    </row>
    <row r="826" spans="1:32" ht="31.5">
      <c r="A826" s="643">
        <v>13026</v>
      </c>
      <c r="B826" s="644" t="s">
        <v>411</v>
      </c>
      <c r="C826" s="644" t="s">
        <v>1273</v>
      </c>
      <c r="D826" s="559"/>
      <c r="E826" s="545">
        <v>18000</v>
      </c>
      <c r="F826" s="546"/>
      <c r="G826" s="653">
        <v>30</v>
      </c>
      <c r="H826" s="654">
        <v>27</v>
      </c>
      <c r="I826" s="654">
        <v>35</v>
      </c>
      <c r="J826" s="561">
        <v>120</v>
      </c>
      <c r="K826" s="554"/>
      <c r="L826" s="562">
        <v>12</v>
      </c>
      <c r="M826" s="561">
        <v>800</v>
      </c>
      <c r="N826" s="592">
        <v>0</v>
      </c>
      <c r="O826" s="594">
        <v>0.55000000000000004</v>
      </c>
      <c r="P826" s="590">
        <v>11</v>
      </c>
      <c r="Q826" s="431"/>
      <c r="R826" s="430" t="s">
        <v>129</v>
      </c>
      <c r="S826" s="175">
        <v>108</v>
      </c>
      <c r="T826" s="751">
        <v>1775</v>
      </c>
      <c r="U826" s="440"/>
      <c r="V826" s="654">
        <v>12.375000000000002</v>
      </c>
      <c r="W826" s="636"/>
      <c r="X826" s="439"/>
      <c r="Y826" s="764">
        <v>12.375000000000002</v>
      </c>
      <c r="Z826" s="776"/>
      <c r="AA826" s="780">
        <v>29.883333333333336</v>
      </c>
      <c r="AB826" s="811"/>
      <c r="AC826" s="818">
        <v>36</v>
      </c>
      <c r="AD826" s="811" t="s">
        <v>667</v>
      </c>
      <c r="AE826" s="811">
        <v>0</v>
      </c>
      <c r="AF826" s="643">
        <v>13026</v>
      </c>
    </row>
    <row r="827" spans="1:32" ht="15.75">
      <c r="A827" s="643">
        <v>13022</v>
      </c>
      <c r="B827" s="644" t="s">
        <v>411</v>
      </c>
      <c r="C827" s="644" t="s">
        <v>1274</v>
      </c>
      <c r="D827" s="559"/>
      <c r="E827" s="545">
        <v>21000</v>
      </c>
      <c r="F827" s="546"/>
      <c r="G827" s="653">
        <v>32</v>
      </c>
      <c r="H827" s="654">
        <v>28</v>
      </c>
      <c r="I827" s="654">
        <v>39</v>
      </c>
      <c r="J827" s="561">
        <v>120</v>
      </c>
      <c r="K827" s="554" t="s">
        <v>221</v>
      </c>
      <c r="L827" s="562">
        <v>12</v>
      </c>
      <c r="M827" s="561">
        <v>1500</v>
      </c>
      <c r="N827" s="592">
        <v>0</v>
      </c>
      <c r="O827" s="594">
        <v>0.75</v>
      </c>
      <c r="P827" s="590">
        <v>34</v>
      </c>
      <c r="Q827" s="429"/>
      <c r="R827" s="430" t="s">
        <v>129</v>
      </c>
      <c r="S827" s="497">
        <v>144</v>
      </c>
      <c r="T827" s="751">
        <v>2219</v>
      </c>
      <c r="U827" s="438"/>
      <c r="V827" s="654">
        <v>10.5</v>
      </c>
      <c r="W827" s="636"/>
      <c r="X827" s="438"/>
      <c r="Y827" s="764">
        <v>10.5</v>
      </c>
      <c r="Z827" s="776"/>
      <c r="AA827" s="780">
        <v>31.890833333333337</v>
      </c>
      <c r="AB827" s="811"/>
      <c r="AC827" s="818">
        <v>42</v>
      </c>
      <c r="AD827" s="811" t="s">
        <v>667</v>
      </c>
      <c r="AE827" s="811">
        <v>0</v>
      </c>
      <c r="AF827" s="643">
        <v>13022</v>
      </c>
    </row>
    <row r="828" spans="1:32" ht="31.5">
      <c r="A828" s="643">
        <v>13027</v>
      </c>
      <c r="B828" s="644" t="s">
        <v>411</v>
      </c>
      <c r="C828" s="644" t="s">
        <v>1275</v>
      </c>
      <c r="D828" s="559"/>
      <c r="E828" s="545">
        <v>25000</v>
      </c>
      <c r="F828" s="546"/>
      <c r="G828" s="653">
        <v>37</v>
      </c>
      <c r="H828" s="654">
        <v>32</v>
      </c>
      <c r="I828" s="654">
        <v>45</v>
      </c>
      <c r="J828" s="561">
        <v>120</v>
      </c>
      <c r="K828" s="554"/>
      <c r="L828" s="562">
        <v>12</v>
      </c>
      <c r="M828" s="561">
        <v>1500</v>
      </c>
      <c r="N828" s="592">
        <v>0</v>
      </c>
      <c r="O828" s="594">
        <v>0.7</v>
      </c>
      <c r="P828" s="590">
        <v>34</v>
      </c>
      <c r="Q828" s="431"/>
      <c r="R828" s="430" t="s">
        <v>129</v>
      </c>
      <c r="S828" s="175">
        <v>174</v>
      </c>
      <c r="T828" s="751">
        <v>2596.3333333333335</v>
      </c>
      <c r="U828" s="439"/>
      <c r="V828" s="654">
        <v>11.666666666666666</v>
      </c>
      <c r="W828" s="636"/>
      <c r="X828" s="439"/>
      <c r="Y828" s="764">
        <v>11.666666666666666</v>
      </c>
      <c r="Z828" s="776"/>
      <c r="AA828" s="780">
        <v>36.633055555555558</v>
      </c>
      <c r="AB828" s="811"/>
      <c r="AC828" s="818">
        <v>50</v>
      </c>
      <c r="AD828" s="811" t="s">
        <v>667</v>
      </c>
      <c r="AE828" s="811">
        <v>0</v>
      </c>
      <c r="AF828" s="643">
        <v>13027</v>
      </c>
    </row>
    <row r="829" spans="1:32" ht="15.75">
      <c r="A829" s="643">
        <v>13023</v>
      </c>
      <c r="B829" s="644" t="s">
        <v>411</v>
      </c>
      <c r="C829" s="644" t="s">
        <v>1276</v>
      </c>
      <c r="D829" s="559"/>
      <c r="E829" s="545">
        <v>6500</v>
      </c>
      <c r="F829" s="546"/>
      <c r="G829" s="653">
        <v>37</v>
      </c>
      <c r="H829" s="654">
        <v>31</v>
      </c>
      <c r="I829" s="654">
        <v>47</v>
      </c>
      <c r="J829" s="561">
        <v>20</v>
      </c>
      <c r="K829" s="554" t="s">
        <v>221</v>
      </c>
      <c r="L829" s="562">
        <v>12</v>
      </c>
      <c r="M829" s="561">
        <v>1500</v>
      </c>
      <c r="N829" s="592">
        <v>0.25</v>
      </c>
      <c r="O829" s="594">
        <v>1.4</v>
      </c>
      <c r="P829" s="590">
        <v>9</v>
      </c>
      <c r="Q829" s="431">
        <v>0.1</v>
      </c>
      <c r="R829" s="430">
        <v>974</v>
      </c>
      <c r="S829" s="497">
        <v>108</v>
      </c>
      <c r="T829" s="751">
        <v>550.5</v>
      </c>
      <c r="U829" s="440">
        <v>18.783333333333335</v>
      </c>
      <c r="V829" s="654">
        <v>6.0666666666666655</v>
      </c>
      <c r="W829" s="636"/>
      <c r="X829" s="440">
        <v>2.8000000000000003</v>
      </c>
      <c r="Y829" s="764">
        <v>6.0666666666666655</v>
      </c>
      <c r="Z829" s="776"/>
      <c r="AA829" s="780">
        <v>36.950833333333328</v>
      </c>
      <c r="AB829" s="811"/>
      <c r="AC829" s="818">
        <v>13</v>
      </c>
      <c r="AD829" s="811" t="s">
        <v>667</v>
      </c>
      <c r="AE829" s="811">
        <v>0</v>
      </c>
      <c r="AF829" s="643">
        <v>13023</v>
      </c>
    </row>
    <row r="830" spans="1:32" ht="15.75">
      <c r="A830" s="643">
        <v>13024</v>
      </c>
      <c r="B830" s="644" t="s">
        <v>411</v>
      </c>
      <c r="C830" s="644" t="s">
        <v>1277</v>
      </c>
      <c r="D830" s="559"/>
      <c r="E830" s="545">
        <v>8400</v>
      </c>
      <c r="F830" s="546"/>
      <c r="G830" s="653">
        <v>49</v>
      </c>
      <c r="H830" s="654">
        <v>40</v>
      </c>
      <c r="I830" s="654">
        <v>62</v>
      </c>
      <c r="J830" s="561">
        <v>20</v>
      </c>
      <c r="K830" s="554" t="s">
        <v>221</v>
      </c>
      <c r="L830" s="562">
        <v>12</v>
      </c>
      <c r="M830" s="561">
        <v>1500</v>
      </c>
      <c r="N830" s="592">
        <v>0.25</v>
      </c>
      <c r="O830" s="594">
        <v>1.25</v>
      </c>
      <c r="P830" s="590">
        <v>16</v>
      </c>
      <c r="Q830" s="431">
        <v>0.1</v>
      </c>
      <c r="R830" s="430">
        <v>1168.8</v>
      </c>
      <c r="S830" s="175">
        <v>186</v>
      </c>
      <c r="T830" s="751">
        <v>742</v>
      </c>
      <c r="U830" s="440">
        <v>23.029999999999998</v>
      </c>
      <c r="V830" s="654">
        <v>7</v>
      </c>
      <c r="W830" s="636"/>
      <c r="X830" s="440">
        <v>2.8000000000000003</v>
      </c>
      <c r="Y830" s="764">
        <v>7</v>
      </c>
      <c r="Z830" s="776"/>
      <c r="AA830" s="780">
        <v>48.510000000000005</v>
      </c>
      <c r="AB830" s="811"/>
      <c r="AC830" s="818">
        <v>16.8</v>
      </c>
      <c r="AD830" s="811" t="s">
        <v>667</v>
      </c>
      <c r="AE830" s="811">
        <v>0</v>
      </c>
      <c r="AF830" s="643">
        <v>13024</v>
      </c>
    </row>
    <row r="831" spans="1:32" ht="15.75">
      <c r="A831" s="643">
        <v>13025</v>
      </c>
      <c r="B831" s="644" t="s">
        <v>411</v>
      </c>
      <c r="C831" s="644" t="s">
        <v>1278</v>
      </c>
      <c r="D831" s="559"/>
      <c r="E831" s="545">
        <v>4100</v>
      </c>
      <c r="F831" s="546"/>
      <c r="G831" s="653">
        <v>30</v>
      </c>
      <c r="H831" s="654">
        <v>25</v>
      </c>
      <c r="I831" s="654">
        <v>37</v>
      </c>
      <c r="J831" s="561">
        <v>20</v>
      </c>
      <c r="K831" s="554" t="s">
        <v>221</v>
      </c>
      <c r="L831" s="562">
        <v>12</v>
      </c>
      <c r="M831" s="561">
        <v>1500</v>
      </c>
      <c r="N831" s="592">
        <v>0.25</v>
      </c>
      <c r="O831" s="594">
        <v>2.8</v>
      </c>
      <c r="P831" s="590">
        <v>11</v>
      </c>
      <c r="Q831" s="431">
        <v>0.1</v>
      </c>
      <c r="R831" s="430">
        <v>1314.9</v>
      </c>
      <c r="S831" s="497">
        <v>252</v>
      </c>
      <c r="T831" s="751">
        <v>384.5</v>
      </c>
      <c r="U831" s="440">
        <v>25.515000000000001</v>
      </c>
      <c r="V831" s="654">
        <v>7.6533333333333333</v>
      </c>
      <c r="W831" s="636"/>
      <c r="X831" s="440">
        <v>2.8000000000000003</v>
      </c>
      <c r="Y831" s="764">
        <v>7.6533333333333333</v>
      </c>
      <c r="Z831" s="776"/>
      <c r="AA831" s="780">
        <v>29.566166666666671</v>
      </c>
      <c r="AB831" s="811"/>
      <c r="AC831" s="818">
        <v>8.1999999999999993</v>
      </c>
      <c r="AD831" s="811" t="s">
        <v>667</v>
      </c>
      <c r="AE831" s="811">
        <v>0</v>
      </c>
      <c r="AF831" s="643">
        <v>13025</v>
      </c>
    </row>
    <row r="832" spans="1:32" ht="15.75">
      <c r="A832" s="633"/>
      <c r="B832" s="634"/>
      <c r="C832" s="633"/>
      <c r="D832" s="559"/>
      <c r="E832" s="545"/>
      <c r="F832" s="546"/>
      <c r="G832" s="726" t="s">
        <v>129</v>
      </c>
      <c r="H832" s="654"/>
      <c r="I832" s="654"/>
      <c r="J832" s="561"/>
      <c r="K832" s="635"/>
      <c r="L832" s="633"/>
      <c r="M832" s="561"/>
      <c r="N832" s="592" t="s">
        <v>129</v>
      </c>
      <c r="O832" s="594" t="s">
        <v>129</v>
      </c>
      <c r="P832" s="593"/>
      <c r="Q832" s="431">
        <v>0.1</v>
      </c>
      <c r="R832" s="430">
        <v>609</v>
      </c>
      <c r="S832" s="175">
        <v>126</v>
      </c>
      <c r="T832" s="751" t="s">
        <v>129</v>
      </c>
      <c r="U832" s="440">
        <v>30.24</v>
      </c>
      <c r="V832" s="654"/>
      <c r="W832" s="636"/>
      <c r="X832" s="440">
        <v>2.8000000000000003</v>
      </c>
      <c r="Y832" s="761" t="s">
        <v>129</v>
      </c>
      <c r="Z832" s="776"/>
      <c r="AA832" s="780"/>
      <c r="AB832" s="633"/>
      <c r="AC832" s="818" t="s">
        <v>129</v>
      </c>
      <c r="AD832" s="811"/>
      <c r="AE832" s="811"/>
      <c r="AF832" s="633"/>
    </row>
    <row r="833" spans="1:32" ht="15.75">
      <c r="A833" s="624">
        <v>13030</v>
      </c>
      <c r="B833" s="625"/>
      <c r="C833" s="626" t="s">
        <v>1279</v>
      </c>
      <c r="D833" s="627"/>
      <c r="E833" s="628"/>
      <c r="F833" s="629"/>
      <c r="G833" s="687" t="s">
        <v>129</v>
      </c>
      <c r="H833" s="631"/>
      <c r="I833" s="631"/>
      <c r="J833" s="632"/>
      <c r="K833" s="632"/>
      <c r="L833" s="627"/>
      <c r="M833" s="632"/>
      <c r="N833" s="739" t="s">
        <v>129</v>
      </c>
      <c r="O833" s="744" t="s">
        <v>129</v>
      </c>
      <c r="P833" s="742"/>
      <c r="Q833" s="431">
        <v>0.1</v>
      </c>
      <c r="R833" s="430">
        <v>826.5</v>
      </c>
      <c r="S833" s="175"/>
      <c r="T833" s="750" t="s">
        <v>129</v>
      </c>
      <c r="U833" s="440">
        <v>40.54</v>
      </c>
      <c r="V833" s="631"/>
      <c r="W833" s="631"/>
      <c r="X833" s="440">
        <v>2.8000000000000003</v>
      </c>
      <c r="Y833" s="763" t="s">
        <v>129</v>
      </c>
      <c r="Z833" s="774"/>
      <c r="AA833" s="775"/>
      <c r="AB833" s="810"/>
      <c r="AC833" s="817" t="s">
        <v>129</v>
      </c>
      <c r="AD833" s="810"/>
      <c r="AE833" s="810"/>
      <c r="AF833" s="624">
        <v>13030</v>
      </c>
    </row>
    <row r="834" spans="1:32" ht="15.75">
      <c r="A834" s="633"/>
      <c r="B834" s="634"/>
      <c r="C834" s="633"/>
      <c r="D834" s="544"/>
      <c r="E834" s="545"/>
      <c r="F834" s="546"/>
      <c r="G834" s="692" t="s">
        <v>129</v>
      </c>
      <c r="H834" s="636"/>
      <c r="I834" s="636"/>
      <c r="J834" s="549"/>
      <c r="K834" s="635"/>
      <c r="L834" s="633"/>
      <c r="M834" s="549"/>
      <c r="N834" s="592" t="s">
        <v>129</v>
      </c>
      <c r="O834" s="594" t="s">
        <v>129</v>
      </c>
      <c r="P834" s="593"/>
      <c r="Q834" s="431">
        <v>0.1</v>
      </c>
      <c r="R834" s="430">
        <v>217.5</v>
      </c>
      <c r="S834" s="496"/>
      <c r="T834" s="751" t="s">
        <v>129</v>
      </c>
      <c r="U834" s="440">
        <v>15.34</v>
      </c>
      <c r="V834" s="636"/>
      <c r="W834" s="636"/>
      <c r="X834" s="440">
        <v>2.8000000000000003</v>
      </c>
      <c r="Y834" s="761" t="s">
        <v>129</v>
      </c>
      <c r="Z834" s="776"/>
      <c r="AA834" s="777"/>
      <c r="AB834" s="633"/>
      <c r="AC834" s="818" t="s">
        <v>129</v>
      </c>
      <c r="AD834" s="811"/>
      <c r="AE834" s="811"/>
      <c r="AF834" s="633"/>
    </row>
    <row r="835" spans="1:32" ht="15.75">
      <c r="A835" s="643">
        <v>13031</v>
      </c>
      <c r="B835" s="644"/>
      <c r="C835" s="644" t="s">
        <v>1280</v>
      </c>
      <c r="D835" s="920">
        <v>5</v>
      </c>
      <c r="E835" s="545">
        <v>2900</v>
      </c>
      <c r="F835" s="546">
        <v>16</v>
      </c>
      <c r="G835" s="921">
        <v>3.3</v>
      </c>
      <c r="H835" s="922">
        <v>2.8</v>
      </c>
      <c r="I835" s="922">
        <v>4</v>
      </c>
      <c r="J835" s="923">
        <v>120</v>
      </c>
      <c r="K835" s="554" t="s">
        <v>221</v>
      </c>
      <c r="L835" s="562">
        <v>12</v>
      </c>
      <c r="M835" s="923">
        <v>5000</v>
      </c>
      <c r="N835" s="592">
        <v>0.25</v>
      </c>
      <c r="O835" s="594">
        <v>1.7</v>
      </c>
      <c r="P835" s="749">
        <v>3</v>
      </c>
      <c r="Q835" s="431">
        <v>0.1</v>
      </c>
      <c r="R835" s="430">
        <v>2487.5</v>
      </c>
      <c r="S835" s="175"/>
      <c r="T835" s="751">
        <v>238.5</v>
      </c>
      <c r="U835" s="440">
        <v>137.02500000000001</v>
      </c>
      <c r="V835" s="922">
        <v>0.98599999999999988</v>
      </c>
      <c r="W835" s="636"/>
      <c r="X835" s="440">
        <v>2.8000000000000003</v>
      </c>
      <c r="Y835" s="924">
        <v>0.98599999999999988</v>
      </c>
      <c r="Z835" s="776">
        <v>16.35425</v>
      </c>
      <c r="AA835" s="807">
        <v>3.2708500000000003</v>
      </c>
      <c r="AB835" s="811"/>
      <c r="AC835" s="818">
        <v>5.8</v>
      </c>
      <c r="AD835" s="811" t="s">
        <v>1281</v>
      </c>
      <c r="AE835" s="811">
        <v>0</v>
      </c>
      <c r="AF835" s="643">
        <v>13031</v>
      </c>
    </row>
    <row r="836" spans="1:32" ht="31.5">
      <c r="A836" s="643">
        <v>13032</v>
      </c>
      <c r="B836" s="644"/>
      <c r="C836" s="644" t="s">
        <v>1282</v>
      </c>
      <c r="D836" s="582"/>
      <c r="E836" s="545">
        <v>26000</v>
      </c>
      <c r="F836" s="649">
        <v>59</v>
      </c>
      <c r="G836" s="727" t="s">
        <v>129</v>
      </c>
      <c r="H836" s="636">
        <v>50</v>
      </c>
      <c r="I836" s="636">
        <v>75</v>
      </c>
      <c r="J836" s="549">
        <v>50</v>
      </c>
      <c r="K836" s="554" t="s">
        <v>221</v>
      </c>
      <c r="L836" s="562">
        <v>12</v>
      </c>
      <c r="M836" s="549">
        <v>2500</v>
      </c>
      <c r="N836" s="592">
        <v>0.25</v>
      </c>
      <c r="O836" s="594">
        <v>1.1000000000000001</v>
      </c>
      <c r="P836" s="590">
        <v>23</v>
      </c>
      <c r="Q836" s="431">
        <v>0.1</v>
      </c>
      <c r="R836" s="430">
        <v>3383</v>
      </c>
      <c r="S836" s="507">
        <v>174</v>
      </c>
      <c r="T836" s="751">
        <v>2111</v>
      </c>
      <c r="U836" s="440">
        <v>92.05</v>
      </c>
      <c r="V836" s="636">
        <v>11.440000000000001</v>
      </c>
      <c r="W836" s="636"/>
      <c r="X836" s="440">
        <v>2.8000000000000003</v>
      </c>
      <c r="Y836" s="761">
        <v>11.440000000000001</v>
      </c>
      <c r="Z836" s="776">
        <v>59.026000000000003</v>
      </c>
      <c r="AA836" s="807"/>
      <c r="AB836" s="811"/>
      <c r="AC836" s="818">
        <v>52</v>
      </c>
      <c r="AD836" s="811" t="s">
        <v>633</v>
      </c>
      <c r="AE836" s="811">
        <v>0</v>
      </c>
      <c r="AF836" s="643">
        <v>13032</v>
      </c>
    </row>
    <row r="837" spans="1:32" ht="15.75">
      <c r="A837" s="643">
        <v>13033</v>
      </c>
      <c r="B837" s="644"/>
      <c r="C837" s="644" t="s">
        <v>1283</v>
      </c>
      <c r="D837" s="583">
        <v>0.8</v>
      </c>
      <c r="E837" s="545">
        <v>9900</v>
      </c>
      <c r="F837" s="649">
        <v>17</v>
      </c>
      <c r="G837" s="710">
        <v>21</v>
      </c>
      <c r="H837" s="636">
        <v>15</v>
      </c>
      <c r="I837" s="636">
        <v>19</v>
      </c>
      <c r="J837" s="549">
        <v>120</v>
      </c>
      <c r="K837" s="554">
        <v>80</v>
      </c>
      <c r="L837" s="562">
        <v>12</v>
      </c>
      <c r="M837" s="549">
        <v>2500</v>
      </c>
      <c r="N837" s="592">
        <v>0.25</v>
      </c>
      <c r="O837" s="594">
        <v>1.6</v>
      </c>
      <c r="P837" s="590">
        <v>12</v>
      </c>
      <c r="Q837" s="431">
        <v>0.1</v>
      </c>
      <c r="R837" s="430">
        <v>746.25</v>
      </c>
      <c r="S837" s="175">
        <v>42</v>
      </c>
      <c r="T837" s="751">
        <v>826.5</v>
      </c>
      <c r="U837" s="440">
        <v>27.55</v>
      </c>
      <c r="V837" s="636">
        <v>6.3360000000000003</v>
      </c>
      <c r="W837" s="636">
        <v>2.1</v>
      </c>
      <c r="X837" s="440">
        <v>2.8000000000000003</v>
      </c>
      <c r="Y837" s="761">
        <v>8.4359999999999999</v>
      </c>
      <c r="Z837" s="776">
        <v>16.85585</v>
      </c>
      <c r="AA837" s="790">
        <v>21.069812499999998</v>
      </c>
      <c r="AB837" s="812">
        <v>3</v>
      </c>
      <c r="AC837" s="818">
        <v>19.8</v>
      </c>
      <c r="AD837" s="811" t="s">
        <v>633</v>
      </c>
      <c r="AE837" s="811">
        <v>2</v>
      </c>
      <c r="AF837" s="643">
        <v>13033</v>
      </c>
    </row>
    <row r="838" spans="1:32" ht="31.5">
      <c r="A838" s="643">
        <v>13034</v>
      </c>
      <c r="B838" s="644"/>
      <c r="C838" s="644" t="s">
        <v>1284</v>
      </c>
      <c r="D838" s="583">
        <v>2.5</v>
      </c>
      <c r="E838" s="545">
        <v>32000</v>
      </c>
      <c r="F838" s="649">
        <v>47</v>
      </c>
      <c r="G838" s="710">
        <v>18.5</v>
      </c>
      <c r="H838" s="636">
        <v>41</v>
      </c>
      <c r="I838" s="636">
        <v>56</v>
      </c>
      <c r="J838" s="549">
        <v>120</v>
      </c>
      <c r="K838" s="554">
        <v>80</v>
      </c>
      <c r="L838" s="562">
        <v>12</v>
      </c>
      <c r="M838" s="549">
        <v>4000</v>
      </c>
      <c r="N838" s="592">
        <v>0.25</v>
      </c>
      <c r="O838" s="594">
        <v>1.1000000000000001</v>
      </c>
      <c r="P838" s="590">
        <v>24</v>
      </c>
      <c r="Q838" s="431">
        <v>0.2</v>
      </c>
      <c r="R838" s="430">
        <v>1044</v>
      </c>
      <c r="S838" s="497">
        <v>300</v>
      </c>
      <c r="T838" s="751">
        <v>3120</v>
      </c>
      <c r="U838" s="440">
        <v>47.2</v>
      </c>
      <c r="V838" s="636">
        <v>8.8000000000000007</v>
      </c>
      <c r="W838" s="636">
        <v>7.7000000000000011</v>
      </c>
      <c r="X838" s="440">
        <v>5.6000000000000005</v>
      </c>
      <c r="Y838" s="761">
        <v>16.5</v>
      </c>
      <c r="Z838" s="776">
        <v>46.750000000000007</v>
      </c>
      <c r="AA838" s="790">
        <v>18.700000000000003</v>
      </c>
      <c r="AB838" s="812">
        <v>11</v>
      </c>
      <c r="AC838" s="818">
        <v>424</v>
      </c>
      <c r="AD838" s="811" t="s">
        <v>633</v>
      </c>
      <c r="AE838" s="811">
        <v>2</v>
      </c>
      <c r="AF838" s="643">
        <v>13034</v>
      </c>
    </row>
    <row r="839" spans="1:32" ht="15.75">
      <c r="A839" s="643">
        <v>13035</v>
      </c>
      <c r="B839" s="644"/>
      <c r="C839" s="644" t="s">
        <v>1285</v>
      </c>
      <c r="D839" s="584"/>
      <c r="E839" s="545">
        <v>2300</v>
      </c>
      <c r="F839" s="546"/>
      <c r="G839" s="891">
        <v>4.7</v>
      </c>
      <c r="H839" s="892">
        <v>4</v>
      </c>
      <c r="I839" s="892">
        <v>5.8</v>
      </c>
      <c r="J839" s="893">
        <v>75</v>
      </c>
      <c r="K839" s="554" t="s">
        <v>221</v>
      </c>
      <c r="L839" s="562">
        <v>15</v>
      </c>
      <c r="M839" s="893">
        <v>6000</v>
      </c>
      <c r="N839" s="592">
        <v>0.25</v>
      </c>
      <c r="O839" s="594">
        <v>3.45</v>
      </c>
      <c r="P839" s="590">
        <v>11</v>
      </c>
      <c r="Q839" s="434">
        <v>0</v>
      </c>
      <c r="R839" s="430">
        <v>292.2</v>
      </c>
      <c r="S839" s="176">
        <v>42</v>
      </c>
      <c r="T839" s="751">
        <v>220.75</v>
      </c>
      <c r="U839" s="455">
        <v>2.6413333333333334E-2</v>
      </c>
      <c r="V839" s="892">
        <v>1.3225000000000002</v>
      </c>
      <c r="W839" s="636"/>
      <c r="X839" s="925">
        <v>0</v>
      </c>
      <c r="Y839" s="894">
        <v>1.3225000000000002</v>
      </c>
      <c r="Z839" s="776"/>
      <c r="AA839" s="788">
        <v>4.6924166666666665</v>
      </c>
      <c r="AB839" s="811"/>
      <c r="AC839" s="818">
        <v>4.6000000000000005</v>
      </c>
      <c r="AD839" s="811" t="s">
        <v>784</v>
      </c>
      <c r="AE839" s="811">
        <v>0</v>
      </c>
      <c r="AF839" s="643">
        <v>13035</v>
      </c>
    </row>
    <row r="840" spans="1:32" ht="15.75">
      <c r="A840" s="643">
        <v>13036</v>
      </c>
      <c r="B840" s="644"/>
      <c r="C840" s="644" t="s">
        <v>1286</v>
      </c>
      <c r="D840" s="584"/>
      <c r="E840" s="545">
        <v>1450</v>
      </c>
      <c r="F840" s="546"/>
      <c r="G840" s="891">
        <v>3.6</v>
      </c>
      <c r="H840" s="892">
        <v>3.2</v>
      </c>
      <c r="I840" s="892">
        <v>4.4000000000000004</v>
      </c>
      <c r="J840" s="893">
        <v>75</v>
      </c>
      <c r="K840" s="554" t="s">
        <v>221</v>
      </c>
      <c r="L840" s="562">
        <v>15</v>
      </c>
      <c r="M840" s="893">
        <v>6000</v>
      </c>
      <c r="N840" s="592">
        <v>0.25</v>
      </c>
      <c r="O840" s="594">
        <v>5.0999999999999996</v>
      </c>
      <c r="P840" s="590">
        <v>9</v>
      </c>
      <c r="Q840" s="431"/>
      <c r="R840" s="430" t="s">
        <v>129</v>
      </c>
      <c r="S840" s="497">
        <v>354</v>
      </c>
      <c r="T840" s="751">
        <v>153.625</v>
      </c>
      <c r="U840" s="440"/>
      <c r="V840" s="892">
        <v>1.2324999999999999</v>
      </c>
      <c r="W840" s="636"/>
      <c r="X840" s="440"/>
      <c r="Y840" s="894">
        <v>1.2324999999999999</v>
      </c>
      <c r="Z840" s="776"/>
      <c r="AA840" s="788">
        <v>3.608916666666667</v>
      </c>
      <c r="AB840" s="811"/>
      <c r="AC840" s="818">
        <v>2.9</v>
      </c>
      <c r="AD840" s="811" t="s">
        <v>784</v>
      </c>
      <c r="AE840" s="811">
        <v>0</v>
      </c>
      <c r="AF840" s="643">
        <v>13036</v>
      </c>
    </row>
    <row r="841" spans="1:32" ht="15.75">
      <c r="A841" s="643">
        <v>13037</v>
      </c>
      <c r="B841" s="644"/>
      <c r="C841" s="644" t="s">
        <v>1287</v>
      </c>
      <c r="D841" s="584"/>
      <c r="E841" s="545">
        <v>5000</v>
      </c>
      <c r="F841" s="546"/>
      <c r="G841" s="891">
        <v>9.6</v>
      </c>
      <c r="H841" s="892">
        <v>8</v>
      </c>
      <c r="I841" s="892">
        <v>12</v>
      </c>
      <c r="J841" s="893">
        <v>75</v>
      </c>
      <c r="K841" s="554" t="s">
        <v>221</v>
      </c>
      <c r="L841" s="562">
        <v>15</v>
      </c>
      <c r="M841" s="893">
        <v>6000</v>
      </c>
      <c r="N841" s="592">
        <v>0.25</v>
      </c>
      <c r="O841" s="594">
        <v>1.95</v>
      </c>
      <c r="P841" s="590">
        <v>31</v>
      </c>
      <c r="Q841" s="429"/>
      <c r="R841" s="430" t="s">
        <v>129</v>
      </c>
      <c r="S841" s="175">
        <v>354</v>
      </c>
      <c r="T841" s="751">
        <v>529.5</v>
      </c>
      <c r="U841" s="438"/>
      <c r="V841" s="892">
        <v>1.625</v>
      </c>
      <c r="W841" s="636"/>
      <c r="X841" s="438"/>
      <c r="Y841" s="894">
        <v>1.625</v>
      </c>
      <c r="Z841" s="776"/>
      <c r="AA841" s="788">
        <v>9.5534999999999997</v>
      </c>
      <c r="AB841" s="811"/>
      <c r="AC841" s="818">
        <v>10</v>
      </c>
      <c r="AD841" s="811" t="s">
        <v>784</v>
      </c>
      <c r="AE841" s="811">
        <v>0</v>
      </c>
      <c r="AF841" s="643">
        <v>13037</v>
      </c>
    </row>
    <row r="842" spans="1:32" ht="31.5">
      <c r="A842" s="643">
        <v>13038</v>
      </c>
      <c r="B842" s="644"/>
      <c r="C842" s="644" t="s">
        <v>1288</v>
      </c>
      <c r="D842" s="551">
        <v>5</v>
      </c>
      <c r="E842" s="545">
        <v>24000</v>
      </c>
      <c r="F842" s="649">
        <v>9.5</v>
      </c>
      <c r="G842" s="659" t="s">
        <v>129</v>
      </c>
      <c r="H842" s="636">
        <v>8.5</v>
      </c>
      <c r="I842" s="636">
        <v>11.7</v>
      </c>
      <c r="J842" s="549">
        <v>400</v>
      </c>
      <c r="K842" s="554">
        <v>40</v>
      </c>
      <c r="L842" s="562">
        <v>12</v>
      </c>
      <c r="M842" s="549">
        <v>8000</v>
      </c>
      <c r="N842" s="592">
        <v>0.1</v>
      </c>
      <c r="O842" s="594">
        <v>0.9</v>
      </c>
      <c r="P842" s="590">
        <v>18</v>
      </c>
      <c r="Q842" s="431"/>
      <c r="R842" s="430" t="s">
        <v>129</v>
      </c>
      <c r="S842" s="497">
        <v>210</v>
      </c>
      <c r="T842" s="751">
        <v>2204.4</v>
      </c>
      <c r="U842" s="440"/>
      <c r="V842" s="636">
        <v>2.7</v>
      </c>
      <c r="W842" s="636">
        <v>0.57999999999999996</v>
      </c>
      <c r="X842" s="440"/>
      <c r="Y842" s="761">
        <v>3.2800000000000002</v>
      </c>
      <c r="Z842" s="776">
        <v>9.6701000000000015</v>
      </c>
      <c r="AA842" s="782"/>
      <c r="AB842" s="811"/>
      <c r="AC842" s="818">
        <v>48</v>
      </c>
      <c r="AD842" s="811" t="s">
        <v>633</v>
      </c>
      <c r="AE842" s="811">
        <v>5</v>
      </c>
      <c r="AF842" s="643">
        <v>13038</v>
      </c>
    </row>
    <row r="843" spans="1:32" ht="31.5">
      <c r="A843" s="643">
        <v>13039</v>
      </c>
      <c r="B843" s="644"/>
      <c r="C843" s="644" t="s">
        <v>1289</v>
      </c>
      <c r="D843" s="551">
        <v>3</v>
      </c>
      <c r="E843" s="545">
        <v>61000</v>
      </c>
      <c r="F843" s="649">
        <v>20</v>
      </c>
      <c r="G843" s="659" t="s">
        <v>129</v>
      </c>
      <c r="H843" s="636">
        <v>17.5</v>
      </c>
      <c r="I843" s="636">
        <v>25.5</v>
      </c>
      <c r="J843" s="549">
        <v>400</v>
      </c>
      <c r="K843" s="554">
        <v>40</v>
      </c>
      <c r="L843" s="562">
        <v>12</v>
      </c>
      <c r="M843" s="549">
        <v>8000</v>
      </c>
      <c r="N843" s="592">
        <v>0.1</v>
      </c>
      <c r="O843" s="594">
        <v>0.6</v>
      </c>
      <c r="P843" s="590">
        <v>24</v>
      </c>
      <c r="Q843" s="431">
        <v>6.7000000000000004E-2</v>
      </c>
      <c r="R843" s="430">
        <v>1363.6</v>
      </c>
      <c r="S843" s="175">
        <v>390</v>
      </c>
      <c r="T843" s="751">
        <v>5450.6</v>
      </c>
      <c r="U843" s="440">
        <v>36.714999999999996</v>
      </c>
      <c r="V843" s="636">
        <v>4.5750000000000002</v>
      </c>
      <c r="W843" s="636">
        <v>0.34799999999999998</v>
      </c>
      <c r="X843" s="440">
        <v>1.8760000000000001</v>
      </c>
      <c r="Y843" s="761">
        <v>4.923</v>
      </c>
      <c r="Z843" s="776">
        <v>20.404450000000004</v>
      </c>
      <c r="AA843" s="782"/>
      <c r="AB843" s="811"/>
      <c r="AC843" s="818">
        <v>122</v>
      </c>
      <c r="AD843" s="811" t="s">
        <v>633</v>
      </c>
      <c r="AE843" s="811">
        <v>5</v>
      </c>
      <c r="AF843" s="643">
        <v>13039</v>
      </c>
    </row>
    <row r="844" spans="1:32" ht="31.5">
      <c r="A844" s="643">
        <v>13040</v>
      </c>
      <c r="B844" s="644"/>
      <c r="C844" s="644" t="s">
        <v>1290</v>
      </c>
      <c r="D844" s="551">
        <v>5</v>
      </c>
      <c r="E844" s="545">
        <v>90000</v>
      </c>
      <c r="F844" s="649">
        <v>29</v>
      </c>
      <c r="G844" s="659" t="s">
        <v>129</v>
      </c>
      <c r="H844" s="636">
        <v>24</v>
      </c>
      <c r="I844" s="636">
        <v>36</v>
      </c>
      <c r="J844" s="549">
        <v>400</v>
      </c>
      <c r="K844" s="554">
        <v>40</v>
      </c>
      <c r="L844" s="562">
        <v>12</v>
      </c>
      <c r="M844" s="549">
        <v>8000</v>
      </c>
      <c r="N844" s="592">
        <v>0.1</v>
      </c>
      <c r="O844" s="594">
        <v>0.5</v>
      </c>
      <c r="P844" s="590">
        <v>29</v>
      </c>
      <c r="Q844" s="431">
        <v>6.7000000000000004E-2</v>
      </c>
      <c r="R844" s="430">
        <v>2088</v>
      </c>
      <c r="S844" s="504">
        <v>120</v>
      </c>
      <c r="T844" s="751">
        <v>7997</v>
      </c>
      <c r="U844" s="440">
        <v>33.914285714285711</v>
      </c>
      <c r="V844" s="636">
        <v>5.625</v>
      </c>
      <c r="W844" s="636">
        <v>0.57999999999999996</v>
      </c>
      <c r="X844" s="440">
        <v>1.8760000000000001</v>
      </c>
      <c r="Y844" s="761">
        <v>6.2050000000000001</v>
      </c>
      <c r="Z844" s="776">
        <v>28.817250000000001</v>
      </c>
      <c r="AA844" s="782"/>
      <c r="AB844" s="811"/>
      <c r="AC844" s="818">
        <v>180</v>
      </c>
      <c r="AD844" s="811" t="s">
        <v>633</v>
      </c>
      <c r="AE844" s="811">
        <v>5</v>
      </c>
      <c r="AF844" s="643">
        <v>13040</v>
      </c>
    </row>
    <row r="845" spans="1:32" ht="15.75">
      <c r="A845" s="643">
        <v>13041</v>
      </c>
      <c r="B845" s="644"/>
      <c r="C845" s="644" t="s">
        <v>1291</v>
      </c>
      <c r="D845" s="551">
        <v>7</v>
      </c>
      <c r="E845" s="545">
        <v>38000</v>
      </c>
      <c r="F845" s="649">
        <v>20</v>
      </c>
      <c r="G845" s="728" t="s">
        <v>129</v>
      </c>
      <c r="H845" s="636">
        <v>17.5</v>
      </c>
      <c r="I845" s="636">
        <v>24</v>
      </c>
      <c r="J845" s="549">
        <v>300</v>
      </c>
      <c r="K845" s="554">
        <v>40</v>
      </c>
      <c r="L845" s="562">
        <v>12</v>
      </c>
      <c r="M845" s="549">
        <v>5000</v>
      </c>
      <c r="N845" s="592">
        <v>0.1</v>
      </c>
      <c r="O845" s="594">
        <v>0.6</v>
      </c>
      <c r="P845" s="590">
        <v>18</v>
      </c>
      <c r="Q845" s="431">
        <v>0.1</v>
      </c>
      <c r="R845" s="430">
        <v>365.4</v>
      </c>
      <c r="S845" s="175">
        <v>174</v>
      </c>
      <c r="T845" s="751">
        <v>3416.8</v>
      </c>
      <c r="U845" s="440">
        <v>21.839999999999996</v>
      </c>
      <c r="V845" s="636">
        <v>4.5599999999999996</v>
      </c>
      <c r="W845" s="636">
        <v>2.4500000000000002</v>
      </c>
      <c r="X845" s="440">
        <v>2.8000000000000003</v>
      </c>
      <c r="Y845" s="761">
        <v>7.01</v>
      </c>
      <c r="Z845" s="776">
        <v>20.239266666666666</v>
      </c>
      <c r="AA845" s="788"/>
      <c r="AB845" s="811"/>
      <c r="AC845" s="818">
        <v>76</v>
      </c>
      <c r="AD845" s="811" t="s">
        <v>633</v>
      </c>
      <c r="AE845" s="811">
        <v>2</v>
      </c>
      <c r="AF845" s="643">
        <v>13041</v>
      </c>
    </row>
    <row r="846" spans="1:32" ht="31.5">
      <c r="A846" s="643">
        <v>13042</v>
      </c>
      <c r="B846" s="644"/>
      <c r="C846" s="644" t="s">
        <v>1292</v>
      </c>
      <c r="D846" s="551">
        <v>8</v>
      </c>
      <c r="E846" s="545">
        <v>60000</v>
      </c>
      <c r="F846" s="649">
        <v>27</v>
      </c>
      <c r="G846" s="659" t="s">
        <v>129</v>
      </c>
      <c r="H846" s="636">
        <v>25</v>
      </c>
      <c r="I846" s="636">
        <v>31</v>
      </c>
      <c r="J846" s="549">
        <v>600</v>
      </c>
      <c r="K846" s="554">
        <v>70</v>
      </c>
      <c r="L846" s="562">
        <v>10</v>
      </c>
      <c r="M846" s="549">
        <v>8000</v>
      </c>
      <c r="N846" s="592">
        <v>0.1</v>
      </c>
      <c r="O846" s="594">
        <v>1.2</v>
      </c>
      <c r="P846" s="590">
        <v>31</v>
      </c>
      <c r="Q846" s="431">
        <v>0.1</v>
      </c>
      <c r="R846" s="430">
        <v>522</v>
      </c>
      <c r="S846" s="497">
        <v>150</v>
      </c>
      <c r="T846" s="751">
        <v>6313</v>
      </c>
      <c r="U846" s="440">
        <v>32.299999999999997</v>
      </c>
      <c r="V846" s="636">
        <v>9</v>
      </c>
      <c r="W846" s="636">
        <v>4.9000000000000004</v>
      </c>
      <c r="X846" s="440">
        <v>2.8000000000000003</v>
      </c>
      <c r="Y846" s="761">
        <v>13.9</v>
      </c>
      <c r="Z846" s="776">
        <v>26.863833333333336</v>
      </c>
      <c r="AA846" s="782"/>
      <c r="AB846" s="811"/>
      <c r="AC846" s="818">
        <v>120</v>
      </c>
      <c r="AD846" s="811" t="s">
        <v>633</v>
      </c>
      <c r="AE846" s="811">
        <v>2</v>
      </c>
      <c r="AF846" s="643">
        <v>13042</v>
      </c>
    </row>
    <row r="847" spans="1:32" ht="15.75">
      <c r="A847" s="643">
        <v>13043</v>
      </c>
      <c r="B847" s="644"/>
      <c r="C847" s="644" t="s">
        <v>1293</v>
      </c>
      <c r="D847" s="551"/>
      <c r="E847" s="545">
        <v>7900</v>
      </c>
      <c r="F847" s="649">
        <v>5.5</v>
      </c>
      <c r="G847" s="659" t="s">
        <v>129</v>
      </c>
      <c r="H847" s="636">
        <v>5</v>
      </c>
      <c r="I847" s="636">
        <v>6.4</v>
      </c>
      <c r="J847" s="549">
        <v>400</v>
      </c>
      <c r="K847" s="554"/>
      <c r="L847" s="562">
        <v>12</v>
      </c>
      <c r="M847" s="549">
        <v>8000</v>
      </c>
      <c r="N847" s="592">
        <v>0.1</v>
      </c>
      <c r="O847" s="594">
        <v>2.6</v>
      </c>
      <c r="P847" s="590">
        <v>42</v>
      </c>
      <c r="Q847" s="431">
        <v>0.2</v>
      </c>
      <c r="R847" s="430">
        <v>400.2</v>
      </c>
      <c r="S847" s="175">
        <v>186</v>
      </c>
      <c r="T847" s="751">
        <v>978.14</v>
      </c>
      <c r="U847" s="440">
        <v>24.32</v>
      </c>
      <c r="V847" s="636">
        <v>2.5675000000000003</v>
      </c>
      <c r="W847" s="636"/>
      <c r="X847" s="440">
        <v>5.6000000000000005</v>
      </c>
      <c r="Y847" s="761">
        <v>2.5675000000000003</v>
      </c>
      <c r="Z847" s="776">
        <v>5.5141350000000005</v>
      </c>
      <c r="AA847" s="782"/>
      <c r="AB847" s="811"/>
      <c r="AC847" s="818">
        <v>15.8</v>
      </c>
      <c r="AD847" s="811" t="s">
        <v>633</v>
      </c>
      <c r="AE847" s="811">
        <v>0</v>
      </c>
      <c r="AF847" s="643">
        <v>13043</v>
      </c>
    </row>
    <row r="848" spans="1:32" ht="15.75">
      <c r="A848" s="643">
        <v>13044</v>
      </c>
      <c r="B848" s="644"/>
      <c r="C848" s="644" t="s">
        <v>1294</v>
      </c>
      <c r="D848" s="584" t="s">
        <v>221</v>
      </c>
      <c r="E848" s="545">
        <v>30000</v>
      </c>
      <c r="F848" s="546"/>
      <c r="G848" s="729">
        <v>18.5</v>
      </c>
      <c r="H848" s="730">
        <v>16</v>
      </c>
      <c r="I848" s="730">
        <v>22</v>
      </c>
      <c r="J848" s="585">
        <v>200</v>
      </c>
      <c r="K848" s="554" t="s">
        <v>221</v>
      </c>
      <c r="L848" s="562">
        <v>15</v>
      </c>
      <c r="M848" s="585">
        <v>6000</v>
      </c>
      <c r="N848" s="592">
        <v>0.25</v>
      </c>
      <c r="O848" s="594">
        <v>1.3</v>
      </c>
      <c r="P848" s="590">
        <v>21</v>
      </c>
      <c r="Q848" s="431"/>
      <c r="R848" s="430" t="s">
        <v>129</v>
      </c>
      <c r="S848" s="504">
        <v>312</v>
      </c>
      <c r="T848" s="751">
        <v>2022</v>
      </c>
      <c r="U848" s="440"/>
      <c r="V848" s="892">
        <v>6.5</v>
      </c>
      <c r="W848" s="636"/>
      <c r="X848" s="440"/>
      <c r="Y848" s="773">
        <v>6.5</v>
      </c>
      <c r="Z848" s="776"/>
      <c r="AA848" s="808">
        <v>18.271000000000001</v>
      </c>
      <c r="AB848" s="811"/>
      <c r="AC848" s="818">
        <v>60</v>
      </c>
      <c r="AD848" s="811" t="s">
        <v>1295</v>
      </c>
      <c r="AE848" s="811">
        <v>0</v>
      </c>
      <c r="AF848" s="643">
        <v>13044</v>
      </c>
    </row>
    <row r="849" spans="1:32" ht="15.75">
      <c r="A849" s="633"/>
      <c r="B849" s="634"/>
      <c r="C849" s="633"/>
      <c r="D849" s="559"/>
      <c r="E849" s="545"/>
      <c r="F849" s="546"/>
      <c r="G849" s="731" t="s">
        <v>129</v>
      </c>
      <c r="H849" s="730"/>
      <c r="I849" s="730"/>
      <c r="J849" s="585"/>
      <c r="K849" s="635"/>
      <c r="L849" s="633"/>
      <c r="M849" s="585"/>
      <c r="N849" s="592" t="s">
        <v>129</v>
      </c>
      <c r="O849" s="594" t="s">
        <v>129</v>
      </c>
      <c r="P849" s="743"/>
      <c r="Q849" s="429"/>
      <c r="R849" s="430" t="s">
        <v>129</v>
      </c>
      <c r="S849" s="175"/>
      <c r="T849" s="751" t="s">
        <v>129</v>
      </c>
      <c r="U849" s="438"/>
      <c r="V849" s="730"/>
      <c r="W849" s="730"/>
      <c r="X849" s="438"/>
      <c r="Y849" s="761" t="s">
        <v>129</v>
      </c>
      <c r="Z849" s="776"/>
      <c r="AA849" s="808"/>
      <c r="AB849" s="633"/>
      <c r="AC849" s="818" t="s">
        <v>129</v>
      </c>
      <c r="AD849" s="811"/>
      <c r="AE849" s="811"/>
      <c r="AF849" s="633"/>
    </row>
    <row r="850" spans="1:32" ht="31.5">
      <c r="A850" s="624">
        <v>13050</v>
      </c>
      <c r="B850" s="625"/>
      <c r="C850" s="626" t="s">
        <v>1296</v>
      </c>
      <c r="D850" s="627"/>
      <c r="E850" s="628"/>
      <c r="F850" s="629"/>
      <c r="G850" s="630" t="s">
        <v>129</v>
      </c>
      <c r="H850" s="631"/>
      <c r="I850" s="631"/>
      <c r="J850" s="632"/>
      <c r="K850" s="632"/>
      <c r="L850" s="627"/>
      <c r="M850" s="632"/>
      <c r="N850" s="739" t="s">
        <v>129</v>
      </c>
      <c r="O850" s="744" t="s">
        <v>129</v>
      </c>
      <c r="P850" s="742"/>
      <c r="Q850" s="431"/>
      <c r="R850" s="430" t="s">
        <v>129</v>
      </c>
      <c r="S850" s="498"/>
      <c r="T850" s="750" t="s">
        <v>129</v>
      </c>
      <c r="U850" s="439"/>
      <c r="V850" s="631"/>
      <c r="W850" s="631"/>
      <c r="X850" s="439"/>
      <c r="Y850" s="763" t="s">
        <v>129</v>
      </c>
      <c r="Z850" s="774"/>
      <c r="AA850" s="775"/>
      <c r="AB850" s="810"/>
      <c r="AC850" s="817" t="s">
        <v>129</v>
      </c>
      <c r="AD850" s="810"/>
      <c r="AE850" s="810"/>
      <c r="AF850" s="624">
        <v>13050</v>
      </c>
    </row>
    <row r="851" spans="1:32" ht="15.75">
      <c r="A851" s="633"/>
      <c r="B851" s="634"/>
      <c r="C851" s="633"/>
      <c r="D851" s="559"/>
      <c r="E851" s="545"/>
      <c r="F851" s="546"/>
      <c r="G851" s="660" t="s">
        <v>129</v>
      </c>
      <c r="H851" s="636"/>
      <c r="I851" s="636"/>
      <c r="J851" s="549"/>
      <c r="K851" s="635"/>
      <c r="L851" s="633"/>
      <c r="M851" s="549"/>
      <c r="N851" s="592" t="s">
        <v>129</v>
      </c>
      <c r="O851" s="594" t="s">
        <v>129</v>
      </c>
      <c r="P851" s="743"/>
      <c r="Q851" s="431">
        <v>0.02</v>
      </c>
      <c r="R851" s="430">
        <v>313.2</v>
      </c>
      <c r="S851" s="175"/>
      <c r="T851" s="751" t="s">
        <v>129</v>
      </c>
      <c r="U851" s="456">
        <v>3.4283333333333332</v>
      </c>
      <c r="V851" s="654"/>
      <c r="W851" s="636"/>
      <c r="X851" s="456">
        <v>0.56000000000000005</v>
      </c>
      <c r="Y851" s="761" t="s">
        <v>129</v>
      </c>
      <c r="Z851" s="776"/>
      <c r="AA851" s="788"/>
      <c r="AB851" s="633"/>
      <c r="AC851" s="818" t="s">
        <v>129</v>
      </c>
      <c r="AD851" s="811"/>
      <c r="AE851" s="811"/>
      <c r="AF851" s="633"/>
    </row>
    <row r="852" spans="1:32" ht="15.75">
      <c r="A852" s="541">
        <v>13051</v>
      </c>
      <c r="B852" s="542"/>
      <c r="C852" s="644" t="s">
        <v>1297</v>
      </c>
      <c r="D852" s="559" t="s">
        <v>221</v>
      </c>
      <c r="E852" s="545">
        <v>19000</v>
      </c>
      <c r="F852" s="649">
        <v>22</v>
      </c>
      <c r="G852" s="732" t="s">
        <v>129</v>
      </c>
      <c r="H852" s="636">
        <v>19</v>
      </c>
      <c r="I852" s="636">
        <v>27</v>
      </c>
      <c r="J852" s="549">
        <v>100</v>
      </c>
      <c r="K852" s="554" t="s">
        <v>221</v>
      </c>
      <c r="L852" s="562">
        <v>15</v>
      </c>
      <c r="M852" s="549">
        <v>4000</v>
      </c>
      <c r="N852" s="592">
        <v>0.25</v>
      </c>
      <c r="O852" s="594">
        <v>1.25</v>
      </c>
      <c r="P852" s="590">
        <v>29</v>
      </c>
      <c r="Q852" s="431">
        <v>0.1</v>
      </c>
      <c r="R852" s="430">
        <v>2001</v>
      </c>
      <c r="S852" s="496"/>
      <c r="T852" s="751">
        <v>1390.5</v>
      </c>
      <c r="U852" s="439">
        <v>44.16</v>
      </c>
      <c r="V852" s="548">
        <v>5.9375</v>
      </c>
      <c r="W852" s="548"/>
      <c r="X852" s="439">
        <v>2.8000000000000003</v>
      </c>
      <c r="Y852" s="761">
        <v>5.9375</v>
      </c>
      <c r="Z852" s="596">
        <v>21.826750000000004</v>
      </c>
      <c r="AA852" s="599"/>
      <c r="AB852" s="602"/>
      <c r="AC852" s="818">
        <v>38</v>
      </c>
      <c r="AD852" s="811" t="s">
        <v>633</v>
      </c>
      <c r="AE852" s="602">
        <v>0</v>
      </c>
      <c r="AF852" s="541">
        <v>13051</v>
      </c>
    </row>
    <row r="853" spans="1:32" ht="15.75">
      <c r="A853" s="643">
        <v>13052</v>
      </c>
      <c r="B853" s="644"/>
      <c r="C853" s="644" t="s">
        <v>1298</v>
      </c>
      <c r="D853" s="577"/>
      <c r="E853" s="545">
        <v>12500</v>
      </c>
      <c r="F853" s="649">
        <v>52</v>
      </c>
      <c r="G853" s="733" t="s">
        <v>129</v>
      </c>
      <c r="H853" s="636">
        <v>50</v>
      </c>
      <c r="I853" s="636">
        <v>60</v>
      </c>
      <c r="J853" s="549">
        <v>40</v>
      </c>
      <c r="K853" s="554" t="s">
        <v>221</v>
      </c>
      <c r="L853" s="562">
        <v>12</v>
      </c>
      <c r="M853" s="549">
        <v>800</v>
      </c>
      <c r="N853" s="592">
        <v>0.1</v>
      </c>
      <c r="O853" s="594">
        <v>1.2</v>
      </c>
      <c r="P853" s="590">
        <v>7</v>
      </c>
      <c r="Q853" s="431">
        <v>0.1</v>
      </c>
      <c r="R853" s="430">
        <v>913.5</v>
      </c>
      <c r="S853" s="175"/>
      <c r="T853" s="751">
        <v>1131.5</v>
      </c>
      <c r="U853" s="439">
        <v>8.4875000000000007</v>
      </c>
      <c r="V853" s="636">
        <v>18.75</v>
      </c>
      <c r="W853" s="636"/>
      <c r="X853" s="439">
        <v>2.8000000000000003</v>
      </c>
      <c r="Y853" s="761">
        <v>18.75</v>
      </c>
      <c r="Z853" s="776">
        <v>51.741250000000008</v>
      </c>
      <c r="AA853" s="795"/>
      <c r="AB853" s="811"/>
      <c r="AC853" s="818">
        <v>25</v>
      </c>
      <c r="AD853" s="811" t="s">
        <v>633</v>
      </c>
      <c r="AE853" s="811">
        <v>0</v>
      </c>
      <c r="AF853" s="643">
        <v>13052</v>
      </c>
    </row>
    <row r="854" spans="1:32" ht="15.75">
      <c r="A854" s="643">
        <v>13053</v>
      </c>
      <c r="B854" s="644"/>
      <c r="C854" s="644" t="s">
        <v>1299</v>
      </c>
      <c r="D854" s="890">
        <v>2.6</v>
      </c>
      <c r="E854" s="545">
        <v>23000</v>
      </c>
      <c r="F854" s="546">
        <v>120</v>
      </c>
      <c r="G854" s="891">
        <v>46</v>
      </c>
      <c r="H854" s="892">
        <v>39</v>
      </c>
      <c r="I854" s="892">
        <v>56</v>
      </c>
      <c r="J854" s="893">
        <v>80</v>
      </c>
      <c r="K854" s="573"/>
      <c r="L854" s="562">
        <v>10</v>
      </c>
      <c r="M854" s="893">
        <v>3000</v>
      </c>
      <c r="N854" s="592">
        <v>0.25</v>
      </c>
      <c r="O854" s="594">
        <v>1.55</v>
      </c>
      <c r="P854" s="590">
        <v>50</v>
      </c>
      <c r="Q854" s="431">
        <v>0.1</v>
      </c>
      <c r="R854" s="430">
        <v>2610</v>
      </c>
      <c r="S854" s="497">
        <v>66</v>
      </c>
      <c r="T854" s="751">
        <v>2362.5</v>
      </c>
      <c r="U854" s="439">
        <v>28.083333333333332</v>
      </c>
      <c r="V854" s="892">
        <v>11.883333333333335</v>
      </c>
      <c r="W854" s="636"/>
      <c r="X854" s="439">
        <v>2.8000000000000003</v>
      </c>
      <c r="Y854" s="894">
        <v>11.883333333333335</v>
      </c>
      <c r="Z854" s="776"/>
      <c r="AA854" s="788">
        <v>45.556041666666673</v>
      </c>
      <c r="AB854" s="811"/>
      <c r="AC854" s="818">
        <v>46</v>
      </c>
      <c r="AD854" s="811" t="s">
        <v>784</v>
      </c>
      <c r="AE854" s="811">
        <v>0</v>
      </c>
      <c r="AF854" s="643">
        <v>13053</v>
      </c>
    </row>
    <row r="855" spans="1:32" ht="15.75">
      <c r="A855" s="541">
        <v>13054</v>
      </c>
      <c r="B855" s="542"/>
      <c r="C855" s="644" t="s">
        <v>1300</v>
      </c>
      <c r="D855" s="577">
        <v>250</v>
      </c>
      <c r="E855" s="545">
        <v>5800</v>
      </c>
      <c r="F855" s="649">
        <v>15</v>
      </c>
      <c r="G855" s="613" t="s">
        <v>129</v>
      </c>
      <c r="H855" s="636">
        <v>13</v>
      </c>
      <c r="I855" s="636">
        <v>18</v>
      </c>
      <c r="J855" s="549">
        <v>50</v>
      </c>
      <c r="K855" s="554" t="s">
        <v>221</v>
      </c>
      <c r="L855" s="562">
        <v>12</v>
      </c>
      <c r="M855" s="549">
        <v>2500</v>
      </c>
      <c r="N855" s="592">
        <v>0.25</v>
      </c>
      <c r="O855" s="594">
        <v>1.65</v>
      </c>
      <c r="P855" s="590">
        <v>7</v>
      </c>
      <c r="Q855" s="431">
        <v>3.3300000000000003E-2</v>
      </c>
      <c r="R855" s="430">
        <v>126.65</v>
      </c>
      <c r="S855" s="175">
        <v>60</v>
      </c>
      <c r="T855" s="751">
        <v>484</v>
      </c>
      <c r="U855" s="444">
        <v>2.7606666666666668</v>
      </c>
      <c r="V855" s="548">
        <v>3.8279999999999994</v>
      </c>
      <c r="W855" s="548"/>
      <c r="X855" s="444">
        <v>0.93240000000000012</v>
      </c>
      <c r="Y855" s="761">
        <v>3.8279999999999994</v>
      </c>
      <c r="Z855" s="596">
        <v>14.8588</v>
      </c>
      <c r="AA855" s="599"/>
      <c r="AB855" s="602"/>
      <c r="AC855" s="818">
        <v>11.6</v>
      </c>
      <c r="AD855" s="811" t="s">
        <v>633</v>
      </c>
      <c r="AE855" s="602">
        <v>0</v>
      </c>
      <c r="AF855" s="541">
        <v>13054</v>
      </c>
    </row>
    <row r="856" spans="1:32" ht="15.75">
      <c r="A856" s="643">
        <v>13055</v>
      </c>
      <c r="B856" s="644"/>
      <c r="C856" s="644" t="s">
        <v>1301</v>
      </c>
      <c r="D856" s="559">
        <v>8</v>
      </c>
      <c r="E856" s="545">
        <v>11000</v>
      </c>
      <c r="F856" s="546">
        <v>30</v>
      </c>
      <c r="G856" s="653">
        <v>370</v>
      </c>
      <c r="H856" s="654">
        <v>320</v>
      </c>
      <c r="I856" s="654">
        <v>450</v>
      </c>
      <c r="J856" s="561">
        <v>6</v>
      </c>
      <c r="K856" s="554" t="s">
        <v>221</v>
      </c>
      <c r="L856" s="562">
        <v>12</v>
      </c>
      <c r="M856" s="561">
        <v>100</v>
      </c>
      <c r="N856" s="592">
        <v>0.1</v>
      </c>
      <c r="O856" s="594">
        <v>1</v>
      </c>
      <c r="P856" s="590">
        <v>59</v>
      </c>
      <c r="Q856" s="431">
        <v>3.3300000000000003E-2</v>
      </c>
      <c r="R856" s="430">
        <v>89.4</v>
      </c>
      <c r="S856" s="497">
        <v>72</v>
      </c>
      <c r="T856" s="751">
        <v>1365.6</v>
      </c>
      <c r="U856" s="444">
        <v>2.0640000000000001</v>
      </c>
      <c r="V856" s="560">
        <v>110</v>
      </c>
      <c r="W856" s="636"/>
      <c r="X856" s="444">
        <v>0.93240000000000012</v>
      </c>
      <c r="Y856" s="764">
        <v>110</v>
      </c>
      <c r="Z856" s="776">
        <v>29.708800000000007</v>
      </c>
      <c r="AA856" s="780">
        <v>371.36000000000007</v>
      </c>
      <c r="AB856" s="811"/>
      <c r="AC856" s="818">
        <v>22</v>
      </c>
      <c r="AD856" s="811" t="s">
        <v>667</v>
      </c>
      <c r="AE856" s="811">
        <v>0</v>
      </c>
      <c r="AF856" s="643">
        <v>13055</v>
      </c>
    </row>
    <row r="857" spans="1:32" ht="31.5">
      <c r="A857" s="643">
        <v>13056</v>
      </c>
      <c r="B857" s="644"/>
      <c r="C857" s="644" t="s">
        <v>1302</v>
      </c>
      <c r="D857" s="559">
        <v>8</v>
      </c>
      <c r="E857" s="545">
        <v>31000</v>
      </c>
      <c r="F857" s="546">
        <v>73</v>
      </c>
      <c r="G857" s="653">
        <v>910</v>
      </c>
      <c r="H857" s="654">
        <v>800</v>
      </c>
      <c r="I857" s="654">
        <v>1100</v>
      </c>
      <c r="J857" s="561">
        <v>6</v>
      </c>
      <c r="K857" s="554" t="s">
        <v>221</v>
      </c>
      <c r="L857" s="562">
        <v>12</v>
      </c>
      <c r="M857" s="561">
        <v>100</v>
      </c>
      <c r="N857" s="592">
        <v>0.1</v>
      </c>
      <c r="O857" s="594">
        <v>1</v>
      </c>
      <c r="P857" s="590">
        <v>59</v>
      </c>
      <c r="Q857" s="431">
        <v>3.3300000000000003E-2</v>
      </c>
      <c r="R857" s="430">
        <v>402.3</v>
      </c>
      <c r="S857" s="175">
        <v>54</v>
      </c>
      <c r="T857" s="751">
        <v>3097.6</v>
      </c>
      <c r="U857" s="444">
        <v>8.4013333333333318</v>
      </c>
      <c r="V857" s="560">
        <v>310</v>
      </c>
      <c r="W857" s="636"/>
      <c r="X857" s="444">
        <v>0.93240000000000012</v>
      </c>
      <c r="Y857" s="764">
        <v>310</v>
      </c>
      <c r="Z857" s="776">
        <v>72.711466666666681</v>
      </c>
      <c r="AA857" s="780">
        <v>908.89333333333343</v>
      </c>
      <c r="AB857" s="811"/>
      <c r="AC857" s="818">
        <v>62</v>
      </c>
      <c r="AD857" s="811" t="s">
        <v>667</v>
      </c>
      <c r="AE857" s="811">
        <v>0</v>
      </c>
      <c r="AF857" s="643">
        <v>13056</v>
      </c>
    </row>
    <row r="858" spans="1:32" ht="31.5">
      <c r="A858" s="643">
        <v>13057</v>
      </c>
      <c r="B858" s="644"/>
      <c r="C858" s="644" t="s">
        <v>1303</v>
      </c>
      <c r="D858" s="926">
        <v>3300</v>
      </c>
      <c r="E858" s="545">
        <v>18500</v>
      </c>
      <c r="F858" s="546">
        <v>157</v>
      </c>
      <c r="G858" s="916">
        <v>0.05</v>
      </c>
      <c r="H858" s="725">
        <v>0.04</v>
      </c>
      <c r="I858" s="725">
        <v>0.06</v>
      </c>
      <c r="J858" s="917">
        <v>33000</v>
      </c>
      <c r="K858" s="554" t="s">
        <v>221</v>
      </c>
      <c r="L858" s="562">
        <v>15</v>
      </c>
      <c r="M858" s="927">
        <v>2000000</v>
      </c>
      <c r="N858" s="592">
        <v>0.25</v>
      </c>
      <c r="O858" s="594">
        <v>0.1</v>
      </c>
      <c r="P858" s="590">
        <v>35</v>
      </c>
      <c r="Q858" s="431">
        <v>0.05</v>
      </c>
      <c r="R858" s="430">
        <v>1655.8</v>
      </c>
      <c r="S858" s="497">
        <v>156</v>
      </c>
      <c r="T858" s="751">
        <v>1401.25</v>
      </c>
      <c r="U858" s="439">
        <v>4.5395000000000003</v>
      </c>
      <c r="V858" s="759">
        <v>9.2500000000000004E-4</v>
      </c>
      <c r="W858" s="636"/>
      <c r="X858" s="439">
        <v>1.4000000000000001</v>
      </c>
      <c r="Y858" s="772">
        <v>9.2500000000000004E-4</v>
      </c>
      <c r="Z858" s="776"/>
      <c r="AA858" s="806">
        <v>4.7725833333333342E-2</v>
      </c>
      <c r="AB858" s="811"/>
      <c r="AC858" s="818">
        <v>37</v>
      </c>
      <c r="AD858" s="811" t="s">
        <v>1269</v>
      </c>
      <c r="AE858" s="811">
        <v>0</v>
      </c>
      <c r="AF858" s="643">
        <v>13057</v>
      </c>
    </row>
    <row r="859" spans="1:32" ht="31.5">
      <c r="A859" s="643">
        <v>13070</v>
      </c>
      <c r="B859" s="644"/>
      <c r="C859" s="644" t="s">
        <v>1304</v>
      </c>
      <c r="D859" s="570">
        <v>22</v>
      </c>
      <c r="E859" s="545">
        <v>41000</v>
      </c>
      <c r="F859" s="649">
        <v>220</v>
      </c>
      <c r="G859" s="645" t="s">
        <v>129</v>
      </c>
      <c r="H859" s="636">
        <v>180</v>
      </c>
      <c r="I859" s="636">
        <v>280</v>
      </c>
      <c r="J859" s="549">
        <v>18</v>
      </c>
      <c r="K859" s="554">
        <v>85</v>
      </c>
      <c r="L859" s="562">
        <v>15</v>
      </c>
      <c r="M859" s="549">
        <v>8000</v>
      </c>
      <c r="N859" s="592">
        <v>0.25</v>
      </c>
      <c r="O859" s="594">
        <v>3.2</v>
      </c>
      <c r="P859" s="590">
        <v>65</v>
      </c>
      <c r="Q859" s="431">
        <v>0.05</v>
      </c>
      <c r="R859" s="430">
        <v>3214.2</v>
      </c>
      <c r="S859" s="175">
        <v>117</v>
      </c>
      <c r="T859" s="751">
        <v>3017.5</v>
      </c>
      <c r="U859" s="439">
        <v>8.6204999999999998</v>
      </c>
      <c r="V859" s="636">
        <v>16.400000000000002</v>
      </c>
      <c r="W859" s="636">
        <v>16.362500000000001</v>
      </c>
      <c r="X859" s="439">
        <v>1.4000000000000001</v>
      </c>
      <c r="Y859" s="761">
        <v>32.762500000000003</v>
      </c>
      <c r="Z859" s="776">
        <v>220.44152777777782</v>
      </c>
      <c r="AA859" s="777"/>
      <c r="AB859" s="811"/>
      <c r="AC859" s="818">
        <v>82</v>
      </c>
      <c r="AD859" s="811" t="s">
        <v>633</v>
      </c>
      <c r="AE859" s="811">
        <v>1</v>
      </c>
      <c r="AF859" s="643">
        <v>13070</v>
      </c>
    </row>
    <row r="860" spans="1:32" ht="31.5">
      <c r="A860" s="643">
        <v>13071</v>
      </c>
      <c r="B860" s="644"/>
      <c r="C860" s="644" t="s">
        <v>1305</v>
      </c>
      <c r="D860" s="570"/>
      <c r="E860" s="545">
        <v>11000</v>
      </c>
      <c r="F860" s="649">
        <v>225</v>
      </c>
      <c r="G860" s="645" t="s">
        <v>129</v>
      </c>
      <c r="H860" s="636">
        <v>200</v>
      </c>
      <c r="I860" s="636">
        <v>270</v>
      </c>
      <c r="J860" s="549">
        <v>8</v>
      </c>
      <c r="K860" s="554"/>
      <c r="L860" s="562">
        <v>12</v>
      </c>
      <c r="M860" s="549">
        <v>4000</v>
      </c>
      <c r="N860" s="592">
        <v>0.25</v>
      </c>
      <c r="O860" s="594">
        <v>9.5500000000000007</v>
      </c>
      <c r="P860" s="590">
        <v>20</v>
      </c>
      <c r="Q860" s="431">
        <v>0.05</v>
      </c>
      <c r="R860" s="430">
        <v>5844</v>
      </c>
      <c r="S860" s="497">
        <v>60</v>
      </c>
      <c r="T860" s="751">
        <v>965</v>
      </c>
      <c r="U860" s="439">
        <v>15.4175</v>
      </c>
      <c r="V860" s="636">
        <v>26.262500000000003</v>
      </c>
      <c r="W860" s="636">
        <v>59.666666666666664</v>
      </c>
      <c r="X860" s="439">
        <v>1.4000000000000001</v>
      </c>
      <c r="Y860" s="761">
        <v>85.929166666666674</v>
      </c>
      <c r="Z860" s="776">
        <v>227.20958333333337</v>
      </c>
      <c r="AA860" s="777"/>
      <c r="AB860" s="811"/>
      <c r="AC860" s="818">
        <v>22</v>
      </c>
      <c r="AD860" s="811" t="s">
        <v>633</v>
      </c>
      <c r="AE860" s="811">
        <v>4</v>
      </c>
      <c r="AF860" s="643">
        <v>13071</v>
      </c>
    </row>
    <row r="861" spans="1:32" ht="15.75">
      <c r="A861" s="643">
        <v>13072</v>
      </c>
      <c r="B861" s="644"/>
      <c r="C861" s="644" t="s">
        <v>1306</v>
      </c>
      <c r="D861" s="570"/>
      <c r="E861" s="545">
        <v>27000</v>
      </c>
      <c r="F861" s="649">
        <v>580</v>
      </c>
      <c r="G861" s="645" t="s">
        <v>129</v>
      </c>
      <c r="H861" s="636">
        <v>520</v>
      </c>
      <c r="I861" s="636">
        <v>690</v>
      </c>
      <c r="J861" s="549">
        <v>8</v>
      </c>
      <c r="K861" s="554"/>
      <c r="L861" s="562">
        <v>12</v>
      </c>
      <c r="M861" s="549">
        <v>4000</v>
      </c>
      <c r="N861" s="592">
        <v>0.25</v>
      </c>
      <c r="O861" s="594">
        <v>8.85</v>
      </c>
      <c r="P861" s="590">
        <v>29</v>
      </c>
      <c r="Q861" s="431">
        <v>0.05</v>
      </c>
      <c r="R861" s="430">
        <v>3798.6</v>
      </c>
      <c r="S861" s="175">
        <v>300</v>
      </c>
      <c r="T861" s="751">
        <v>2228</v>
      </c>
      <c r="U861" s="439">
        <v>13.342000000000001</v>
      </c>
      <c r="V861" s="636">
        <v>59.737499999999997</v>
      </c>
      <c r="W861" s="636">
        <v>191.78571428571428</v>
      </c>
      <c r="X861" s="439">
        <v>1.4000000000000001</v>
      </c>
      <c r="Y861" s="761">
        <v>251.52321428571429</v>
      </c>
      <c r="Z861" s="776">
        <v>583.02553571428575</v>
      </c>
      <c r="AA861" s="777"/>
      <c r="AB861" s="811"/>
      <c r="AC861" s="818">
        <v>54</v>
      </c>
      <c r="AD861" s="811" t="s">
        <v>633</v>
      </c>
      <c r="AE861" s="811">
        <v>4</v>
      </c>
      <c r="AF861" s="643">
        <v>13072</v>
      </c>
    </row>
    <row r="862" spans="1:32" ht="31.5">
      <c r="A862" s="643">
        <v>13073</v>
      </c>
      <c r="B862" s="644"/>
      <c r="C862" s="644" t="s">
        <v>1307</v>
      </c>
      <c r="D862" s="559">
        <v>100</v>
      </c>
      <c r="E862" s="545">
        <v>7700</v>
      </c>
      <c r="F862" s="546">
        <v>62</v>
      </c>
      <c r="G862" s="653">
        <v>62</v>
      </c>
      <c r="H862" s="654">
        <v>54</v>
      </c>
      <c r="I862" s="654">
        <v>76</v>
      </c>
      <c r="J862" s="561">
        <v>20</v>
      </c>
      <c r="K862" s="554" t="s">
        <v>221</v>
      </c>
      <c r="L862" s="562">
        <v>12</v>
      </c>
      <c r="M862" s="561">
        <v>1000</v>
      </c>
      <c r="N862" s="592">
        <v>0.25</v>
      </c>
      <c r="O862" s="594">
        <v>2.4500000000000002</v>
      </c>
      <c r="P862" s="590">
        <v>25</v>
      </c>
      <c r="Q862" s="431">
        <v>0.05</v>
      </c>
      <c r="R862" s="430">
        <v>6406.8</v>
      </c>
      <c r="T862" s="751">
        <v>752.5</v>
      </c>
      <c r="U862" s="439">
        <v>11.229666666666667</v>
      </c>
      <c r="V862" s="654">
        <v>18.865000000000002</v>
      </c>
      <c r="W862" s="636"/>
      <c r="X862" s="439">
        <v>1.4000000000000001</v>
      </c>
      <c r="Y862" s="764">
        <v>18.865000000000002</v>
      </c>
      <c r="Z862" s="776"/>
      <c r="AA862" s="780">
        <v>62.13900000000001</v>
      </c>
      <c r="AB862" s="811"/>
      <c r="AC862" s="818">
        <v>15.4</v>
      </c>
      <c r="AD862" s="811" t="s">
        <v>667</v>
      </c>
      <c r="AE862" s="811">
        <v>0</v>
      </c>
      <c r="AF862" s="643">
        <v>13073</v>
      </c>
    </row>
    <row r="863" spans="1:32" ht="31.5">
      <c r="A863" s="643">
        <v>13074</v>
      </c>
      <c r="B863" s="644"/>
      <c r="C863" s="644" t="s">
        <v>1308</v>
      </c>
      <c r="D863" s="559">
        <v>130</v>
      </c>
      <c r="E863" s="545">
        <v>10500</v>
      </c>
      <c r="F863" s="546">
        <v>77</v>
      </c>
      <c r="G863" s="653">
        <v>59</v>
      </c>
      <c r="H863" s="654">
        <v>52</v>
      </c>
      <c r="I863" s="654">
        <v>71</v>
      </c>
      <c r="J863" s="561">
        <v>30</v>
      </c>
      <c r="K863" s="554" t="s">
        <v>221</v>
      </c>
      <c r="L863" s="562">
        <v>12</v>
      </c>
      <c r="M863" s="561">
        <v>1200</v>
      </c>
      <c r="N863" s="592">
        <v>0.25</v>
      </c>
      <c r="O863" s="594">
        <v>2.2999999999999998</v>
      </c>
      <c r="P863" s="590">
        <v>31</v>
      </c>
      <c r="Q863" s="431">
        <v>0.05</v>
      </c>
      <c r="R863" s="430">
        <v>847.38000000000011</v>
      </c>
      <c r="S863" s="496"/>
      <c r="T863" s="751">
        <v>1004.5</v>
      </c>
      <c r="U863" s="439">
        <v>2.8969500000000004</v>
      </c>
      <c r="V863" s="654">
        <v>20.125</v>
      </c>
      <c r="W863" s="636"/>
      <c r="X863" s="439">
        <v>1.4000000000000001</v>
      </c>
      <c r="Y863" s="764">
        <v>20.125</v>
      </c>
      <c r="Z863" s="776"/>
      <c r="AA863" s="780">
        <v>58.969166666666673</v>
      </c>
      <c r="AB863" s="811"/>
      <c r="AC863" s="818">
        <v>21</v>
      </c>
      <c r="AD863" s="811" t="s">
        <v>667</v>
      </c>
      <c r="AE863" s="811">
        <v>0</v>
      </c>
      <c r="AF863" s="643">
        <v>13074</v>
      </c>
    </row>
    <row r="864" spans="1:32" ht="15.75">
      <c r="A864" s="643">
        <v>13075</v>
      </c>
      <c r="B864" s="644"/>
      <c r="C864" s="644" t="s">
        <v>1309</v>
      </c>
      <c r="D864" s="559">
        <v>40</v>
      </c>
      <c r="E864" s="545">
        <v>21000</v>
      </c>
      <c r="F864" s="649">
        <v>95</v>
      </c>
      <c r="G864" s="655">
        <v>240</v>
      </c>
      <c r="H864" s="636">
        <v>80</v>
      </c>
      <c r="I864" s="636">
        <v>120</v>
      </c>
      <c r="J864" s="549">
        <v>25</v>
      </c>
      <c r="K864" s="554" t="s">
        <v>221</v>
      </c>
      <c r="L864" s="562">
        <v>15</v>
      </c>
      <c r="M864" s="549">
        <v>800</v>
      </c>
      <c r="N864" s="592">
        <v>0.25</v>
      </c>
      <c r="O864" s="594">
        <v>0.75</v>
      </c>
      <c r="P864" s="590">
        <v>52</v>
      </c>
      <c r="Q864" s="431">
        <v>0.05</v>
      </c>
      <c r="R864" s="430">
        <v>2235</v>
      </c>
      <c r="S864" s="175"/>
      <c r="T864" s="751">
        <v>1676.5</v>
      </c>
      <c r="U864" s="444">
        <v>12.21</v>
      </c>
      <c r="V864" s="636">
        <v>19.6875</v>
      </c>
      <c r="W864" s="636"/>
      <c r="X864" s="444">
        <v>1.4000000000000001</v>
      </c>
      <c r="Y864" s="761">
        <v>19.6875</v>
      </c>
      <c r="Z864" s="776">
        <v>95.422250000000005</v>
      </c>
      <c r="AA864" s="780">
        <v>238.55562499999999</v>
      </c>
      <c r="AB864" s="811"/>
      <c r="AC864" s="818">
        <v>42</v>
      </c>
      <c r="AD864" s="811" t="s">
        <v>633</v>
      </c>
      <c r="AE864" s="811">
        <v>0</v>
      </c>
      <c r="AF864" s="643">
        <v>13075</v>
      </c>
    </row>
    <row r="865" spans="1:32" ht="15.75">
      <c r="A865" s="633"/>
      <c r="B865" s="634"/>
      <c r="C865" s="633"/>
      <c r="D865" s="578"/>
      <c r="E865" s="545"/>
      <c r="F865" s="546"/>
      <c r="G865" s="707" t="s">
        <v>129</v>
      </c>
      <c r="H865" s="636"/>
      <c r="I865" s="636"/>
      <c r="J865" s="549"/>
      <c r="K865" s="635"/>
      <c r="L865" s="633"/>
      <c r="M865" s="549"/>
      <c r="N865" s="592" t="s">
        <v>129</v>
      </c>
      <c r="O865" s="594" t="s">
        <v>129</v>
      </c>
      <c r="P865" s="743"/>
      <c r="Q865" s="431"/>
      <c r="R865" s="430" t="s">
        <v>129</v>
      </c>
      <c r="S865" s="497">
        <v>60</v>
      </c>
      <c r="T865" s="751" t="s">
        <v>129</v>
      </c>
      <c r="U865" s="457"/>
      <c r="V865" s="636"/>
      <c r="W865" s="636"/>
      <c r="X865" s="457"/>
      <c r="Y865" s="761" t="s">
        <v>129</v>
      </c>
      <c r="Z865" s="776"/>
      <c r="AA865" s="796"/>
      <c r="AB865" s="633"/>
      <c r="AC865" s="818" t="s">
        <v>129</v>
      </c>
      <c r="AD865" s="811"/>
      <c r="AE865" s="811"/>
      <c r="AF865" s="633"/>
    </row>
    <row r="866" spans="1:32" ht="31.5">
      <c r="A866" s="663"/>
      <c r="B866" s="664"/>
      <c r="C866" s="665" t="s">
        <v>1310</v>
      </c>
      <c r="D866" s="688"/>
      <c r="E866" s="667"/>
      <c r="F866" s="668"/>
      <c r="G866" s="718" t="s">
        <v>129</v>
      </c>
      <c r="H866" s="670"/>
      <c r="I866" s="670"/>
      <c r="J866" s="671"/>
      <c r="K866" s="672"/>
      <c r="L866" s="737"/>
      <c r="M866" s="671"/>
      <c r="N866" s="740" t="s">
        <v>129</v>
      </c>
      <c r="O866" s="746" t="s">
        <v>129</v>
      </c>
      <c r="P866" s="747"/>
      <c r="Q866" s="429"/>
      <c r="R866" s="430" t="s">
        <v>129</v>
      </c>
      <c r="S866" s="175">
        <v>104</v>
      </c>
      <c r="T866" s="754" t="s">
        <v>129</v>
      </c>
      <c r="U866" s="438"/>
      <c r="V866" s="690"/>
      <c r="W866" s="670"/>
      <c r="X866" s="438"/>
      <c r="Y866" s="766" t="s">
        <v>129</v>
      </c>
      <c r="Z866" s="785"/>
      <c r="AA866" s="802"/>
      <c r="AB866" s="813"/>
      <c r="AC866" s="821" t="s">
        <v>129</v>
      </c>
      <c r="AD866" s="813"/>
      <c r="AE866" s="813"/>
      <c r="AF866" s="663"/>
    </row>
    <row r="867" spans="1:32" ht="15.75">
      <c r="A867" s="633"/>
      <c r="B867" s="634"/>
      <c r="C867" s="633"/>
      <c r="D867" s="559"/>
      <c r="E867" s="545"/>
      <c r="F867" s="546"/>
      <c r="G867" s="660" t="s">
        <v>129</v>
      </c>
      <c r="H867" s="636"/>
      <c r="I867" s="636"/>
      <c r="J867" s="549"/>
      <c r="K867" s="635"/>
      <c r="L867" s="633"/>
      <c r="M867" s="549"/>
      <c r="N867" s="592" t="s">
        <v>129</v>
      </c>
      <c r="O867" s="594" t="s">
        <v>129</v>
      </c>
      <c r="P867" s="743"/>
      <c r="Q867" s="431"/>
      <c r="R867" s="430" t="s">
        <v>129</v>
      </c>
      <c r="S867" s="497">
        <v>91</v>
      </c>
      <c r="T867" s="751" t="s">
        <v>129</v>
      </c>
      <c r="U867" s="440"/>
      <c r="V867" s="654"/>
      <c r="W867" s="636"/>
      <c r="X867" s="439"/>
      <c r="Y867" s="761" t="s">
        <v>129</v>
      </c>
      <c r="Z867" s="776"/>
      <c r="AA867" s="788"/>
      <c r="AB867" s="633"/>
      <c r="AC867" s="818" t="s">
        <v>129</v>
      </c>
      <c r="AD867" s="811"/>
      <c r="AE867" s="811"/>
      <c r="AF867" s="633"/>
    </row>
    <row r="868" spans="1:32" ht="15.75">
      <c r="A868" s="624">
        <v>14000</v>
      </c>
      <c r="B868" s="625" t="s">
        <v>411</v>
      </c>
      <c r="C868" s="626" t="s">
        <v>1311</v>
      </c>
      <c r="D868" s="627"/>
      <c r="E868" s="628"/>
      <c r="F868" s="629"/>
      <c r="G868" s="630" t="s">
        <v>129</v>
      </c>
      <c r="H868" s="631"/>
      <c r="I868" s="631"/>
      <c r="J868" s="632"/>
      <c r="K868" s="632"/>
      <c r="L868" s="627"/>
      <c r="M868" s="632"/>
      <c r="N868" s="739" t="s">
        <v>129</v>
      </c>
      <c r="O868" s="744" t="s">
        <v>129</v>
      </c>
      <c r="P868" s="742"/>
      <c r="Q868" s="431">
        <v>0.04</v>
      </c>
      <c r="R868" s="430">
        <v>1490</v>
      </c>
      <c r="S868" s="175">
        <v>78</v>
      </c>
      <c r="T868" s="750" t="s">
        <v>129</v>
      </c>
      <c r="U868" s="454">
        <v>17.329999999999998</v>
      </c>
      <c r="V868" s="631"/>
      <c r="W868" s="631"/>
      <c r="X868" s="454">
        <v>1.1200000000000001</v>
      </c>
      <c r="Y868" s="763" t="s">
        <v>129</v>
      </c>
      <c r="Z868" s="774"/>
      <c r="AA868" s="775"/>
      <c r="AB868" s="810"/>
      <c r="AC868" s="817" t="s">
        <v>129</v>
      </c>
      <c r="AD868" s="810"/>
      <c r="AE868" s="810"/>
      <c r="AF868" s="624">
        <v>14000</v>
      </c>
    </row>
    <row r="869" spans="1:32" ht="15.75">
      <c r="A869" s="633"/>
      <c r="B869" s="634"/>
      <c r="C869" s="633"/>
      <c r="D869" s="551"/>
      <c r="E869" s="545"/>
      <c r="F869" s="546"/>
      <c r="G869" s="659" t="s">
        <v>129</v>
      </c>
      <c r="H869" s="636"/>
      <c r="I869" s="636"/>
      <c r="J869" s="549"/>
      <c r="K869" s="635"/>
      <c r="L869" s="633"/>
      <c r="M869" s="549"/>
      <c r="N869" s="592" t="s">
        <v>129</v>
      </c>
      <c r="O869" s="594" t="s">
        <v>129</v>
      </c>
      <c r="P869" s="743"/>
      <c r="Q869" s="431">
        <v>0.1</v>
      </c>
      <c r="R869" s="430">
        <v>1120.0999999999999</v>
      </c>
      <c r="S869" s="497">
        <v>78</v>
      </c>
      <c r="T869" s="751" t="s">
        <v>129</v>
      </c>
      <c r="U869" s="439">
        <v>29.802499999999998</v>
      </c>
      <c r="V869" s="636"/>
      <c r="W869" s="636"/>
      <c r="X869" s="439">
        <v>2.8000000000000003</v>
      </c>
      <c r="Y869" s="761" t="s">
        <v>129</v>
      </c>
      <c r="Z869" s="776"/>
      <c r="AA869" s="782"/>
      <c r="AB869" s="633"/>
      <c r="AC869" s="818" t="s">
        <v>129</v>
      </c>
      <c r="AD869" s="811"/>
      <c r="AE869" s="811"/>
      <c r="AF869" s="633"/>
    </row>
    <row r="870" spans="1:32" ht="15.75">
      <c r="A870" s="643">
        <v>14001</v>
      </c>
      <c r="B870" s="644"/>
      <c r="C870" s="644" t="s">
        <v>1312</v>
      </c>
      <c r="D870" s="559">
        <v>50</v>
      </c>
      <c r="E870" s="545">
        <v>7000</v>
      </c>
      <c r="F870" s="546">
        <v>74</v>
      </c>
      <c r="G870" s="653">
        <v>150</v>
      </c>
      <c r="H870" s="654">
        <v>126</v>
      </c>
      <c r="I870" s="654">
        <v>187</v>
      </c>
      <c r="J870" s="561">
        <v>5</v>
      </c>
      <c r="K870" s="554" t="s">
        <v>221</v>
      </c>
      <c r="L870" s="562">
        <v>15</v>
      </c>
      <c r="M870" s="561">
        <v>400</v>
      </c>
      <c r="N870" s="592">
        <v>0.25</v>
      </c>
      <c r="O870" s="594">
        <v>1.85</v>
      </c>
      <c r="P870" s="590">
        <v>11</v>
      </c>
      <c r="Q870" s="434">
        <v>0.125</v>
      </c>
      <c r="R870" s="430">
        <v>1791</v>
      </c>
      <c r="S870" s="175">
        <v>42</v>
      </c>
      <c r="T870" s="751">
        <v>514.5</v>
      </c>
      <c r="U870" s="442">
        <v>27.212499999999999</v>
      </c>
      <c r="V870" s="654">
        <v>32.375</v>
      </c>
      <c r="W870" s="636"/>
      <c r="X870" s="444">
        <v>3.5</v>
      </c>
      <c r="Y870" s="764">
        <v>32.375</v>
      </c>
      <c r="Z870" s="776"/>
      <c r="AA870" s="780">
        <v>148.80250000000001</v>
      </c>
      <c r="AB870" s="811"/>
      <c r="AC870" s="818">
        <v>14</v>
      </c>
      <c r="AD870" s="811" t="s">
        <v>667</v>
      </c>
      <c r="AE870" s="811">
        <v>0</v>
      </c>
      <c r="AF870" s="643">
        <v>14001</v>
      </c>
    </row>
    <row r="871" spans="1:32" ht="15.75">
      <c r="A871" s="643">
        <v>14002</v>
      </c>
      <c r="B871" s="644"/>
      <c r="C871" s="644" t="s">
        <v>1313</v>
      </c>
      <c r="D871" s="559">
        <v>25</v>
      </c>
      <c r="E871" s="545">
        <v>5400</v>
      </c>
      <c r="F871" s="546">
        <v>48</v>
      </c>
      <c r="G871" s="653">
        <v>190</v>
      </c>
      <c r="H871" s="654">
        <v>170</v>
      </c>
      <c r="I871" s="654">
        <v>230</v>
      </c>
      <c r="J871" s="561">
        <v>5</v>
      </c>
      <c r="K871" s="554" t="s">
        <v>221</v>
      </c>
      <c r="L871" s="562">
        <v>12</v>
      </c>
      <c r="M871" s="561">
        <v>250</v>
      </c>
      <c r="N871" s="592">
        <v>0.25</v>
      </c>
      <c r="O871" s="594">
        <v>3.7</v>
      </c>
      <c r="P871" s="590">
        <v>10</v>
      </c>
      <c r="Q871" s="431">
        <v>0.05</v>
      </c>
      <c r="R871" s="430">
        <v>495.9</v>
      </c>
      <c r="S871" s="497">
        <v>42</v>
      </c>
      <c r="T871" s="751">
        <v>475</v>
      </c>
      <c r="U871" s="454">
        <v>11.125999999999999</v>
      </c>
      <c r="V871" s="654">
        <v>79.920000000000016</v>
      </c>
      <c r="W871" s="636"/>
      <c r="X871" s="454">
        <v>1.4000000000000001</v>
      </c>
      <c r="Y871" s="764">
        <v>79.920000000000016</v>
      </c>
      <c r="Z871" s="776">
        <v>48.103000000000009</v>
      </c>
      <c r="AA871" s="780">
        <v>192.41200000000003</v>
      </c>
      <c r="AB871" s="811"/>
      <c r="AC871" s="818">
        <v>10.8</v>
      </c>
      <c r="AD871" s="811" t="s">
        <v>667</v>
      </c>
      <c r="AE871" s="811">
        <v>0</v>
      </c>
      <c r="AF871" s="643">
        <v>14002</v>
      </c>
    </row>
    <row r="872" spans="1:32" ht="15.75">
      <c r="A872" s="643">
        <v>14003</v>
      </c>
      <c r="B872" s="644"/>
      <c r="C872" s="644" t="s">
        <v>1314</v>
      </c>
      <c r="D872" s="559">
        <v>25</v>
      </c>
      <c r="E872" s="545">
        <v>8200</v>
      </c>
      <c r="F872" s="546">
        <v>36</v>
      </c>
      <c r="G872" s="653">
        <v>145</v>
      </c>
      <c r="H872" s="654">
        <v>130</v>
      </c>
      <c r="I872" s="654">
        <v>170</v>
      </c>
      <c r="J872" s="561">
        <v>10</v>
      </c>
      <c r="K872" s="554" t="s">
        <v>221</v>
      </c>
      <c r="L872" s="562">
        <v>12</v>
      </c>
      <c r="M872" s="561">
        <v>250</v>
      </c>
      <c r="N872" s="592">
        <v>0.25</v>
      </c>
      <c r="O872" s="594">
        <v>1.85</v>
      </c>
      <c r="P872" s="590">
        <v>12</v>
      </c>
      <c r="Q872" s="431">
        <v>0.1</v>
      </c>
      <c r="R872" s="430">
        <v>1168.8</v>
      </c>
      <c r="S872" s="175">
        <v>60</v>
      </c>
      <c r="T872" s="751">
        <v>699</v>
      </c>
      <c r="U872" s="442">
        <v>267.63333333333333</v>
      </c>
      <c r="V872" s="654">
        <v>60.68</v>
      </c>
      <c r="W872" s="636"/>
      <c r="X872" s="440">
        <v>2.8000000000000003</v>
      </c>
      <c r="Y872" s="764">
        <v>60.68</v>
      </c>
      <c r="Z872" s="776">
        <v>35.909500000000008</v>
      </c>
      <c r="AA872" s="780">
        <v>143.63800000000003</v>
      </c>
      <c r="AB872" s="811"/>
      <c r="AC872" s="818">
        <v>16.399999999999999</v>
      </c>
      <c r="AD872" s="811" t="s">
        <v>667</v>
      </c>
      <c r="AE872" s="811">
        <v>0</v>
      </c>
      <c r="AF872" s="643">
        <v>14003</v>
      </c>
    </row>
    <row r="873" spans="1:32" ht="31.5">
      <c r="A873" s="643">
        <v>14009</v>
      </c>
      <c r="B873" s="644"/>
      <c r="C873" s="644" t="s">
        <v>1315</v>
      </c>
      <c r="D873" s="559">
        <v>25</v>
      </c>
      <c r="E873" s="545">
        <v>4000</v>
      </c>
      <c r="F873" s="546">
        <v>10</v>
      </c>
      <c r="G873" s="653">
        <v>41</v>
      </c>
      <c r="H873" s="654">
        <v>34</v>
      </c>
      <c r="I873" s="654">
        <v>53</v>
      </c>
      <c r="J873" s="561">
        <v>10</v>
      </c>
      <c r="K873" s="554" t="s">
        <v>221</v>
      </c>
      <c r="L873" s="562">
        <v>12</v>
      </c>
      <c r="M873" s="561">
        <v>2000</v>
      </c>
      <c r="N873" s="592">
        <v>0.25</v>
      </c>
      <c r="O873" s="594">
        <v>2.4</v>
      </c>
      <c r="P873" s="590">
        <v>4</v>
      </c>
      <c r="Q873" s="431">
        <v>0.16667000000000001</v>
      </c>
      <c r="R873" s="430">
        <v>2435</v>
      </c>
      <c r="S873" s="497">
        <v>42</v>
      </c>
      <c r="T873" s="751">
        <v>328</v>
      </c>
      <c r="U873" s="442">
        <v>483</v>
      </c>
      <c r="V873" s="654">
        <v>4.8</v>
      </c>
      <c r="W873" s="636"/>
      <c r="X873" s="440">
        <v>4.66676</v>
      </c>
      <c r="Y873" s="764">
        <v>4.8</v>
      </c>
      <c r="Z873" s="776">
        <v>10.34</v>
      </c>
      <c r="AA873" s="780">
        <v>41.36</v>
      </c>
      <c r="AB873" s="811"/>
      <c r="AC873" s="818">
        <v>8</v>
      </c>
      <c r="AD873" s="811" t="s">
        <v>667</v>
      </c>
      <c r="AE873" s="811">
        <v>0</v>
      </c>
      <c r="AF873" s="643">
        <v>14009</v>
      </c>
    </row>
    <row r="874" spans="1:32" ht="15.75">
      <c r="A874" s="643">
        <v>14004</v>
      </c>
      <c r="B874" s="644"/>
      <c r="C874" s="644" t="s">
        <v>1316</v>
      </c>
      <c r="D874" s="559">
        <v>20</v>
      </c>
      <c r="E874" s="545">
        <v>10500</v>
      </c>
      <c r="F874" s="546">
        <v>38</v>
      </c>
      <c r="G874" s="653">
        <v>190</v>
      </c>
      <c r="H874" s="654">
        <v>170</v>
      </c>
      <c r="I874" s="654">
        <v>220</v>
      </c>
      <c r="J874" s="561">
        <v>10</v>
      </c>
      <c r="K874" s="554" t="s">
        <v>221</v>
      </c>
      <c r="L874" s="562">
        <v>12</v>
      </c>
      <c r="M874" s="561">
        <v>200</v>
      </c>
      <c r="N874" s="592">
        <v>0.1</v>
      </c>
      <c r="O874" s="594">
        <v>1.4</v>
      </c>
      <c r="P874" s="590">
        <v>9</v>
      </c>
      <c r="Q874" s="437">
        <v>1E-3</v>
      </c>
      <c r="R874" s="430">
        <v>2435</v>
      </c>
      <c r="S874" s="175">
        <v>78</v>
      </c>
      <c r="T874" s="751">
        <v>972.3</v>
      </c>
      <c r="U874" s="440">
        <v>2.7300000000000001E-2</v>
      </c>
      <c r="V874" s="654">
        <v>73.5</v>
      </c>
      <c r="W874" s="636"/>
      <c r="X874" s="925">
        <v>2.8000000000000001E-2</v>
      </c>
      <c r="Y874" s="764">
        <v>73.5</v>
      </c>
      <c r="Z874" s="776">
        <v>37.560600000000001</v>
      </c>
      <c r="AA874" s="780">
        <v>187.803</v>
      </c>
      <c r="AB874" s="811"/>
      <c r="AC874" s="818">
        <v>21</v>
      </c>
      <c r="AD874" s="811" t="s">
        <v>667</v>
      </c>
      <c r="AE874" s="811">
        <v>0</v>
      </c>
      <c r="AF874" s="643">
        <v>14004</v>
      </c>
    </row>
    <row r="875" spans="1:32" ht="15.75">
      <c r="A875" s="643">
        <v>14005</v>
      </c>
      <c r="B875" s="644"/>
      <c r="C875" s="644" t="s">
        <v>1317</v>
      </c>
      <c r="D875" s="551">
        <v>7</v>
      </c>
      <c r="E875" s="545">
        <v>5300</v>
      </c>
      <c r="F875" s="649">
        <v>44</v>
      </c>
      <c r="G875" s="659" t="s">
        <v>129</v>
      </c>
      <c r="H875" s="636">
        <v>37</v>
      </c>
      <c r="I875" s="636">
        <v>54</v>
      </c>
      <c r="J875" s="549">
        <v>20</v>
      </c>
      <c r="K875" s="554">
        <v>60</v>
      </c>
      <c r="L875" s="562">
        <v>12</v>
      </c>
      <c r="M875" s="549">
        <v>1500</v>
      </c>
      <c r="N875" s="592">
        <v>0.25</v>
      </c>
      <c r="O875" s="594">
        <v>2.0499999999999998</v>
      </c>
      <c r="P875" s="590">
        <v>12</v>
      </c>
      <c r="Q875" s="431"/>
      <c r="R875" s="430" t="s">
        <v>129</v>
      </c>
      <c r="S875" s="175"/>
      <c r="T875" s="751">
        <v>577.5</v>
      </c>
      <c r="U875" s="439"/>
      <c r="V875" s="636">
        <v>7.2433333333333323</v>
      </c>
      <c r="W875" s="636">
        <v>3.6750000000000003</v>
      </c>
      <c r="X875" s="439"/>
      <c r="Y875" s="761">
        <v>10.918333333333333</v>
      </c>
      <c r="Z875" s="776">
        <v>43.772666666666673</v>
      </c>
      <c r="AA875" s="782"/>
      <c r="AB875" s="811"/>
      <c r="AC875" s="818">
        <v>10.6</v>
      </c>
      <c r="AD875" s="811" t="s">
        <v>633</v>
      </c>
      <c r="AE875" s="811">
        <v>2</v>
      </c>
      <c r="AF875" s="643">
        <v>14005</v>
      </c>
    </row>
    <row r="876" spans="1:32" ht="15.75">
      <c r="A876" s="643">
        <v>14006</v>
      </c>
      <c r="B876" s="644"/>
      <c r="C876" s="644" t="s">
        <v>1318</v>
      </c>
      <c r="D876" s="551">
        <v>5</v>
      </c>
      <c r="E876" s="545">
        <v>4200</v>
      </c>
      <c r="F876" s="649">
        <v>45</v>
      </c>
      <c r="G876" s="659" t="s">
        <v>129</v>
      </c>
      <c r="H876" s="636">
        <v>39</v>
      </c>
      <c r="I876" s="636">
        <v>54</v>
      </c>
      <c r="J876" s="549">
        <v>20</v>
      </c>
      <c r="K876" s="554">
        <v>95</v>
      </c>
      <c r="L876" s="562">
        <v>10</v>
      </c>
      <c r="M876" s="549">
        <v>1000</v>
      </c>
      <c r="N876" s="592">
        <v>0.25</v>
      </c>
      <c r="O876" s="594">
        <v>2.7</v>
      </c>
      <c r="P876" s="590">
        <v>9</v>
      </c>
      <c r="Q876" s="431"/>
      <c r="R876" s="430" t="s">
        <v>129</v>
      </c>
      <c r="S876" s="496"/>
      <c r="T876" s="751">
        <v>502.5</v>
      </c>
      <c r="U876" s="440"/>
      <c r="V876" s="636">
        <v>11.340000000000002</v>
      </c>
      <c r="W876" s="636">
        <v>4.15625</v>
      </c>
      <c r="X876" s="439"/>
      <c r="Y876" s="761">
        <v>15.496250000000002</v>
      </c>
      <c r="Z876" s="776">
        <v>44.683375000000005</v>
      </c>
      <c r="AA876" s="782"/>
      <c r="AB876" s="811"/>
      <c r="AC876" s="818">
        <v>8.4</v>
      </c>
      <c r="AD876" s="811" t="s">
        <v>633</v>
      </c>
      <c r="AE876" s="811">
        <v>2</v>
      </c>
      <c r="AF876" s="643">
        <v>14006</v>
      </c>
    </row>
    <row r="877" spans="1:32" ht="15.75">
      <c r="A877" s="643">
        <v>14007</v>
      </c>
      <c r="B877" s="644"/>
      <c r="C877" s="644" t="s">
        <v>1319</v>
      </c>
      <c r="D877" s="559"/>
      <c r="E877" s="545">
        <v>2300</v>
      </c>
      <c r="F877" s="546"/>
      <c r="G877" s="653">
        <v>35</v>
      </c>
      <c r="H877" s="654">
        <v>30</v>
      </c>
      <c r="I877" s="654">
        <v>44</v>
      </c>
      <c r="J877" s="561">
        <v>10</v>
      </c>
      <c r="K877" s="554" t="s">
        <v>221</v>
      </c>
      <c r="L877" s="562">
        <v>12</v>
      </c>
      <c r="M877" s="561">
        <v>750</v>
      </c>
      <c r="N877" s="592">
        <v>0.25</v>
      </c>
      <c r="O877" s="594">
        <v>2.4500000000000002</v>
      </c>
      <c r="P877" s="590">
        <v>10</v>
      </c>
      <c r="Q877" s="431"/>
      <c r="R877" s="430" t="s">
        <v>129</v>
      </c>
      <c r="S877" s="175"/>
      <c r="T877" s="751">
        <v>242.5</v>
      </c>
      <c r="U877" s="440"/>
      <c r="V877" s="654">
        <v>7.5133333333333345</v>
      </c>
      <c r="W877" s="636"/>
      <c r="X877" s="439"/>
      <c r="Y877" s="764">
        <v>7.5133333333333345</v>
      </c>
      <c r="Z877" s="776"/>
      <c r="AA877" s="780">
        <v>34.939666666666675</v>
      </c>
      <c r="AB877" s="811"/>
      <c r="AC877" s="818">
        <v>4.6000000000000005</v>
      </c>
      <c r="AD877" s="811" t="s">
        <v>667</v>
      </c>
      <c r="AE877" s="811">
        <v>0</v>
      </c>
      <c r="AF877" s="643">
        <v>14007</v>
      </c>
    </row>
    <row r="878" spans="1:32" ht="15.75">
      <c r="A878" s="643">
        <v>14008</v>
      </c>
      <c r="B878" s="644"/>
      <c r="C878" s="644" t="s">
        <v>1320</v>
      </c>
      <c r="D878" s="890">
        <v>2.6</v>
      </c>
      <c r="E878" s="545">
        <v>26000</v>
      </c>
      <c r="F878" s="546">
        <v>130</v>
      </c>
      <c r="G878" s="891">
        <v>50</v>
      </c>
      <c r="H878" s="892">
        <v>43</v>
      </c>
      <c r="I878" s="892">
        <v>62</v>
      </c>
      <c r="J878" s="893">
        <v>80</v>
      </c>
      <c r="K878" s="573"/>
      <c r="L878" s="562">
        <v>10</v>
      </c>
      <c r="M878" s="893">
        <v>3000</v>
      </c>
      <c r="N878" s="592">
        <v>0.25</v>
      </c>
      <c r="O878" s="594">
        <v>1.5</v>
      </c>
      <c r="P878" s="590">
        <v>50</v>
      </c>
      <c r="Q878" s="429"/>
      <c r="R878" s="430" t="s">
        <v>129</v>
      </c>
      <c r="S878" s="497">
        <v>72</v>
      </c>
      <c r="T878" s="751">
        <v>2625</v>
      </c>
      <c r="U878" s="438"/>
      <c r="V878" s="892">
        <v>13</v>
      </c>
      <c r="W878" s="636"/>
      <c r="X878" s="438"/>
      <c r="Y878" s="894">
        <v>13</v>
      </c>
      <c r="Z878" s="776"/>
      <c r="AA878" s="788">
        <v>50.393750000000004</v>
      </c>
      <c r="AB878" s="811"/>
      <c r="AC878" s="818">
        <v>52</v>
      </c>
      <c r="AD878" s="811" t="s">
        <v>784</v>
      </c>
      <c r="AE878" s="811">
        <v>0</v>
      </c>
      <c r="AF878" s="643">
        <v>14008</v>
      </c>
    </row>
    <row r="879" spans="1:32" ht="15.75">
      <c r="A879" s="643"/>
      <c r="B879" s="644"/>
      <c r="C879" s="643"/>
      <c r="D879" s="554"/>
      <c r="E879" s="545"/>
      <c r="F879" s="553"/>
      <c r="G879" s="645" t="s">
        <v>129</v>
      </c>
      <c r="H879" s="657"/>
      <c r="I879" s="657"/>
      <c r="J879" s="554"/>
      <c r="K879" s="554"/>
      <c r="L879" s="562"/>
      <c r="M879" s="554"/>
      <c r="N879" s="592" t="s">
        <v>129</v>
      </c>
      <c r="O879" s="594" t="s">
        <v>129</v>
      </c>
      <c r="P879" s="590"/>
      <c r="Q879" s="431"/>
      <c r="R879" s="430" t="s">
        <v>129</v>
      </c>
      <c r="S879" s="175">
        <v>48</v>
      </c>
      <c r="T879" s="751" t="s">
        <v>129</v>
      </c>
      <c r="U879" s="439"/>
      <c r="V879" s="657"/>
      <c r="W879" s="657"/>
      <c r="X879" s="439"/>
      <c r="Y879" s="761" t="s">
        <v>129</v>
      </c>
      <c r="Z879" s="783"/>
      <c r="AA879" s="781"/>
      <c r="AB879" s="811"/>
      <c r="AC879" s="818" t="s">
        <v>129</v>
      </c>
      <c r="AD879" s="811"/>
      <c r="AE879" s="602"/>
      <c r="AF879" s="643"/>
    </row>
    <row r="880" spans="1:32" ht="15.75">
      <c r="A880" s="624">
        <v>14020</v>
      </c>
      <c r="B880" s="625"/>
      <c r="C880" s="626" t="s">
        <v>1321</v>
      </c>
      <c r="D880" s="627"/>
      <c r="E880" s="628"/>
      <c r="F880" s="629"/>
      <c r="G880" s="630" t="s">
        <v>129</v>
      </c>
      <c r="H880" s="631"/>
      <c r="I880" s="631"/>
      <c r="J880" s="632"/>
      <c r="K880" s="632"/>
      <c r="L880" s="627"/>
      <c r="M880" s="632"/>
      <c r="N880" s="739" t="s">
        <v>129</v>
      </c>
      <c r="O880" s="744" t="s">
        <v>129</v>
      </c>
      <c r="P880" s="742"/>
      <c r="Q880" s="431">
        <v>0.05</v>
      </c>
      <c r="R880" s="430">
        <v>379.04</v>
      </c>
      <c r="S880" s="503">
        <v>66</v>
      </c>
      <c r="T880" s="750" t="s">
        <v>129</v>
      </c>
      <c r="U880" s="440">
        <v>23.262</v>
      </c>
      <c r="V880" s="631"/>
      <c r="W880" s="631"/>
      <c r="X880" s="440">
        <v>1.4000000000000001</v>
      </c>
      <c r="Y880" s="763" t="s">
        <v>129</v>
      </c>
      <c r="Z880" s="774"/>
      <c r="AA880" s="775"/>
      <c r="AB880" s="810"/>
      <c r="AC880" s="817" t="s">
        <v>129</v>
      </c>
      <c r="AD880" s="810"/>
      <c r="AE880" s="810"/>
      <c r="AF880" s="624">
        <v>14020</v>
      </c>
    </row>
    <row r="881" spans="1:32" ht="15.75">
      <c r="A881" s="633"/>
      <c r="B881" s="634"/>
      <c r="C881" s="633"/>
      <c r="D881" s="559"/>
      <c r="E881" s="545"/>
      <c r="F881" s="546"/>
      <c r="G881" s="655" t="s">
        <v>129</v>
      </c>
      <c r="H881" s="654"/>
      <c r="I881" s="654"/>
      <c r="J881" s="561"/>
      <c r="K881" s="635"/>
      <c r="L881" s="633"/>
      <c r="M881" s="561"/>
      <c r="N881" s="592" t="s">
        <v>129</v>
      </c>
      <c r="O881" s="594" t="s">
        <v>129</v>
      </c>
      <c r="P881" s="743"/>
      <c r="Q881" s="431">
        <v>0.1</v>
      </c>
      <c r="R881" s="430">
        <v>545.44000000000005</v>
      </c>
      <c r="S881" s="175">
        <v>6</v>
      </c>
      <c r="T881" s="751" t="s">
        <v>129</v>
      </c>
      <c r="U881" s="440">
        <v>41.776000000000003</v>
      </c>
      <c r="V881" s="654"/>
      <c r="W881" s="636"/>
      <c r="X881" s="440">
        <v>2.8000000000000003</v>
      </c>
      <c r="Y881" s="761" t="s">
        <v>129</v>
      </c>
      <c r="Z881" s="776"/>
      <c r="AA881" s="780"/>
      <c r="AB881" s="633"/>
      <c r="AC881" s="818" t="s">
        <v>129</v>
      </c>
      <c r="AD881" s="811"/>
      <c r="AE881" s="811"/>
      <c r="AF881" s="633"/>
    </row>
    <row r="882" spans="1:32" ht="15.75">
      <c r="A882" s="643">
        <v>14021</v>
      </c>
      <c r="B882" s="644"/>
      <c r="C882" s="644" t="s">
        <v>1322</v>
      </c>
      <c r="D882" s="559"/>
      <c r="E882" s="545">
        <v>7000</v>
      </c>
      <c r="F882" s="649">
        <v>47</v>
      </c>
      <c r="G882" s="660" t="s">
        <v>129</v>
      </c>
      <c r="H882" s="636">
        <v>40</v>
      </c>
      <c r="I882" s="636">
        <v>57</v>
      </c>
      <c r="J882" s="549">
        <v>20</v>
      </c>
      <c r="K882" s="554" t="s">
        <v>221</v>
      </c>
      <c r="L882" s="562">
        <v>12</v>
      </c>
      <c r="M882" s="549">
        <v>500</v>
      </c>
      <c r="N882" s="592">
        <v>0.25</v>
      </c>
      <c r="O882" s="594">
        <v>0.9</v>
      </c>
      <c r="P882" s="590">
        <v>10</v>
      </c>
      <c r="Q882" s="431">
        <v>0.1</v>
      </c>
      <c r="R882" s="430">
        <v>720.76</v>
      </c>
      <c r="S882" s="497">
        <v>42</v>
      </c>
      <c r="T882" s="751">
        <v>595</v>
      </c>
      <c r="U882" s="440">
        <v>54.637333333333331</v>
      </c>
      <c r="V882" s="636">
        <v>12.6</v>
      </c>
      <c r="W882" s="636"/>
      <c r="X882" s="440">
        <v>2.8000000000000003</v>
      </c>
      <c r="Y882" s="761">
        <v>12.6</v>
      </c>
      <c r="Z882" s="776">
        <v>46.585000000000008</v>
      </c>
      <c r="AA882" s="780"/>
      <c r="AB882" s="811"/>
      <c r="AC882" s="818">
        <v>14</v>
      </c>
      <c r="AD882" s="811" t="s">
        <v>633</v>
      </c>
      <c r="AE882" s="811">
        <v>0</v>
      </c>
      <c r="AF882" s="643">
        <v>14021</v>
      </c>
    </row>
    <row r="883" spans="1:32" ht="31.5">
      <c r="A883" s="643">
        <v>14022</v>
      </c>
      <c r="B883" s="644"/>
      <c r="C883" s="644" t="s">
        <v>1323</v>
      </c>
      <c r="D883" s="551">
        <v>7</v>
      </c>
      <c r="E883" s="545">
        <v>8000</v>
      </c>
      <c r="F883" s="649">
        <v>60</v>
      </c>
      <c r="G883" s="659" t="s">
        <v>129</v>
      </c>
      <c r="H883" s="636">
        <v>52</v>
      </c>
      <c r="I883" s="636">
        <v>73</v>
      </c>
      <c r="J883" s="549">
        <v>20</v>
      </c>
      <c r="K883" s="554">
        <v>70</v>
      </c>
      <c r="L883" s="562">
        <v>12</v>
      </c>
      <c r="M883" s="549">
        <v>500</v>
      </c>
      <c r="N883" s="592">
        <v>0.25</v>
      </c>
      <c r="O883" s="594">
        <v>0.9</v>
      </c>
      <c r="P883" s="590">
        <v>8</v>
      </c>
      <c r="Q883" s="431">
        <v>0.33300000000000002</v>
      </c>
      <c r="R883" s="430">
        <v>857.11999999999989</v>
      </c>
      <c r="S883" s="175">
        <v>91</v>
      </c>
      <c r="T883" s="751">
        <v>720</v>
      </c>
      <c r="U883" s="440">
        <v>78.143333333333331</v>
      </c>
      <c r="V883" s="636">
        <v>14.4</v>
      </c>
      <c r="W883" s="636">
        <v>4.2875000000000005</v>
      </c>
      <c r="X883" s="440">
        <v>9.3239999999999998</v>
      </c>
      <c r="Y883" s="761">
        <v>18.6875</v>
      </c>
      <c r="Z883" s="776">
        <v>60.156250000000007</v>
      </c>
      <c r="AA883" s="782"/>
      <c r="AB883" s="811"/>
      <c r="AC883" s="818">
        <v>16</v>
      </c>
      <c r="AD883" s="811" t="s">
        <v>633</v>
      </c>
      <c r="AE883" s="811">
        <v>2</v>
      </c>
      <c r="AF883" s="643">
        <v>14022</v>
      </c>
    </row>
    <row r="884" spans="1:32" ht="15.75">
      <c r="A884" s="643">
        <v>14025</v>
      </c>
      <c r="B884" s="644"/>
      <c r="C884" s="644" t="s">
        <v>1324</v>
      </c>
      <c r="D884" s="551">
        <v>8</v>
      </c>
      <c r="E884" s="545">
        <v>5700</v>
      </c>
      <c r="F884" s="649">
        <v>27</v>
      </c>
      <c r="G884" s="659" t="s">
        <v>129</v>
      </c>
      <c r="H884" s="636">
        <v>24</v>
      </c>
      <c r="I884" s="636">
        <v>32</v>
      </c>
      <c r="J884" s="549">
        <v>40</v>
      </c>
      <c r="K884" s="554">
        <v>70</v>
      </c>
      <c r="L884" s="562">
        <v>12</v>
      </c>
      <c r="M884" s="549">
        <v>1000</v>
      </c>
      <c r="N884" s="592">
        <v>0.25</v>
      </c>
      <c r="O884" s="594">
        <v>1.1000000000000001</v>
      </c>
      <c r="P884" s="590">
        <v>7</v>
      </c>
      <c r="Q884" s="431">
        <v>0.05</v>
      </c>
      <c r="R884" s="430">
        <v>1022.7</v>
      </c>
      <c r="S884" s="503">
        <v>6</v>
      </c>
      <c r="T884" s="751">
        <v>532.5</v>
      </c>
      <c r="U884" s="439">
        <v>12.237</v>
      </c>
      <c r="V884" s="636">
        <v>6.2700000000000005</v>
      </c>
      <c r="W884" s="636">
        <v>4.9000000000000004</v>
      </c>
      <c r="X884" s="439">
        <v>1.4000000000000001</v>
      </c>
      <c r="Y884" s="761">
        <v>11.170000000000002</v>
      </c>
      <c r="Z884" s="776">
        <v>26.930750000000003</v>
      </c>
      <c r="AA884" s="782"/>
      <c r="AB884" s="811"/>
      <c r="AC884" s="818">
        <v>11.4</v>
      </c>
      <c r="AD884" s="811" t="s">
        <v>633</v>
      </c>
      <c r="AE884" s="811">
        <v>2</v>
      </c>
      <c r="AF884" s="643">
        <v>14025</v>
      </c>
    </row>
    <row r="885" spans="1:32" ht="15.75">
      <c r="A885" s="643">
        <v>14026</v>
      </c>
      <c r="B885" s="644"/>
      <c r="C885" s="644" t="s">
        <v>1325</v>
      </c>
      <c r="D885" s="559"/>
      <c r="E885" s="545">
        <v>5700</v>
      </c>
      <c r="F885" s="649">
        <v>31</v>
      </c>
      <c r="G885" s="655" t="s">
        <v>129</v>
      </c>
      <c r="H885" s="636">
        <v>28</v>
      </c>
      <c r="I885" s="636">
        <v>36</v>
      </c>
      <c r="J885" s="549">
        <v>40</v>
      </c>
      <c r="K885" s="554" t="s">
        <v>221</v>
      </c>
      <c r="L885" s="562">
        <v>12</v>
      </c>
      <c r="M885" s="549">
        <v>1000</v>
      </c>
      <c r="N885" s="592">
        <v>0.25</v>
      </c>
      <c r="O885" s="594">
        <v>2.65</v>
      </c>
      <c r="P885" s="590">
        <v>13</v>
      </c>
      <c r="Q885" s="431">
        <v>0.1</v>
      </c>
      <c r="R885" s="430">
        <v>674.4</v>
      </c>
      <c r="S885" s="175">
        <v>72</v>
      </c>
      <c r="T885" s="751">
        <v>518.5</v>
      </c>
      <c r="U885" s="439">
        <v>11.734285714285713</v>
      </c>
      <c r="V885" s="636">
        <v>15.105</v>
      </c>
      <c r="W885" s="636"/>
      <c r="X885" s="439">
        <v>2.8000000000000003</v>
      </c>
      <c r="Y885" s="761">
        <v>15.105</v>
      </c>
      <c r="Z885" s="776">
        <v>30.874250000000007</v>
      </c>
      <c r="AA885" s="780"/>
      <c r="AB885" s="811"/>
      <c r="AC885" s="818">
        <v>11.4</v>
      </c>
      <c r="AD885" s="811" t="s">
        <v>633</v>
      </c>
      <c r="AE885" s="811">
        <v>0</v>
      </c>
      <c r="AF885" s="643">
        <v>14026</v>
      </c>
    </row>
    <row r="886" spans="1:32" ht="15.75">
      <c r="A886" s="643">
        <v>14034</v>
      </c>
      <c r="B886" s="644"/>
      <c r="C886" s="644" t="s">
        <v>1326</v>
      </c>
      <c r="D886" s="559"/>
      <c r="E886" s="545">
        <v>11000</v>
      </c>
      <c r="F886" s="649">
        <v>44</v>
      </c>
      <c r="G886" s="655" t="s">
        <v>129</v>
      </c>
      <c r="H886" s="636">
        <v>40</v>
      </c>
      <c r="I886" s="636">
        <v>52</v>
      </c>
      <c r="J886" s="549">
        <v>50</v>
      </c>
      <c r="K886" s="554"/>
      <c r="L886" s="562">
        <v>12</v>
      </c>
      <c r="M886" s="549">
        <v>1000</v>
      </c>
      <c r="N886" s="592">
        <v>0.1</v>
      </c>
      <c r="O886" s="594">
        <v>1.75</v>
      </c>
      <c r="P886" s="590">
        <v>15</v>
      </c>
      <c r="Q886" s="431">
        <v>0.05</v>
      </c>
      <c r="R886" s="430">
        <v>200.1</v>
      </c>
      <c r="S886" s="124"/>
      <c r="T886" s="751">
        <v>1057.5999999999999</v>
      </c>
      <c r="U886" s="440">
        <v>27.470000000000006</v>
      </c>
      <c r="V886" s="636">
        <v>19.25</v>
      </c>
      <c r="W886" s="636"/>
      <c r="X886" s="440">
        <v>1.4000000000000001</v>
      </c>
      <c r="Y886" s="761">
        <v>19.25</v>
      </c>
      <c r="Z886" s="776">
        <v>44.442200000000007</v>
      </c>
      <c r="AA886" s="780"/>
      <c r="AB886" s="811"/>
      <c r="AC886" s="818">
        <v>22</v>
      </c>
      <c r="AD886" s="811" t="s">
        <v>633</v>
      </c>
      <c r="AE886" s="811">
        <v>0</v>
      </c>
      <c r="AF886" s="643">
        <v>14034</v>
      </c>
    </row>
    <row r="887" spans="1:32" ht="15.75">
      <c r="A887" s="643">
        <v>14027</v>
      </c>
      <c r="B887" s="644"/>
      <c r="C887" s="644" t="s">
        <v>1327</v>
      </c>
      <c r="D887" s="559"/>
      <c r="E887" s="545">
        <v>12000</v>
      </c>
      <c r="F887" s="649">
        <v>37</v>
      </c>
      <c r="G887" s="655" t="s">
        <v>129</v>
      </c>
      <c r="H887" s="636">
        <v>33</v>
      </c>
      <c r="I887" s="636">
        <v>44</v>
      </c>
      <c r="J887" s="549">
        <v>50</v>
      </c>
      <c r="K887" s="554" t="s">
        <v>221</v>
      </c>
      <c r="L887" s="562">
        <v>12</v>
      </c>
      <c r="M887" s="549">
        <v>1200</v>
      </c>
      <c r="N887" s="592">
        <v>0.25</v>
      </c>
      <c r="O887" s="594">
        <v>1.4</v>
      </c>
      <c r="P887" s="590">
        <v>13</v>
      </c>
      <c r="Q887" s="431">
        <v>0.1</v>
      </c>
      <c r="R887" s="430">
        <v>1236.4000000000001</v>
      </c>
      <c r="S887" s="496"/>
      <c r="T887" s="751">
        <v>991</v>
      </c>
      <c r="U887" s="444">
        <v>5.5376000000000003</v>
      </c>
      <c r="V887" s="636">
        <v>14</v>
      </c>
      <c r="W887" s="636"/>
      <c r="X887" s="444">
        <v>2.8000000000000003</v>
      </c>
      <c r="Y887" s="761">
        <v>14</v>
      </c>
      <c r="Z887" s="776">
        <v>37.202000000000005</v>
      </c>
      <c r="AA887" s="780"/>
      <c r="AB887" s="811"/>
      <c r="AC887" s="818">
        <v>24</v>
      </c>
      <c r="AD887" s="811" t="s">
        <v>633</v>
      </c>
      <c r="AE887" s="811">
        <v>0</v>
      </c>
      <c r="AF887" s="643">
        <v>14027</v>
      </c>
    </row>
    <row r="888" spans="1:32" ht="15.75">
      <c r="A888" s="643">
        <v>14028</v>
      </c>
      <c r="B888" s="644"/>
      <c r="C888" s="644" t="s">
        <v>1328</v>
      </c>
      <c r="D888" s="559"/>
      <c r="E888" s="545">
        <v>5100</v>
      </c>
      <c r="F888" s="649">
        <v>14</v>
      </c>
      <c r="G888" s="660" t="s">
        <v>129</v>
      </c>
      <c r="H888" s="636">
        <v>12.5</v>
      </c>
      <c r="I888" s="636">
        <v>16.5</v>
      </c>
      <c r="J888" s="549">
        <v>60</v>
      </c>
      <c r="K888" s="554" t="s">
        <v>221</v>
      </c>
      <c r="L888" s="562">
        <v>12</v>
      </c>
      <c r="M888" s="549">
        <v>1500</v>
      </c>
      <c r="N888" s="592">
        <v>0.25</v>
      </c>
      <c r="O888" s="594">
        <v>1.6</v>
      </c>
      <c r="P888" s="590">
        <v>7</v>
      </c>
      <c r="Q888" s="429"/>
      <c r="R888" s="430" t="s">
        <v>129</v>
      </c>
      <c r="S888" s="175"/>
      <c r="T888" s="751">
        <v>431.5</v>
      </c>
      <c r="U888" s="438"/>
      <c r="V888" s="636">
        <v>5.44</v>
      </c>
      <c r="W888" s="636"/>
      <c r="X888" s="438"/>
      <c r="Y888" s="761">
        <v>5.44</v>
      </c>
      <c r="Z888" s="776">
        <v>13.894833333333336</v>
      </c>
      <c r="AA888" s="780"/>
      <c r="AB888" s="811"/>
      <c r="AC888" s="818">
        <v>10.200000000000001</v>
      </c>
      <c r="AD888" s="811" t="s">
        <v>633</v>
      </c>
      <c r="AE888" s="811">
        <v>0</v>
      </c>
      <c r="AF888" s="643">
        <v>14028</v>
      </c>
    </row>
    <row r="889" spans="1:32" ht="15.75">
      <c r="A889" s="643">
        <v>14029</v>
      </c>
      <c r="B889" s="644"/>
      <c r="C889" s="644" t="s">
        <v>1329</v>
      </c>
      <c r="D889" s="559">
        <v>12</v>
      </c>
      <c r="E889" s="545">
        <v>3000</v>
      </c>
      <c r="F889" s="546">
        <v>3.5</v>
      </c>
      <c r="G889" s="653">
        <v>29</v>
      </c>
      <c r="H889" s="654">
        <v>25</v>
      </c>
      <c r="I889" s="654">
        <v>35</v>
      </c>
      <c r="J889" s="561">
        <v>15</v>
      </c>
      <c r="K889" s="554" t="s">
        <v>221</v>
      </c>
      <c r="L889" s="562">
        <v>12</v>
      </c>
      <c r="M889" s="561">
        <v>400</v>
      </c>
      <c r="N889" s="592">
        <v>0.25</v>
      </c>
      <c r="O889" s="594">
        <v>1.05</v>
      </c>
      <c r="P889" s="590">
        <v>7</v>
      </c>
      <c r="Q889" s="429"/>
      <c r="R889" s="430" t="s">
        <v>129</v>
      </c>
      <c r="S889" s="497">
        <v>48</v>
      </c>
      <c r="T889" s="751">
        <v>274</v>
      </c>
      <c r="U889" s="438"/>
      <c r="V889" s="654">
        <v>7.875</v>
      </c>
      <c r="W889" s="636"/>
      <c r="X889" s="438"/>
      <c r="Y889" s="764">
        <v>7.875</v>
      </c>
      <c r="Z889" s="776">
        <v>3.4507000000000003</v>
      </c>
      <c r="AA889" s="780">
        <v>28.755833333333335</v>
      </c>
      <c r="AB889" s="811"/>
      <c r="AC889" s="818">
        <v>6</v>
      </c>
      <c r="AD889" s="811" t="s">
        <v>667</v>
      </c>
      <c r="AE889" s="811">
        <v>0</v>
      </c>
      <c r="AF889" s="643">
        <v>14029</v>
      </c>
    </row>
    <row r="890" spans="1:32" ht="15.75">
      <c r="A890" s="643">
        <v>14031</v>
      </c>
      <c r="B890" s="644"/>
      <c r="C890" s="644" t="s">
        <v>1330</v>
      </c>
      <c r="D890" s="559">
        <v>30</v>
      </c>
      <c r="E890" s="545">
        <v>14500</v>
      </c>
      <c r="F890" s="546">
        <v>19</v>
      </c>
      <c r="G890" s="653">
        <v>64</v>
      </c>
      <c r="H890" s="654">
        <v>56</v>
      </c>
      <c r="I890" s="654">
        <v>78</v>
      </c>
      <c r="J890" s="561">
        <v>30</v>
      </c>
      <c r="K890" s="554" t="s">
        <v>221</v>
      </c>
      <c r="L890" s="562">
        <v>12</v>
      </c>
      <c r="M890" s="561">
        <v>700</v>
      </c>
      <c r="N890" s="592">
        <v>0.25</v>
      </c>
      <c r="O890" s="594">
        <v>0.95</v>
      </c>
      <c r="P890" s="590">
        <v>10</v>
      </c>
      <c r="Q890" s="431"/>
      <c r="R890" s="430" t="s">
        <v>129</v>
      </c>
      <c r="S890" s="175">
        <v>104</v>
      </c>
      <c r="T890" s="751">
        <v>1157.5</v>
      </c>
      <c r="U890" s="440"/>
      <c r="V890" s="654">
        <v>19.678571428571427</v>
      </c>
      <c r="W890" s="636"/>
      <c r="X890" s="440"/>
      <c r="Y890" s="764">
        <v>19.678571428571427</v>
      </c>
      <c r="Z890" s="776">
        <v>19.226428571428571</v>
      </c>
      <c r="AA890" s="780">
        <v>64.088095238095235</v>
      </c>
      <c r="AB890" s="811"/>
      <c r="AC890" s="818">
        <v>29</v>
      </c>
      <c r="AD890" s="811" t="s">
        <v>667</v>
      </c>
      <c r="AE890" s="811">
        <v>0</v>
      </c>
      <c r="AF890" s="643">
        <v>14031</v>
      </c>
    </row>
    <row r="891" spans="1:32" ht="15.75">
      <c r="A891" s="643">
        <v>14032</v>
      </c>
      <c r="B891" s="644"/>
      <c r="C891" s="644" t="s">
        <v>1331</v>
      </c>
      <c r="D891" s="559">
        <v>25</v>
      </c>
      <c r="E891" s="545">
        <v>10500</v>
      </c>
      <c r="F891" s="546">
        <v>21</v>
      </c>
      <c r="G891" s="653">
        <v>85</v>
      </c>
      <c r="H891" s="654">
        <v>70</v>
      </c>
      <c r="I891" s="654">
        <v>110</v>
      </c>
      <c r="J891" s="561">
        <v>15</v>
      </c>
      <c r="K891" s="554" t="s">
        <v>221</v>
      </c>
      <c r="L891" s="562">
        <v>12</v>
      </c>
      <c r="M891" s="561">
        <v>400</v>
      </c>
      <c r="N891" s="592">
        <v>0.25</v>
      </c>
      <c r="O891" s="594">
        <v>0.7</v>
      </c>
      <c r="P891" s="590">
        <v>13</v>
      </c>
      <c r="Q891" s="431">
        <v>0.05</v>
      </c>
      <c r="R891" s="430">
        <v>609</v>
      </c>
      <c r="S891" s="503">
        <v>108</v>
      </c>
      <c r="T891" s="751">
        <v>878.5</v>
      </c>
      <c r="U891" s="439">
        <v>11.55</v>
      </c>
      <c r="V891" s="654">
        <v>18.375</v>
      </c>
      <c r="W891" s="636"/>
      <c r="X891" s="439">
        <v>1.4000000000000001</v>
      </c>
      <c r="Y891" s="764">
        <v>18.375</v>
      </c>
      <c r="Z891" s="776">
        <v>21.158958333333334</v>
      </c>
      <c r="AA891" s="780">
        <v>84.635833333333338</v>
      </c>
      <c r="AB891" s="811"/>
      <c r="AC891" s="818">
        <v>21</v>
      </c>
      <c r="AD891" s="811" t="s">
        <v>667</v>
      </c>
      <c r="AE891" s="811">
        <v>0</v>
      </c>
      <c r="AF891" s="643">
        <v>14032</v>
      </c>
    </row>
    <row r="892" spans="1:32" ht="15.75">
      <c r="A892" s="643">
        <v>14033</v>
      </c>
      <c r="B892" s="644"/>
      <c r="C892" s="644" t="s">
        <v>1332</v>
      </c>
      <c r="D892" s="559">
        <v>30</v>
      </c>
      <c r="E892" s="545">
        <v>10500</v>
      </c>
      <c r="F892" s="546">
        <v>14.5</v>
      </c>
      <c r="G892" s="653">
        <v>48</v>
      </c>
      <c r="H892" s="654">
        <v>42</v>
      </c>
      <c r="I892" s="654">
        <v>58</v>
      </c>
      <c r="J892" s="561">
        <v>30</v>
      </c>
      <c r="K892" s="554" t="s">
        <v>221</v>
      </c>
      <c r="L892" s="562">
        <v>12</v>
      </c>
      <c r="M892" s="561">
        <v>700</v>
      </c>
      <c r="N892" s="592">
        <v>0.25</v>
      </c>
      <c r="O892" s="594">
        <v>1.05</v>
      </c>
      <c r="P892" s="590">
        <v>7</v>
      </c>
      <c r="Q892" s="431">
        <v>0.05</v>
      </c>
      <c r="R892" s="430">
        <v>661.2</v>
      </c>
      <c r="S892" s="175">
        <v>195</v>
      </c>
      <c r="T892" s="751">
        <v>836.5</v>
      </c>
      <c r="U892" s="439">
        <v>13.273333333333335</v>
      </c>
      <c r="V892" s="654">
        <v>15.75</v>
      </c>
      <c r="W892" s="636"/>
      <c r="X892" s="439">
        <v>1.4000000000000001</v>
      </c>
      <c r="Y892" s="764">
        <v>15.75</v>
      </c>
      <c r="Z892" s="776">
        <v>14.399000000000001</v>
      </c>
      <c r="AA892" s="780">
        <v>47.99666666666667</v>
      </c>
      <c r="AB892" s="811"/>
      <c r="AC892" s="818">
        <v>21</v>
      </c>
      <c r="AD892" s="811" t="s">
        <v>667</v>
      </c>
      <c r="AE892" s="811">
        <v>0</v>
      </c>
      <c r="AF892" s="643">
        <v>14033</v>
      </c>
    </row>
    <row r="893" spans="1:32" ht="31.5">
      <c r="A893" s="643">
        <v>14035</v>
      </c>
      <c r="B893" s="644"/>
      <c r="C893" s="643" t="s">
        <v>1333</v>
      </c>
      <c r="D893" s="559">
        <v>30</v>
      </c>
      <c r="E893" s="545">
        <v>10500</v>
      </c>
      <c r="F893" s="546">
        <v>14.5</v>
      </c>
      <c r="G893" s="653">
        <v>49</v>
      </c>
      <c r="H893" s="654">
        <v>42</v>
      </c>
      <c r="I893" s="654">
        <v>59</v>
      </c>
      <c r="J893" s="561">
        <v>30</v>
      </c>
      <c r="K893" s="562"/>
      <c r="L893" s="562">
        <v>12</v>
      </c>
      <c r="M893" s="561">
        <v>700</v>
      </c>
      <c r="N893" s="592">
        <v>0.25</v>
      </c>
      <c r="O893" s="594">
        <v>1.05</v>
      </c>
      <c r="P893" s="590">
        <v>10</v>
      </c>
      <c r="Q893" s="431">
        <v>0.05</v>
      </c>
      <c r="R893" s="430">
        <v>582.9</v>
      </c>
      <c r="S893" s="175"/>
      <c r="T893" s="751">
        <v>857.5</v>
      </c>
      <c r="U893" s="439">
        <v>11.455</v>
      </c>
      <c r="V893" s="654">
        <v>15.75</v>
      </c>
      <c r="W893" s="636"/>
      <c r="X893" s="439">
        <v>1.4000000000000001</v>
      </c>
      <c r="Y893" s="764">
        <v>15.75</v>
      </c>
      <c r="Z893" s="776">
        <v>14.63</v>
      </c>
      <c r="AA893" s="780">
        <v>48.766666666666666</v>
      </c>
      <c r="AB893" s="811"/>
      <c r="AC893" s="818">
        <v>21</v>
      </c>
      <c r="AD893" s="811" t="s">
        <v>667</v>
      </c>
      <c r="AE893" s="811">
        <v>0</v>
      </c>
      <c r="AF893" s="643">
        <v>14035</v>
      </c>
    </row>
    <row r="894" spans="1:32" ht="15.75">
      <c r="A894" s="633"/>
      <c r="B894" s="634"/>
      <c r="C894" s="633"/>
      <c r="D894" s="559"/>
      <c r="E894" s="545"/>
      <c r="F894" s="546"/>
      <c r="G894" s="734" t="s">
        <v>129</v>
      </c>
      <c r="H894" s="654"/>
      <c r="I894" s="654"/>
      <c r="J894" s="561"/>
      <c r="K894" s="635"/>
      <c r="L894" s="633"/>
      <c r="M894" s="561"/>
      <c r="N894" s="592" t="s">
        <v>129</v>
      </c>
      <c r="O894" s="594" t="s">
        <v>129</v>
      </c>
      <c r="P894" s="743"/>
      <c r="Q894" s="431">
        <v>0.05</v>
      </c>
      <c r="R894" s="430">
        <v>1261.5</v>
      </c>
      <c r="S894" s="496"/>
      <c r="T894" s="751" t="s">
        <v>129</v>
      </c>
      <c r="U894" s="439">
        <v>15.116666666666667</v>
      </c>
      <c r="V894" s="654"/>
      <c r="W894" s="636"/>
      <c r="X894" s="439">
        <v>1.4000000000000001</v>
      </c>
      <c r="Y894" s="761" t="s">
        <v>129</v>
      </c>
      <c r="Z894" s="776"/>
      <c r="AA894" s="780"/>
      <c r="AB894" s="633"/>
      <c r="AC894" s="818" t="s">
        <v>129</v>
      </c>
      <c r="AD894" s="811"/>
      <c r="AE894" s="811"/>
      <c r="AF894" s="633"/>
    </row>
    <row r="895" spans="1:32" ht="15.75">
      <c r="A895" s="624">
        <v>14040</v>
      </c>
      <c r="B895" s="625"/>
      <c r="C895" s="626" t="s">
        <v>1334</v>
      </c>
      <c r="D895" s="627"/>
      <c r="E895" s="628"/>
      <c r="F895" s="629"/>
      <c r="G895" s="630" t="s">
        <v>129</v>
      </c>
      <c r="H895" s="631"/>
      <c r="I895" s="631"/>
      <c r="J895" s="632"/>
      <c r="K895" s="632"/>
      <c r="L895" s="627"/>
      <c r="M895" s="632"/>
      <c r="N895" s="739" t="s">
        <v>129</v>
      </c>
      <c r="O895" s="744" t="s">
        <v>129</v>
      </c>
      <c r="P895" s="742"/>
      <c r="Q895" s="431">
        <v>0.02</v>
      </c>
      <c r="R895" s="430">
        <v>435</v>
      </c>
      <c r="S895" s="175"/>
      <c r="T895" s="750" t="s">
        <v>129</v>
      </c>
      <c r="U895" s="439">
        <v>9.1666666666666661</v>
      </c>
      <c r="V895" s="631"/>
      <c r="W895" s="631"/>
      <c r="X895" s="439">
        <v>0.56000000000000005</v>
      </c>
      <c r="Y895" s="763" t="s">
        <v>129</v>
      </c>
      <c r="Z895" s="774"/>
      <c r="AA895" s="775"/>
      <c r="AB895" s="810"/>
      <c r="AC895" s="817" t="s">
        <v>129</v>
      </c>
      <c r="AD895" s="810"/>
      <c r="AE895" s="810"/>
      <c r="AF895" s="624">
        <v>14040</v>
      </c>
    </row>
    <row r="896" spans="1:32" ht="15.75">
      <c r="A896" s="633"/>
      <c r="B896" s="634"/>
      <c r="C896" s="633"/>
      <c r="D896" s="551"/>
      <c r="E896" s="545"/>
      <c r="F896" s="546"/>
      <c r="G896" s="659" t="s">
        <v>129</v>
      </c>
      <c r="H896" s="636"/>
      <c r="I896" s="636"/>
      <c r="J896" s="549"/>
      <c r="K896" s="635"/>
      <c r="L896" s="633"/>
      <c r="M896" s="549"/>
      <c r="N896" s="592" t="s">
        <v>129</v>
      </c>
      <c r="O896" s="594" t="s">
        <v>129</v>
      </c>
      <c r="P896" s="743"/>
      <c r="Q896" s="431">
        <v>0.33329999999999999</v>
      </c>
      <c r="R896" s="430">
        <v>643.79999999999995</v>
      </c>
      <c r="S896" s="175">
        <v>754</v>
      </c>
      <c r="T896" s="751" t="s">
        <v>129</v>
      </c>
      <c r="U896" s="439">
        <v>18.739999999999998</v>
      </c>
      <c r="V896" s="636"/>
      <c r="W896" s="636"/>
      <c r="X896" s="439">
        <v>9.3323999999999998</v>
      </c>
      <c r="Y896" s="761" t="s">
        <v>129</v>
      </c>
      <c r="Z896" s="776"/>
      <c r="AA896" s="782"/>
      <c r="AB896" s="633"/>
      <c r="AC896" s="818" t="s">
        <v>129</v>
      </c>
      <c r="AD896" s="811"/>
      <c r="AE896" s="811"/>
      <c r="AF896" s="633"/>
    </row>
    <row r="897" spans="1:32" ht="15.75">
      <c r="A897" s="643">
        <v>14041</v>
      </c>
      <c r="B897" s="644"/>
      <c r="C897" s="644" t="s">
        <v>1335</v>
      </c>
      <c r="D897" s="559">
        <v>75</v>
      </c>
      <c r="E897" s="545">
        <v>25000</v>
      </c>
      <c r="F897" s="546">
        <v>440</v>
      </c>
      <c r="G897" s="653">
        <v>580</v>
      </c>
      <c r="H897" s="654">
        <v>480</v>
      </c>
      <c r="I897" s="654">
        <v>750</v>
      </c>
      <c r="J897" s="561">
        <v>5</v>
      </c>
      <c r="K897" s="554" t="s">
        <v>221</v>
      </c>
      <c r="L897" s="562">
        <v>10</v>
      </c>
      <c r="M897" s="561">
        <v>200</v>
      </c>
      <c r="N897" s="592">
        <v>0.25</v>
      </c>
      <c r="O897" s="594">
        <v>0.6</v>
      </c>
      <c r="P897" s="590">
        <v>12</v>
      </c>
      <c r="Q897" s="431">
        <v>0.2</v>
      </c>
      <c r="R897" s="430">
        <v>1131</v>
      </c>
      <c r="S897" s="175"/>
      <c r="T897" s="751">
        <v>2271.5</v>
      </c>
      <c r="U897" s="439">
        <v>24.96</v>
      </c>
      <c r="V897" s="654">
        <v>75</v>
      </c>
      <c r="W897" s="636"/>
      <c r="X897" s="439">
        <v>5.6000000000000005</v>
      </c>
      <c r="Y897" s="764">
        <v>75</v>
      </c>
      <c r="Z897" s="776">
        <v>436.67250000000001</v>
      </c>
      <c r="AA897" s="780">
        <v>582.23</v>
      </c>
      <c r="AB897" s="811"/>
      <c r="AC897" s="818">
        <v>50</v>
      </c>
      <c r="AD897" s="811" t="s">
        <v>667</v>
      </c>
      <c r="AE897" s="811">
        <v>0</v>
      </c>
      <c r="AF897" s="643">
        <v>14041</v>
      </c>
    </row>
    <row r="898" spans="1:32" ht="15.75">
      <c r="A898" s="643">
        <v>14042</v>
      </c>
      <c r="B898" s="644"/>
      <c r="C898" s="644" t="s">
        <v>1336</v>
      </c>
      <c r="D898" s="559">
        <v>50</v>
      </c>
      <c r="E898" s="545">
        <v>16500</v>
      </c>
      <c r="F898" s="546">
        <v>98</v>
      </c>
      <c r="G898" s="653">
        <v>195</v>
      </c>
      <c r="H898" s="654">
        <v>170</v>
      </c>
      <c r="I898" s="654">
        <v>245</v>
      </c>
      <c r="J898" s="561">
        <v>10</v>
      </c>
      <c r="K898" s="554" t="s">
        <v>221</v>
      </c>
      <c r="L898" s="562">
        <v>12</v>
      </c>
      <c r="M898" s="561">
        <v>300</v>
      </c>
      <c r="N898" s="592">
        <v>0.25</v>
      </c>
      <c r="O898" s="594">
        <v>0.9</v>
      </c>
      <c r="P898" s="590">
        <v>8</v>
      </c>
      <c r="Q898" s="431">
        <v>0.02</v>
      </c>
      <c r="R898" s="430">
        <v>435</v>
      </c>
      <c r="S898" s="496"/>
      <c r="T898" s="751">
        <v>1293.5</v>
      </c>
      <c r="U898" s="439">
        <v>8.2333333333333325</v>
      </c>
      <c r="V898" s="654">
        <v>49.5</v>
      </c>
      <c r="W898" s="636"/>
      <c r="X898" s="439">
        <v>0.56000000000000005</v>
      </c>
      <c r="Y898" s="764">
        <v>49.5</v>
      </c>
      <c r="Z898" s="776"/>
      <c r="AA898" s="780">
        <v>196.73500000000001</v>
      </c>
      <c r="AB898" s="811"/>
      <c r="AC898" s="818">
        <v>33</v>
      </c>
      <c r="AD898" s="811" t="s">
        <v>667</v>
      </c>
      <c r="AE898" s="811">
        <v>0</v>
      </c>
      <c r="AF898" s="643">
        <v>14042</v>
      </c>
    </row>
    <row r="899" spans="1:32" ht="15.75">
      <c r="A899" s="643">
        <v>14048</v>
      </c>
      <c r="B899" s="644" t="s">
        <v>411</v>
      </c>
      <c r="C899" s="644" t="s">
        <v>1337</v>
      </c>
      <c r="D899" s="559">
        <v>15</v>
      </c>
      <c r="E899" s="545">
        <v>27000</v>
      </c>
      <c r="F899" s="546">
        <v>69</v>
      </c>
      <c r="G899" s="653">
        <v>460</v>
      </c>
      <c r="H899" s="654">
        <v>380</v>
      </c>
      <c r="I899" s="654">
        <v>590</v>
      </c>
      <c r="J899" s="561">
        <v>6</v>
      </c>
      <c r="K899" s="554" t="s">
        <v>221</v>
      </c>
      <c r="L899" s="562">
        <v>12</v>
      </c>
      <c r="M899" s="561">
        <v>200</v>
      </c>
      <c r="N899" s="592">
        <v>0.25</v>
      </c>
      <c r="O899" s="594">
        <v>0.5</v>
      </c>
      <c r="P899" s="590">
        <v>11</v>
      </c>
      <c r="Q899" s="431">
        <v>0.02</v>
      </c>
      <c r="R899" s="430">
        <v>600.29999999999995</v>
      </c>
      <c r="S899" s="175"/>
      <c r="T899" s="751">
        <v>2102</v>
      </c>
      <c r="U899" s="439">
        <v>11.051666666666666</v>
      </c>
      <c r="V899" s="654">
        <v>67.5</v>
      </c>
      <c r="W899" s="636"/>
      <c r="X899" s="439">
        <v>0.56000000000000005</v>
      </c>
      <c r="Y899" s="764">
        <v>67.5</v>
      </c>
      <c r="Z899" s="776">
        <v>68.942499999999995</v>
      </c>
      <c r="AA899" s="780">
        <v>459.61666666666667</v>
      </c>
      <c r="AB899" s="811"/>
      <c r="AC899" s="818">
        <v>54</v>
      </c>
      <c r="AD899" s="811" t="s">
        <v>667</v>
      </c>
      <c r="AE899" s="811">
        <v>0</v>
      </c>
      <c r="AF899" s="643">
        <v>14048</v>
      </c>
    </row>
    <row r="900" spans="1:32" ht="15.75">
      <c r="A900" s="643">
        <v>14050</v>
      </c>
      <c r="B900" s="644"/>
      <c r="C900" s="644" t="s">
        <v>1338</v>
      </c>
      <c r="D900" s="559" t="s">
        <v>221</v>
      </c>
      <c r="E900" s="545">
        <v>2800</v>
      </c>
      <c r="F900" s="649">
        <v>3.7</v>
      </c>
      <c r="G900" s="660" t="s">
        <v>129</v>
      </c>
      <c r="H900" s="636">
        <v>3.1</v>
      </c>
      <c r="I900" s="636">
        <v>4.7</v>
      </c>
      <c r="J900" s="549">
        <v>320</v>
      </c>
      <c r="K900" s="554" t="s">
        <v>221</v>
      </c>
      <c r="L900" s="562">
        <v>3</v>
      </c>
      <c r="M900" s="549">
        <v>1500</v>
      </c>
      <c r="N900" s="592">
        <v>0.1</v>
      </c>
      <c r="O900" s="594">
        <v>0.35</v>
      </c>
      <c r="P900" s="590">
        <v>1</v>
      </c>
      <c r="Q900" s="431">
        <v>0.05</v>
      </c>
      <c r="R900" s="430">
        <v>643.79999999999995</v>
      </c>
      <c r="S900" s="497">
        <v>65</v>
      </c>
      <c r="T900" s="751">
        <v>879.48</v>
      </c>
      <c r="U900" s="440">
        <v>47.639999999999993</v>
      </c>
      <c r="V900" s="636">
        <v>0.65333333333333332</v>
      </c>
      <c r="W900" s="636"/>
      <c r="X900" s="440">
        <v>1.4000000000000001</v>
      </c>
      <c r="Y900" s="761">
        <v>0.65333333333333332</v>
      </c>
      <c r="Z900" s="776">
        <v>3.7418791666666671</v>
      </c>
      <c r="AA900" s="788"/>
      <c r="AB900" s="811"/>
      <c r="AC900" s="818">
        <v>5.6000000000000005</v>
      </c>
      <c r="AD900" s="811" t="s">
        <v>633</v>
      </c>
      <c r="AE900" s="811">
        <v>0</v>
      </c>
      <c r="AF900" s="643">
        <v>14050</v>
      </c>
    </row>
    <row r="901" spans="1:32" ht="31.5">
      <c r="A901" s="643">
        <v>14051</v>
      </c>
      <c r="B901" s="644"/>
      <c r="C901" s="644" t="s">
        <v>1339</v>
      </c>
      <c r="D901" s="559" t="s">
        <v>221</v>
      </c>
      <c r="E901" s="545">
        <v>7500</v>
      </c>
      <c r="F901" s="649">
        <v>6.4</v>
      </c>
      <c r="G901" s="660" t="s">
        <v>129</v>
      </c>
      <c r="H901" s="636">
        <v>5.6</v>
      </c>
      <c r="I901" s="636">
        <v>7.5</v>
      </c>
      <c r="J901" s="549">
        <v>250</v>
      </c>
      <c r="K901" s="554" t="s">
        <v>221</v>
      </c>
      <c r="L901" s="562">
        <v>10</v>
      </c>
      <c r="M901" s="549">
        <v>4000</v>
      </c>
      <c r="N901" s="592">
        <v>0.1</v>
      </c>
      <c r="O901" s="594">
        <v>1.35</v>
      </c>
      <c r="P901" s="590">
        <v>7</v>
      </c>
      <c r="Q901" s="431">
        <v>0.125</v>
      </c>
      <c r="R901" s="430">
        <v>1000.5</v>
      </c>
      <c r="S901" s="175">
        <v>65</v>
      </c>
      <c r="T901" s="751">
        <v>811</v>
      </c>
      <c r="U901" s="440">
        <v>36.450000000000003</v>
      </c>
      <c r="V901" s="636">
        <v>2.53125</v>
      </c>
      <c r="W901" s="636"/>
      <c r="X901" s="440">
        <v>3.5</v>
      </c>
      <c r="Y901" s="761">
        <v>2.53125</v>
      </c>
      <c r="Z901" s="776">
        <v>6.3527750000000003</v>
      </c>
      <c r="AA901" s="788"/>
      <c r="AB901" s="811"/>
      <c r="AC901" s="818">
        <v>15</v>
      </c>
      <c r="AD901" s="811" t="s">
        <v>633</v>
      </c>
      <c r="AE901" s="811">
        <v>0</v>
      </c>
      <c r="AF901" s="643">
        <v>14051</v>
      </c>
    </row>
    <row r="902" spans="1:32" ht="31.5">
      <c r="A902" s="643">
        <v>14052</v>
      </c>
      <c r="B902" s="644"/>
      <c r="C902" s="644" t="s">
        <v>1340</v>
      </c>
      <c r="D902" s="551">
        <v>2</v>
      </c>
      <c r="E902" s="545">
        <v>6700</v>
      </c>
      <c r="F902" s="649">
        <v>8.1999999999999993</v>
      </c>
      <c r="G902" s="659" t="s">
        <v>129</v>
      </c>
      <c r="H902" s="636">
        <v>7.5</v>
      </c>
      <c r="I902" s="636">
        <v>9.4</v>
      </c>
      <c r="J902" s="549">
        <v>250</v>
      </c>
      <c r="K902" s="554">
        <v>70</v>
      </c>
      <c r="L902" s="562">
        <v>10</v>
      </c>
      <c r="M902" s="549">
        <v>4000</v>
      </c>
      <c r="N902" s="592">
        <v>0.1</v>
      </c>
      <c r="O902" s="594">
        <v>1.85</v>
      </c>
      <c r="P902" s="590">
        <v>7</v>
      </c>
      <c r="Q902" s="431">
        <v>0.2</v>
      </c>
      <c r="R902" s="430">
        <v>1044</v>
      </c>
      <c r="S902" s="497">
        <v>286</v>
      </c>
      <c r="T902" s="751">
        <v>785.72</v>
      </c>
      <c r="U902" s="440">
        <v>77.266666666666666</v>
      </c>
      <c r="V902" s="636">
        <v>3.0987500000000003</v>
      </c>
      <c r="W902" s="636">
        <v>1.2250000000000001</v>
      </c>
      <c r="X902" s="440">
        <v>5.6000000000000005</v>
      </c>
      <c r="Y902" s="761">
        <v>4.3237500000000004</v>
      </c>
      <c r="Z902" s="776">
        <v>8.2132930000000002</v>
      </c>
      <c r="AA902" s="782"/>
      <c r="AB902" s="811"/>
      <c r="AC902" s="818">
        <v>13.4</v>
      </c>
      <c r="AD902" s="811" t="s">
        <v>633</v>
      </c>
      <c r="AE902" s="811">
        <v>2</v>
      </c>
      <c r="AF902" s="643">
        <v>14052</v>
      </c>
    </row>
    <row r="903" spans="1:32" ht="15.75">
      <c r="A903" s="643">
        <v>14053</v>
      </c>
      <c r="B903" s="644" t="s">
        <v>411</v>
      </c>
      <c r="C903" s="644" t="s">
        <v>1341</v>
      </c>
      <c r="D903" s="559">
        <v>25</v>
      </c>
      <c r="E903" s="545">
        <v>22000</v>
      </c>
      <c r="F903" s="546">
        <v>76</v>
      </c>
      <c r="G903" s="653">
        <v>310</v>
      </c>
      <c r="H903" s="654">
        <v>270</v>
      </c>
      <c r="I903" s="654">
        <v>370</v>
      </c>
      <c r="J903" s="561">
        <v>10</v>
      </c>
      <c r="K903" s="554" t="s">
        <v>221</v>
      </c>
      <c r="L903" s="562">
        <v>12</v>
      </c>
      <c r="M903" s="561">
        <v>300</v>
      </c>
      <c r="N903" s="592">
        <v>0.25</v>
      </c>
      <c r="O903" s="594">
        <v>0.45</v>
      </c>
      <c r="P903" s="590">
        <v>12</v>
      </c>
      <c r="Q903" s="431"/>
      <c r="R903" s="430" t="s">
        <v>129</v>
      </c>
      <c r="S903" s="175">
        <v>286</v>
      </c>
      <c r="T903" s="751">
        <v>1734</v>
      </c>
      <c r="U903" s="440"/>
      <c r="V903" s="654">
        <v>33</v>
      </c>
      <c r="W903" s="654">
        <v>71.476799999999997</v>
      </c>
      <c r="X903" s="440"/>
      <c r="Y903" s="764">
        <v>104.4768</v>
      </c>
      <c r="Z903" s="776">
        <v>76.416120000000006</v>
      </c>
      <c r="AA903" s="780">
        <v>305.66448000000003</v>
      </c>
      <c r="AB903" s="811"/>
      <c r="AC903" s="818">
        <v>44</v>
      </c>
      <c r="AD903" s="811" t="s">
        <v>667</v>
      </c>
      <c r="AE903" s="811">
        <v>0</v>
      </c>
      <c r="AF903" s="643">
        <v>14053</v>
      </c>
    </row>
    <row r="904" spans="1:32" ht="15.75">
      <c r="A904" s="643">
        <v>14054</v>
      </c>
      <c r="B904" s="644"/>
      <c r="C904" s="644" t="s">
        <v>1342</v>
      </c>
      <c r="D904" s="559" t="s">
        <v>221</v>
      </c>
      <c r="E904" s="545">
        <v>1800</v>
      </c>
      <c r="F904" s="649">
        <v>3.9</v>
      </c>
      <c r="G904" s="660" t="s">
        <v>129</v>
      </c>
      <c r="H904" s="636">
        <v>3.5</v>
      </c>
      <c r="I904" s="636">
        <v>4.5999999999999996</v>
      </c>
      <c r="J904" s="549">
        <v>100</v>
      </c>
      <c r="K904" s="554" t="s">
        <v>221</v>
      </c>
      <c r="L904" s="562">
        <v>10</v>
      </c>
      <c r="M904" s="549">
        <v>1500</v>
      </c>
      <c r="N904" s="592">
        <v>0.1</v>
      </c>
      <c r="O904" s="594">
        <v>1.35</v>
      </c>
      <c r="P904" s="590">
        <v>1</v>
      </c>
      <c r="Q904" s="429"/>
      <c r="R904" s="430" t="s">
        <v>129</v>
      </c>
      <c r="S904" s="497">
        <v>286</v>
      </c>
      <c r="T904" s="751">
        <v>189.88</v>
      </c>
      <c r="U904" s="438"/>
      <c r="V904" s="636">
        <v>1.62</v>
      </c>
      <c r="W904" s="636"/>
      <c r="X904" s="438"/>
      <c r="Y904" s="761">
        <v>1.62</v>
      </c>
      <c r="Z904" s="776">
        <v>3.8706800000000006</v>
      </c>
      <c r="AA904" s="788"/>
      <c r="AB904" s="811"/>
      <c r="AC904" s="818">
        <v>3.6</v>
      </c>
      <c r="AD904" s="811" t="s">
        <v>633</v>
      </c>
      <c r="AE904" s="811">
        <v>0</v>
      </c>
      <c r="AF904" s="643">
        <v>14054</v>
      </c>
    </row>
    <row r="905" spans="1:32" ht="15.75">
      <c r="A905" s="633"/>
      <c r="B905" s="634"/>
      <c r="C905" s="633"/>
      <c r="D905" s="633"/>
      <c r="E905" s="633"/>
      <c r="F905" s="633"/>
      <c r="G905" s="633" t="s">
        <v>129</v>
      </c>
      <c r="H905" s="633"/>
      <c r="I905" s="633"/>
      <c r="J905" s="637"/>
      <c r="K905" s="635"/>
      <c r="L905" s="633"/>
      <c r="M905" s="633"/>
      <c r="N905" s="633"/>
      <c r="O905" s="633"/>
      <c r="P905" s="743"/>
      <c r="Q905" s="431"/>
      <c r="R905" s="430" t="s">
        <v>129</v>
      </c>
      <c r="S905" s="175">
        <v>117</v>
      </c>
      <c r="T905" s="633"/>
      <c r="U905" s="439"/>
      <c r="V905" s="633"/>
      <c r="W905" s="633"/>
      <c r="X905" s="439"/>
      <c r="Y905" s="633"/>
      <c r="Z905" s="633"/>
      <c r="AA905" s="634"/>
      <c r="AB905" s="633"/>
      <c r="AC905" s="633"/>
      <c r="AD905" s="633"/>
      <c r="AE905" s="633"/>
      <c r="AF905" s="633"/>
    </row>
    <row r="906" spans="1:32" ht="15.75">
      <c r="A906" s="624">
        <v>14060</v>
      </c>
      <c r="B906" s="625"/>
      <c r="C906" s="626" t="s">
        <v>1271</v>
      </c>
      <c r="D906" s="627"/>
      <c r="E906" s="628"/>
      <c r="F906" s="629"/>
      <c r="G906" s="630" t="s">
        <v>129</v>
      </c>
      <c r="H906" s="631"/>
      <c r="I906" s="631"/>
      <c r="J906" s="632"/>
      <c r="K906" s="632"/>
      <c r="L906" s="627"/>
      <c r="M906" s="632"/>
      <c r="N906" s="739" t="s">
        <v>129</v>
      </c>
      <c r="O906" s="744" t="s">
        <v>129</v>
      </c>
      <c r="P906" s="742"/>
      <c r="Q906" s="431">
        <v>0.05</v>
      </c>
      <c r="R906" s="430">
        <v>1653</v>
      </c>
      <c r="S906" s="497">
        <v>104</v>
      </c>
      <c r="T906" s="750" t="s">
        <v>129</v>
      </c>
      <c r="U906" s="439">
        <v>24.957142857142856</v>
      </c>
      <c r="V906" s="631"/>
      <c r="W906" s="631"/>
      <c r="X906" s="439">
        <v>1.4000000000000001</v>
      </c>
      <c r="Y906" s="763" t="s">
        <v>129</v>
      </c>
      <c r="Z906" s="774"/>
      <c r="AA906" s="775"/>
      <c r="AB906" s="810"/>
      <c r="AC906" s="817" t="s">
        <v>129</v>
      </c>
      <c r="AD906" s="810"/>
      <c r="AE906" s="810"/>
      <c r="AF906" s="624">
        <v>14060</v>
      </c>
    </row>
    <row r="907" spans="1:32" ht="15.75">
      <c r="A907" s="633"/>
      <c r="B907" s="634"/>
      <c r="C907" s="633"/>
      <c r="D907" s="559"/>
      <c r="E907" s="545"/>
      <c r="F907" s="546"/>
      <c r="G907" s="734" t="s">
        <v>129</v>
      </c>
      <c r="H907" s="654"/>
      <c r="I907" s="654"/>
      <c r="J907" s="561"/>
      <c r="K907" s="635"/>
      <c r="L907" s="633"/>
      <c r="M907" s="561"/>
      <c r="N907" s="592" t="s">
        <v>129</v>
      </c>
      <c r="O907" s="594" t="s">
        <v>129</v>
      </c>
      <c r="P907" s="743"/>
      <c r="Q907" s="431">
        <v>0.16700000000000001</v>
      </c>
      <c r="R907" s="430">
        <v>1044</v>
      </c>
      <c r="S907" s="175">
        <v>65</v>
      </c>
      <c r="T907" s="751" t="s">
        <v>129</v>
      </c>
      <c r="U907" s="440">
        <v>28.1</v>
      </c>
      <c r="V907" s="654"/>
      <c r="W907" s="636"/>
      <c r="X907" s="440">
        <v>4.6760000000000002</v>
      </c>
      <c r="Y907" s="761" t="s">
        <v>129</v>
      </c>
      <c r="Z907" s="776"/>
      <c r="AA907" s="780"/>
      <c r="AB907" s="633"/>
      <c r="AC907" s="818" t="s">
        <v>129</v>
      </c>
      <c r="AD907" s="811"/>
      <c r="AE907" s="811"/>
      <c r="AF907" s="633"/>
    </row>
    <row r="908" spans="1:32" ht="31.5">
      <c r="A908" s="643">
        <v>14061</v>
      </c>
      <c r="B908" s="644"/>
      <c r="C908" s="644" t="s">
        <v>1343</v>
      </c>
      <c r="D908" s="559">
        <v>66</v>
      </c>
      <c r="E908" s="545">
        <v>14000</v>
      </c>
      <c r="F908" s="546">
        <v>28</v>
      </c>
      <c r="G908" s="653">
        <v>42</v>
      </c>
      <c r="H908" s="654">
        <v>36</v>
      </c>
      <c r="I908" s="654">
        <v>51</v>
      </c>
      <c r="J908" s="561">
        <v>50</v>
      </c>
      <c r="K908" s="554" t="s">
        <v>221</v>
      </c>
      <c r="L908" s="562">
        <v>12</v>
      </c>
      <c r="M908" s="561">
        <v>1000</v>
      </c>
      <c r="N908" s="592">
        <v>0.1</v>
      </c>
      <c r="O908" s="594">
        <v>0.9</v>
      </c>
      <c r="P908" s="590">
        <v>8</v>
      </c>
      <c r="Q908" s="431">
        <v>0.25</v>
      </c>
      <c r="R908" s="430">
        <v>1870.5</v>
      </c>
      <c r="S908" s="503">
        <v>286</v>
      </c>
      <c r="T908" s="751">
        <v>1268.4000000000001</v>
      </c>
      <c r="U908" s="440">
        <v>25.143750000000001</v>
      </c>
      <c r="V908" s="654">
        <v>12.6</v>
      </c>
      <c r="W908" s="636"/>
      <c r="X908" s="440">
        <v>7</v>
      </c>
      <c r="Y908" s="764">
        <v>12.6</v>
      </c>
      <c r="Z908" s="776"/>
      <c r="AA908" s="780">
        <v>41.764800000000008</v>
      </c>
      <c r="AB908" s="811"/>
      <c r="AC908" s="818">
        <v>28</v>
      </c>
      <c r="AD908" s="811" t="s">
        <v>667</v>
      </c>
      <c r="AE908" s="811">
        <v>0</v>
      </c>
      <c r="AF908" s="643">
        <v>14061</v>
      </c>
    </row>
    <row r="909" spans="1:32" ht="31.5">
      <c r="A909" s="643">
        <v>14063</v>
      </c>
      <c r="B909" s="644"/>
      <c r="C909" s="644" t="s">
        <v>1344</v>
      </c>
      <c r="D909" s="559">
        <v>66</v>
      </c>
      <c r="E909" s="545">
        <v>11000</v>
      </c>
      <c r="F909" s="546">
        <v>55</v>
      </c>
      <c r="G909" s="653">
        <v>84</v>
      </c>
      <c r="H909" s="654">
        <v>74</v>
      </c>
      <c r="I909" s="654">
        <v>101</v>
      </c>
      <c r="J909" s="561">
        <v>20</v>
      </c>
      <c r="K909" s="554">
        <v>70</v>
      </c>
      <c r="L909" s="562">
        <v>12</v>
      </c>
      <c r="M909" s="561">
        <v>500</v>
      </c>
      <c r="N909" s="592">
        <v>0.25</v>
      </c>
      <c r="O909" s="594">
        <v>1.05</v>
      </c>
      <c r="P909" s="590">
        <v>8</v>
      </c>
      <c r="Q909" s="431">
        <v>0.05</v>
      </c>
      <c r="R909" s="430">
        <v>539.4</v>
      </c>
      <c r="S909" s="175">
        <v>286</v>
      </c>
      <c r="T909" s="751">
        <v>945</v>
      </c>
      <c r="U909" s="439">
        <v>9.8966666666666665</v>
      </c>
      <c r="V909" s="654">
        <v>23.1</v>
      </c>
      <c r="W909" s="654">
        <v>6.0321969696969697</v>
      </c>
      <c r="X909" s="439">
        <v>1.4000000000000001</v>
      </c>
      <c r="Y909" s="764">
        <v>29.13219696969697</v>
      </c>
      <c r="Z909" s="776"/>
      <c r="AA909" s="780">
        <v>84.020416666666662</v>
      </c>
      <c r="AB909" s="811">
        <v>6.5</v>
      </c>
      <c r="AC909" s="818">
        <v>22</v>
      </c>
      <c r="AD909" s="811" t="s">
        <v>667</v>
      </c>
      <c r="AE909" s="811">
        <v>2</v>
      </c>
      <c r="AF909" s="643">
        <v>14063</v>
      </c>
    </row>
    <row r="910" spans="1:32" ht="15.75">
      <c r="A910" s="643">
        <v>14064</v>
      </c>
      <c r="B910" s="644"/>
      <c r="C910" s="644" t="s">
        <v>1345</v>
      </c>
      <c r="D910" s="559">
        <v>66</v>
      </c>
      <c r="E910" s="545">
        <v>24000</v>
      </c>
      <c r="F910" s="546">
        <v>44</v>
      </c>
      <c r="G910" s="653">
        <v>67</v>
      </c>
      <c r="H910" s="654">
        <v>57</v>
      </c>
      <c r="I910" s="654">
        <v>83</v>
      </c>
      <c r="J910" s="561">
        <v>50</v>
      </c>
      <c r="K910" s="554" t="s">
        <v>221</v>
      </c>
      <c r="L910" s="562">
        <v>12</v>
      </c>
      <c r="M910" s="561">
        <v>1000</v>
      </c>
      <c r="N910" s="592">
        <v>0.1</v>
      </c>
      <c r="O910" s="594">
        <v>0.7</v>
      </c>
      <c r="P910" s="590">
        <v>18</v>
      </c>
      <c r="Q910" s="431">
        <v>0.1</v>
      </c>
      <c r="R910" s="430">
        <v>1479</v>
      </c>
      <c r="S910" s="503">
        <v>65</v>
      </c>
      <c r="T910" s="751">
        <v>2204.4</v>
      </c>
      <c r="U910" s="454">
        <v>28.166666666666668</v>
      </c>
      <c r="V910" s="654">
        <v>16.799999999999997</v>
      </c>
      <c r="W910" s="636"/>
      <c r="X910" s="454">
        <v>2.8000000000000003</v>
      </c>
      <c r="Y910" s="764">
        <v>16.799999999999997</v>
      </c>
      <c r="Z910" s="776"/>
      <c r="AA910" s="780">
        <v>66.976799999999997</v>
      </c>
      <c r="AB910" s="811"/>
      <c r="AC910" s="818">
        <v>48</v>
      </c>
      <c r="AD910" s="811" t="s">
        <v>667</v>
      </c>
      <c r="AE910" s="811">
        <v>0</v>
      </c>
      <c r="AF910" s="643">
        <v>14064</v>
      </c>
    </row>
    <row r="911" spans="1:32" ht="31.5">
      <c r="A911" s="643">
        <v>14067</v>
      </c>
      <c r="B911" s="644"/>
      <c r="C911" s="644" t="s">
        <v>1346</v>
      </c>
      <c r="D911" s="559">
        <v>66</v>
      </c>
      <c r="E911" s="545">
        <v>52000</v>
      </c>
      <c r="F911" s="546">
        <v>49</v>
      </c>
      <c r="G911" s="653">
        <v>74</v>
      </c>
      <c r="H911" s="654">
        <v>66</v>
      </c>
      <c r="I911" s="654">
        <v>87</v>
      </c>
      <c r="J911" s="561">
        <v>150</v>
      </c>
      <c r="K911" s="554">
        <v>70</v>
      </c>
      <c r="L911" s="562">
        <v>12</v>
      </c>
      <c r="M911" s="561">
        <v>2000</v>
      </c>
      <c r="N911" s="592">
        <v>0</v>
      </c>
      <c r="O911" s="594">
        <v>0.5</v>
      </c>
      <c r="P911" s="590">
        <v>15</v>
      </c>
      <c r="Q911" s="431">
        <v>0.1</v>
      </c>
      <c r="R911" s="430">
        <v>1609.5</v>
      </c>
      <c r="S911" s="175">
        <v>338</v>
      </c>
      <c r="T911" s="751">
        <v>5490.333333333333</v>
      </c>
      <c r="U911" s="454">
        <v>28.725000000000001</v>
      </c>
      <c r="V911" s="654">
        <v>13</v>
      </c>
      <c r="W911" s="654">
        <v>17.632575757575758</v>
      </c>
      <c r="X911" s="454">
        <v>2.8000000000000003</v>
      </c>
      <c r="Y911" s="764">
        <v>30.632575757575758</v>
      </c>
      <c r="Z911" s="776"/>
      <c r="AA911" s="780">
        <v>73.958277777777781</v>
      </c>
      <c r="AB911" s="811">
        <v>19</v>
      </c>
      <c r="AC911" s="818">
        <v>464</v>
      </c>
      <c r="AD911" s="811" t="s">
        <v>667</v>
      </c>
      <c r="AE911" s="811">
        <v>2</v>
      </c>
      <c r="AF911" s="643">
        <v>14067</v>
      </c>
    </row>
    <row r="912" spans="1:32" ht="15.75">
      <c r="A912" s="643">
        <v>14068</v>
      </c>
      <c r="B912" s="644"/>
      <c r="C912" s="644" t="s">
        <v>1347</v>
      </c>
      <c r="D912" s="559">
        <v>50</v>
      </c>
      <c r="E912" s="545">
        <v>40000</v>
      </c>
      <c r="F912" s="546">
        <v>41</v>
      </c>
      <c r="G912" s="653">
        <v>83</v>
      </c>
      <c r="H912" s="654">
        <v>76</v>
      </c>
      <c r="I912" s="654">
        <v>94</v>
      </c>
      <c r="J912" s="561">
        <v>140</v>
      </c>
      <c r="K912" s="554"/>
      <c r="L912" s="562">
        <v>10</v>
      </c>
      <c r="M912" s="561">
        <v>1400</v>
      </c>
      <c r="N912" s="592">
        <v>0</v>
      </c>
      <c r="O912" s="594">
        <v>0.25</v>
      </c>
      <c r="P912" s="590">
        <v>3</v>
      </c>
      <c r="Q912" s="431">
        <v>0.1</v>
      </c>
      <c r="R912" s="430">
        <v>2088</v>
      </c>
      <c r="S912" s="497">
        <v>338</v>
      </c>
      <c r="T912" s="751">
        <v>4485</v>
      </c>
      <c r="U912" s="439">
        <v>36.883333333333333</v>
      </c>
      <c r="V912" s="654">
        <v>7.1428571428571432</v>
      </c>
      <c r="W912" s="654">
        <v>36</v>
      </c>
      <c r="X912" s="439">
        <v>2.8000000000000003</v>
      </c>
      <c r="Y912" s="764">
        <v>43.142857142857146</v>
      </c>
      <c r="Z912" s="776"/>
      <c r="AA912" s="780">
        <v>82.696428571428584</v>
      </c>
      <c r="AB912" s="811"/>
      <c r="AC912" s="818">
        <v>80</v>
      </c>
      <c r="AD912" s="811" t="s">
        <v>667</v>
      </c>
      <c r="AE912" s="811">
        <v>5</v>
      </c>
      <c r="AF912" s="643">
        <v>14068</v>
      </c>
    </row>
    <row r="913" spans="1:32" ht="15.75">
      <c r="A913" s="643"/>
      <c r="B913" s="644"/>
      <c r="C913" s="644"/>
      <c r="D913" s="551"/>
      <c r="E913" s="545"/>
      <c r="F913" s="546"/>
      <c r="G913" s="659" t="s">
        <v>129</v>
      </c>
      <c r="H913" s="636"/>
      <c r="I913" s="636"/>
      <c r="J913" s="549"/>
      <c r="K913" s="554"/>
      <c r="L913" s="562"/>
      <c r="M913" s="549"/>
      <c r="N913" s="592" t="s">
        <v>129</v>
      </c>
      <c r="O913" s="594" t="s">
        <v>129</v>
      </c>
      <c r="P913" s="590"/>
      <c r="Q913" s="431">
        <v>0.05</v>
      </c>
      <c r="R913" s="430">
        <v>1131</v>
      </c>
      <c r="S913" s="175">
        <v>52</v>
      </c>
      <c r="T913" s="751" t="s">
        <v>129</v>
      </c>
      <c r="U913" s="439">
        <v>20.566666666666666</v>
      </c>
      <c r="V913" s="636"/>
      <c r="W913" s="636"/>
      <c r="X913" s="439">
        <v>1.4000000000000001</v>
      </c>
      <c r="Y913" s="761" t="s">
        <v>129</v>
      </c>
      <c r="Z913" s="778"/>
      <c r="AA913" s="782"/>
      <c r="AB913" s="811"/>
      <c r="AC913" s="818" t="s">
        <v>129</v>
      </c>
      <c r="AD913" s="811"/>
      <c r="AE913" s="811"/>
      <c r="AF913" s="643"/>
    </row>
    <row r="914" spans="1:32" ht="15.75">
      <c r="A914" s="624">
        <v>14070</v>
      </c>
      <c r="B914" s="625"/>
      <c r="C914" s="626" t="s">
        <v>1348</v>
      </c>
      <c r="D914" s="627"/>
      <c r="E914" s="628"/>
      <c r="F914" s="629"/>
      <c r="G914" s="630" t="s">
        <v>129</v>
      </c>
      <c r="H914" s="631"/>
      <c r="I914" s="631"/>
      <c r="J914" s="632"/>
      <c r="K914" s="632"/>
      <c r="L914" s="627"/>
      <c r="M914" s="632"/>
      <c r="N914" s="739" t="s">
        <v>129</v>
      </c>
      <c r="O914" s="744" t="s">
        <v>129</v>
      </c>
      <c r="P914" s="742"/>
      <c r="Q914" s="431">
        <v>0.05</v>
      </c>
      <c r="R914" s="430">
        <v>2088</v>
      </c>
      <c r="S914" s="497">
        <v>52</v>
      </c>
      <c r="T914" s="750" t="s">
        <v>129</v>
      </c>
      <c r="U914" s="439">
        <v>36.883333333333333</v>
      </c>
      <c r="V914" s="631"/>
      <c r="W914" s="631"/>
      <c r="X914" s="439">
        <v>1.4000000000000001</v>
      </c>
      <c r="Y914" s="763" t="s">
        <v>129</v>
      </c>
      <c r="Z914" s="774"/>
      <c r="AA914" s="775"/>
      <c r="AB914" s="810"/>
      <c r="AC914" s="817" t="s">
        <v>129</v>
      </c>
      <c r="AD914" s="810"/>
      <c r="AE914" s="810"/>
      <c r="AF914" s="624">
        <v>14070</v>
      </c>
    </row>
    <row r="915" spans="1:32" ht="15.75">
      <c r="A915" s="643"/>
      <c r="B915" s="644"/>
      <c r="C915" s="644"/>
      <c r="D915" s="559"/>
      <c r="E915" s="545"/>
      <c r="F915" s="546"/>
      <c r="G915" s="735" t="s">
        <v>129</v>
      </c>
      <c r="H915" s="636"/>
      <c r="I915" s="636"/>
      <c r="J915" s="549"/>
      <c r="K915" s="554"/>
      <c r="L915" s="562"/>
      <c r="M915" s="549"/>
      <c r="N915" s="592"/>
      <c r="O915" s="594"/>
      <c r="P915" s="590"/>
      <c r="Q915" s="431">
        <v>0.1</v>
      </c>
      <c r="R915" s="430">
        <v>239.96666666666664</v>
      </c>
      <c r="S915" s="175">
        <v>117</v>
      </c>
      <c r="T915" s="751"/>
      <c r="U915" s="439">
        <v>0.71876190476190471</v>
      </c>
      <c r="V915" s="636"/>
      <c r="W915" s="636"/>
      <c r="X915" s="439">
        <v>2.8000000000000003</v>
      </c>
      <c r="Y915" s="761"/>
      <c r="Z915" s="776"/>
      <c r="AA915" s="809"/>
      <c r="AB915" s="811"/>
      <c r="AC915" s="818"/>
      <c r="AD915" s="811"/>
      <c r="AE915" s="811"/>
      <c r="AF915" s="643"/>
    </row>
    <row r="916" spans="1:32" ht="15.75">
      <c r="A916" s="643">
        <v>14071</v>
      </c>
      <c r="B916" s="644"/>
      <c r="C916" s="644" t="s">
        <v>1349</v>
      </c>
      <c r="D916" s="559">
        <v>85</v>
      </c>
      <c r="E916" s="545">
        <v>128000</v>
      </c>
      <c r="F916" s="546">
        <v>540</v>
      </c>
      <c r="G916" s="653">
        <v>640</v>
      </c>
      <c r="H916" s="654">
        <v>530</v>
      </c>
      <c r="I916" s="654">
        <v>820</v>
      </c>
      <c r="J916" s="561">
        <v>25</v>
      </c>
      <c r="K916" s="554"/>
      <c r="L916" s="562">
        <v>10</v>
      </c>
      <c r="M916" s="561">
        <v>1300</v>
      </c>
      <c r="N916" s="592">
        <v>0.25</v>
      </c>
      <c r="O916" s="594">
        <v>1</v>
      </c>
      <c r="P916" s="590">
        <v>58</v>
      </c>
      <c r="Q916" s="431">
        <v>0.1</v>
      </c>
      <c r="R916" s="430">
        <v>772.06666666666661</v>
      </c>
      <c r="S916" s="497">
        <v>52</v>
      </c>
      <c r="T916" s="751">
        <v>12070</v>
      </c>
      <c r="U916" s="439">
        <v>2.3881904761904758</v>
      </c>
      <c r="V916" s="654">
        <v>98.461538461538467</v>
      </c>
      <c r="W916" s="636"/>
      <c r="X916" s="439">
        <v>2.8000000000000003</v>
      </c>
      <c r="Y916" s="764">
        <v>98.461538461538467</v>
      </c>
      <c r="Z916" s="776"/>
      <c r="AA916" s="780">
        <v>639.38769230769242</v>
      </c>
      <c r="AB916" s="811"/>
      <c r="AC916" s="818">
        <v>256</v>
      </c>
      <c r="AD916" s="811" t="s">
        <v>667</v>
      </c>
      <c r="AE916" s="811">
        <v>0</v>
      </c>
      <c r="AF916" s="643">
        <v>14071</v>
      </c>
    </row>
    <row r="917" spans="1:32" ht="15.75">
      <c r="A917" s="643"/>
      <c r="B917" s="644"/>
      <c r="C917" s="644"/>
      <c r="D917" s="551"/>
      <c r="E917" s="545"/>
      <c r="F917" s="546"/>
      <c r="G917" s="659" t="s">
        <v>129</v>
      </c>
      <c r="H917" s="636"/>
      <c r="I917" s="636"/>
      <c r="J917" s="549"/>
      <c r="K917" s="554"/>
      <c r="L917" s="562"/>
      <c r="M917" s="549"/>
      <c r="N917" s="592"/>
      <c r="O917" s="594"/>
      <c r="P917" s="590"/>
      <c r="Q917" s="431">
        <v>0.1</v>
      </c>
      <c r="R917" s="430">
        <v>688.6</v>
      </c>
      <c r="S917" s="175">
        <v>52</v>
      </c>
      <c r="T917" s="751"/>
      <c r="U917" s="439">
        <v>2.3051428571428572</v>
      </c>
      <c r="V917" s="636"/>
      <c r="W917" s="636"/>
      <c r="X917" s="439">
        <v>2.8000000000000003</v>
      </c>
      <c r="Y917" s="761"/>
      <c r="Z917" s="776"/>
      <c r="AA917" s="782"/>
      <c r="AB917" s="811"/>
      <c r="AC917" s="818"/>
      <c r="AD917" s="811"/>
      <c r="AE917" s="811"/>
      <c r="AF917" s="643"/>
    </row>
    <row r="918" spans="1:32" ht="47.25">
      <c r="A918" s="663"/>
      <c r="B918" s="664"/>
      <c r="C918" s="665" t="s">
        <v>1350</v>
      </c>
      <c r="D918" s="688"/>
      <c r="E918" s="667"/>
      <c r="F918" s="668"/>
      <c r="G918" s="718" t="s">
        <v>129</v>
      </c>
      <c r="H918" s="670"/>
      <c r="I918" s="670"/>
      <c r="J918" s="671"/>
      <c r="K918" s="672"/>
      <c r="L918" s="737"/>
      <c r="M918" s="671"/>
      <c r="N918" s="740" t="s">
        <v>129</v>
      </c>
      <c r="O918" s="746" t="s">
        <v>129</v>
      </c>
      <c r="P918" s="747"/>
      <c r="Q918" s="431">
        <v>0.16700000000000001</v>
      </c>
      <c r="R918" s="430">
        <v>1827</v>
      </c>
      <c r="S918" s="497">
        <v>52</v>
      </c>
      <c r="T918" s="754" t="s">
        <v>129</v>
      </c>
      <c r="U918" s="440">
        <v>97.65</v>
      </c>
      <c r="V918" s="690"/>
      <c r="W918" s="670"/>
      <c r="X918" s="440">
        <v>4.6760000000000002</v>
      </c>
      <c r="Y918" s="766" t="s">
        <v>129</v>
      </c>
      <c r="Z918" s="785"/>
      <c r="AA918" s="802"/>
      <c r="AB918" s="813"/>
      <c r="AC918" s="821" t="s">
        <v>129</v>
      </c>
      <c r="AD918" s="813"/>
      <c r="AE918" s="813"/>
      <c r="AF918" s="663"/>
    </row>
    <row r="919" spans="1:32" ht="15.75">
      <c r="A919" s="633"/>
      <c r="B919" s="634"/>
      <c r="C919" s="633"/>
      <c r="D919" s="559"/>
      <c r="E919" s="545"/>
      <c r="F919" s="546"/>
      <c r="G919" s="660" t="s">
        <v>129</v>
      </c>
      <c r="H919" s="636"/>
      <c r="I919" s="636"/>
      <c r="J919" s="549"/>
      <c r="K919" s="635"/>
      <c r="L919" s="633"/>
      <c r="M919" s="549"/>
      <c r="N919" s="592" t="s">
        <v>129</v>
      </c>
      <c r="O919" s="594" t="s">
        <v>129</v>
      </c>
      <c r="P919" s="743"/>
      <c r="Q919" s="431"/>
      <c r="R919" s="430" t="s">
        <v>129</v>
      </c>
      <c r="S919" s="175">
        <v>52</v>
      </c>
      <c r="T919" s="751" t="s">
        <v>129</v>
      </c>
      <c r="U919" s="439"/>
      <c r="V919" s="654"/>
      <c r="W919" s="636"/>
      <c r="X919" s="439"/>
      <c r="Y919" s="761" t="s">
        <v>129</v>
      </c>
      <c r="Z919" s="776"/>
      <c r="AA919" s="788"/>
      <c r="AB919" s="633"/>
      <c r="AC919" s="818" t="s">
        <v>129</v>
      </c>
      <c r="AD919" s="811"/>
      <c r="AE919" s="811"/>
      <c r="AF919" s="633"/>
    </row>
    <row r="920" spans="1:32" ht="15.75">
      <c r="A920" s="624">
        <v>15000</v>
      </c>
      <c r="B920" s="625"/>
      <c r="C920" s="626" t="s">
        <v>1311</v>
      </c>
      <c r="D920" s="627"/>
      <c r="E920" s="628"/>
      <c r="F920" s="629"/>
      <c r="G920" s="630" t="s">
        <v>129</v>
      </c>
      <c r="H920" s="631"/>
      <c r="I920" s="631"/>
      <c r="J920" s="632"/>
      <c r="K920" s="632"/>
      <c r="L920" s="627"/>
      <c r="M920" s="632"/>
      <c r="N920" s="739" t="s">
        <v>129</v>
      </c>
      <c r="O920" s="744" t="s">
        <v>129</v>
      </c>
      <c r="P920" s="742"/>
      <c r="Q920" s="429"/>
      <c r="R920" s="430" t="s">
        <v>129</v>
      </c>
      <c r="S920" s="503">
        <v>52</v>
      </c>
      <c r="T920" s="750" t="s">
        <v>129</v>
      </c>
      <c r="U920" s="438"/>
      <c r="V920" s="631"/>
      <c r="W920" s="631"/>
      <c r="X920" s="438"/>
      <c r="Y920" s="763" t="s">
        <v>129</v>
      </c>
      <c r="Z920" s="774"/>
      <c r="AA920" s="775"/>
      <c r="AB920" s="810"/>
      <c r="AC920" s="817" t="s">
        <v>129</v>
      </c>
      <c r="AD920" s="810"/>
      <c r="AE920" s="810"/>
      <c r="AF920" s="624">
        <v>15000</v>
      </c>
    </row>
    <row r="921" spans="1:32" ht="15.75">
      <c r="A921" s="633"/>
      <c r="B921" s="634"/>
      <c r="C921" s="633"/>
      <c r="D921" s="551"/>
      <c r="E921" s="545"/>
      <c r="F921" s="552"/>
      <c r="G921" s="660" t="s">
        <v>129</v>
      </c>
      <c r="H921" s="636"/>
      <c r="I921" s="636"/>
      <c r="J921" s="549"/>
      <c r="K921" s="635"/>
      <c r="L921" s="633"/>
      <c r="M921" s="549"/>
      <c r="N921" s="592" t="s">
        <v>129</v>
      </c>
      <c r="O921" s="594" t="s">
        <v>129</v>
      </c>
      <c r="P921" s="743"/>
      <c r="Q921" s="431"/>
      <c r="R921" s="430" t="s">
        <v>129</v>
      </c>
      <c r="S921" s="175">
        <v>91</v>
      </c>
      <c r="T921" s="751" t="s">
        <v>129</v>
      </c>
      <c r="U921" s="440"/>
      <c r="V921" s="636"/>
      <c r="W921" s="636"/>
      <c r="X921" s="440"/>
      <c r="Y921" s="761" t="s">
        <v>129</v>
      </c>
      <c r="Z921" s="776"/>
      <c r="AA921" s="777"/>
      <c r="AB921" s="633"/>
      <c r="AC921" s="818" t="s">
        <v>129</v>
      </c>
      <c r="AD921" s="811"/>
      <c r="AE921" s="811"/>
      <c r="AF921" s="633"/>
    </row>
    <row r="922" spans="1:32" ht="15.75">
      <c r="A922" s="643">
        <v>15003</v>
      </c>
      <c r="B922" s="644"/>
      <c r="C922" s="644" t="s">
        <v>1351</v>
      </c>
      <c r="D922" s="559">
        <v>25</v>
      </c>
      <c r="E922" s="545">
        <v>11000</v>
      </c>
      <c r="F922" s="546">
        <v>48</v>
      </c>
      <c r="G922" s="653">
        <v>190</v>
      </c>
      <c r="H922" s="654">
        <v>170</v>
      </c>
      <c r="I922" s="654">
        <v>230</v>
      </c>
      <c r="J922" s="561">
        <v>10</v>
      </c>
      <c r="K922" s="554" t="s">
        <v>221</v>
      </c>
      <c r="L922" s="562">
        <v>10</v>
      </c>
      <c r="M922" s="561">
        <v>250</v>
      </c>
      <c r="N922" s="592">
        <v>0.25</v>
      </c>
      <c r="O922" s="594">
        <v>1.6</v>
      </c>
      <c r="P922" s="590">
        <v>10</v>
      </c>
      <c r="Q922" s="431">
        <v>0.05</v>
      </c>
      <c r="R922" s="430">
        <v>983.74</v>
      </c>
      <c r="S922" s="503">
        <v>156</v>
      </c>
      <c r="T922" s="751">
        <v>1032.5</v>
      </c>
      <c r="U922" s="439">
        <v>10.599400000000001</v>
      </c>
      <c r="V922" s="654">
        <v>70.400000000000006</v>
      </c>
      <c r="W922" s="636"/>
      <c r="X922" s="439">
        <v>1.4000000000000001</v>
      </c>
      <c r="Y922" s="764">
        <v>70.400000000000006</v>
      </c>
      <c r="Z922" s="776">
        <v>47.753749999999997</v>
      </c>
      <c r="AA922" s="780">
        <v>191.01500000000001</v>
      </c>
      <c r="AB922" s="811"/>
      <c r="AC922" s="818">
        <v>22</v>
      </c>
      <c r="AD922" s="811" t="s">
        <v>667</v>
      </c>
      <c r="AE922" s="811">
        <v>0</v>
      </c>
      <c r="AF922" s="643">
        <v>15003</v>
      </c>
    </row>
    <row r="923" spans="1:32" ht="15.75">
      <c r="A923" s="643">
        <v>15001</v>
      </c>
      <c r="B923" s="644"/>
      <c r="C923" s="644" t="s">
        <v>1352</v>
      </c>
      <c r="D923" s="559">
        <v>25</v>
      </c>
      <c r="E923" s="545">
        <v>14000</v>
      </c>
      <c r="F923" s="546">
        <v>57</v>
      </c>
      <c r="G923" s="653">
        <v>230</v>
      </c>
      <c r="H923" s="654">
        <v>200</v>
      </c>
      <c r="I923" s="654">
        <v>270</v>
      </c>
      <c r="J923" s="561">
        <v>10</v>
      </c>
      <c r="K923" s="554" t="s">
        <v>221</v>
      </c>
      <c r="L923" s="562">
        <v>10</v>
      </c>
      <c r="M923" s="561">
        <v>300</v>
      </c>
      <c r="N923" s="592">
        <v>0.25</v>
      </c>
      <c r="O923" s="594">
        <v>1.6</v>
      </c>
      <c r="P923" s="590">
        <v>12</v>
      </c>
      <c r="Q923" s="431">
        <v>0.05</v>
      </c>
      <c r="R923" s="430">
        <v>759.71999999999991</v>
      </c>
      <c r="S923" s="175">
        <v>260</v>
      </c>
      <c r="T923" s="751">
        <v>1309</v>
      </c>
      <c r="U923" s="439">
        <v>8.3132000000000001</v>
      </c>
      <c r="V923" s="654">
        <v>74.666666666666671</v>
      </c>
      <c r="W923" s="636"/>
      <c r="X923" s="439">
        <v>1.4000000000000001</v>
      </c>
      <c r="Y923" s="764">
        <v>74.666666666666671</v>
      </c>
      <c r="Z923" s="776">
        <v>56.530833333333334</v>
      </c>
      <c r="AA923" s="780">
        <v>226.12333333333333</v>
      </c>
      <c r="AB923" s="811"/>
      <c r="AC923" s="818">
        <v>28</v>
      </c>
      <c r="AD923" s="811" t="s">
        <v>667</v>
      </c>
      <c r="AE923" s="811">
        <v>0</v>
      </c>
      <c r="AF923" s="643">
        <v>15001</v>
      </c>
    </row>
    <row r="924" spans="1:32" ht="15.75">
      <c r="A924" s="643">
        <v>15002</v>
      </c>
      <c r="B924" s="644"/>
      <c r="C924" s="644" t="s">
        <v>1353</v>
      </c>
      <c r="D924" s="559">
        <v>25</v>
      </c>
      <c r="E924" s="545">
        <v>4600</v>
      </c>
      <c r="F924" s="546">
        <v>19</v>
      </c>
      <c r="G924" s="653">
        <v>76</v>
      </c>
      <c r="H924" s="654">
        <v>66</v>
      </c>
      <c r="I924" s="654">
        <v>92</v>
      </c>
      <c r="J924" s="561">
        <v>10</v>
      </c>
      <c r="K924" s="554" t="s">
        <v>221</v>
      </c>
      <c r="L924" s="562">
        <v>10</v>
      </c>
      <c r="M924" s="561">
        <v>300</v>
      </c>
      <c r="N924" s="592">
        <v>0.25</v>
      </c>
      <c r="O924" s="594">
        <v>1.65</v>
      </c>
      <c r="P924" s="590">
        <v>5</v>
      </c>
      <c r="Q924" s="431">
        <v>0.05</v>
      </c>
      <c r="R924" s="430">
        <v>759.71999999999991</v>
      </c>
      <c r="S924" s="497">
        <v>78</v>
      </c>
      <c r="T924" s="751">
        <v>437.5</v>
      </c>
      <c r="U924" s="439">
        <v>8.9531999999999989</v>
      </c>
      <c r="V924" s="654">
        <v>25.3</v>
      </c>
      <c r="W924" s="636"/>
      <c r="X924" s="439">
        <v>1.4000000000000001</v>
      </c>
      <c r="Y924" s="764">
        <v>25.3</v>
      </c>
      <c r="Z924" s="776">
        <v>18.98875</v>
      </c>
      <c r="AA924" s="780">
        <v>75.954999999999998</v>
      </c>
      <c r="AB924" s="811"/>
      <c r="AC924" s="818">
        <v>9.2000000000000011</v>
      </c>
      <c r="AD924" s="811" t="s">
        <v>667</v>
      </c>
      <c r="AE924" s="811">
        <v>0</v>
      </c>
      <c r="AF924" s="643">
        <v>15002</v>
      </c>
    </row>
    <row r="925" spans="1:32" ht="15.75">
      <c r="A925" s="643">
        <v>15004</v>
      </c>
      <c r="B925" s="644"/>
      <c r="C925" s="644" t="s">
        <v>1354</v>
      </c>
      <c r="D925" s="559">
        <v>25</v>
      </c>
      <c r="E925" s="545">
        <v>20000</v>
      </c>
      <c r="F925" s="546">
        <v>115</v>
      </c>
      <c r="G925" s="653">
        <v>450</v>
      </c>
      <c r="H925" s="654">
        <v>380</v>
      </c>
      <c r="I925" s="654">
        <v>560</v>
      </c>
      <c r="J925" s="561">
        <v>6</v>
      </c>
      <c r="K925" s="554" t="s">
        <v>221</v>
      </c>
      <c r="L925" s="562">
        <v>10</v>
      </c>
      <c r="M925" s="561">
        <v>300</v>
      </c>
      <c r="N925" s="592">
        <v>0.25</v>
      </c>
      <c r="O925" s="594">
        <v>1.45</v>
      </c>
      <c r="P925" s="590">
        <v>18</v>
      </c>
      <c r="Q925" s="431">
        <v>0.1</v>
      </c>
      <c r="R925" s="430">
        <v>1653</v>
      </c>
      <c r="S925" s="175">
        <v>130</v>
      </c>
      <c r="T925" s="751">
        <v>1876</v>
      </c>
      <c r="U925" s="439">
        <v>24.693333333333332</v>
      </c>
      <c r="V925" s="654">
        <v>96.666666666666671</v>
      </c>
      <c r="W925" s="636"/>
      <c r="X925" s="439">
        <v>2.8000000000000003</v>
      </c>
      <c r="Y925" s="764">
        <v>96.666666666666671</v>
      </c>
      <c r="Z925" s="776">
        <v>112.56666666666669</v>
      </c>
      <c r="AA925" s="780">
        <v>450.26666666666677</v>
      </c>
      <c r="AB925" s="811"/>
      <c r="AC925" s="818">
        <v>40</v>
      </c>
      <c r="AD925" s="811" t="s">
        <v>667</v>
      </c>
      <c r="AE925" s="811">
        <v>0</v>
      </c>
      <c r="AF925" s="643">
        <v>15004</v>
      </c>
    </row>
    <row r="926" spans="1:32" ht="15.75">
      <c r="A926" s="643">
        <v>15005</v>
      </c>
      <c r="B926" s="644"/>
      <c r="C926" s="644" t="s">
        <v>1355</v>
      </c>
      <c r="D926" s="559"/>
      <c r="E926" s="545">
        <v>21000</v>
      </c>
      <c r="F926" s="546"/>
      <c r="G926" s="653">
        <v>105</v>
      </c>
      <c r="H926" s="654">
        <v>100</v>
      </c>
      <c r="I926" s="654">
        <v>120</v>
      </c>
      <c r="J926" s="561">
        <v>50</v>
      </c>
      <c r="K926" s="554" t="s">
        <v>221</v>
      </c>
      <c r="L926" s="562">
        <v>15</v>
      </c>
      <c r="M926" s="561">
        <v>500</v>
      </c>
      <c r="N926" s="592">
        <v>0</v>
      </c>
      <c r="O926" s="594">
        <v>1.45</v>
      </c>
      <c r="P926" s="590">
        <v>10</v>
      </c>
      <c r="Q926" s="431">
        <v>0.1</v>
      </c>
      <c r="R926" s="430">
        <v>2240.1999999999998</v>
      </c>
      <c r="S926" s="503">
        <v>26</v>
      </c>
      <c r="T926" s="751">
        <v>1701</v>
      </c>
      <c r="U926" s="439">
        <v>11.815999999999999</v>
      </c>
      <c r="V926" s="654">
        <v>60.9</v>
      </c>
      <c r="W926" s="636"/>
      <c r="X926" s="439">
        <v>2.8000000000000003</v>
      </c>
      <c r="Y926" s="764">
        <v>60.9</v>
      </c>
      <c r="Z926" s="776">
        <v>0</v>
      </c>
      <c r="AA926" s="780">
        <v>104.41200000000001</v>
      </c>
      <c r="AB926" s="811"/>
      <c r="AC926" s="818">
        <v>42</v>
      </c>
      <c r="AD926" s="811" t="s">
        <v>667</v>
      </c>
      <c r="AE926" s="811">
        <v>0</v>
      </c>
      <c r="AF926" s="643">
        <v>15005</v>
      </c>
    </row>
    <row r="927" spans="1:32" ht="15.75">
      <c r="A927" s="643">
        <v>15006</v>
      </c>
      <c r="B927" s="644"/>
      <c r="C927" s="644" t="s">
        <v>432</v>
      </c>
      <c r="D927" s="559"/>
      <c r="E927" s="545">
        <v>10500</v>
      </c>
      <c r="F927" s="546"/>
      <c r="G927" s="653">
        <v>175</v>
      </c>
      <c r="H927" s="654">
        <v>160</v>
      </c>
      <c r="I927" s="654">
        <v>200</v>
      </c>
      <c r="J927" s="561">
        <v>15</v>
      </c>
      <c r="K927" s="554" t="s">
        <v>221</v>
      </c>
      <c r="L927" s="562">
        <v>10</v>
      </c>
      <c r="M927" s="561">
        <v>250</v>
      </c>
      <c r="N927" s="592">
        <v>0.1</v>
      </c>
      <c r="O927" s="594">
        <v>1.95</v>
      </c>
      <c r="P927" s="590">
        <v>15</v>
      </c>
      <c r="Q927" s="431">
        <v>0.1</v>
      </c>
      <c r="R927" s="430">
        <v>1180.2</v>
      </c>
      <c r="S927" s="175"/>
      <c r="T927" s="751">
        <v>1171.8</v>
      </c>
      <c r="U927" s="439">
        <v>13.462</v>
      </c>
      <c r="V927" s="654">
        <v>81.899999999999991</v>
      </c>
      <c r="W927" s="636"/>
      <c r="X927" s="439">
        <v>2.8000000000000003</v>
      </c>
      <c r="Y927" s="764">
        <v>81.899999999999991</v>
      </c>
      <c r="Z927" s="776">
        <v>0</v>
      </c>
      <c r="AA927" s="780">
        <v>176.02199999999999</v>
      </c>
      <c r="AB927" s="811"/>
      <c r="AC927" s="818">
        <v>21</v>
      </c>
      <c r="AD927" s="811" t="s">
        <v>667</v>
      </c>
      <c r="AE927" s="811">
        <v>0</v>
      </c>
      <c r="AF927" s="643">
        <v>15006</v>
      </c>
    </row>
    <row r="928" spans="1:32" ht="15.75">
      <c r="A928" s="643">
        <v>15007</v>
      </c>
      <c r="B928" s="644"/>
      <c r="C928" s="644" t="s">
        <v>1356</v>
      </c>
      <c r="D928" s="559"/>
      <c r="E928" s="545">
        <v>16000</v>
      </c>
      <c r="F928" s="546"/>
      <c r="G928" s="653">
        <v>120</v>
      </c>
      <c r="H928" s="654">
        <v>110</v>
      </c>
      <c r="I928" s="654">
        <v>130</v>
      </c>
      <c r="J928" s="561">
        <v>40</v>
      </c>
      <c r="K928" s="554" t="s">
        <v>221</v>
      </c>
      <c r="L928" s="562">
        <v>10</v>
      </c>
      <c r="M928" s="561">
        <v>500</v>
      </c>
      <c r="N928" s="592">
        <v>0.1</v>
      </c>
      <c r="O928" s="594">
        <v>1.95</v>
      </c>
      <c r="P928" s="590">
        <v>24</v>
      </c>
      <c r="Q928" s="431">
        <v>0.1</v>
      </c>
      <c r="R928" s="430">
        <v>4967.3999999999996</v>
      </c>
      <c r="S928" s="498"/>
      <c r="T928" s="751">
        <v>1793.6</v>
      </c>
      <c r="U928" s="439">
        <v>46.453333333333333</v>
      </c>
      <c r="V928" s="654">
        <v>62.4</v>
      </c>
      <c r="W928" s="636"/>
      <c r="X928" s="439">
        <v>2.8000000000000003</v>
      </c>
      <c r="Y928" s="764">
        <v>62.4</v>
      </c>
      <c r="Z928" s="776">
        <v>0</v>
      </c>
      <c r="AA928" s="780">
        <v>117.964</v>
      </c>
      <c r="AB928" s="811"/>
      <c r="AC928" s="818">
        <v>32</v>
      </c>
      <c r="AD928" s="811" t="s">
        <v>667</v>
      </c>
      <c r="AE928" s="811">
        <v>0</v>
      </c>
      <c r="AF928" s="643">
        <v>15007</v>
      </c>
    </row>
    <row r="929" spans="1:32" ht="15.75">
      <c r="A929" s="633"/>
      <c r="B929" s="634"/>
      <c r="C929" s="633"/>
      <c r="D929" s="559"/>
      <c r="E929" s="545"/>
      <c r="F929" s="546"/>
      <c r="G929" s="655" t="s">
        <v>129</v>
      </c>
      <c r="H929" s="654"/>
      <c r="I929" s="654"/>
      <c r="J929" s="561"/>
      <c r="K929" s="635"/>
      <c r="L929" s="633"/>
      <c r="M929" s="561"/>
      <c r="N929" s="592" t="s">
        <v>129</v>
      </c>
      <c r="O929" s="594" t="s">
        <v>129</v>
      </c>
      <c r="P929" s="743"/>
      <c r="Q929" s="431"/>
      <c r="R929" s="430" t="s">
        <v>129</v>
      </c>
      <c r="S929" s="175"/>
      <c r="T929" s="751" t="s">
        <v>129</v>
      </c>
      <c r="U929" s="439"/>
      <c r="V929" s="654"/>
      <c r="W929" s="636"/>
      <c r="X929" s="439"/>
      <c r="Y929" s="764" t="s">
        <v>129</v>
      </c>
      <c r="Z929" s="776"/>
      <c r="AA929" s="780"/>
      <c r="AB929" s="633"/>
      <c r="AC929" s="818" t="s">
        <v>129</v>
      </c>
      <c r="AD929" s="811"/>
      <c r="AE929" s="811"/>
      <c r="AF929" s="633"/>
    </row>
    <row r="930" spans="1:32" ht="15.75">
      <c r="A930" s="624">
        <v>15010</v>
      </c>
      <c r="B930" s="625"/>
      <c r="C930" s="626" t="s">
        <v>1357</v>
      </c>
      <c r="D930" s="627"/>
      <c r="E930" s="628"/>
      <c r="F930" s="629"/>
      <c r="G930" s="630" t="s">
        <v>129</v>
      </c>
      <c r="H930" s="631"/>
      <c r="I930" s="631"/>
      <c r="J930" s="632"/>
      <c r="K930" s="632"/>
      <c r="L930" s="627"/>
      <c r="M930" s="632"/>
      <c r="N930" s="739" t="s">
        <v>129</v>
      </c>
      <c r="O930" s="744" t="s">
        <v>129</v>
      </c>
      <c r="P930" s="742"/>
      <c r="Q930" s="429"/>
      <c r="R930" s="430" t="s">
        <v>129</v>
      </c>
      <c r="S930" s="496"/>
      <c r="T930" s="750" t="s">
        <v>129</v>
      </c>
      <c r="U930" s="438"/>
      <c r="V930" s="631"/>
      <c r="W930" s="631"/>
      <c r="X930" s="438"/>
      <c r="Y930" s="768" t="s">
        <v>129</v>
      </c>
      <c r="Z930" s="774"/>
      <c r="AA930" s="775"/>
      <c r="AB930" s="810"/>
      <c r="AC930" s="817" t="s">
        <v>129</v>
      </c>
      <c r="AD930" s="810"/>
      <c r="AE930" s="810"/>
      <c r="AF930" s="624">
        <v>15010</v>
      </c>
    </row>
    <row r="931" spans="1:32" ht="15.75">
      <c r="A931" s="633"/>
      <c r="B931" s="634"/>
      <c r="C931" s="633"/>
      <c r="D931" s="559"/>
      <c r="E931" s="545"/>
      <c r="F931" s="546"/>
      <c r="G931" s="655" t="s">
        <v>129</v>
      </c>
      <c r="H931" s="654"/>
      <c r="I931" s="654"/>
      <c r="J931" s="561"/>
      <c r="K931" s="635"/>
      <c r="L931" s="633"/>
      <c r="M931" s="561"/>
      <c r="N931" s="592" t="s">
        <v>129</v>
      </c>
      <c r="O931" s="594" t="s">
        <v>129</v>
      </c>
      <c r="P931" s="743"/>
      <c r="Q931" s="431"/>
      <c r="R931" s="430" t="s">
        <v>129</v>
      </c>
      <c r="S931" s="175"/>
      <c r="T931" s="751" t="s">
        <v>129</v>
      </c>
      <c r="U931" s="439"/>
      <c r="V931" s="654"/>
      <c r="W931" s="636"/>
      <c r="X931" s="439"/>
      <c r="Y931" s="764" t="s">
        <v>129</v>
      </c>
      <c r="Z931" s="776"/>
      <c r="AA931" s="780"/>
      <c r="AB931" s="633"/>
      <c r="AC931" s="818" t="s">
        <v>129</v>
      </c>
      <c r="AD931" s="811"/>
      <c r="AE931" s="811"/>
      <c r="AF931" s="633"/>
    </row>
    <row r="932" spans="1:32" ht="15.75">
      <c r="A932" s="643">
        <v>15011</v>
      </c>
      <c r="B932" s="644"/>
      <c r="C932" s="644" t="s">
        <v>1358</v>
      </c>
      <c r="D932" s="559">
        <v>33</v>
      </c>
      <c r="E932" s="545">
        <v>22000</v>
      </c>
      <c r="F932" s="546">
        <v>140</v>
      </c>
      <c r="G932" s="653">
        <v>430</v>
      </c>
      <c r="H932" s="654">
        <v>350</v>
      </c>
      <c r="I932" s="654">
        <v>550</v>
      </c>
      <c r="J932" s="561">
        <v>6</v>
      </c>
      <c r="K932" s="554" t="s">
        <v>221</v>
      </c>
      <c r="L932" s="562">
        <v>10</v>
      </c>
      <c r="M932" s="561">
        <v>300</v>
      </c>
      <c r="N932" s="592">
        <v>0.25</v>
      </c>
      <c r="O932" s="594">
        <v>0.6</v>
      </c>
      <c r="P932" s="590">
        <v>20</v>
      </c>
      <c r="Q932" s="431">
        <v>0.125</v>
      </c>
      <c r="R932" s="430">
        <v>10348</v>
      </c>
      <c r="S932" s="497">
        <v>138</v>
      </c>
      <c r="T932" s="751">
        <v>2065</v>
      </c>
      <c r="U932" s="439">
        <v>109.62</v>
      </c>
      <c r="V932" s="654">
        <v>43.999999999999993</v>
      </c>
      <c r="W932" s="636"/>
      <c r="X932" s="439">
        <v>3.5</v>
      </c>
      <c r="Y932" s="764">
        <v>43.999999999999993</v>
      </c>
      <c r="Z932" s="776">
        <v>140.90450000000001</v>
      </c>
      <c r="AA932" s="780">
        <v>426.98333333333341</v>
      </c>
      <c r="AB932" s="811"/>
      <c r="AC932" s="818">
        <v>44</v>
      </c>
      <c r="AD932" s="811" t="s">
        <v>667</v>
      </c>
      <c r="AE932" s="811">
        <v>0</v>
      </c>
      <c r="AF932" s="643">
        <v>15011</v>
      </c>
    </row>
    <row r="933" spans="1:32" ht="15.75">
      <c r="A933" s="643">
        <v>15018</v>
      </c>
      <c r="B933" s="644"/>
      <c r="C933" s="644" t="s">
        <v>1359</v>
      </c>
      <c r="D933" s="559">
        <v>60</v>
      </c>
      <c r="E933" s="545">
        <v>28000</v>
      </c>
      <c r="F933" s="546">
        <v>340</v>
      </c>
      <c r="G933" s="653">
        <v>560</v>
      </c>
      <c r="H933" s="654">
        <v>470</v>
      </c>
      <c r="I933" s="654">
        <v>720</v>
      </c>
      <c r="J933" s="561">
        <v>6</v>
      </c>
      <c r="K933" s="554" t="s">
        <v>221</v>
      </c>
      <c r="L933" s="562">
        <v>10</v>
      </c>
      <c r="M933" s="561">
        <v>300</v>
      </c>
      <c r="N933" s="592">
        <v>0.25</v>
      </c>
      <c r="O933" s="594">
        <v>0.8</v>
      </c>
      <c r="P933" s="590">
        <v>25</v>
      </c>
      <c r="Q933" s="431">
        <v>0.125</v>
      </c>
      <c r="R933" s="430">
        <v>26566.5</v>
      </c>
      <c r="S933" s="175">
        <v>30</v>
      </c>
      <c r="T933" s="751">
        <v>2625</v>
      </c>
      <c r="U933" s="439">
        <v>283.28500000000003</v>
      </c>
      <c r="V933" s="654">
        <v>74.666666666666671</v>
      </c>
      <c r="W933" s="636"/>
      <c r="X933" s="439">
        <v>3.5</v>
      </c>
      <c r="Y933" s="764">
        <v>74.666666666666671</v>
      </c>
      <c r="Z933" s="776">
        <v>338.03</v>
      </c>
      <c r="AA933" s="780">
        <v>563.38333333333333</v>
      </c>
      <c r="AB933" s="811"/>
      <c r="AC933" s="818">
        <v>56</v>
      </c>
      <c r="AD933" s="811" t="s">
        <v>667</v>
      </c>
      <c r="AE933" s="811">
        <v>0</v>
      </c>
      <c r="AF933" s="643">
        <v>15018</v>
      </c>
    </row>
    <row r="934" spans="1:32" ht="15.75">
      <c r="A934" s="643">
        <v>15012</v>
      </c>
      <c r="B934" s="644"/>
      <c r="C934" s="644" t="s">
        <v>1360</v>
      </c>
      <c r="D934" s="559">
        <v>33</v>
      </c>
      <c r="E934" s="545">
        <v>12000</v>
      </c>
      <c r="F934" s="546">
        <v>78</v>
      </c>
      <c r="G934" s="653">
        <v>240</v>
      </c>
      <c r="H934" s="654">
        <v>190</v>
      </c>
      <c r="I934" s="654">
        <v>310</v>
      </c>
      <c r="J934" s="561">
        <v>6</v>
      </c>
      <c r="K934" s="554" t="s">
        <v>221</v>
      </c>
      <c r="L934" s="562">
        <v>10</v>
      </c>
      <c r="M934" s="561">
        <v>300</v>
      </c>
      <c r="N934" s="592">
        <v>0.25</v>
      </c>
      <c r="O934" s="594">
        <v>0.65</v>
      </c>
      <c r="P934" s="590">
        <v>12</v>
      </c>
      <c r="Q934" s="431"/>
      <c r="R934" s="430" t="s">
        <v>129</v>
      </c>
      <c r="S934" s="175"/>
      <c r="T934" s="751">
        <v>1134</v>
      </c>
      <c r="U934" s="439"/>
      <c r="V934" s="654">
        <v>26</v>
      </c>
      <c r="W934" s="636"/>
      <c r="X934" s="439"/>
      <c r="Y934" s="764">
        <v>26</v>
      </c>
      <c r="Z934" s="776">
        <v>78.045000000000016</v>
      </c>
      <c r="AA934" s="780">
        <v>236.50000000000003</v>
      </c>
      <c r="AB934" s="811"/>
      <c r="AC934" s="818">
        <v>24</v>
      </c>
      <c r="AD934" s="811" t="s">
        <v>667</v>
      </c>
      <c r="AE934" s="811">
        <v>0</v>
      </c>
      <c r="AF934" s="643">
        <v>15012</v>
      </c>
    </row>
    <row r="935" spans="1:32" ht="15.75">
      <c r="A935" s="643">
        <v>15019</v>
      </c>
      <c r="B935" s="644"/>
      <c r="C935" s="644" t="s">
        <v>1361</v>
      </c>
      <c r="D935" s="559">
        <v>33</v>
      </c>
      <c r="E935" s="545">
        <v>14500</v>
      </c>
      <c r="F935" s="546">
        <v>110</v>
      </c>
      <c r="G935" s="653">
        <v>330</v>
      </c>
      <c r="H935" s="654">
        <v>270</v>
      </c>
      <c r="I935" s="654">
        <v>430</v>
      </c>
      <c r="J935" s="561">
        <v>5</v>
      </c>
      <c r="K935" s="554" t="s">
        <v>221</v>
      </c>
      <c r="L935" s="562">
        <v>10</v>
      </c>
      <c r="M935" s="561">
        <v>300</v>
      </c>
      <c r="N935" s="592">
        <v>0.25</v>
      </c>
      <c r="O935" s="594">
        <v>0.55000000000000004</v>
      </c>
      <c r="P935" s="590">
        <v>12</v>
      </c>
      <c r="Q935" s="429"/>
      <c r="R935" s="430" t="s">
        <v>129</v>
      </c>
      <c r="S935" s="496"/>
      <c r="T935" s="751">
        <v>1352.75</v>
      </c>
      <c r="U935" s="438"/>
      <c r="V935" s="654">
        <v>26.583333333333336</v>
      </c>
      <c r="W935" s="636"/>
      <c r="X935" s="438"/>
      <c r="Y935" s="764">
        <v>26.583333333333336</v>
      </c>
      <c r="Z935" s="776">
        <v>107.85940000000001</v>
      </c>
      <c r="AA935" s="780">
        <v>326.84666666666669</v>
      </c>
      <c r="AB935" s="811"/>
      <c r="AC935" s="818">
        <v>29</v>
      </c>
      <c r="AD935" s="811" t="s">
        <v>667</v>
      </c>
      <c r="AE935" s="811">
        <v>0</v>
      </c>
      <c r="AF935" s="643">
        <v>15019</v>
      </c>
    </row>
    <row r="936" spans="1:32" ht="15.75">
      <c r="A936" s="643">
        <v>15013</v>
      </c>
      <c r="B936" s="644"/>
      <c r="C936" s="644" t="s">
        <v>1362</v>
      </c>
      <c r="D936" s="559">
        <v>10</v>
      </c>
      <c r="E936" s="545">
        <v>45000</v>
      </c>
      <c r="F936" s="546">
        <v>170</v>
      </c>
      <c r="G936" s="653">
        <v>1700</v>
      </c>
      <c r="H936" s="654">
        <v>1400</v>
      </c>
      <c r="I936" s="654">
        <v>2200</v>
      </c>
      <c r="J936" s="561">
        <v>3</v>
      </c>
      <c r="K936" s="554" t="s">
        <v>221</v>
      </c>
      <c r="L936" s="562">
        <v>10</v>
      </c>
      <c r="M936" s="561">
        <v>100</v>
      </c>
      <c r="N936" s="592">
        <v>0.25</v>
      </c>
      <c r="O936" s="594">
        <v>0.5</v>
      </c>
      <c r="P936" s="590">
        <v>11</v>
      </c>
      <c r="Q936" s="431"/>
      <c r="R936" s="430" t="s">
        <v>129</v>
      </c>
      <c r="S936" s="175"/>
      <c r="T936" s="751">
        <v>4014.5</v>
      </c>
      <c r="U936" s="439"/>
      <c r="V936" s="654">
        <v>225</v>
      </c>
      <c r="W936" s="636"/>
      <c r="X936" s="439"/>
      <c r="Y936" s="764">
        <v>225</v>
      </c>
      <c r="Z936" s="776">
        <v>171.94833333333335</v>
      </c>
      <c r="AA936" s="780">
        <v>1719.4833333333336</v>
      </c>
      <c r="AB936" s="811"/>
      <c r="AC936" s="818">
        <v>90</v>
      </c>
      <c r="AD936" s="811" t="s">
        <v>667</v>
      </c>
      <c r="AE936" s="811">
        <v>0</v>
      </c>
      <c r="AF936" s="643">
        <v>15013</v>
      </c>
    </row>
    <row r="937" spans="1:32" ht="15.75">
      <c r="A937" s="643">
        <v>15014</v>
      </c>
      <c r="B937" s="644"/>
      <c r="C937" s="644" t="s">
        <v>1363</v>
      </c>
      <c r="D937" s="559">
        <v>8</v>
      </c>
      <c r="E937" s="545">
        <v>15500</v>
      </c>
      <c r="F937" s="546">
        <v>37</v>
      </c>
      <c r="G937" s="653">
        <v>460</v>
      </c>
      <c r="H937" s="654">
        <v>380</v>
      </c>
      <c r="I937" s="654">
        <v>600</v>
      </c>
      <c r="J937" s="561">
        <v>3</v>
      </c>
      <c r="K937" s="554" t="s">
        <v>221</v>
      </c>
      <c r="L937" s="562">
        <v>15</v>
      </c>
      <c r="M937" s="561">
        <v>300</v>
      </c>
      <c r="N937" s="592">
        <v>0.25</v>
      </c>
      <c r="O937" s="594">
        <v>0.95</v>
      </c>
      <c r="P937" s="590">
        <v>20</v>
      </c>
      <c r="Q937" s="431">
        <v>0.1</v>
      </c>
      <c r="R937" s="430">
        <v>609</v>
      </c>
      <c r="S937" s="497">
        <v>120</v>
      </c>
      <c r="T937" s="751">
        <v>1108.75</v>
      </c>
      <c r="U937" s="439">
        <v>13.96</v>
      </c>
      <c r="V937" s="654">
        <v>49.083333333333329</v>
      </c>
      <c r="W937" s="636"/>
      <c r="X937" s="439">
        <v>2.8000000000000003</v>
      </c>
      <c r="Y937" s="764">
        <v>49.083333333333329</v>
      </c>
      <c r="Z937" s="776">
        <v>36.842666666666666</v>
      </c>
      <c r="AA937" s="780">
        <v>460.5333333333333</v>
      </c>
      <c r="AB937" s="811"/>
      <c r="AC937" s="818">
        <v>31</v>
      </c>
      <c r="AD937" s="811" t="s">
        <v>667</v>
      </c>
      <c r="AE937" s="811">
        <v>0</v>
      </c>
      <c r="AF937" s="643">
        <v>15014</v>
      </c>
    </row>
    <row r="938" spans="1:32" ht="15.75">
      <c r="A938" s="643">
        <v>15015</v>
      </c>
      <c r="B938" s="644"/>
      <c r="C938" s="644" t="s">
        <v>1364</v>
      </c>
      <c r="D938" s="559">
        <v>16</v>
      </c>
      <c r="E938" s="545">
        <v>10500</v>
      </c>
      <c r="F938" s="546">
        <v>20</v>
      </c>
      <c r="G938" s="653">
        <v>110</v>
      </c>
      <c r="H938" s="654">
        <v>97</v>
      </c>
      <c r="I938" s="654">
        <v>138</v>
      </c>
      <c r="J938" s="561">
        <v>15</v>
      </c>
      <c r="K938" s="554" t="s">
        <v>221</v>
      </c>
      <c r="L938" s="562">
        <v>10</v>
      </c>
      <c r="M938" s="561">
        <v>300</v>
      </c>
      <c r="N938" s="592">
        <v>0.25</v>
      </c>
      <c r="O938" s="594">
        <v>0.9</v>
      </c>
      <c r="P938" s="590">
        <v>20</v>
      </c>
      <c r="Q938" s="431">
        <v>0.1</v>
      </c>
      <c r="R938" s="430">
        <v>1783.5</v>
      </c>
      <c r="S938" s="175">
        <v>150</v>
      </c>
      <c r="T938" s="751">
        <v>1058.75</v>
      </c>
      <c r="U938" s="439">
        <v>25.326666666666668</v>
      </c>
      <c r="V938" s="654">
        <v>31.5</v>
      </c>
      <c r="W938" s="636"/>
      <c r="X938" s="439">
        <v>2.8000000000000003</v>
      </c>
      <c r="Y938" s="764">
        <v>31.5</v>
      </c>
      <c r="Z938" s="776">
        <v>17.966666666666669</v>
      </c>
      <c r="AA938" s="780">
        <v>112.29166666666667</v>
      </c>
      <c r="AB938" s="811"/>
      <c r="AC938" s="818">
        <v>21</v>
      </c>
      <c r="AD938" s="811" t="s">
        <v>667</v>
      </c>
      <c r="AE938" s="811">
        <v>0</v>
      </c>
      <c r="AF938" s="643">
        <v>15015</v>
      </c>
    </row>
    <row r="939" spans="1:32" ht="15.75">
      <c r="A939" s="643">
        <v>15016</v>
      </c>
      <c r="B939" s="644"/>
      <c r="C939" s="644" t="s">
        <v>1365</v>
      </c>
      <c r="D939" s="559">
        <v>20</v>
      </c>
      <c r="E939" s="545">
        <v>16500</v>
      </c>
      <c r="F939" s="546">
        <v>50</v>
      </c>
      <c r="G939" s="653">
        <v>250</v>
      </c>
      <c r="H939" s="654">
        <v>210</v>
      </c>
      <c r="I939" s="654">
        <v>310</v>
      </c>
      <c r="J939" s="561">
        <v>10</v>
      </c>
      <c r="K939" s="554" t="s">
        <v>221</v>
      </c>
      <c r="L939" s="562">
        <v>10</v>
      </c>
      <c r="M939" s="561">
        <v>300</v>
      </c>
      <c r="N939" s="592">
        <v>0.25</v>
      </c>
      <c r="O939" s="594">
        <v>1.1499999999999999</v>
      </c>
      <c r="P939" s="590">
        <v>25</v>
      </c>
      <c r="Q939" s="431">
        <v>0.1</v>
      </c>
      <c r="R939" s="430">
        <v>2086</v>
      </c>
      <c r="S939" s="503">
        <v>72</v>
      </c>
      <c r="T939" s="751">
        <v>1618.75</v>
      </c>
      <c r="U939" s="439">
        <v>32.96</v>
      </c>
      <c r="V939" s="654">
        <v>63.249999999999993</v>
      </c>
      <c r="W939" s="636"/>
      <c r="X939" s="439">
        <v>2.8000000000000003</v>
      </c>
      <c r="Y939" s="764">
        <v>63.249999999999993</v>
      </c>
      <c r="Z939" s="776">
        <v>49.527500000000003</v>
      </c>
      <c r="AA939" s="780">
        <v>247.63750000000002</v>
      </c>
      <c r="AB939" s="811"/>
      <c r="AC939" s="818">
        <v>33</v>
      </c>
      <c r="AD939" s="811" t="s">
        <v>667</v>
      </c>
      <c r="AE939" s="811">
        <v>0</v>
      </c>
      <c r="AF939" s="643">
        <v>15016</v>
      </c>
    </row>
    <row r="940" spans="1:32" ht="31.5">
      <c r="A940" s="643">
        <v>15017</v>
      </c>
      <c r="B940" s="644"/>
      <c r="C940" s="644" t="s">
        <v>1366</v>
      </c>
      <c r="D940" s="586">
        <v>1.5</v>
      </c>
      <c r="E940" s="545">
        <v>26000</v>
      </c>
      <c r="F940" s="546">
        <v>10.5</v>
      </c>
      <c r="G940" s="653">
        <v>690</v>
      </c>
      <c r="H940" s="654">
        <v>590</v>
      </c>
      <c r="I940" s="654">
        <v>840</v>
      </c>
      <c r="J940" s="561">
        <v>4</v>
      </c>
      <c r="K940" s="554">
        <v>25</v>
      </c>
      <c r="L940" s="562">
        <v>15</v>
      </c>
      <c r="M940" s="561">
        <v>200</v>
      </c>
      <c r="N940" s="592">
        <v>0.25</v>
      </c>
      <c r="O940" s="594">
        <v>1.1000000000000001</v>
      </c>
      <c r="P940" s="590">
        <v>13</v>
      </c>
      <c r="Q940" s="431">
        <v>0.1</v>
      </c>
      <c r="R940" s="430">
        <v>3650.5</v>
      </c>
      <c r="S940" s="175">
        <v>72</v>
      </c>
      <c r="T940" s="751">
        <v>1716</v>
      </c>
      <c r="U940" s="439">
        <v>54.38</v>
      </c>
      <c r="V940" s="654">
        <v>143</v>
      </c>
      <c r="W940" s="654">
        <v>51.041666666666664</v>
      </c>
      <c r="X940" s="439">
        <v>2.8000000000000003</v>
      </c>
      <c r="Y940" s="764">
        <v>194.04166666666666</v>
      </c>
      <c r="Z940" s="776">
        <v>10.2801875</v>
      </c>
      <c r="AA940" s="780">
        <v>685.3458333333333</v>
      </c>
      <c r="AB940" s="816">
        <v>3.5</v>
      </c>
      <c r="AC940" s="818">
        <v>52</v>
      </c>
      <c r="AD940" s="811" t="s">
        <v>667</v>
      </c>
      <c r="AE940" s="811">
        <v>2</v>
      </c>
      <c r="AF940" s="643">
        <v>15017</v>
      </c>
    </row>
    <row r="941" spans="1:32" ht="31.5">
      <c r="A941" s="643">
        <v>15020</v>
      </c>
      <c r="B941" s="644"/>
      <c r="C941" s="644" t="s">
        <v>1367</v>
      </c>
      <c r="D941" s="559">
        <v>20</v>
      </c>
      <c r="E941" s="545">
        <v>36000</v>
      </c>
      <c r="F941" s="546">
        <v>80</v>
      </c>
      <c r="G941" s="653">
        <v>400</v>
      </c>
      <c r="H941" s="654">
        <v>350</v>
      </c>
      <c r="I941" s="654">
        <v>480</v>
      </c>
      <c r="J941" s="561">
        <v>15</v>
      </c>
      <c r="K941" s="554" t="s">
        <v>221</v>
      </c>
      <c r="L941" s="562">
        <v>10</v>
      </c>
      <c r="M941" s="561">
        <v>300</v>
      </c>
      <c r="N941" s="592">
        <v>0.25</v>
      </c>
      <c r="O941" s="594">
        <v>1.2</v>
      </c>
      <c r="P941" s="590">
        <v>25</v>
      </c>
      <c r="Q941" s="431">
        <v>0.1</v>
      </c>
      <c r="R941" s="430">
        <v>5140.5</v>
      </c>
      <c r="S941" s="497">
        <v>66</v>
      </c>
      <c r="T941" s="751">
        <v>3325</v>
      </c>
      <c r="U941" s="439">
        <v>74.78</v>
      </c>
      <c r="V941" s="654">
        <v>144</v>
      </c>
      <c r="W941" s="636"/>
      <c r="X941" s="439">
        <v>2.8000000000000003</v>
      </c>
      <c r="Y941" s="764">
        <v>144</v>
      </c>
      <c r="Z941" s="776">
        <v>80.446666666666673</v>
      </c>
      <c r="AA941" s="780">
        <v>402.23333333333335</v>
      </c>
      <c r="AB941" s="811"/>
      <c r="AC941" s="818">
        <v>72</v>
      </c>
      <c r="AD941" s="811" t="s">
        <v>667</v>
      </c>
      <c r="AE941" s="811">
        <v>0</v>
      </c>
      <c r="AF941" s="643">
        <v>15020</v>
      </c>
    </row>
    <row r="942" spans="1:32" ht="15.75">
      <c r="A942" s="643">
        <v>15021</v>
      </c>
      <c r="B942" s="644"/>
      <c r="C942" s="644" t="s">
        <v>1368</v>
      </c>
      <c r="D942" s="559">
        <v>20</v>
      </c>
      <c r="E942" s="545">
        <v>5500</v>
      </c>
      <c r="F942" s="546">
        <v>30</v>
      </c>
      <c r="G942" s="653">
        <v>125</v>
      </c>
      <c r="H942" s="654">
        <v>110</v>
      </c>
      <c r="I942" s="654">
        <v>160</v>
      </c>
      <c r="J942" s="561">
        <v>6</v>
      </c>
      <c r="K942" s="554" t="s">
        <v>221</v>
      </c>
      <c r="L942" s="562">
        <v>10</v>
      </c>
      <c r="M942" s="561">
        <v>160</v>
      </c>
      <c r="N942" s="592">
        <v>0.25</v>
      </c>
      <c r="O942" s="594">
        <v>0.65</v>
      </c>
      <c r="P942" s="590">
        <v>11</v>
      </c>
      <c r="Q942" s="431">
        <v>0.1</v>
      </c>
      <c r="R942" s="430">
        <v>1492.5</v>
      </c>
      <c r="S942" s="175">
        <v>120</v>
      </c>
      <c r="T942" s="751">
        <v>558.25</v>
      </c>
      <c r="U942" s="439">
        <v>33.15</v>
      </c>
      <c r="V942" s="654">
        <v>22.34375</v>
      </c>
      <c r="W942" s="636"/>
      <c r="X942" s="439">
        <v>2.8000000000000003</v>
      </c>
      <c r="Y942" s="764">
        <v>22.34375</v>
      </c>
      <c r="Z942" s="776">
        <v>25.384791666666668</v>
      </c>
      <c r="AA942" s="780">
        <v>126.92395833333335</v>
      </c>
      <c r="AB942" s="811"/>
      <c r="AC942" s="818">
        <v>11</v>
      </c>
      <c r="AD942" s="811" t="s">
        <v>667</v>
      </c>
      <c r="AE942" s="811">
        <v>0</v>
      </c>
      <c r="AF942" s="643">
        <v>15021</v>
      </c>
    </row>
    <row r="943" spans="1:32" ht="15.75">
      <c r="A943" s="643">
        <v>15022</v>
      </c>
      <c r="B943" s="644"/>
      <c r="C943" s="644" t="s">
        <v>1369</v>
      </c>
      <c r="D943" s="559">
        <v>20</v>
      </c>
      <c r="E943" s="545">
        <v>12000</v>
      </c>
      <c r="F943" s="546">
        <v>56</v>
      </c>
      <c r="G943" s="653">
        <v>280</v>
      </c>
      <c r="H943" s="654">
        <v>240</v>
      </c>
      <c r="I943" s="654">
        <v>360</v>
      </c>
      <c r="J943" s="561">
        <v>6</v>
      </c>
      <c r="K943" s="554" t="s">
        <v>221</v>
      </c>
      <c r="L943" s="562">
        <v>10</v>
      </c>
      <c r="M943" s="561">
        <v>200</v>
      </c>
      <c r="N943" s="592">
        <v>0.25</v>
      </c>
      <c r="O943" s="594">
        <v>0.7</v>
      </c>
      <c r="P943" s="590">
        <v>34</v>
      </c>
      <c r="Q943" s="431">
        <v>0.1</v>
      </c>
      <c r="R943" s="430">
        <v>1192</v>
      </c>
      <c r="S943" s="497">
        <v>120</v>
      </c>
      <c r="T943" s="751">
        <v>1288</v>
      </c>
      <c r="U943" s="439">
        <v>13.44</v>
      </c>
      <c r="V943" s="654">
        <v>42</v>
      </c>
      <c r="W943" s="636"/>
      <c r="X943" s="439">
        <v>2.8000000000000003</v>
      </c>
      <c r="Y943" s="764">
        <v>42</v>
      </c>
      <c r="Z943" s="776">
        <v>56.466666666666661</v>
      </c>
      <c r="AA943" s="780">
        <v>282.33333333333331</v>
      </c>
      <c r="AB943" s="811"/>
      <c r="AC943" s="818">
        <v>24</v>
      </c>
      <c r="AD943" s="811" t="s">
        <v>667</v>
      </c>
      <c r="AE943" s="811">
        <v>0</v>
      </c>
      <c r="AF943" s="643">
        <v>15022</v>
      </c>
    </row>
    <row r="944" spans="1:32" ht="15.75">
      <c r="A944" s="633"/>
      <c r="B944" s="634"/>
      <c r="C944" s="633"/>
      <c r="D944" s="559"/>
      <c r="E944" s="545"/>
      <c r="F944" s="546"/>
      <c r="G944" s="736" t="s">
        <v>129</v>
      </c>
      <c r="H944" s="654"/>
      <c r="I944" s="654"/>
      <c r="J944" s="561"/>
      <c r="K944" s="635"/>
      <c r="L944" s="633"/>
      <c r="M944" s="561"/>
      <c r="N944" s="592" t="s">
        <v>129</v>
      </c>
      <c r="O944" s="594" t="s">
        <v>129</v>
      </c>
      <c r="P944" s="743"/>
      <c r="Q944" s="431">
        <v>0.05</v>
      </c>
      <c r="R944" s="430">
        <v>379.95</v>
      </c>
      <c r="S944" s="175">
        <v>150</v>
      </c>
      <c r="T944" s="751" t="s">
        <v>129</v>
      </c>
      <c r="U944" s="439">
        <v>10.202999999999999</v>
      </c>
      <c r="V944" s="654"/>
      <c r="W944" s="636"/>
      <c r="X944" s="439">
        <v>1.4000000000000001</v>
      </c>
      <c r="Y944" s="764" t="s">
        <v>129</v>
      </c>
      <c r="Z944" s="776"/>
      <c r="AA944" s="780"/>
      <c r="AB944" s="633"/>
      <c r="AC944" s="818" t="s">
        <v>129</v>
      </c>
      <c r="AD944" s="811"/>
      <c r="AE944" s="811"/>
      <c r="AF944" s="633"/>
    </row>
    <row r="945" spans="1:32" ht="12" customHeight="1">
      <c r="A945" s="624">
        <v>15030</v>
      </c>
      <c r="B945" s="625"/>
      <c r="C945" s="626" t="s">
        <v>1370</v>
      </c>
      <c r="D945" s="627"/>
      <c r="E945" s="628"/>
      <c r="F945" s="629"/>
      <c r="G945" s="630" t="s">
        <v>129</v>
      </c>
      <c r="H945" s="631"/>
      <c r="I945" s="631"/>
      <c r="J945" s="632"/>
      <c r="K945" s="632"/>
      <c r="L945" s="627"/>
      <c r="M945" s="632"/>
      <c r="N945" s="739" t="s">
        <v>129</v>
      </c>
      <c r="O945" s="744" t="s">
        <v>129</v>
      </c>
      <c r="P945" s="742"/>
      <c r="Q945" s="124"/>
      <c r="R945" s="124"/>
      <c r="S945" s="124"/>
      <c r="T945" s="750" t="s">
        <v>129</v>
      </c>
      <c r="U945" s="124"/>
      <c r="V945" s="631"/>
      <c r="W945" s="631"/>
      <c r="X945" s="124"/>
      <c r="Y945" s="768" t="s">
        <v>129</v>
      </c>
      <c r="Z945" s="774"/>
      <c r="AA945" s="775"/>
      <c r="AB945" s="810"/>
      <c r="AC945" s="817" t="s">
        <v>129</v>
      </c>
      <c r="AD945" s="810"/>
      <c r="AE945" s="810"/>
      <c r="AF945" s="624">
        <v>15030</v>
      </c>
    </row>
    <row r="946" spans="1:32" ht="12" customHeight="1">
      <c r="A946" s="633"/>
      <c r="B946" s="634"/>
      <c r="C946" s="633"/>
      <c r="D946" s="544"/>
      <c r="E946" s="545"/>
      <c r="F946" s="546"/>
      <c r="G946" s="635" t="s">
        <v>129</v>
      </c>
      <c r="H946" s="636"/>
      <c r="I946" s="636"/>
      <c r="J946" s="549"/>
      <c r="K946" s="635"/>
      <c r="L946" s="633"/>
      <c r="M946" s="549"/>
      <c r="N946" s="592" t="s">
        <v>129</v>
      </c>
      <c r="O946" s="594" t="s">
        <v>129</v>
      </c>
      <c r="P946" s="743"/>
      <c r="Q946" s="124"/>
      <c r="R946" s="124"/>
      <c r="S946" s="124"/>
      <c r="T946" s="751" t="s">
        <v>129</v>
      </c>
      <c r="U946" s="124"/>
      <c r="V946" s="636"/>
      <c r="W946" s="636"/>
      <c r="X946" s="124"/>
      <c r="Y946" s="764" t="s">
        <v>129</v>
      </c>
      <c r="Z946" s="776"/>
      <c r="AA946" s="777"/>
      <c r="AB946" s="633"/>
      <c r="AC946" s="818" t="s">
        <v>129</v>
      </c>
      <c r="AD946" s="811"/>
      <c r="AE946" s="811"/>
      <c r="AF946" s="633"/>
    </row>
    <row r="947" spans="1:32" ht="12" customHeight="1">
      <c r="A947" s="643">
        <v>15031</v>
      </c>
      <c r="B947" s="644"/>
      <c r="C947" s="644" t="s">
        <v>1371</v>
      </c>
      <c r="D947" s="559">
        <v>40</v>
      </c>
      <c r="E947" s="545">
        <v>12500</v>
      </c>
      <c r="F947" s="546">
        <v>34</v>
      </c>
      <c r="G947" s="653">
        <v>84</v>
      </c>
      <c r="H947" s="654">
        <v>77</v>
      </c>
      <c r="I947" s="654">
        <v>97</v>
      </c>
      <c r="J947" s="561">
        <v>30</v>
      </c>
      <c r="K947" s="554" t="s">
        <v>221</v>
      </c>
      <c r="L947" s="562">
        <v>15</v>
      </c>
      <c r="M947" s="561">
        <v>500</v>
      </c>
      <c r="N947" s="592">
        <v>0</v>
      </c>
      <c r="O947" s="594">
        <v>1.65</v>
      </c>
      <c r="P947" s="590">
        <v>13</v>
      </c>
      <c r="Q947" s="124"/>
      <c r="R947" s="124"/>
      <c r="S947" s="124"/>
      <c r="T947" s="751">
        <v>1061.8333333333335</v>
      </c>
      <c r="U947" s="124"/>
      <c r="V947" s="654">
        <v>41.25</v>
      </c>
      <c r="W947" s="636"/>
      <c r="X947" s="124"/>
      <c r="Y947" s="764">
        <v>41.25</v>
      </c>
      <c r="Z947" s="776">
        <v>33.723555555555556</v>
      </c>
      <c r="AA947" s="780">
        <v>84.308888888888902</v>
      </c>
      <c r="AB947" s="811"/>
      <c r="AC947" s="818">
        <v>25</v>
      </c>
      <c r="AD947" s="811" t="s">
        <v>667</v>
      </c>
      <c r="AE947" s="811">
        <v>0</v>
      </c>
      <c r="AF947" s="643">
        <v>15031</v>
      </c>
    </row>
    <row r="948" spans="1:32" ht="12" customHeight="1">
      <c r="A948" s="643">
        <v>15032</v>
      </c>
      <c r="B948" s="644"/>
      <c r="C948" s="542" t="s">
        <v>1372</v>
      </c>
      <c r="D948" s="559">
        <v>40</v>
      </c>
      <c r="E948" s="545">
        <v>13000</v>
      </c>
      <c r="F948" s="546">
        <v>74</v>
      </c>
      <c r="G948" s="653">
        <v>185</v>
      </c>
      <c r="H948" s="654">
        <v>160</v>
      </c>
      <c r="I948" s="654">
        <v>230</v>
      </c>
      <c r="J948" s="561">
        <v>10</v>
      </c>
      <c r="K948" s="554" t="s">
        <v>221</v>
      </c>
      <c r="L948" s="562">
        <v>10</v>
      </c>
      <c r="M948" s="561">
        <v>300</v>
      </c>
      <c r="N948" s="592">
        <v>0.25</v>
      </c>
      <c r="O948" s="594">
        <v>1.1000000000000001</v>
      </c>
      <c r="P948" s="590">
        <v>10</v>
      </c>
      <c r="Q948" s="124"/>
      <c r="R948" s="124"/>
      <c r="S948" s="124"/>
      <c r="T948" s="751">
        <v>1207.5</v>
      </c>
      <c r="U948" s="124"/>
      <c r="V948" s="654">
        <v>47.666666666666671</v>
      </c>
      <c r="W948" s="636"/>
      <c r="X948" s="124"/>
      <c r="Y948" s="764">
        <v>47.666666666666671</v>
      </c>
      <c r="Z948" s="776">
        <v>74.103333333333353</v>
      </c>
      <c r="AA948" s="780">
        <v>185.25833333333338</v>
      </c>
      <c r="AB948" s="811"/>
      <c r="AC948" s="818">
        <v>26</v>
      </c>
      <c r="AD948" s="811" t="s">
        <v>667</v>
      </c>
      <c r="AE948" s="811">
        <v>0</v>
      </c>
      <c r="AF948" s="643">
        <v>15032</v>
      </c>
    </row>
    <row r="949" spans="1:32" ht="12" customHeight="1">
      <c r="A949" s="643">
        <v>15041</v>
      </c>
      <c r="B949" s="644"/>
      <c r="C949" s="542" t="s">
        <v>1373</v>
      </c>
      <c r="D949" s="559">
        <v>65</v>
      </c>
      <c r="E949" s="545">
        <v>19500</v>
      </c>
      <c r="F949" s="546">
        <v>98</v>
      </c>
      <c r="G949" s="653">
        <v>150</v>
      </c>
      <c r="H949" s="654">
        <v>130</v>
      </c>
      <c r="I949" s="654">
        <v>190</v>
      </c>
      <c r="J949" s="561">
        <v>20</v>
      </c>
      <c r="K949" s="554" t="s">
        <v>221</v>
      </c>
      <c r="L949" s="562">
        <v>10</v>
      </c>
      <c r="M949" s="561">
        <v>500</v>
      </c>
      <c r="N949" s="592">
        <v>0.25</v>
      </c>
      <c r="O949" s="594">
        <v>1.1000000000000001</v>
      </c>
      <c r="P949" s="590">
        <v>26</v>
      </c>
      <c r="T949" s="751">
        <v>1888.25</v>
      </c>
      <c r="V949" s="654">
        <v>42.900000000000006</v>
      </c>
      <c r="W949" s="636"/>
      <c r="Y949" s="764">
        <v>42.900000000000006</v>
      </c>
      <c r="Z949" s="776">
        <v>98.178437500000015</v>
      </c>
      <c r="AA949" s="780">
        <v>151.04375000000002</v>
      </c>
      <c r="AB949" s="811"/>
      <c r="AC949" s="818">
        <v>39</v>
      </c>
      <c r="AD949" s="811" t="s">
        <v>667</v>
      </c>
      <c r="AE949" s="811">
        <v>0</v>
      </c>
      <c r="AF949" s="643">
        <v>15041</v>
      </c>
    </row>
    <row r="950" spans="1:32" ht="12" customHeight="1">
      <c r="A950" s="643">
        <v>15042</v>
      </c>
      <c r="B950" s="644"/>
      <c r="C950" s="542" t="s">
        <v>1374</v>
      </c>
      <c r="D950" s="559">
        <v>65</v>
      </c>
      <c r="E950" s="545">
        <v>18500</v>
      </c>
      <c r="F950" s="546">
        <v>74</v>
      </c>
      <c r="G950" s="653">
        <v>115</v>
      </c>
      <c r="H950" s="654">
        <v>100</v>
      </c>
      <c r="I950" s="654">
        <v>140</v>
      </c>
      <c r="J950" s="561">
        <v>35</v>
      </c>
      <c r="K950" s="554" t="s">
        <v>221</v>
      </c>
      <c r="L950" s="562">
        <v>10</v>
      </c>
      <c r="M950" s="561">
        <v>500</v>
      </c>
      <c r="N950" s="592">
        <v>0.1</v>
      </c>
      <c r="O950" s="594">
        <v>1.2</v>
      </c>
      <c r="P950" s="590">
        <v>28</v>
      </c>
      <c r="T950" s="751">
        <v>2075.6</v>
      </c>
      <c r="V950" s="654">
        <v>44.4</v>
      </c>
      <c r="W950" s="636"/>
      <c r="Y950" s="764">
        <v>44.4</v>
      </c>
      <c r="Z950" s="776">
        <v>74.147542857142867</v>
      </c>
      <c r="AA950" s="780">
        <v>114.07314285714287</v>
      </c>
      <c r="AB950" s="811"/>
      <c r="AC950" s="818">
        <v>37</v>
      </c>
      <c r="AD950" s="811" t="s">
        <v>667</v>
      </c>
      <c r="AE950" s="811">
        <v>0</v>
      </c>
      <c r="AF950" s="643">
        <v>15042</v>
      </c>
    </row>
    <row r="951" spans="1:32" ht="12" customHeight="1">
      <c r="A951" s="643">
        <v>15043</v>
      </c>
      <c r="B951" s="644"/>
      <c r="C951" s="542" t="s">
        <v>1375</v>
      </c>
      <c r="D951" s="559">
        <v>65</v>
      </c>
      <c r="E951" s="545">
        <v>15000</v>
      </c>
      <c r="F951" s="546">
        <v>80</v>
      </c>
      <c r="G951" s="653">
        <v>125</v>
      </c>
      <c r="H951" s="654">
        <v>110</v>
      </c>
      <c r="I951" s="654">
        <v>150</v>
      </c>
      <c r="J951" s="561">
        <v>15</v>
      </c>
      <c r="K951" s="554" t="s">
        <v>221</v>
      </c>
      <c r="L951" s="562">
        <v>15</v>
      </c>
      <c r="M951" s="561">
        <v>500</v>
      </c>
      <c r="N951" s="592">
        <v>0.25</v>
      </c>
      <c r="O951" s="594">
        <v>1.2</v>
      </c>
      <c r="P951" s="590">
        <v>28</v>
      </c>
      <c r="T951" s="751">
        <v>1133.5</v>
      </c>
      <c r="V951" s="654">
        <v>36</v>
      </c>
      <c r="W951" s="636"/>
      <c r="Y951" s="764">
        <v>36</v>
      </c>
      <c r="Z951" s="776">
        <v>79.770166666666668</v>
      </c>
      <c r="AA951" s="780">
        <v>122.72333333333334</v>
      </c>
      <c r="AB951" s="811"/>
      <c r="AC951" s="818">
        <v>30</v>
      </c>
      <c r="AD951" s="811" t="s">
        <v>667</v>
      </c>
      <c r="AE951" s="811">
        <v>0</v>
      </c>
      <c r="AF951" s="643">
        <v>15043</v>
      </c>
    </row>
    <row r="952" spans="1:32" ht="12" customHeight="1">
      <c r="A952" s="643">
        <v>15044</v>
      </c>
      <c r="B952" s="644"/>
      <c r="C952" s="542" t="s">
        <v>1376</v>
      </c>
      <c r="D952" s="559">
        <v>30</v>
      </c>
      <c r="E952" s="545">
        <v>16000</v>
      </c>
      <c r="F952" s="546">
        <v>73</v>
      </c>
      <c r="G952" s="653">
        <v>240</v>
      </c>
      <c r="H952" s="654">
        <v>210</v>
      </c>
      <c r="I952" s="654">
        <v>300</v>
      </c>
      <c r="J952" s="561">
        <v>10</v>
      </c>
      <c r="K952" s="554" t="s">
        <v>221</v>
      </c>
      <c r="L952" s="562">
        <v>10</v>
      </c>
      <c r="M952" s="561">
        <v>300</v>
      </c>
      <c r="N952" s="592">
        <v>0.25</v>
      </c>
      <c r="O952" s="594">
        <v>1.2</v>
      </c>
      <c r="P952" s="590">
        <v>26</v>
      </c>
      <c r="T952" s="751">
        <v>1582</v>
      </c>
      <c r="V952" s="654">
        <v>64</v>
      </c>
      <c r="W952" s="636"/>
      <c r="Y952" s="764">
        <v>64</v>
      </c>
      <c r="Z952" s="776">
        <v>73.326000000000008</v>
      </c>
      <c r="AA952" s="780">
        <v>244.42000000000002</v>
      </c>
      <c r="AB952" s="811"/>
      <c r="AC952" s="818">
        <v>32</v>
      </c>
      <c r="AD952" s="811" t="s">
        <v>667</v>
      </c>
      <c r="AE952" s="811">
        <v>0</v>
      </c>
      <c r="AF952" s="643">
        <v>15044</v>
      </c>
    </row>
    <row r="953" spans="1:32" ht="12" customHeight="1">
      <c r="A953" s="643">
        <v>5081</v>
      </c>
      <c r="B953" s="644"/>
      <c r="C953" s="644" t="s">
        <v>873</v>
      </c>
      <c r="D953" s="569">
        <v>400</v>
      </c>
      <c r="E953" s="545">
        <v>9800</v>
      </c>
      <c r="F953" s="546">
        <v>93</v>
      </c>
      <c r="G953" s="653">
        <v>23</v>
      </c>
      <c r="H953" s="654">
        <v>20</v>
      </c>
      <c r="I953" s="654">
        <v>29</v>
      </c>
      <c r="J953" s="561">
        <v>50</v>
      </c>
      <c r="K953" s="554"/>
      <c r="L953" s="562">
        <v>15</v>
      </c>
      <c r="M953" s="561">
        <v>2000</v>
      </c>
      <c r="N953" s="592">
        <v>0.25</v>
      </c>
      <c r="O953" s="594">
        <v>0.9</v>
      </c>
      <c r="P953" s="590">
        <v>32</v>
      </c>
      <c r="T953" s="751">
        <v>836.5</v>
      </c>
      <c r="V953" s="654">
        <v>4.41</v>
      </c>
      <c r="W953" s="636"/>
      <c r="Y953" s="764">
        <v>4.41</v>
      </c>
      <c r="Z953" s="776">
        <v>93.016000000000005</v>
      </c>
      <c r="AA953" s="780">
        <v>23.254000000000001</v>
      </c>
      <c r="AB953" s="811"/>
      <c r="AC953" s="818">
        <v>19.600000000000001</v>
      </c>
      <c r="AD953" s="811" t="s">
        <v>667</v>
      </c>
      <c r="AE953" s="811">
        <v>0</v>
      </c>
      <c r="AF953" s="643">
        <v>5081</v>
      </c>
    </row>
    <row r="954" spans="1:32" ht="12" customHeight="1">
      <c r="A954" s="643">
        <v>15045</v>
      </c>
      <c r="B954" s="644"/>
      <c r="C954" s="644" t="s">
        <v>1377</v>
      </c>
      <c r="D954" s="569">
        <v>200</v>
      </c>
      <c r="E954" s="545">
        <v>16000</v>
      </c>
      <c r="F954" s="546">
        <v>70</v>
      </c>
      <c r="G954" s="653">
        <v>35</v>
      </c>
      <c r="H954" s="654">
        <v>29</v>
      </c>
      <c r="I954" s="654">
        <v>44</v>
      </c>
      <c r="J954" s="561">
        <v>50</v>
      </c>
      <c r="K954" s="554"/>
      <c r="L954" s="562">
        <v>15</v>
      </c>
      <c r="M954" s="561">
        <v>2000</v>
      </c>
      <c r="N954" s="592">
        <v>0.25</v>
      </c>
      <c r="O954" s="594">
        <v>0.9</v>
      </c>
      <c r="P954" s="590">
        <v>32</v>
      </c>
      <c r="T954" s="751">
        <v>1224</v>
      </c>
      <c r="V954" s="654">
        <v>7.2</v>
      </c>
      <c r="W954" s="636"/>
      <c r="Y954" s="764">
        <v>7.2</v>
      </c>
      <c r="Z954" s="776">
        <v>69.695999999999998</v>
      </c>
      <c r="AA954" s="780">
        <v>34.847999999999999</v>
      </c>
      <c r="AB954" s="811"/>
      <c r="AC954" s="818">
        <v>32</v>
      </c>
      <c r="AD954" s="811" t="s">
        <v>667</v>
      </c>
      <c r="AE954" s="811">
        <v>0</v>
      </c>
      <c r="AF954" s="643">
        <v>15045</v>
      </c>
    </row>
    <row r="955" spans="1:32" ht="12" customHeight="1">
      <c r="A955" s="643">
        <v>15033</v>
      </c>
      <c r="B955" s="644"/>
      <c r="C955" s="644" t="s">
        <v>1378</v>
      </c>
      <c r="D955" s="559">
        <v>10</v>
      </c>
      <c r="E955" s="545">
        <v>10500</v>
      </c>
      <c r="F955" s="546">
        <v>16.5</v>
      </c>
      <c r="G955" s="653">
        <v>165</v>
      </c>
      <c r="H955" s="654">
        <v>140</v>
      </c>
      <c r="I955" s="654">
        <v>200</v>
      </c>
      <c r="J955" s="561">
        <v>10</v>
      </c>
      <c r="K955" s="554">
        <v>25</v>
      </c>
      <c r="L955" s="562">
        <v>10</v>
      </c>
      <c r="M955" s="561">
        <v>300</v>
      </c>
      <c r="N955" s="592">
        <v>0.25</v>
      </c>
      <c r="O955" s="594">
        <v>1.1499999999999999</v>
      </c>
      <c r="P955" s="590">
        <v>12</v>
      </c>
      <c r="T955" s="751">
        <v>1002.75</v>
      </c>
      <c r="V955" s="654">
        <v>40.25</v>
      </c>
      <c r="W955" s="654">
        <v>8.75</v>
      </c>
      <c r="Y955" s="764">
        <v>49</v>
      </c>
      <c r="Z955" s="776">
        <v>16.420249999999999</v>
      </c>
      <c r="AA955" s="780">
        <v>164.20250000000001</v>
      </c>
      <c r="AB955" s="812">
        <v>4</v>
      </c>
      <c r="AC955" s="818">
        <v>21</v>
      </c>
      <c r="AD955" s="811" t="s">
        <v>667</v>
      </c>
      <c r="AE955" s="811">
        <v>2</v>
      </c>
      <c r="AF955" s="643">
        <v>15033</v>
      </c>
    </row>
    <row r="956" spans="1:32" ht="12" customHeight="1">
      <c r="A956" s="643">
        <v>15034</v>
      </c>
      <c r="B956" s="644"/>
      <c r="C956" s="644" t="s">
        <v>1379</v>
      </c>
      <c r="D956" s="559">
        <v>15</v>
      </c>
      <c r="E956" s="545">
        <v>7100</v>
      </c>
      <c r="F956" s="546">
        <v>14</v>
      </c>
      <c r="G956" s="653">
        <v>93</v>
      </c>
      <c r="H956" s="654">
        <v>81</v>
      </c>
      <c r="I956" s="654">
        <v>113</v>
      </c>
      <c r="J956" s="561">
        <v>12</v>
      </c>
      <c r="K956" s="554" t="s">
        <v>221</v>
      </c>
      <c r="L956" s="562">
        <v>10</v>
      </c>
      <c r="M956" s="561">
        <v>300</v>
      </c>
      <c r="N956" s="592">
        <v>0.25</v>
      </c>
      <c r="O956" s="594">
        <v>1.25</v>
      </c>
      <c r="P956" s="590">
        <v>5</v>
      </c>
      <c r="T956" s="751">
        <v>656.25</v>
      </c>
      <c r="V956" s="654">
        <v>29.583333333333336</v>
      </c>
      <c r="W956" s="636"/>
      <c r="Y956" s="764">
        <v>29.583333333333336</v>
      </c>
      <c r="Z956" s="776">
        <v>13.904687500000001</v>
      </c>
      <c r="AA956" s="780">
        <v>92.697916666666686</v>
      </c>
      <c r="AB956" s="811"/>
      <c r="AC956" s="818">
        <v>14.200000000000001</v>
      </c>
      <c r="AD956" s="811" t="s">
        <v>667</v>
      </c>
      <c r="AE956" s="811">
        <v>0</v>
      </c>
      <c r="AF956" s="643">
        <v>15034</v>
      </c>
    </row>
    <row r="957" spans="1:32" ht="12" customHeight="1">
      <c r="A957" s="643">
        <v>15038</v>
      </c>
      <c r="B957" s="644"/>
      <c r="C957" s="644" t="s">
        <v>1380</v>
      </c>
      <c r="D957" s="559">
        <v>10</v>
      </c>
      <c r="E957" s="545">
        <v>5500</v>
      </c>
      <c r="F957" s="546">
        <v>7.5</v>
      </c>
      <c r="G957" s="653">
        <v>76</v>
      </c>
      <c r="H957" s="654">
        <v>66</v>
      </c>
      <c r="I957" s="654">
        <v>92</v>
      </c>
      <c r="J957" s="561">
        <v>10</v>
      </c>
      <c r="K957" s="554"/>
      <c r="L957" s="562">
        <v>15</v>
      </c>
      <c r="M957" s="561">
        <v>300</v>
      </c>
      <c r="N957" s="592">
        <v>0.25</v>
      </c>
      <c r="O957" s="594">
        <v>1.3</v>
      </c>
      <c r="P957" s="590">
        <v>15</v>
      </c>
      <c r="T957" s="751">
        <v>448.75</v>
      </c>
      <c r="V957" s="654">
        <v>23.833333333333332</v>
      </c>
      <c r="W957" s="654"/>
      <c r="Y957" s="764">
        <v>23.833333333333332</v>
      </c>
      <c r="Z957" s="776">
        <v>7.5579166666666664</v>
      </c>
      <c r="AA957" s="780">
        <v>75.579166666666666</v>
      </c>
      <c r="AB957" s="812"/>
      <c r="AC957" s="818">
        <v>11</v>
      </c>
      <c r="AD957" s="811" t="s">
        <v>667</v>
      </c>
      <c r="AE957" s="811">
        <v>0</v>
      </c>
      <c r="AF957" s="643">
        <v>15038</v>
      </c>
    </row>
    <row r="958" spans="1:32" ht="12" customHeight="1">
      <c r="A958" s="643">
        <v>15039</v>
      </c>
      <c r="B958" s="644"/>
      <c r="C958" s="644" t="s">
        <v>1381</v>
      </c>
      <c r="D958" s="559">
        <v>10</v>
      </c>
      <c r="E958" s="545">
        <v>11500</v>
      </c>
      <c r="F958" s="546">
        <v>6.5</v>
      </c>
      <c r="G958" s="653">
        <v>64</v>
      </c>
      <c r="H958" s="654">
        <v>57</v>
      </c>
      <c r="I958" s="654">
        <v>76</v>
      </c>
      <c r="J958" s="561">
        <v>30</v>
      </c>
      <c r="K958" s="554"/>
      <c r="L958" s="562">
        <v>15</v>
      </c>
      <c r="M958" s="561">
        <v>600</v>
      </c>
      <c r="N958" s="592">
        <v>0.1</v>
      </c>
      <c r="O958" s="594">
        <v>1.3</v>
      </c>
      <c r="P958" s="590">
        <v>25</v>
      </c>
      <c r="T958" s="751">
        <v>998.4</v>
      </c>
      <c r="V958" s="654">
        <v>24.916666666666668</v>
      </c>
      <c r="W958" s="654"/>
      <c r="Y958" s="764">
        <v>24.916666666666668</v>
      </c>
      <c r="Z958" s="776">
        <v>6.4016333333333355</v>
      </c>
      <c r="AA958" s="780">
        <v>64.01633333333335</v>
      </c>
      <c r="AB958" s="812"/>
      <c r="AC958" s="818">
        <v>23</v>
      </c>
      <c r="AD958" s="811" t="s">
        <v>667</v>
      </c>
      <c r="AE958" s="811">
        <v>0</v>
      </c>
      <c r="AF958" s="643">
        <v>15039</v>
      </c>
    </row>
    <row r="959" spans="1:32" ht="12" customHeight="1">
      <c r="A959" s="643">
        <v>15036</v>
      </c>
      <c r="B959" s="644"/>
      <c r="C959" s="644" t="s">
        <v>1382</v>
      </c>
      <c r="D959" s="559">
        <v>15</v>
      </c>
      <c r="E959" s="545">
        <v>126000</v>
      </c>
      <c r="F959" s="546">
        <v>91</v>
      </c>
      <c r="G959" s="653">
        <v>610</v>
      </c>
      <c r="H959" s="654">
        <v>540</v>
      </c>
      <c r="I959" s="654">
        <v>730</v>
      </c>
      <c r="J959" s="561">
        <v>40</v>
      </c>
      <c r="K959" s="554" t="s">
        <v>221</v>
      </c>
      <c r="L959" s="562">
        <v>10</v>
      </c>
      <c r="M959" s="561">
        <v>500</v>
      </c>
      <c r="N959" s="592">
        <v>0.1</v>
      </c>
      <c r="O959" s="594">
        <v>0.9</v>
      </c>
      <c r="P959" s="590">
        <v>32</v>
      </c>
      <c r="T959" s="751">
        <v>13025.6</v>
      </c>
      <c r="V959" s="654">
        <v>226.8</v>
      </c>
      <c r="W959" s="636"/>
      <c r="Y959" s="764">
        <v>226.8</v>
      </c>
      <c r="Z959" s="776">
        <v>91.152600000000021</v>
      </c>
      <c r="AA959" s="780">
        <v>607.68400000000008</v>
      </c>
      <c r="AB959" s="811"/>
      <c r="AC959" s="818">
        <v>252</v>
      </c>
      <c r="AD959" s="811" t="s">
        <v>667</v>
      </c>
      <c r="AE959" s="811">
        <v>0</v>
      </c>
      <c r="AF959" s="643">
        <v>15036</v>
      </c>
    </row>
    <row r="960" spans="1:32" ht="12" customHeight="1">
      <c r="A960" s="643">
        <v>15037</v>
      </c>
      <c r="B960" s="644"/>
      <c r="C960" s="644" t="s">
        <v>1383</v>
      </c>
      <c r="D960" s="559">
        <v>10</v>
      </c>
      <c r="E960" s="545">
        <v>33000</v>
      </c>
      <c r="F960" s="546">
        <v>74</v>
      </c>
      <c r="G960" s="653">
        <v>740</v>
      </c>
      <c r="H960" s="654">
        <v>630</v>
      </c>
      <c r="I960" s="654">
        <v>930</v>
      </c>
      <c r="J960" s="561">
        <v>6</v>
      </c>
      <c r="K960" s="554"/>
      <c r="L960" s="562">
        <v>10</v>
      </c>
      <c r="M960" s="561">
        <v>200</v>
      </c>
      <c r="N960" s="592">
        <v>0.25</v>
      </c>
      <c r="O960" s="594">
        <v>1</v>
      </c>
      <c r="P960" s="590">
        <v>25</v>
      </c>
      <c r="T960" s="751">
        <v>3062.5</v>
      </c>
      <c r="V960" s="654">
        <v>165</v>
      </c>
      <c r="W960" s="654"/>
      <c r="Y960" s="764">
        <v>165</v>
      </c>
      <c r="Z960" s="776">
        <v>74.295833333333348</v>
      </c>
      <c r="AA960" s="780">
        <v>742.95833333333348</v>
      </c>
      <c r="AB960" s="812"/>
      <c r="AC960" s="818">
        <v>66</v>
      </c>
      <c r="AD960" s="811" t="s">
        <v>667</v>
      </c>
      <c r="AE960" s="811">
        <v>0</v>
      </c>
      <c r="AF960" s="643">
        <v>15037</v>
      </c>
    </row>
    <row r="961" spans="1:32" ht="12" customHeight="1">
      <c r="A961" s="643">
        <v>5123</v>
      </c>
      <c r="B961" s="644"/>
      <c r="C961" s="644" t="s">
        <v>1384</v>
      </c>
      <c r="D961" s="559">
        <v>80</v>
      </c>
      <c r="E961" s="545">
        <v>17500</v>
      </c>
      <c r="F961" s="546">
        <v>115</v>
      </c>
      <c r="G961" s="653">
        <v>145</v>
      </c>
      <c r="H961" s="654">
        <v>130</v>
      </c>
      <c r="I961" s="654">
        <v>160</v>
      </c>
      <c r="J961" s="561">
        <v>25</v>
      </c>
      <c r="K961" s="554" t="s">
        <v>221</v>
      </c>
      <c r="L961" s="562">
        <v>15</v>
      </c>
      <c r="M961" s="561">
        <v>800</v>
      </c>
      <c r="N961" s="592">
        <v>0.25</v>
      </c>
      <c r="O961" s="594">
        <v>3.55</v>
      </c>
      <c r="P961" s="590">
        <v>32</v>
      </c>
      <c r="T961" s="751">
        <v>1317.75</v>
      </c>
      <c r="V961" s="654">
        <v>77.65625</v>
      </c>
      <c r="W961" s="636"/>
      <c r="Y961" s="764">
        <v>77.65625</v>
      </c>
      <c r="Z961" s="776">
        <v>114.72230000000002</v>
      </c>
      <c r="AA961" s="780">
        <v>143.40287500000002</v>
      </c>
      <c r="AB961" s="811"/>
      <c r="AC961" s="818">
        <v>35</v>
      </c>
      <c r="AD961" s="811" t="s">
        <v>667</v>
      </c>
      <c r="AE961" s="811">
        <v>0</v>
      </c>
      <c r="AF961" s="643">
        <v>5123</v>
      </c>
    </row>
    <row r="962" spans="1:32" ht="12" customHeight="1">
      <c r="A962" s="643">
        <v>5095</v>
      </c>
      <c r="B962" s="644"/>
      <c r="C962" s="644" t="s">
        <v>1385</v>
      </c>
      <c r="D962" s="559">
        <v>100</v>
      </c>
      <c r="E962" s="545">
        <v>30000</v>
      </c>
      <c r="F962" s="546">
        <v>60</v>
      </c>
      <c r="G962" s="653">
        <v>60</v>
      </c>
      <c r="H962" s="654">
        <v>50</v>
      </c>
      <c r="I962" s="654">
        <v>76</v>
      </c>
      <c r="J962" s="561">
        <v>50</v>
      </c>
      <c r="K962" s="554" t="s">
        <v>221</v>
      </c>
      <c r="L962" s="562">
        <v>12</v>
      </c>
      <c r="M962" s="561">
        <v>1800</v>
      </c>
      <c r="N962" s="592">
        <v>0.25</v>
      </c>
      <c r="O962" s="594">
        <v>0.55000000000000004</v>
      </c>
      <c r="P962" s="590">
        <v>2</v>
      </c>
      <c r="T962" s="751">
        <v>2264</v>
      </c>
      <c r="V962" s="654">
        <v>9.1666666666666679</v>
      </c>
      <c r="W962" s="636"/>
      <c r="Y962" s="764">
        <v>9.1666666666666679</v>
      </c>
      <c r="Z962" s="776">
        <v>59.891333333333343</v>
      </c>
      <c r="AA962" s="780">
        <v>59.891333333333343</v>
      </c>
      <c r="AB962" s="811"/>
      <c r="AC962" s="818">
        <v>60</v>
      </c>
      <c r="AD962" s="811" t="s">
        <v>667</v>
      </c>
      <c r="AE962" s="811">
        <v>0</v>
      </c>
      <c r="AF962" s="643">
        <v>5095</v>
      </c>
    </row>
    <row r="963" spans="1:32" ht="12" customHeight="1">
      <c r="A963" s="633"/>
      <c r="B963" s="634"/>
      <c r="C963" s="633"/>
      <c r="D963" s="559"/>
      <c r="E963" s="545"/>
      <c r="F963" s="546"/>
      <c r="G963" s="731" t="s">
        <v>129</v>
      </c>
      <c r="H963" s="730"/>
      <c r="I963" s="730"/>
      <c r="J963" s="585"/>
      <c r="K963" s="635"/>
      <c r="L963" s="633"/>
      <c r="M963" s="585"/>
      <c r="N963" s="592" t="s">
        <v>129</v>
      </c>
      <c r="O963" s="594" t="s">
        <v>129</v>
      </c>
      <c r="P963" s="743"/>
      <c r="T963" s="751" t="s">
        <v>129</v>
      </c>
      <c r="V963" s="730"/>
      <c r="W963" s="730"/>
      <c r="Y963" s="764" t="s">
        <v>129</v>
      </c>
      <c r="Z963" s="776"/>
      <c r="AA963" s="808"/>
      <c r="AB963" s="633"/>
      <c r="AC963" s="818" t="s">
        <v>129</v>
      </c>
      <c r="AD963" s="811"/>
      <c r="AE963" s="811"/>
      <c r="AF963" s="633"/>
    </row>
    <row r="964" spans="1:32" ht="12" customHeight="1">
      <c r="A964" s="624">
        <v>15040</v>
      </c>
      <c r="B964" s="625"/>
      <c r="C964" s="626" t="s">
        <v>1386</v>
      </c>
      <c r="D964" s="627"/>
      <c r="E964" s="628"/>
      <c r="F964" s="629"/>
      <c r="G964" s="630" t="s">
        <v>129</v>
      </c>
      <c r="H964" s="631"/>
      <c r="I964" s="631"/>
      <c r="J964" s="632"/>
      <c r="K964" s="632"/>
      <c r="L964" s="627"/>
      <c r="M964" s="632"/>
      <c r="N964" s="739" t="s">
        <v>129</v>
      </c>
      <c r="O964" s="744" t="s">
        <v>129</v>
      </c>
      <c r="P964" s="742"/>
      <c r="T964" s="750" t="s">
        <v>129</v>
      </c>
      <c r="V964" s="631"/>
      <c r="W964" s="631"/>
      <c r="Y964" s="768" t="s">
        <v>129</v>
      </c>
      <c r="Z964" s="774"/>
      <c r="AA964" s="775"/>
      <c r="AB964" s="810"/>
      <c r="AC964" s="817" t="s">
        <v>129</v>
      </c>
      <c r="AD964" s="810"/>
      <c r="AE964" s="810"/>
      <c r="AF964" s="624">
        <v>15040</v>
      </c>
    </row>
    <row r="965" spans="1:32" ht="12" customHeight="1">
      <c r="A965" s="633"/>
      <c r="B965" s="634"/>
      <c r="C965" s="633"/>
      <c r="D965" s="559"/>
      <c r="E965" s="545"/>
      <c r="F965" s="546"/>
      <c r="G965" s="660" t="s">
        <v>129</v>
      </c>
      <c r="H965" s="636"/>
      <c r="I965" s="636"/>
      <c r="J965" s="549"/>
      <c r="K965" s="635"/>
      <c r="L965" s="633"/>
      <c r="M965" s="549"/>
      <c r="N965" s="592" t="s">
        <v>129</v>
      </c>
      <c r="O965" s="594" t="s">
        <v>129</v>
      </c>
      <c r="P965" s="743"/>
      <c r="T965" s="751" t="s">
        <v>129</v>
      </c>
      <c r="V965" s="654"/>
      <c r="W965" s="636"/>
      <c r="Y965" s="764" t="s">
        <v>129</v>
      </c>
      <c r="Z965" s="776"/>
      <c r="AA965" s="788"/>
      <c r="AB965" s="633"/>
      <c r="AC965" s="818" t="s">
        <v>129</v>
      </c>
      <c r="AD965" s="811"/>
      <c r="AE965" s="811"/>
      <c r="AF965" s="633"/>
    </row>
    <row r="966" spans="1:32" ht="12" customHeight="1">
      <c r="A966" s="643">
        <v>15041</v>
      </c>
      <c r="B966" s="644"/>
      <c r="C966" s="644" t="s">
        <v>1387</v>
      </c>
      <c r="D966" s="559">
        <v>12</v>
      </c>
      <c r="E966" s="545">
        <v>19500</v>
      </c>
      <c r="F966" s="546">
        <v>39</v>
      </c>
      <c r="G966" s="653">
        <v>330</v>
      </c>
      <c r="H966" s="654">
        <v>280</v>
      </c>
      <c r="I966" s="654">
        <v>410</v>
      </c>
      <c r="J966" s="561">
        <v>10</v>
      </c>
      <c r="K966" s="554" t="s">
        <v>221</v>
      </c>
      <c r="L966" s="562">
        <v>10</v>
      </c>
      <c r="M966" s="561">
        <v>300</v>
      </c>
      <c r="N966" s="592">
        <v>0.25</v>
      </c>
      <c r="O966" s="594">
        <v>1.2</v>
      </c>
      <c r="P966" s="590">
        <v>72</v>
      </c>
      <c r="T966" s="751">
        <v>2210.25</v>
      </c>
      <c r="V966" s="654">
        <v>78</v>
      </c>
      <c r="W966" s="636"/>
      <c r="Y966" s="764">
        <v>78</v>
      </c>
      <c r="Z966" s="776">
        <v>39.471299999999999</v>
      </c>
      <c r="AA966" s="780">
        <v>328.92750000000001</v>
      </c>
      <c r="AB966" s="811"/>
      <c r="AC966" s="818">
        <v>39</v>
      </c>
      <c r="AD966" s="811" t="s">
        <v>667</v>
      </c>
      <c r="AE966" s="811">
        <v>0</v>
      </c>
      <c r="AF966" s="643">
        <v>15041</v>
      </c>
    </row>
    <row r="967" spans="1:32" ht="12" customHeight="1">
      <c r="A967" s="643">
        <v>15048</v>
      </c>
      <c r="B967" s="644"/>
      <c r="C967" s="644" t="s">
        <v>1388</v>
      </c>
      <c r="D967" s="559">
        <v>15</v>
      </c>
      <c r="E967" s="545">
        <v>186000</v>
      </c>
      <c r="F967" s="546">
        <v>200</v>
      </c>
      <c r="G967" s="653">
        <v>1350</v>
      </c>
      <c r="H967" s="654">
        <v>1160</v>
      </c>
      <c r="I967" s="654">
        <v>1650</v>
      </c>
      <c r="J967" s="561">
        <v>20</v>
      </c>
      <c r="K967" s="554" t="s">
        <v>221</v>
      </c>
      <c r="L967" s="562">
        <v>10</v>
      </c>
      <c r="M967" s="561">
        <v>500</v>
      </c>
      <c r="N967" s="592">
        <v>0.25</v>
      </c>
      <c r="O967" s="594">
        <v>1.05</v>
      </c>
      <c r="P967" s="590">
        <v>60</v>
      </c>
      <c r="T967" s="751">
        <v>16695</v>
      </c>
      <c r="V967" s="654">
        <v>390.6</v>
      </c>
      <c r="W967" s="636"/>
      <c r="Y967" s="764">
        <v>390.6</v>
      </c>
      <c r="Z967" s="776">
        <v>202.18275000000003</v>
      </c>
      <c r="AA967" s="780">
        <v>1347.885</v>
      </c>
      <c r="AB967" s="811"/>
      <c r="AC967" s="818">
        <v>372</v>
      </c>
      <c r="AD967" s="811" t="s">
        <v>667</v>
      </c>
      <c r="AE967" s="811">
        <v>0</v>
      </c>
      <c r="AF967" s="643">
        <v>15048</v>
      </c>
    </row>
    <row r="968" spans="1:32" ht="12" customHeight="1">
      <c r="A968" s="643">
        <v>15049</v>
      </c>
      <c r="B968" s="644"/>
      <c r="C968" s="644" t="s">
        <v>1389</v>
      </c>
      <c r="D968" s="559">
        <v>24</v>
      </c>
      <c r="E968" s="545">
        <v>222000</v>
      </c>
      <c r="F968" s="546">
        <v>255</v>
      </c>
      <c r="G968" s="653">
        <v>1050</v>
      </c>
      <c r="H968" s="654">
        <v>940</v>
      </c>
      <c r="I968" s="654">
        <v>1270</v>
      </c>
      <c r="J968" s="561">
        <v>40</v>
      </c>
      <c r="K968" s="554" t="s">
        <v>221</v>
      </c>
      <c r="L968" s="562">
        <v>10</v>
      </c>
      <c r="M968" s="561">
        <v>600</v>
      </c>
      <c r="N968" s="592">
        <v>0.1</v>
      </c>
      <c r="O968" s="594">
        <v>1.05</v>
      </c>
      <c r="P968" s="590">
        <v>80</v>
      </c>
      <c r="T968" s="751">
        <v>23115.200000000001</v>
      </c>
      <c r="V968" s="654">
        <v>388.5</v>
      </c>
      <c r="W968" s="636"/>
      <c r="Y968" s="764">
        <v>388.5</v>
      </c>
      <c r="Z968" s="776">
        <v>255.12432000000001</v>
      </c>
      <c r="AA968" s="780">
        <v>1063.018</v>
      </c>
      <c r="AB968" s="811"/>
      <c r="AC968" s="818">
        <v>444</v>
      </c>
      <c r="AD968" s="811" t="s">
        <v>667</v>
      </c>
      <c r="AE968" s="811">
        <v>0</v>
      </c>
      <c r="AF968" s="643">
        <v>15049</v>
      </c>
    </row>
    <row r="969" spans="1:32" ht="12" customHeight="1">
      <c r="A969" s="643">
        <v>15050</v>
      </c>
      <c r="B969" s="644"/>
      <c r="C969" s="644" t="s">
        <v>1390</v>
      </c>
      <c r="D969" s="559">
        <v>70</v>
      </c>
      <c r="E969" s="545">
        <v>17000</v>
      </c>
      <c r="F969" s="546">
        <v>170</v>
      </c>
      <c r="G969" s="653">
        <v>240</v>
      </c>
      <c r="H969" s="654">
        <v>210</v>
      </c>
      <c r="I969" s="654">
        <v>300</v>
      </c>
      <c r="J969" s="561">
        <v>10</v>
      </c>
      <c r="K969" s="554" t="s">
        <v>221</v>
      </c>
      <c r="L969" s="562">
        <v>10</v>
      </c>
      <c r="M969" s="561">
        <v>300</v>
      </c>
      <c r="N969" s="592">
        <v>0.25</v>
      </c>
      <c r="O969" s="594">
        <v>1.1499999999999999</v>
      </c>
      <c r="P969" s="590">
        <v>12</v>
      </c>
      <c r="T969" s="751">
        <v>1571.5</v>
      </c>
      <c r="V969" s="654">
        <v>65.166666666666657</v>
      </c>
      <c r="W969" s="636"/>
      <c r="Y969" s="764">
        <v>65.166666666666657</v>
      </c>
      <c r="Z969" s="776">
        <v>171.18383333333335</v>
      </c>
      <c r="AA969" s="780">
        <v>244.54833333333335</v>
      </c>
      <c r="AB969" s="811"/>
      <c r="AC969" s="818">
        <v>34</v>
      </c>
      <c r="AD969" s="811" t="s">
        <v>667</v>
      </c>
      <c r="AE969" s="811">
        <v>0</v>
      </c>
      <c r="AF969" s="643">
        <v>15050</v>
      </c>
    </row>
    <row r="970" spans="1:32" ht="12" customHeight="1">
      <c r="A970" s="643">
        <v>15042</v>
      </c>
      <c r="B970" s="644"/>
      <c r="C970" s="644" t="s">
        <v>1391</v>
      </c>
      <c r="D970" s="559">
        <v>40</v>
      </c>
      <c r="E970" s="545">
        <v>18500</v>
      </c>
      <c r="F970" s="546">
        <v>110</v>
      </c>
      <c r="G970" s="653">
        <v>270</v>
      </c>
      <c r="H970" s="654">
        <v>240</v>
      </c>
      <c r="I970" s="654">
        <v>340</v>
      </c>
      <c r="J970" s="561">
        <v>10</v>
      </c>
      <c r="K970" s="554" t="s">
        <v>221</v>
      </c>
      <c r="L970" s="562">
        <v>10</v>
      </c>
      <c r="M970" s="561">
        <v>300</v>
      </c>
      <c r="N970" s="592">
        <v>0.25</v>
      </c>
      <c r="O970" s="594">
        <v>1.3</v>
      </c>
      <c r="P970" s="590">
        <v>10</v>
      </c>
      <c r="T970" s="751">
        <v>1688.75</v>
      </c>
      <c r="V970" s="654">
        <v>80.166666666666671</v>
      </c>
      <c r="W970" s="636"/>
      <c r="Y970" s="764">
        <v>80.166666666666671</v>
      </c>
      <c r="Z970" s="776">
        <v>109.57833333333336</v>
      </c>
      <c r="AA970" s="780">
        <v>273.94583333333338</v>
      </c>
      <c r="AB970" s="811"/>
      <c r="AC970" s="818">
        <v>37</v>
      </c>
      <c r="AD970" s="811" t="s">
        <v>667</v>
      </c>
      <c r="AE970" s="811">
        <v>0</v>
      </c>
      <c r="AF970" s="643">
        <v>15042</v>
      </c>
    </row>
    <row r="971" spans="1:32" ht="12" customHeight="1">
      <c r="A971" s="541">
        <v>15043</v>
      </c>
      <c r="B971" s="542"/>
      <c r="C971" s="644" t="s">
        <v>1392</v>
      </c>
      <c r="D971" s="559">
        <v>25</v>
      </c>
      <c r="E971" s="545">
        <v>15000</v>
      </c>
      <c r="F971" s="546">
        <v>32</v>
      </c>
      <c r="G971" s="653">
        <v>125</v>
      </c>
      <c r="H971" s="654">
        <v>110</v>
      </c>
      <c r="I971" s="654">
        <v>150</v>
      </c>
      <c r="J971" s="561">
        <v>20</v>
      </c>
      <c r="K971" s="554" t="s">
        <v>221</v>
      </c>
      <c r="L971" s="562">
        <v>12</v>
      </c>
      <c r="M971" s="561">
        <v>300</v>
      </c>
      <c r="N971" s="592">
        <v>0.1</v>
      </c>
      <c r="O971" s="594">
        <v>0.8</v>
      </c>
      <c r="P971" s="590">
        <v>29</v>
      </c>
      <c r="T971" s="751">
        <v>1502</v>
      </c>
      <c r="V971" s="654">
        <v>40</v>
      </c>
      <c r="W971" s="636"/>
      <c r="Y971" s="764">
        <v>40</v>
      </c>
      <c r="Z971" s="776">
        <v>31.6525</v>
      </c>
      <c r="AA971" s="780">
        <v>126.61</v>
      </c>
      <c r="AB971" s="602"/>
      <c r="AC971" s="818">
        <v>30</v>
      </c>
      <c r="AD971" s="811" t="s">
        <v>667</v>
      </c>
      <c r="AE971" s="602">
        <v>0</v>
      </c>
      <c r="AF971" s="541">
        <v>15043</v>
      </c>
    </row>
    <row r="972" spans="1:32" ht="12" customHeight="1">
      <c r="A972" s="643">
        <v>15051</v>
      </c>
      <c r="B972" s="644"/>
      <c r="C972" s="644" t="s">
        <v>1393</v>
      </c>
      <c r="D972" s="577"/>
      <c r="E972" s="545">
        <v>5500</v>
      </c>
      <c r="F972" s="546"/>
      <c r="G972" s="653">
        <v>69</v>
      </c>
      <c r="H972" s="654">
        <v>58</v>
      </c>
      <c r="I972" s="654">
        <v>89</v>
      </c>
      <c r="J972" s="561">
        <v>6</v>
      </c>
      <c r="K972" s="554" t="s">
        <v>221</v>
      </c>
      <c r="L972" s="562">
        <v>20</v>
      </c>
      <c r="M972" s="561">
        <v>300</v>
      </c>
      <c r="N972" s="592">
        <v>0.25</v>
      </c>
      <c r="O972" s="594">
        <v>0.5</v>
      </c>
      <c r="P972" s="590">
        <v>7</v>
      </c>
      <c r="T972" s="751">
        <v>324</v>
      </c>
      <c r="V972" s="654">
        <v>9.1666666666666661</v>
      </c>
      <c r="W972" s="636"/>
      <c r="Y972" s="764">
        <v>9.1666666666666661</v>
      </c>
      <c r="Z972" s="776">
        <v>0</v>
      </c>
      <c r="AA972" s="780">
        <v>69.483333333333334</v>
      </c>
      <c r="AB972" s="811"/>
      <c r="AC972" s="818">
        <v>11</v>
      </c>
      <c r="AD972" s="811" t="s">
        <v>667</v>
      </c>
      <c r="AE972" s="811">
        <v>0</v>
      </c>
      <c r="AF972" s="643">
        <v>15051</v>
      </c>
    </row>
    <row r="973" spans="1:32" ht="12" customHeight="1">
      <c r="A973" s="643">
        <v>15052</v>
      </c>
      <c r="B973" s="644"/>
      <c r="C973" s="644" t="s">
        <v>1394</v>
      </c>
      <c r="D973" s="577"/>
      <c r="E973" s="545">
        <v>46000</v>
      </c>
      <c r="F973" s="546"/>
      <c r="G973" s="653">
        <v>830</v>
      </c>
      <c r="H973" s="654">
        <v>700</v>
      </c>
      <c r="I973" s="654">
        <v>1050</v>
      </c>
      <c r="J973" s="561">
        <v>6</v>
      </c>
      <c r="K973" s="554" t="s">
        <v>221</v>
      </c>
      <c r="L973" s="562">
        <v>12</v>
      </c>
      <c r="M973" s="561">
        <v>300</v>
      </c>
      <c r="N973" s="592">
        <v>0.25</v>
      </c>
      <c r="O973" s="594">
        <v>1.1000000000000001</v>
      </c>
      <c r="P973" s="590">
        <v>10</v>
      </c>
      <c r="T973" s="751">
        <v>3520</v>
      </c>
      <c r="V973" s="654">
        <v>168.66666666666669</v>
      </c>
      <c r="W973" s="636"/>
      <c r="Y973" s="764">
        <v>168.66666666666669</v>
      </c>
      <c r="Z973" s="776">
        <v>0</v>
      </c>
      <c r="AA973" s="780">
        <v>830.86666666666667</v>
      </c>
      <c r="AB973" s="811"/>
      <c r="AC973" s="818">
        <v>92</v>
      </c>
      <c r="AD973" s="811" t="s">
        <v>667</v>
      </c>
      <c r="AE973" s="811">
        <v>0</v>
      </c>
      <c r="AF973" s="643">
        <v>15052</v>
      </c>
    </row>
    <row r="974" spans="1:32" ht="12" customHeight="1">
      <c r="A974" s="643">
        <v>15044</v>
      </c>
      <c r="B974" s="644"/>
      <c r="C974" s="644" t="s">
        <v>1395</v>
      </c>
      <c r="D974" s="577"/>
      <c r="E974" s="545">
        <v>16000</v>
      </c>
      <c r="F974" s="546"/>
      <c r="G974" s="653">
        <v>82</v>
      </c>
      <c r="H974" s="654">
        <v>71</v>
      </c>
      <c r="I974" s="654">
        <v>100</v>
      </c>
      <c r="J974" s="561">
        <v>30</v>
      </c>
      <c r="K974" s="554" t="s">
        <v>221</v>
      </c>
      <c r="L974" s="562">
        <v>18</v>
      </c>
      <c r="M974" s="561">
        <v>700</v>
      </c>
      <c r="N974" s="592">
        <v>0.1</v>
      </c>
      <c r="O974" s="594">
        <v>1.05</v>
      </c>
      <c r="P974" s="590">
        <v>75</v>
      </c>
      <c r="T974" s="751">
        <v>1510.6</v>
      </c>
      <c r="V974" s="654">
        <v>24</v>
      </c>
      <c r="W974" s="636"/>
      <c r="Y974" s="764">
        <v>24</v>
      </c>
      <c r="Z974" s="776">
        <v>0</v>
      </c>
      <c r="AA974" s="780">
        <v>81.788666666666657</v>
      </c>
      <c r="AB974" s="811"/>
      <c r="AC974" s="818">
        <v>32</v>
      </c>
      <c r="AD974" s="811" t="s">
        <v>667</v>
      </c>
      <c r="AE974" s="811">
        <v>0</v>
      </c>
      <c r="AF974" s="643">
        <v>15044</v>
      </c>
    </row>
    <row r="975" spans="1:32" ht="12" customHeight="1">
      <c r="A975" s="643">
        <v>15053</v>
      </c>
      <c r="B975" s="644"/>
      <c r="C975" s="644" t="s">
        <v>1396</v>
      </c>
      <c r="D975" s="577"/>
      <c r="E975" s="545">
        <v>46000</v>
      </c>
      <c r="F975" s="546"/>
      <c r="G975" s="653">
        <v>210</v>
      </c>
      <c r="H975" s="654">
        <v>180</v>
      </c>
      <c r="I975" s="654">
        <v>250</v>
      </c>
      <c r="J975" s="561">
        <v>30</v>
      </c>
      <c r="K975" s="554" t="s">
        <v>221</v>
      </c>
      <c r="L975" s="562">
        <v>18</v>
      </c>
      <c r="M975" s="561">
        <v>700</v>
      </c>
      <c r="N975" s="592">
        <v>0.1</v>
      </c>
      <c r="O975" s="594">
        <v>1.05</v>
      </c>
      <c r="P975" s="590">
        <v>100</v>
      </c>
      <c r="T975" s="751">
        <v>3533.6</v>
      </c>
      <c r="V975" s="654">
        <v>69</v>
      </c>
      <c r="W975" s="636"/>
      <c r="Y975" s="764">
        <v>69</v>
      </c>
      <c r="Z975" s="776">
        <v>0</v>
      </c>
      <c r="AA975" s="780">
        <v>205.46533333333335</v>
      </c>
      <c r="AB975" s="811"/>
      <c r="AC975" s="818">
        <v>92</v>
      </c>
      <c r="AD975" s="811" t="s">
        <v>667</v>
      </c>
      <c r="AE975" s="811">
        <v>0</v>
      </c>
      <c r="AF975" s="643">
        <v>15053</v>
      </c>
    </row>
    <row r="976" spans="1:32" ht="12" customHeight="1">
      <c r="A976" s="541">
        <v>15045</v>
      </c>
      <c r="B976" s="542"/>
      <c r="C976" s="644" t="s">
        <v>1397</v>
      </c>
      <c r="D976" s="559"/>
      <c r="E976" s="545">
        <v>16000</v>
      </c>
      <c r="F976" s="546"/>
      <c r="G976" s="653">
        <v>190</v>
      </c>
      <c r="H976" s="654">
        <v>170</v>
      </c>
      <c r="I976" s="654">
        <v>220</v>
      </c>
      <c r="J976" s="561">
        <v>20</v>
      </c>
      <c r="K976" s="554" t="s">
        <v>221</v>
      </c>
      <c r="L976" s="562">
        <v>10</v>
      </c>
      <c r="M976" s="561">
        <v>300</v>
      </c>
      <c r="N976" s="592">
        <v>0.1</v>
      </c>
      <c r="O976" s="594">
        <v>1.55</v>
      </c>
      <c r="P976" s="590">
        <v>20</v>
      </c>
      <c r="T976" s="751">
        <v>1765.6</v>
      </c>
      <c r="V976" s="654">
        <v>82.666666666666671</v>
      </c>
      <c r="W976" s="636"/>
      <c r="Y976" s="764">
        <v>82.666666666666671</v>
      </c>
      <c r="Z976" s="776">
        <v>0</v>
      </c>
      <c r="AA976" s="780">
        <v>188.04133333333334</v>
      </c>
      <c r="AB976" s="602"/>
      <c r="AC976" s="818">
        <v>32</v>
      </c>
      <c r="AD976" s="811" t="s">
        <v>667</v>
      </c>
      <c r="AE976" s="602">
        <v>0</v>
      </c>
      <c r="AF976" s="541">
        <v>15045</v>
      </c>
    </row>
    <row r="977" spans="1:32" ht="12" customHeight="1">
      <c r="A977" s="541">
        <v>15054</v>
      </c>
      <c r="B977" s="542"/>
      <c r="C977" s="644" t="s">
        <v>1398</v>
      </c>
      <c r="D977" s="559"/>
      <c r="E977" s="545">
        <v>31000</v>
      </c>
      <c r="F977" s="546"/>
      <c r="G977" s="653">
        <v>350</v>
      </c>
      <c r="H977" s="654">
        <v>320</v>
      </c>
      <c r="I977" s="654">
        <v>410</v>
      </c>
      <c r="J977" s="561">
        <v>20</v>
      </c>
      <c r="K977" s="554" t="s">
        <v>221</v>
      </c>
      <c r="L977" s="562">
        <v>10</v>
      </c>
      <c r="M977" s="561">
        <v>300</v>
      </c>
      <c r="N977" s="592">
        <v>0.1</v>
      </c>
      <c r="O977" s="594">
        <v>1.5</v>
      </c>
      <c r="P977" s="590">
        <v>24</v>
      </c>
      <c r="T977" s="751">
        <v>3317.6</v>
      </c>
      <c r="V977" s="654">
        <v>155</v>
      </c>
      <c r="W977" s="636"/>
      <c r="Y977" s="764">
        <v>155</v>
      </c>
      <c r="Z977" s="776">
        <v>0</v>
      </c>
      <c r="AA977" s="780">
        <v>352.96800000000002</v>
      </c>
      <c r="AB977" s="602"/>
      <c r="AC977" s="818">
        <v>62</v>
      </c>
      <c r="AD977" s="811" t="s">
        <v>667</v>
      </c>
      <c r="AE977" s="602">
        <v>0</v>
      </c>
      <c r="AF977" s="541">
        <v>15054</v>
      </c>
    </row>
    <row r="978" spans="1:32" ht="12" customHeight="1">
      <c r="A978" s="643">
        <v>15046</v>
      </c>
      <c r="B978" s="644"/>
      <c r="C978" s="644" t="s">
        <v>1399</v>
      </c>
      <c r="D978" s="559">
        <v>10</v>
      </c>
      <c r="E978" s="545">
        <v>30000</v>
      </c>
      <c r="F978" s="546">
        <v>69</v>
      </c>
      <c r="G978" s="653">
        <v>690</v>
      </c>
      <c r="H978" s="654">
        <v>590</v>
      </c>
      <c r="I978" s="654">
        <v>870</v>
      </c>
      <c r="J978" s="561">
        <v>6</v>
      </c>
      <c r="K978" s="554" t="s">
        <v>221</v>
      </c>
      <c r="L978" s="562">
        <v>10</v>
      </c>
      <c r="M978" s="561">
        <v>200</v>
      </c>
      <c r="N978" s="592">
        <v>0.25</v>
      </c>
      <c r="O978" s="594">
        <v>1.1000000000000001</v>
      </c>
      <c r="P978" s="590">
        <v>25</v>
      </c>
      <c r="T978" s="751">
        <v>2800</v>
      </c>
      <c r="V978" s="654">
        <v>165</v>
      </c>
      <c r="W978" s="636"/>
      <c r="Y978" s="764">
        <v>165</v>
      </c>
      <c r="Z978" s="776">
        <v>69.483333333333348</v>
      </c>
      <c r="AA978" s="780">
        <v>694.83333333333348</v>
      </c>
      <c r="AB978" s="811"/>
      <c r="AC978" s="818">
        <v>60</v>
      </c>
      <c r="AD978" s="811" t="s">
        <v>667</v>
      </c>
      <c r="AE978" s="811">
        <v>0</v>
      </c>
      <c r="AF978" s="643">
        <v>15046</v>
      </c>
    </row>
    <row r="979" spans="1:32" ht="12" customHeight="1">
      <c r="A979" s="541">
        <v>15047</v>
      </c>
      <c r="B979" s="542"/>
      <c r="C979" s="644" t="s">
        <v>1400</v>
      </c>
      <c r="D979" s="559" t="s">
        <v>221</v>
      </c>
      <c r="E979" s="545">
        <v>13000</v>
      </c>
      <c r="F979" s="649">
        <v>13.5</v>
      </c>
      <c r="G979" s="655" t="s">
        <v>129</v>
      </c>
      <c r="H979" s="636">
        <v>12</v>
      </c>
      <c r="I979" s="636">
        <v>16</v>
      </c>
      <c r="J979" s="549">
        <v>200</v>
      </c>
      <c r="K979" s="554" t="s">
        <v>221</v>
      </c>
      <c r="L979" s="562">
        <v>10</v>
      </c>
      <c r="M979" s="575">
        <v>3000</v>
      </c>
      <c r="N979" s="592">
        <v>0.1</v>
      </c>
      <c r="O979" s="594">
        <v>1.1000000000000001</v>
      </c>
      <c r="P979" s="590">
        <v>29</v>
      </c>
      <c r="T979" s="751">
        <v>1523.8</v>
      </c>
      <c r="V979" s="636">
        <v>4.7666666666666666</v>
      </c>
      <c r="W979" s="636"/>
      <c r="Y979" s="761">
        <v>4.7666666666666666</v>
      </c>
      <c r="Z979" s="776">
        <v>13.624233333333333</v>
      </c>
      <c r="AA979" s="780"/>
      <c r="AB979" s="602"/>
      <c r="AC979" s="818">
        <v>26</v>
      </c>
      <c r="AD979" s="811" t="s">
        <v>633</v>
      </c>
      <c r="AE979" s="602">
        <v>0</v>
      </c>
      <c r="AF979" s="541">
        <v>15047</v>
      </c>
    </row>
    <row r="980" spans="1:32" ht="12" customHeight="1">
      <c r="A980" s="541">
        <v>15055</v>
      </c>
      <c r="B980" s="542"/>
      <c r="C980" s="644" t="s">
        <v>1401</v>
      </c>
      <c r="D980" s="559"/>
      <c r="E980" s="545">
        <v>5000</v>
      </c>
      <c r="F980" s="546"/>
      <c r="G980" s="653">
        <v>63</v>
      </c>
      <c r="H980" s="654">
        <v>57</v>
      </c>
      <c r="I980" s="654">
        <v>72</v>
      </c>
      <c r="J980" s="561">
        <v>30</v>
      </c>
      <c r="K980" s="554" t="s">
        <v>221</v>
      </c>
      <c r="L980" s="562">
        <v>10</v>
      </c>
      <c r="M980" s="561">
        <v>300</v>
      </c>
      <c r="N980" s="592">
        <v>0</v>
      </c>
      <c r="O980" s="594">
        <v>1.8</v>
      </c>
      <c r="P980" s="590">
        <v>36</v>
      </c>
      <c r="T980" s="751">
        <v>807</v>
      </c>
      <c r="V980" s="654">
        <v>30.000000000000004</v>
      </c>
      <c r="W980" s="636"/>
      <c r="Y980" s="764">
        <v>30.000000000000004</v>
      </c>
      <c r="Z980" s="776">
        <v>0</v>
      </c>
      <c r="AA980" s="780">
        <v>62.590000000000011</v>
      </c>
      <c r="AB980" s="602"/>
      <c r="AC980" s="818">
        <v>10</v>
      </c>
      <c r="AD980" s="811" t="s">
        <v>667</v>
      </c>
      <c r="AE980" s="602">
        <v>0</v>
      </c>
      <c r="AF980" s="541">
        <v>15055</v>
      </c>
    </row>
    <row r="981" spans="1:32" ht="12" customHeight="1">
      <c r="A981" s="541">
        <v>15056</v>
      </c>
      <c r="B981" s="542"/>
      <c r="C981" s="644" t="s">
        <v>1402</v>
      </c>
      <c r="D981" s="559"/>
      <c r="E981" s="545">
        <v>110000</v>
      </c>
      <c r="F981" s="546"/>
      <c r="G981" s="653">
        <v>630</v>
      </c>
      <c r="H981" s="654">
        <v>570</v>
      </c>
      <c r="I981" s="654">
        <v>720</v>
      </c>
      <c r="J981" s="561">
        <v>50</v>
      </c>
      <c r="K981" s="554" t="s">
        <v>221</v>
      </c>
      <c r="L981" s="562">
        <v>10</v>
      </c>
      <c r="M981" s="561">
        <v>500</v>
      </c>
      <c r="N981" s="592">
        <v>0</v>
      </c>
      <c r="O981" s="594">
        <v>1.45</v>
      </c>
      <c r="P981" s="590">
        <v>60</v>
      </c>
      <c r="T981" s="751">
        <v>12630</v>
      </c>
      <c r="V981" s="654">
        <v>319</v>
      </c>
      <c r="W981" s="636"/>
      <c r="Y981" s="764">
        <v>319</v>
      </c>
      <c r="Z981" s="776">
        <v>0</v>
      </c>
      <c r="AA981" s="780">
        <v>628.7600000000001</v>
      </c>
      <c r="AB981" s="602"/>
      <c r="AC981" s="818">
        <v>220</v>
      </c>
      <c r="AD981" s="811" t="s">
        <v>667</v>
      </c>
      <c r="AE981" s="602">
        <v>0</v>
      </c>
      <c r="AF981" s="541">
        <v>15056</v>
      </c>
    </row>
    <row r="982" spans="1:32" ht="12" customHeight="1">
      <c r="A982" s="643">
        <v>15057</v>
      </c>
      <c r="B982" s="644"/>
      <c r="C982" s="644" t="s">
        <v>1403</v>
      </c>
      <c r="D982" s="551">
        <v>3</v>
      </c>
      <c r="E982" s="545">
        <v>7200</v>
      </c>
      <c r="F982" s="649">
        <v>5</v>
      </c>
      <c r="G982" s="660" t="s">
        <v>129</v>
      </c>
      <c r="H982" s="636">
        <v>4.4000000000000004</v>
      </c>
      <c r="I982" s="636">
        <v>6.5</v>
      </c>
      <c r="J982" s="549">
        <v>200</v>
      </c>
      <c r="K982" s="554">
        <v>40</v>
      </c>
      <c r="L982" s="562">
        <v>10</v>
      </c>
      <c r="M982" s="549">
        <v>7000</v>
      </c>
      <c r="N982" s="592">
        <v>0.25</v>
      </c>
      <c r="O982" s="594">
        <v>0.8</v>
      </c>
      <c r="P982" s="590">
        <v>12</v>
      </c>
      <c r="T982" s="751">
        <v>714</v>
      </c>
      <c r="V982" s="636">
        <v>0.82285714285714284</v>
      </c>
      <c r="W982" s="636">
        <v>0.34799999999999998</v>
      </c>
      <c r="Y982" s="761">
        <v>1.1708571428571428</v>
      </c>
      <c r="Z982" s="776">
        <v>0</v>
      </c>
      <c r="AA982" s="788"/>
      <c r="AB982" s="811"/>
      <c r="AC982" s="818">
        <v>14.4</v>
      </c>
      <c r="AD982" s="811" t="s">
        <v>633</v>
      </c>
      <c r="AE982" s="811">
        <v>5</v>
      </c>
      <c r="AF982" s="643">
        <v>15057</v>
      </c>
    </row>
    <row r="983" spans="1:32" ht="12" customHeight="1">
      <c r="A983" s="539"/>
      <c r="B983" s="540"/>
      <c r="C983" s="539"/>
      <c r="D983" s="539"/>
      <c r="E983" s="539"/>
      <c r="F983" s="539"/>
      <c r="G983" s="539"/>
      <c r="H983" s="539"/>
      <c r="I983" s="539"/>
      <c r="J983" s="550"/>
      <c r="K983" s="547"/>
      <c r="L983" s="539"/>
      <c r="M983" s="539"/>
      <c r="N983" s="539"/>
      <c r="O983" s="539"/>
      <c r="P983" s="593"/>
      <c r="T983" s="539"/>
      <c r="V983" s="539"/>
      <c r="W983" s="539"/>
      <c r="Y983" s="539"/>
      <c r="Z983" s="600"/>
      <c r="AA983" s="600"/>
      <c r="AB983" s="600"/>
      <c r="AC983" s="539"/>
      <c r="AD983" s="600"/>
      <c r="AE983" s="600"/>
      <c r="AF983" s="539"/>
    </row>
    <row r="984" spans="1:32" ht="12" customHeight="1">
      <c r="A984" s="539"/>
      <c r="B984" s="540"/>
      <c r="C984" s="539"/>
      <c r="D984" s="539"/>
      <c r="E984" s="539"/>
      <c r="F984" s="539"/>
      <c r="G984" s="539"/>
      <c r="H984" s="539"/>
      <c r="I984" s="539"/>
      <c r="J984" s="550"/>
      <c r="K984" s="547"/>
      <c r="L984" s="539"/>
      <c r="M984" s="539"/>
      <c r="N984" s="539"/>
      <c r="O984" s="539"/>
      <c r="P984" s="593"/>
      <c r="T984" s="539"/>
      <c r="V984" s="539"/>
      <c r="W984" s="539"/>
      <c r="Y984" s="539"/>
      <c r="Z984" s="600"/>
      <c r="AA984" s="600"/>
      <c r="AB984" s="600"/>
      <c r="AC984" s="539"/>
      <c r="AD984" s="600"/>
      <c r="AE984" s="600"/>
      <c r="AF984" s="539"/>
    </row>
    <row r="985" spans="1:32" ht="12" customHeight="1">
      <c r="A985" s="539"/>
      <c r="B985" s="540"/>
      <c r="C985" s="539"/>
      <c r="D985" s="539"/>
      <c r="E985" s="539"/>
      <c r="F985" s="539"/>
      <c r="G985" s="539"/>
      <c r="H985" s="539"/>
      <c r="I985" s="539"/>
      <c r="J985" s="550"/>
      <c r="K985" s="547"/>
      <c r="L985" s="539"/>
      <c r="M985" s="539"/>
      <c r="N985" s="539"/>
      <c r="O985" s="539"/>
      <c r="P985" s="593"/>
      <c r="T985" s="539"/>
      <c r="V985" s="539"/>
      <c r="W985" s="539"/>
      <c r="Y985" s="539"/>
      <c r="Z985" s="600"/>
      <c r="AA985" s="600"/>
      <c r="AB985" s="600"/>
      <c r="AC985" s="539"/>
      <c r="AD985" s="600"/>
      <c r="AE985" s="600"/>
      <c r="AF985" s="539"/>
    </row>
    <row r="986" spans="1:32" ht="12" customHeight="1">
      <c r="A986" s="539"/>
      <c r="B986" s="540"/>
      <c r="C986" s="539"/>
      <c r="D986" s="539"/>
      <c r="E986" s="539"/>
      <c r="F986" s="539"/>
      <c r="G986" s="539"/>
      <c r="H986" s="539"/>
      <c r="I986" s="539"/>
      <c r="J986" s="550"/>
      <c r="K986" s="547"/>
      <c r="L986" s="539"/>
      <c r="M986" s="539"/>
      <c r="N986" s="539"/>
      <c r="O986" s="539"/>
      <c r="P986" s="593"/>
      <c r="T986" s="539"/>
      <c r="V986" s="539"/>
      <c r="W986" s="539"/>
      <c r="Y986" s="539"/>
      <c r="Z986" s="600"/>
      <c r="AA986" s="600"/>
      <c r="AB986" s="600"/>
      <c r="AC986" s="539"/>
      <c r="AD986" s="600"/>
      <c r="AE986" s="600"/>
      <c r="AF986" s="539"/>
    </row>
    <row r="987" spans="1:32" ht="12" customHeight="1">
      <c r="A987" s="539"/>
      <c r="B987" s="540"/>
      <c r="C987" s="539"/>
      <c r="D987" s="539"/>
      <c r="E987" s="539"/>
      <c r="F987" s="539"/>
      <c r="G987" s="539"/>
      <c r="H987" s="539"/>
      <c r="I987" s="539"/>
      <c r="J987" s="550"/>
      <c r="K987" s="547"/>
      <c r="L987" s="539"/>
      <c r="M987" s="539"/>
      <c r="N987" s="539"/>
      <c r="O987" s="539"/>
      <c r="P987" s="593"/>
      <c r="T987" s="539"/>
      <c r="V987" s="539"/>
      <c r="W987" s="539"/>
      <c r="Y987" s="539"/>
      <c r="Z987" s="600"/>
      <c r="AA987" s="600"/>
      <c r="AB987" s="600"/>
      <c r="AC987" s="539"/>
      <c r="AD987" s="600"/>
      <c r="AE987" s="600"/>
      <c r="AF987" s="539"/>
    </row>
    <row r="988" spans="1:32" ht="12" customHeight="1">
      <c r="A988" s="539"/>
      <c r="B988" s="540"/>
      <c r="C988" s="539"/>
      <c r="D988" s="539"/>
      <c r="E988" s="539"/>
      <c r="F988" s="539"/>
      <c r="G988" s="539"/>
      <c r="H988" s="539"/>
      <c r="I988" s="539"/>
      <c r="J988" s="550"/>
      <c r="K988" s="547"/>
      <c r="L988" s="539"/>
      <c r="M988" s="539"/>
      <c r="N988" s="539"/>
      <c r="O988" s="539"/>
      <c r="P988" s="593"/>
      <c r="T988" s="539"/>
      <c r="V988" s="539"/>
      <c r="W988" s="539"/>
      <c r="Y988" s="539"/>
      <c r="Z988" s="600"/>
      <c r="AA988" s="600"/>
      <c r="AB988" s="600"/>
      <c r="AC988" s="539"/>
      <c r="AD988" s="600"/>
      <c r="AE988" s="600"/>
      <c r="AF988" s="539"/>
    </row>
    <row r="989" spans="1:32" ht="12" customHeight="1">
      <c r="A989" s="539"/>
      <c r="B989" s="540"/>
      <c r="C989" s="539"/>
      <c r="D989" s="539"/>
      <c r="E989" s="539"/>
      <c r="F989" s="539"/>
      <c r="G989" s="539"/>
      <c r="H989" s="539"/>
      <c r="I989" s="539"/>
      <c r="J989" s="550"/>
      <c r="K989" s="547"/>
      <c r="L989" s="539"/>
      <c r="M989" s="539"/>
      <c r="N989" s="539"/>
      <c r="O989" s="539"/>
      <c r="P989" s="593"/>
      <c r="T989" s="539"/>
      <c r="V989" s="539"/>
      <c r="W989" s="539"/>
      <c r="Y989" s="539"/>
      <c r="Z989" s="600"/>
      <c r="AA989" s="600"/>
      <c r="AB989" s="600"/>
      <c r="AC989" s="539"/>
      <c r="AD989" s="600"/>
      <c r="AE989" s="600"/>
      <c r="AF989" s="539"/>
    </row>
    <row r="990" spans="1:32" ht="12" customHeight="1">
      <c r="A990" s="539"/>
      <c r="B990" s="540"/>
      <c r="C990" s="539"/>
      <c r="D990" s="539"/>
      <c r="E990" s="539"/>
      <c r="F990" s="539"/>
      <c r="G990" s="539"/>
      <c r="H990" s="539"/>
      <c r="I990" s="539"/>
      <c r="J990" s="550"/>
      <c r="K990" s="547"/>
      <c r="L990" s="539"/>
      <c r="M990" s="539"/>
      <c r="N990" s="539"/>
      <c r="O990" s="539"/>
      <c r="P990" s="593"/>
      <c r="T990" s="539"/>
      <c r="V990" s="539"/>
      <c r="W990" s="539"/>
      <c r="Y990" s="539"/>
      <c r="Z990" s="600"/>
      <c r="AA990" s="600"/>
      <c r="AB990" s="600"/>
      <c r="AC990" s="539"/>
      <c r="AD990" s="600"/>
      <c r="AE990" s="600"/>
      <c r="AF990" s="539"/>
    </row>
    <row r="991" spans="1:32" ht="12" customHeight="1">
      <c r="A991" s="539"/>
      <c r="B991" s="540"/>
      <c r="C991" s="539"/>
      <c r="D991" s="539"/>
      <c r="E991" s="539"/>
      <c r="F991" s="539"/>
      <c r="G991" s="539"/>
      <c r="H991" s="539"/>
      <c r="I991" s="539"/>
      <c r="J991" s="550"/>
      <c r="K991" s="547"/>
      <c r="L991" s="539"/>
      <c r="M991" s="539"/>
      <c r="N991" s="539"/>
      <c r="O991" s="539"/>
      <c r="P991" s="593"/>
      <c r="T991" s="539"/>
      <c r="V991" s="539"/>
      <c r="W991" s="539"/>
      <c r="Y991" s="539"/>
      <c r="Z991" s="600"/>
      <c r="AA991" s="600"/>
      <c r="AB991" s="600"/>
      <c r="AC991" s="539"/>
      <c r="AD991" s="600"/>
      <c r="AE991" s="600"/>
      <c r="AF991" s="539"/>
    </row>
    <row r="992" spans="1:32" ht="12" customHeight="1">
      <c r="A992" s="539"/>
      <c r="B992" s="540"/>
      <c r="C992" s="539"/>
      <c r="D992" s="539"/>
      <c r="E992" s="539"/>
      <c r="F992" s="539"/>
      <c r="G992" s="539"/>
      <c r="H992" s="539"/>
      <c r="I992" s="539"/>
      <c r="J992" s="550"/>
      <c r="K992" s="547"/>
      <c r="L992" s="539"/>
      <c r="M992" s="539"/>
      <c r="N992" s="539"/>
      <c r="O992" s="539"/>
      <c r="P992" s="593"/>
      <c r="T992" s="539"/>
      <c r="V992" s="539"/>
      <c r="W992" s="539"/>
      <c r="Y992" s="539"/>
      <c r="Z992" s="600"/>
      <c r="AA992" s="600"/>
      <c r="AB992" s="600"/>
      <c r="AC992" s="539"/>
      <c r="AD992" s="600"/>
      <c r="AE992" s="600"/>
      <c r="AF992" s="539"/>
    </row>
    <row r="993" spans="1:32" ht="12" customHeight="1">
      <c r="A993" s="539"/>
      <c r="B993" s="540"/>
      <c r="C993" s="539"/>
      <c r="D993" s="539"/>
      <c r="E993" s="539"/>
      <c r="F993" s="539"/>
      <c r="G993" s="539"/>
      <c r="H993" s="539"/>
      <c r="I993" s="539"/>
      <c r="J993" s="550"/>
      <c r="K993" s="547"/>
      <c r="L993" s="539"/>
      <c r="M993" s="539"/>
      <c r="N993" s="539"/>
      <c r="O993" s="539"/>
      <c r="P993" s="593"/>
      <c r="T993" s="539"/>
      <c r="V993" s="539"/>
      <c r="W993" s="539"/>
      <c r="Y993" s="539"/>
      <c r="Z993" s="600"/>
      <c r="AA993" s="600"/>
      <c r="AB993" s="600"/>
      <c r="AC993" s="539"/>
      <c r="AD993" s="600"/>
      <c r="AE993" s="600"/>
      <c r="AF993" s="539"/>
    </row>
    <row r="994" spans="1:32" ht="12" customHeight="1">
      <c r="A994" s="539"/>
      <c r="B994" s="540"/>
      <c r="C994" s="539"/>
      <c r="D994" s="539"/>
      <c r="E994" s="539"/>
      <c r="F994" s="539"/>
      <c r="G994" s="539"/>
      <c r="H994" s="539"/>
      <c r="I994" s="539"/>
      <c r="J994" s="550"/>
      <c r="K994" s="547"/>
      <c r="L994" s="539"/>
      <c r="M994" s="539"/>
      <c r="N994" s="539"/>
      <c r="O994" s="539"/>
      <c r="P994" s="593"/>
      <c r="T994" s="539"/>
      <c r="V994" s="539"/>
      <c r="W994" s="539"/>
      <c r="Y994" s="539"/>
      <c r="Z994" s="600"/>
      <c r="AA994" s="600"/>
      <c r="AB994" s="600"/>
      <c r="AC994" s="539"/>
      <c r="AD994" s="600"/>
      <c r="AE994" s="600"/>
      <c r="AF994" s="539"/>
    </row>
    <row r="995" spans="1:32" ht="12" customHeight="1">
      <c r="A995" s="539"/>
      <c r="B995" s="540"/>
      <c r="C995" s="539"/>
      <c r="D995" s="539"/>
      <c r="E995" s="539"/>
      <c r="F995" s="539"/>
      <c r="G995" s="539"/>
      <c r="H995" s="539"/>
      <c r="I995" s="539"/>
      <c r="J995" s="550"/>
      <c r="K995" s="547"/>
      <c r="L995" s="539"/>
      <c r="M995" s="539"/>
      <c r="N995" s="539"/>
      <c r="O995" s="539"/>
      <c r="P995" s="593"/>
      <c r="T995" s="539"/>
      <c r="V995" s="539"/>
      <c r="W995" s="539"/>
      <c r="Y995" s="539"/>
      <c r="Z995" s="600"/>
      <c r="AA995" s="600"/>
      <c r="AB995" s="600"/>
      <c r="AC995" s="539"/>
      <c r="AD995" s="600"/>
      <c r="AE995" s="600"/>
      <c r="AF995" s="539"/>
    </row>
    <row r="996" spans="1:32" ht="12" customHeight="1">
      <c r="A996" s="539"/>
      <c r="B996" s="540"/>
      <c r="C996" s="539"/>
      <c r="D996" s="539"/>
      <c r="E996" s="539"/>
      <c r="F996" s="539"/>
      <c r="G996" s="539"/>
      <c r="H996" s="539"/>
      <c r="I996" s="539"/>
      <c r="J996" s="550"/>
      <c r="K996" s="547"/>
      <c r="L996" s="539"/>
      <c r="M996" s="539"/>
      <c r="N996" s="539"/>
      <c r="O996" s="539"/>
      <c r="P996" s="593"/>
      <c r="T996" s="539"/>
      <c r="V996" s="539"/>
      <c r="W996" s="539"/>
      <c r="Y996" s="539"/>
      <c r="Z996" s="600"/>
      <c r="AA996" s="600"/>
      <c r="AB996" s="600"/>
      <c r="AC996" s="539"/>
      <c r="AD996" s="600"/>
      <c r="AE996" s="600"/>
      <c r="AF996" s="539"/>
    </row>
    <row r="997" spans="1:32" ht="12" customHeight="1">
      <c r="A997" s="539"/>
      <c r="B997" s="540"/>
      <c r="C997" s="539"/>
      <c r="D997" s="539"/>
      <c r="E997" s="539"/>
      <c r="F997" s="539"/>
      <c r="G997" s="539"/>
      <c r="H997" s="539"/>
      <c r="I997" s="539"/>
      <c r="J997" s="550"/>
      <c r="K997" s="547"/>
      <c r="L997" s="539"/>
      <c r="M997" s="539"/>
      <c r="N997" s="539"/>
      <c r="O997" s="539"/>
      <c r="P997" s="593"/>
      <c r="T997" s="539"/>
      <c r="V997" s="539"/>
      <c r="W997" s="539"/>
      <c r="Y997" s="539"/>
      <c r="Z997" s="600"/>
      <c r="AA997" s="600"/>
      <c r="AB997" s="600"/>
      <c r="AC997" s="539"/>
      <c r="AD997" s="600"/>
      <c r="AE997" s="600"/>
      <c r="AF997" s="539"/>
    </row>
    <row r="998" spans="1:32" ht="12" customHeight="1">
      <c r="A998" s="539"/>
      <c r="B998" s="540"/>
      <c r="C998" s="539"/>
      <c r="D998" s="539"/>
      <c r="E998" s="539"/>
      <c r="F998" s="539"/>
      <c r="G998" s="539"/>
      <c r="H998" s="539"/>
      <c r="I998" s="539"/>
      <c r="J998" s="550"/>
      <c r="K998" s="547"/>
      <c r="L998" s="539"/>
      <c r="M998" s="539"/>
      <c r="N998" s="539"/>
      <c r="O998" s="539"/>
      <c r="P998" s="593"/>
      <c r="T998" s="539"/>
      <c r="V998" s="539"/>
      <c r="W998" s="539"/>
      <c r="Y998" s="539"/>
      <c r="Z998" s="600"/>
      <c r="AA998" s="600"/>
      <c r="AB998" s="600"/>
      <c r="AC998" s="539"/>
      <c r="AD998" s="600"/>
      <c r="AE998" s="600"/>
      <c r="AF998" s="539"/>
    </row>
    <row r="999" spans="1:32" ht="12" customHeight="1">
      <c r="A999" s="539"/>
      <c r="B999" s="540"/>
      <c r="C999" s="539"/>
      <c r="D999" s="539"/>
      <c r="E999" s="539"/>
      <c r="F999" s="539"/>
      <c r="G999" s="539"/>
      <c r="H999" s="539"/>
      <c r="I999" s="539"/>
      <c r="J999" s="550"/>
      <c r="K999" s="547"/>
      <c r="L999" s="539"/>
      <c r="M999" s="539"/>
      <c r="N999" s="539"/>
      <c r="O999" s="539"/>
      <c r="P999" s="593"/>
      <c r="T999" s="539"/>
      <c r="V999" s="539"/>
      <c r="W999" s="539"/>
      <c r="Y999" s="539"/>
      <c r="Z999" s="600"/>
      <c r="AA999" s="600"/>
      <c r="AB999" s="600"/>
      <c r="AC999" s="539"/>
      <c r="AD999" s="600"/>
      <c r="AE999" s="600"/>
      <c r="AF999" s="539"/>
    </row>
    <row r="1000" spans="1:32" ht="12" customHeight="1">
      <c r="A1000" s="539"/>
      <c r="B1000" s="540"/>
      <c r="C1000" s="539"/>
      <c r="D1000" s="539"/>
      <c r="E1000" s="539"/>
      <c r="F1000" s="539"/>
      <c r="G1000" s="539"/>
      <c r="H1000" s="539"/>
      <c r="I1000" s="539"/>
      <c r="J1000" s="550"/>
      <c r="K1000" s="547"/>
      <c r="L1000" s="539"/>
      <c r="M1000" s="539"/>
      <c r="N1000" s="539"/>
      <c r="O1000" s="539"/>
      <c r="P1000" s="593"/>
      <c r="T1000" s="539"/>
      <c r="V1000" s="539"/>
      <c r="W1000" s="539"/>
      <c r="Y1000" s="539"/>
      <c r="Z1000" s="600"/>
      <c r="AA1000" s="600"/>
      <c r="AB1000" s="600"/>
      <c r="AC1000" s="539"/>
      <c r="AD1000" s="600"/>
      <c r="AE1000" s="600"/>
      <c r="AF1000" s="539"/>
    </row>
    <row r="1001" spans="1:32" ht="12" customHeight="1">
      <c r="A1001" s="534"/>
      <c r="B1001" s="543"/>
      <c r="C1001" s="534"/>
      <c r="D1001" s="534"/>
      <c r="E1001" s="534"/>
      <c r="F1001" s="534"/>
      <c r="G1001" s="534"/>
      <c r="H1001" s="534"/>
      <c r="I1001" s="534"/>
      <c r="J1001" s="587"/>
      <c r="K1001" s="588"/>
      <c r="L1001" s="534"/>
      <c r="M1001" s="534"/>
      <c r="N1001" s="534"/>
      <c r="O1001" s="534"/>
      <c r="P1001" s="588"/>
      <c r="T1001" s="534"/>
      <c r="V1001" s="534"/>
      <c r="W1001" s="534"/>
      <c r="Y1001" s="534"/>
      <c r="Z1001" s="534"/>
      <c r="AA1001" s="534"/>
      <c r="AB1001" s="600"/>
      <c r="AC1001" s="604"/>
      <c r="AD1001" s="600"/>
      <c r="AE1001" s="600"/>
      <c r="AF1001" s="534"/>
    </row>
    <row r="1002" spans="1:32" ht="12" customHeight="1">
      <c r="A1002" s="534"/>
      <c r="B1002" s="543"/>
      <c r="C1002" s="534"/>
    </row>
    <row r="1003" spans="1:32" ht="12" customHeight="1">
      <c r="A1003" s="534"/>
      <c r="B1003" s="543"/>
      <c r="C1003" s="534"/>
    </row>
  </sheetData>
  <sheetProtection algorithmName="SHA-512" hashValue="AUXzKVX5Hbbk9I5aCoM/OpAC1c0YQ2TbuugvLCSF7PFD6ZwSeuVPdpCjg25A7hXOducrfvd8uHc8S/FNnPtqKQ==" saltValue="UbM4O5liQ2GCQ1iJOwhXsw==" spinCount="100000" sheet="1" objects="1" scenarios="1"/>
  <autoFilter ref="A14:AA928" xr:uid="{00000000-0001-0000-0500-000000000000}"/>
  <customSheetViews>
    <customSheetView guid="{72D97B72-4F31-4935-B383-181115A2573C}" scale="75" hiddenRows="1" hiddenColumns="1" topLeftCell="A11">
      <pane xSplit="3" topLeftCell="D1" activePane="topRight" state="frozen"/>
      <selection pane="topRight" activeCell="C29" sqref="C29"/>
      <colBreaks count="1" manualBreakCount="1">
        <brk id="11" max="1048575" man="1"/>
      </colBreaks>
      <pageMargins left="0.19685039370078741" right="0.23622047244094491" top="1.4566929133858268" bottom="1.2598425196850394" header="0" footer="0"/>
      <pageSetup paperSize="8" scale="85" pageOrder="overThenDown" orientation="portrait"/>
      <headerFooter alignWithMargins="0"/>
    </customSheetView>
    <customSheetView guid="{27A951D1-C3FC-484C-B83E-FA121C9E6D3A}" scale="75" hiddenRows="1" hiddenColumns="1" topLeftCell="A11">
      <pane xSplit="3" topLeftCell="D1" activePane="topRight" state="frozen"/>
      <selection pane="topRight" activeCell="C29" sqref="C29"/>
      <colBreaks count="1" manualBreakCount="1">
        <brk id="11" max="1048575" man="1"/>
      </colBreaks>
      <pageMargins left="0.19685039370078741" right="0.23622047244094491" top="1.4566929133858268" bottom="1.2598425196850394" header="0" footer="0"/>
      <pageSetup paperSize="8" scale="85" pageOrder="overThenDown" orientation="portrait"/>
      <headerFooter alignWithMargins="0"/>
    </customSheetView>
  </customSheetViews>
  <mergeCells count="6">
    <mergeCell ref="V6:Y6"/>
    <mergeCell ref="F6:I7"/>
    <mergeCell ref="H9:I9"/>
    <mergeCell ref="H10:I10"/>
    <mergeCell ref="L6:M6"/>
    <mergeCell ref="P6:Q6"/>
  </mergeCells>
  <phoneticPr fontId="0" type="noConversion"/>
  <conditionalFormatting sqref="A17:P1000">
    <cfRule type="expression" dxfId="5" priority="4">
      <formula>$BC17="hellgruen"</formula>
    </cfRule>
  </conditionalFormatting>
  <conditionalFormatting sqref="T17:T1000">
    <cfRule type="expression" dxfId="4" priority="3">
      <formula>$BC17="hellgruen"</formula>
    </cfRule>
  </conditionalFormatting>
  <conditionalFormatting sqref="V17:W1000">
    <cfRule type="expression" dxfId="3" priority="2">
      <formula>$BC17="hellgruen"</formula>
    </cfRule>
  </conditionalFormatting>
  <conditionalFormatting sqref="Y17:AF1000">
    <cfRule type="expression" dxfId="2" priority="1">
      <formula>$BC17="hellgruen"</formula>
    </cfRule>
  </conditionalFormatting>
  <conditionalFormatting sqref="AB1001">
    <cfRule type="expression" dxfId="1" priority="6">
      <formula>$BD1001="hellgruen"</formula>
    </cfRule>
  </conditionalFormatting>
  <conditionalFormatting sqref="AD1001:AE1001">
    <cfRule type="expression" dxfId="0" priority="5">
      <formula>$BD1001="hellgruen"</formula>
    </cfRule>
  </conditionalFormatting>
  <pageMargins left="0.19685039370078741" right="0.23622047244094491" top="1.4566929133858268" bottom="1.2598425196850394" header="0" footer="0"/>
  <pageSetup paperSize="8" scale="85" pageOrder="overThenDown" orientation="portrait" r:id="rId1"/>
  <headerFooter alignWithMargins="0"/>
  <colBreaks count="1" manualBreakCount="1">
    <brk id="11"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L110"/>
  <sheetViews>
    <sheetView showGridLines="0" workbookViewId="0">
      <selection activeCell="C66" sqref="C66"/>
    </sheetView>
  </sheetViews>
  <sheetFormatPr baseColWidth="10" defaultRowHeight="12.75"/>
  <cols>
    <col min="1" max="1" width="17.85546875" customWidth="1"/>
    <col min="2" max="2" width="14.85546875" customWidth="1"/>
    <col min="3" max="3" width="14.28515625" customWidth="1"/>
    <col min="4" max="4" width="9.28515625" customWidth="1"/>
    <col min="12" max="12" width="10.85546875" style="6" customWidth="1"/>
  </cols>
  <sheetData>
    <row r="1" spans="1:12" ht="27">
      <c r="A1" s="466" t="s">
        <v>1404</v>
      </c>
      <c r="G1" s="467"/>
      <c r="H1" s="467"/>
      <c r="I1" s="467"/>
      <c r="J1" s="467"/>
      <c r="K1" s="467"/>
      <c r="L1" s="467"/>
    </row>
    <row r="2" spans="1:12" ht="18">
      <c r="A2" s="192" t="s">
        <v>1405</v>
      </c>
      <c r="B2" s="6"/>
      <c r="C2" s="6"/>
      <c r="D2" s="6"/>
      <c r="E2" s="6"/>
      <c r="F2" s="6"/>
      <c r="G2" s="6"/>
      <c r="H2" s="6"/>
      <c r="I2" s="6"/>
      <c r="J2" s="6"/>
      <c r="K2" s="6"/>
    </row>
    <row r="3" spans="1:12" ht="18">
      <c r="A3" s="192"/>
      <c r="B3" s="6"/>
      <c r="C3" s="6"/>
      <c r="D3" s="6"/>
      <c r="E3" s="6"/>
      <c r="F3" s="6"/>
      <c r="G3" s="6"/>
      <c r="H3" s="6"/>
      <c r="I3" s="6"/>
      <c r="J3" s="6"/>
      <c r="K3" s="6"/>
    </row>
    <row r="4" spans="1:12" ht="15.75">
      <c r="A4" s="928" t="s">
        <v>1406</v>
      </c>
      <c r="B4" s="929" t="s">
        <v>1407</v>
      </c>
      <c r="C4" s="469"/>
      <c r="D4" s="469"/>
      <c r="E4" s="469"/>
      <c r="F4" s="469"/>
      <c r="G4" s="469"/>
      <c r="H4" s="469"/>
      <c r="I4" s="469"/>
      <c r="J4" s="6"/>
      <c r="K4" s="6"/>
    </row>
    <row r="5" spans="1:12" ht="15.75">
      <c r="A5" s="928"/>
      <c r="B5" s="929" t="s">
        <v>1408</v>
      </c>
      <c r="C5" s="469"/>
      <c r="D5" s="469"/>
      <c r="E5" s="469"/>
      <c r="F5" s="469"/>
      <c r="G5" s="469"/>
      <c r="H5" s="469"/>
      <c r="I5" s="469"/>
      <c r="J5" s="467"/>
      <c r="K5" s="6"/>
    </row>
    <row r="6" spans="1:12" ht="13.5" customHeight="1">
      <c r="A6" s="197"/>
      <c r="B6" s="929" t="s">
        <v>1409</v>
      </c>
      <c r="C6" s="469"/>
      <c r="D6" s="469"/>
      <c r="E6" s="469"/>
      <c r="F6" s="469"/>
      <c r="G6" s="470" t="s">
        <v>1410</v>
      </c>
      <c r="H6" s="469"/>
      <c r="I6" s="470"/>
      <c r="J6" s="471"/>
      <c r="K6" s="6"/>
    </row>
    <row r="7" spans="1:12" ht="13.5" customHeight="1">
      <c r="A7" s="197"/>
      <c r="B7" s="929" t="s">
        <v>1411</v>
      </c>
      <c r="C7" s="469"/>
      <c r="D7" s="469"/>
      <c r="E7" s="469"/>
      <c r="F7" s="469"/>
      <c r="G7" s="469"/>
      <c r="H7" s="470"/>
      <c r="I7" s="470"/>
      <c r="J7" s="467"/>
      <c r="K7" s="6"/>
    </row>
    <row r="8" spans="1:12" ht="13.5" customHeight="1">
      <c r="A8" s="197"/>
      <c r="B8" s="929" t="s">
        <v>1412</v>
      </c>
      <c r="C8" s="469"/>
      <c r="D8" s="469"/>
      <c r="E8" s="469"/>
      <c r="F8" s="469"/>
      <c r="G8" s="469"/>
      <c r="H8" s="470"/>
      <c r="I8" s="470"/>
      <c r="J8" s="467"/>
      <c r="K8" s="6"/>
    </row>
    <row r="9" spans="1:12" ht="13.5" customHeight="1">
      <c r="A9" s="197"/>
      <c r="B9" s="929" t="s">
        <v>1413</v>
      </c>
      <c r="C9" s="469"/>
      <c r="D9" s="469"/>
      <c r="E9" s="469"/>
      <c r="F9" s="469"/>
      <c r="G9" s="469"/>
      <c r="H9" s="470"/>
      <c r="I9" s="470"/>
      <c r="K9" s="6"/>
    </row>
    <row r="10" spans="1:12" ht="13.5" customHeight="1">
      <c r="A10" s="197"/>
      <c r="B10" s="929" t="s">
        <v>1414</v>
      </c>
      <c r="C10" s="469"/>
      <c r="D10" s="469"/>
      <c r="E10" s="469"/>
      <c r="F10" s="469"/>
      <c r="G10" s="469"/>
      <c r="H10" s="469"/>
      <c r="I10" s="470"/>
      <c r="J10" s="195"/>
      <c r="K10" s="6"/>
    </row>
    <row r="11" spans="1:12" ht="13.5" customHeight="1">
      <c r="A11" s="197"/>
      <c r="B11" s="929" t="s">
        <v>1415</v>
      </c>
      <c r="C11" s="469"/>
      <c r="D11" s="469"/>
      <c r="E11" s="469"/>
      <c r="F11" s="469"/>
      <c r="G11" s="469"/>
      <c r="H11" s="469"/>
      <c r="I11" s="470"/>
      <c r="J11" s="195"/>
      <c r="K11" s="6"/>
    </row>
    <row r="12" spans="1:12" ht="13.5" customHeight="1">
      <c r="A12" s="197"/>
      <c r="B12" s="929" t="s">
        <v>1416</v>
      </c>
      <c r="C12" s="469"/>
      <c r="D12" s="929"/>
      <c r="E12" s="469"/>
      <c r="F12" s="469"/>
      <c r="G12" s="469"/>
      <c r="H12" s="469"/>
      <c r="I12" s="470"/>
      <c r="J12" s="195"/>
      <c r="K12" s="6"/>
    </row>
    <row r="13" spans="1:12" ht="13.5" customHeight="1">
      <c r="A13" s="197"/>
      <c r="B13" s="930"/>
      <c r="C13" s="467"/>
      <c r="D13" s="930"/>
      <c r="E13" s="467"/>
      <c r="F13" s="467"/>
      <c r="G13" s="467"/>
      <c r="H13" s="467"/>
      <c r="I13" s="471"/>
      <c r="J13" s="195"/>
      <c r="K13" s="6"/>
    </row>
    <row r="14" spans="1:12" ht="13.5" customHeight="1" thickBot="1">
      <c r="A14" s="197"/>
      <c r="B14" s="931" t="str">
        <f>IF('Calcul des machines'!C4=2,"Faire exécuter le travail par l'entreprise de travaux agricole?","")</f>
        <v>Faire exécuter le travail par l'entreprise de travaux agricole?</v>
      </c>
      <c r="C14" s="6"/>
      <c r="D14" s="6"/>
      <c r="E14" s="6"/>
      <c r="F14" s="6"/>
      <c r="G14" s="6"/>
      <c r="H14" s="467"/>
      <c r="I14" s="195"/>
      <c r="J14" s="195"/>
      <c r="K14" s="6"/>
    </row>
    <row r="15" spans="1:12" ht="20.25">
      <c r="A15" s="197"/>
      <c r="B15" s="484" t="str">
        <f>'Calcul des machines'!B10</f>
        <v>Tracteur 105–124 kW (143–169 ch)</v>
      </c>
      <c r="C15" s="485"/>
      <c r="D15" s="932"/>
      <c r="E15" s="932"/>
      <c r="F15" s="485"/>
      <c r="G15" s="268"/>
      <c r="H15" s="268"/>
      <c r="I15" s="933"/>
      <c r="J15" s="6"/>
      <c r="K15" s="6"/>
    </row>
    <row r="16" spans="1:12" ht="21" thickBot="1">
      <c r="A16" s="197"/>
      <c r="B16" s="486" t="str">
        <f>IF('Calcul des machines'!C4=2,"avec","")</f>
        <v>avec</v>
      </c>
      <c r="C16" s="487" t="str">
        <f>IF('Calcul des machines'!C4=2,'Calcul des machines'!B76,"")</f>
        <v>Citerne 15 000 l, avec rampe d'épandage à patins, 15 m</v>
      </c>
      <c r="D16" s="488"/>
      <c r="E16" s="487"/>
      <c r="F16" s="487"/>
      <c r="G16" s="273"/>
      <c r="H16" s="273"/>
      <c r="I16" s="934"/>
      <c r="J16" s="6"/>
      <c r="K16" s="6"/>
    </row>
    <row r="17" spans="1:11">
      <c r="A17" s="6"/>
      <c r="B17" s="6"/>
      <c r="C17" s="6"/>
      <c r="D17" s="6"/>
      <c r="E17" s="6"/>
      <c r="F17" s="6"/>
      <c r="G17" s="6"/>
      <c r="H17" s="6"/>
      <c r="I17" s="6"/>
      <c r="J17" s="6"/>
      <c r="K17" s="6"/>
    </row>
    <row r="18" spans="1:11">
      <c r="A18" s="6"/>
      <c r="B18" s="462" t="s">
        <v>1417</v>
      </c>
      <c r="C18" s="458">
        <f>IF('Calcul des machines'!C4=2,résumé!F29,0)</f>
        <v>31</v>
      </c>
      <c r="D18" s="462" t="s">
        <v>1418</v>
      </c>
      <c r="E18" s="458">
        <f>IF(résumé!E10="heures (h)",1,IF('Calcul des machines'!C4=2,1/résumé!D10,0))</f>
        <v>2.8571428571428571E-2</v>
      </c>
      <c r="F18" s="462" t="s">
        <v>1419</v>
      </c>
      <c r="G18" s="6"/>
      <c r="H18" s="6"/>
      <c r="I18" s="6"/>
      <c r="J18" s="6"/>
      <c r="K18" s="6"/>
    </row>
    <row r="19" spans="1:11">
      <c r="A19" s="6"/>
      <c r="B19" s="462" t="s">
        <v>1420</v>
      </c>
      <c r="C19" s="458">
        <f>'Calcul des machines'!G50</f>
        <v>34.924228899082571</v>
      </c>
      <c r="D19" s="462" t="s">
        <v>1418</v>
      </c>
      <c r="E19" s="458">
        <f>E18</f>
        <v>2.8571428571428571E-2</v>
      </c>
      <c r="F19" s="462" t="s">
        <v>1419</v>
      </c>
      <c r="G19" s="6"/>
      <c r="H19" s="6"/>
      <c r="I19" s="6"/>
      <c r="J19" s="6"/>
      <c r="K19" s="6"/>
    </row>
    <row r="20" spans="1:11" ht="13.5" thickBot="1">
      <c r="A20" s="6"/>
      <c r="B20" s="462" t="s">
        <v>1421</v>
      </c>
      <c r="C20" s="458">
        <f>IF('Calcul des machines'!C4=2,'Calcul des machines'!G116,0)+C21</f>
        <v>0.60133333333333339</v>
      </c>
      <c r="D20" s="462" t="s">
        <v>1422</v>
      </c>
      <c r="E20" s="196" t="str">
        <f>IF('Calcul des machines'!C4=2,'Calcul des machines'!C78,'Calcul des machines'!C12)</f>
        <v>m3</v>
      </c>
      <c r="F20" s="462" t="s">
        <v>1423</v>
      </c>
      <c r="G20" s="935" t="s">
        <v>1424</v>
      </c>
      <c r="H20" s="461">
        <f>C24/(C22-C29)</f>
        <v>4337.0957014903797</v>
      </c>
      <c r="I20" s="6" t="str">
        <f>E20</f>
        <v>m3</v>
      </c>
      <c r="K20" s="6"/>
    </row>
    <row r="21" spans="1:11" ht="13.5" thickTop="1">
      <c r="A21" s="6"/>
      <c r="B21" s="474" t="s">
        <v>1425</v>
      </c>
      <c r="C21" s="422"/>
      <c r="D21" s="462" t="s">
        <v>1426</v>
      </c>
      <c r="E21" s="6"/>
      <c r="F21" s="6"/>
      <c r="G21" s="936" t="s">
        <v>1427</v>
      </c>
      <c r="H21" s="6"/>
      <c r="I21" s="6"/>
      <c r="K21" s="6"/>
    </row>
    <row r="22" spans="1:11">
      <c r="A22" s="6"/>
      <c r="B22" s="935" t="s">
        <v>1428</v>
      </c>
      <c r="C22" s="422">
        <v>6</v>
      </c>
      <c r="D22" s="937"/>
      <c r="E22" s="937"/>
      <c r="F22" s="937"/>
      <c r="G22" s="937"/>
      <c r="H22" s="937"/>
      <c r="I22" s="937"/>
      <c r="J22" s="6"/>
    </row>
    <row r="23" spans="1:11">
      <c r="A23" s="462" t="s">
        <v>1429</v>
      </c>
      <c r="B23" s="6" t="str">
        <f>E20</f>
        <v>m3</v>
      </c>
      <c r="C23" s="422">
        <v>1000</v>
      </c>
      <c r="D23" s="422">
        <v>2000</v>
      </c>
      <c r="E23" s="422">
        <v>3000</v>
      </c>
      <c r="F23" s="422">
        <v>4000</v>
      </c>
      <c r="G23" s="422">
        <v>5000</v>
      </c>
      <c r="H23" s="422">
        <v>6000</v>
      </c>
      <c r="I23" s="422">
        <v>7000</v>
      </c>
      <c r="J23" s="6"/>
      <c r="K23" s="6"/>
    </row>
    <row r="24" spans="1:11">
      <c r="A24" s="6"/>
      <c r="B24" s="462" t="s">
        <v>1430</v>
      </c>
      <c r="C24" s="459">
        <f>IF('Calcul des machines'!$C$4=2,'Calcul des machines'!$F$111,'Calcul des machines'!$F$45)</f>
        <v>15245.4</v>
      </c>
      <c r="D24" s="459">
        <f t="shared" ref="D24:I24" si="0">C24</f>
        <v>15245.4</v>
      </c>
      <c r="E24" s="459">
        <f t="shared" si="0"/>
        <v>15245.4</v>
      </c>
      <c r="F24" s="459">
        <f t="shared" si="0"/>
        <v>15245.4</v>
      </c>
      <c r="G24" s="459">
        <f t="shared" si="0"/>
        <v>15245.4</v>
      </c>
      <c r="H24" s="459">
        <f t="shared" si="0"/>
        <v>15245.4</v>
      </c>
      <c r="I24" s="459">
        <f t="shared" si="0"/>
        <v>15245.4</v>
      </c>
      <c r="J24" s="6"/>
      <c r="K24" s="6"/>
    </row>
    <row r="25" spans="1:11">
      <c r="A25" s="6"/>
      <c r="B25" s="462" t="s">
        <v>1431</v>
      </c>
      <c r="C25" s="460">
        <f>IF('Calcul des machines'!$C$4=2,C23*($C$20+$C$19*$E$18+$C$18*$E$18),$C$19*C23)</f>
        <v>2484.8827304499782</v>
      </c>
      <c r="D25" s="460">
        <f>IF('Calcul des machines'!$C$4=2,D23*($C$20+$C$19*$E$18+$C$18*$E$18),$C$19*D23)</f>
        <v>4969.7654608999565</v>
      </c>
      <c r="E25" s="460">
        <f>IF('Calcul des machines'!$C$4=2,E23*($C$20+$C$19*$E$18+$C$18*$E$18),$C$19*E23)</f>
        <v>7454.6481913499347</v>
      </c>
      <c r="F25" s="460">
        <f>IF('Calcul des machines'!$C$4=2,F23*($C$20+$C$19*$E$18+$C$18*$E$18),$C$19*F23)</f>
        <v>9939.5309217999129</v>
      </c>
      <c r="G25" s="460">
        <f>IF('Calcul des machines'!$C$4=2,G23*($C$20+$C$19*$E$18+$C$18*$E$18),$C$19*G23)</f>
        <v>12424.41365224989</v>
      </c>
      <c r="H25" s="460">
        <f>IF('Calcul des machines'!$C$4=2,H23*($C$20+$C$19*$E$18+$C$18*$E$18),$C$19*H23)</f>
        <v>14909.296382699869</v>
      </c>
      <c r="I25" s="460">
        <f>IF('Calcul des machines'!$C$4=2,I23*($C$20+$C$19*$E$18+$C$18*$E$18),$C$19*I23)</f>
        <v>17394.179113149847</v>
      </c>
      <c r="J25" s="6"/>
      <c r="K25" s="6"/>
    </row>
    <row r="26" spans="1:11">
      <c r="A26" s="6"/>
      <c r="B26" s="462" t="s">
        <v>1432</v>
      </c>
      <c r="C26" s="938">
        <f t="shared" ref="C26:I26" si="1">C23*$C$22</f>
        <v>6000</v>
      </c>
      <c r="D26" s="938">
        <f t="shared" si="1"/>
        <v>12000</v>
      </c>
      <c r="E26" s="938">
        <f t="shared" si="1"/>
        <v>18000</v>
      </c>
      <c r="F26" s="938">
        <f t="shared" si="1"/>
        <v>24000</v>
      </c>
      <c r="G26" s="938">
        <f t="shared" si="1"/>
        <v>30000</v>
      </c>
      <c r="H26" s="938">
        <f t="shared" si="1"/>
        <v>36000</v>
      </c>
      <c r="I26" s="938">
        <f t="shared" si="1"/>
        <v>42000</v>
      </c>
      <c r="J26" s="6"/>
      <c r="K26" s="6"/>
    </row>
    <row r="27" spans="1:11">
      <c r="A27" s="6"/>
      <c r="B27" s="6"/>
      <c r="J27" s="6"/>
      <c r="K27" s="6"/>
    </row>
    <row r="28" spans="1:11">
      <c r="A28" s="6"/>
      <c r="B28" s="935" t="s">
        <v>1433</v>
      </c>
      <c r="C28" s="460">
        <f>(C24+C25)/C23</f>
        <v>17.730282730449979</v>
      </c>
      <c r="D28" s="460">
        <f t="shared" ref="D28:I28" si="2">(D24+D25)/D23</f>
        <v>10.107582730449979</v>
      </c>
      <c r="E28" s="460">
        <f t="shared" si="2"/>
        <v>7.566682730449978</v>
      </c>
      <c r="F28" s="460">
        <f t="shared" si="2"/>
        <v>6.2962327304499777</v>
      </c>
      <c r="G28" s="460">
        <f t="shared" si="2"/>
        <v>5.5339627304499777</v>
      </c>
      <c r="H28" s="460">
        <f t="shared" si="2"/>
        <v>5.0257827304499783</v>
      </c>
      <c r="I28" s="460">
        <f t="shared" si="2"/>
        <v>4.662797016164264</v>
      </c>
      <c r="J28" s="6"/>
      <c r="K28" s="6"/>
    </row>
    <row r="29" spans="1:11">
      <c r="A29" s="6"/>
      <c r="B29" s="935" t="s">
        <v>1434</v>
      </c>
      <c r="C29" s="458">
        <f>IF('Calcul des machines'!C4=2,$C$20+$C$19*$E$18+$C$18*$E$18,C19)</f>
        <v>2.4848827304499781</v>
      </c>
      <c r="D29" s="6"/>
      <c r="E29" s="6"/>
      <c r="F29" s="6"/>
      <c r="G29" s="6"/>
      <c r="H29" s="6"/>
      <c r="I29" s="6"/>
      <c r="J29" s="6"/>
      <c r="K29" s="6"/>
    </row>
    <row r="30" spans="1:11">
      <c r="A30" s="6"/>
      <c r="B30" s="6"/>
      <c r="C30" s="6"/>
      <c r="D30" s="6"/>
      <c r="E30" s="6"/>
      <c r="F30" s="6"/>
      <c r="G30" s="6"/>
      <c r="H30" s="6"/>
      <c r="I30" s="6"/>
      <c r="J30" s="6"/>
      <c r="K30" s="6"/>
    </row>
    <row r="31" spans="1:11">
      <c r="A31" s="6"/>
      <c r="B31" s="6"/>
      <c r="C31" s="6"/>
      <c r="D31" s="6"/>
      <c r="E31" s="6"/>
      <c r="F31" s="6"/>
      <c r="G31" s="6"/>
      <c r="H31" s="6"/>
      <c r="I31" s="6"/>
      <c r="J31" s="6"/>
      <c r="K31" s="6"/>
    </row>
    <row r="32" spans="1:11" ht="18">
      <c r="A32" s="6"/>
      <c r="B32" s="192" t="s">
        <v>1435</v>
      </c>
      <c r="C32" s="6"/>
      <c r="D32" s="6"/>
      <c r="E32" s="6"/>
      <c r="F32" s="6"/>
      <c r="G32" s="6"/>
      <c r="H32" s="6"/>
      <c r="I32" s="6"/>
      <c r="J32" s="6"/>
      <c r="K32" s="6"/>
    </row>
    <row r="33" spans="1:11">
      <c r="A33" s="6"/>
      <c r="B33" s="6"/>
      <c r="C33" s="6"/>
      <c r="D33" s="6"/>
      <c r="E33" s="6"/>
      <c r="F33" s="6"/>
      <c r="G33" s="6"/>
      <c r="H33" s="6"/>
      <c r="I33" s="6"/>
      <c r="J33" s="6"/>
      <c r="K33" s="6"/>
    </row>
    <row r="34" spans="1:11">
      <c r="A34" s="6"/>
      <c r="B34" s="6"/>
      <c r="C34" s="6"/>
      <c r="D34" s="6"/>
      <c r="E34" s="6"/>
      <c r="F34" s="6"/>
      <c r="G34" s="6"/>
      <c r="H34" s="6"/>
      <c r="I34" s="6"/>
      <c r="J34" s="6"/>
      <c r="K34" s="6"/>
    </row>
    <row r="35" spans="1:11">
      <c r="A35" s="6"/>
      <c r="B35" s="6"/>
      <c r="C35" s="6"/>
      <c r="D35" s="6"/>
      <c r="E35" s="6"/>
      <c r="F35" s="6"/>
      <c r="G35" s="6"/>
      <c r="H35" s="6"/>
      <c r="I35" s="6"/>
      <c r="J35" s="6"/>
      <c r="K35" s="6"/>
    </row>
    <row r="36" spans="1:11">
      <c r="A36" s="6"/>
      <c r="B36" s="6"/>
      <c r="C36" s="6"/>
      <c r="D36" s="6"/>
      <c r="E36" s="6"/>
      <c r="F36" s="6"/>
      <c r="G36" s="6"/>
      <c r="H36" s="6"/>
      <c r="I36" s="6"/>
      <c r="J36" s="6"/>
      <c r="K36" s="6"/>
    </row>
    <row r="37" spans="1:11">
      <c r="A37" s="6"/>
      <c r="B37" s="6"/>
      <c r="C37" s="6"/>
      <c r="D37" s="6"/>
      <c r="E37" s="6"/>
      <c r="F37" s="6"/>
      <c r="G37" s="6"/>
      <c r="H37" s="6"/>
      <c r="I37" s="6"/>
      <c r="J37" s="6"/>
      <c r="K37" s="6"/>
    </row>
    <row r="38" spans="1:11">
      <c r="A38" s="6"/>
      <c r="B38" s="6"/>
      <c r="C38" s="6"/>
      <c r="D38" s="6"/>
      <c r="E38" s="6"/>
      <c r="F38" s="6"/>
      <c r="G38" s="6"/>
      <c r="H38" s="6"/>
      <c r="I38" s="6"/>
      <c r="J38" s="6"/>
      <c r="K38" s="6"/>
    </row>
    <row r="39" spans="1:11">
      <c r="A39" s="6"/>
      <c r="B39" s="6"/>
      <c r="C39" s="6"/>
      <c r="D39" s="6"/>
      <c r="E39" s="6"/>
      <c r="F39" s="6"/>
      <c r="G39" s="6"/>
      <c r="H39" s="6"/>
      <c r="I39" s="6"/>
      <c r="J39" s="6"/>
      <c r="K39" s="6"/>
    </row>
    <row r="40" spans="1:11">
      <c r="A40" s="6"/>
      <c r="B40" s="6"/>
      <c r="C40" s="6"/>
      <c r="D40" s="6"/>
      <c r="E40" s="6"/>
      <c r="F40" s="6"/>
      <c r="G40" s="6"/>
      <c r="H40" s="6"/>
      <c r="I40" s="6"/>
      <c r="J40" s="6"/>
      <c r="K40" s="6"/>
    </row>
    <row r="41" spans="1:11">
      <c r="A41" s="6"/>
      <c r="B41" s="6"/>
      <c r="C41" s="6"/>
      <c r="D41" s="6"/>
      <c r="E41" s="6"/>
      <c r="F41" s="6"/>
      <c r="G41" s="6"/>
      <c r="H41" s="6"/>
      <c r="I41" s="6"/>
      <c r="J41" s="6"/>
      <c r="K41" s="6"/>
    </row>
    <row r="42" spans="1:11">
      <c r="A42" s="6"/>
      <c r="B42" s="6"/>
      <c r="C42" s="6"/>
      <c r="D42" s="6"/>
      <c r="E42" s="6"/>
      <c r="F42" s="6"/>
      <c r="G42" s="6"/>
      <c r="H42" s="6"/>
      <c r="I42" s="6"/>
      <c r="J42" s="6"/>
      <c r="K42" s="6"/>
    </row>
    <row r="43" spans="1:11">
      <c r="A43" s="6"/>
      <c r="B43" s="6"/>
      <c r="C43" s="6"/>
      <c r="D43" s="6"/>
      <c r="E43" s="6"/>
      <c r="F43" s="6"/>
      <c r="G43" s="6"/>
      <c r="H43" s="6"/>
      <c r="I43" s="6"/>
      <c r="J43" s="6"/>
      <c r="K43" s="6"/>
    </row>
    <row r="44" spans="1:11">
      <c r="A44" s="6"/>
      <c r="B44" s="6"/>
      <c r="C44" s="6"/>
      <c r="D44" s="6"/>
      <c r="E44" s="6"/>
      <c r="F44" s="6"/>
      <c r="G44" s="6"/>
      <c r="H44" s="6"/>
      <c r="I44" s="6"/>
      <c r="J44" s="6"/>
      <c r="K44" s="6"/>
    </row>
    <row r="45" spans="1:11">
      <c r="A45" s="6"/>
      <c r="B45" s="6"/>
      <c r="C45" s="6"/>
      <c r="D45" s="6"/>
      <c r="E45" s="6"/>
      <c r="F45" s="6"/>
      <c r="G45" s="6"/>
      <c r="H45" s="6"/>
      <c r="I45" s="6"/>
      <c r="J45" s="6"/>
      <c r="K45" s="6"/>
    </row>
    <row r="46" spans="1:11">
      <c r="A46" s="6"/>
      <c r="B46" s="6"/>
      <c r="C46" s="6"/>
      <c r="D46" s="6"/>
      <c r="E46" s="6"/>
      <c r="F46" s="6"/>
      <c r="G46" s="6"/>
      <c r="H46" s="6"/>
      <c r="I46" s="6"/>
      <c r="J46" s="6"/>
      <c r="K46" s="6"/>
    </row>
    <row r="47" spans="1:11">
      <c r="A47" s="6"/>
      <c r="B47" s="6"/>
      <c r="C47" s="6"/>
      <c r="D47" s="6"/>
      <c r="E47" s="6"/>
      <c r="F47" s="6"/>
      <c r="G47" s="6"/>
      <c r="H47" s="6"/>
      <c r="I47" s="6"/>
      <c r="J47" s="6"/>
      <c r="K47" s="6"/>
    </row>
    <row r="48" spans="1:11">
      <c r="A48" s="6"/>
      <c r="B48" s="6"/>
      <c r="C48" s="6"/>
      <c r="D48" s="6"/>
      <c r="E48" s="6"/>
      <c r="F48" s="6"/>
      <c r="G48" s="6"/>
      <c r="H48" s="6"/>
      <c r="I48" s="6"/>
      <c r="J48" s="6"/>
      <c r="K48" s="6"/>
    </row>
    <row r="49" spans="1:11">
      <c r="A49" s="6"/>
      <c r="B49" s="6"/>
      <c r="C49" s="6"/>
      <c r="D49" s="6"/>
      <c r="E49" s="6"/>
      <c r="F49" s="6"/>
      <c r="G49" s="6"/>
      <c r="H49" s="6"/>
      <c r="I49" s="6"/>
      <c r="J49" s="6"/>
      <c r="K49" s="6"/>
    </row>
    <row r="50" spans="1:11">
      <c r="A50" s="6"/>
      <c r="B50" s="6"/>
      <c r="C50" s="6"/>
      <c r="D50" s="6"/>
      <c r="E50" s="6"/>
      <c r="F50" s="6"/>
      <c r="G50" s="6"/>
      <c r="H50" s="6"/>
      <c r="I50" s="6"/>
      <c r="J50" s="6"/>
      <c r="K50" s="6"/>
    </row>
    <row r="51" spans="1:11">
      <c r="A51" s="6"/>
      <c r="B51" s="6"/>
      <c r="C51" s="6"/>
      <c r="D51" s="6"/>
      <c r="E51" s="6"/>
      <c r="F51" s="6"/>
      <c r="G51" s="6"/>
      <c r="H51" s="6"/>
      <c r="I51" s="6"/>
      <c r="J51" s="6"/>
      <c r="K51" s="6"/>
    </row>
    <row r="52" spans="1:11">
      <c r="A52" s="6"/>
      <c r="B52" s="6"/>
      <c r="C52" s="6"/>
      <c r="D52" s="6"/>
      <c r="E52" s="6"/>
      <c r="F52" s="6"/>
      <c r="G52" s="6"/>
      <c r="H52" s="6"/>
      <c r="I52" s="6"/>
      <c r="J52" s="6"/>
      <c r="K52" s="6"/>
    </row>
    <row r="53" spans="1:11">
      <c r="A53" s="6"/>
      <c r="B53" s="6"/>
      <c r="C53" s="6"/>
      <c r="D53" s="6"/>
      <c r="E53" s="6"/>
      <c r="F53" s="6"/>
      <c r="G53" s="6"/>
      <c r="H53" s="6"/>
      <c r="I53" s="6"/>
      <c r="J53" s="6"/>
      <c r="K53" s="6"/>
    </row>
    <row r="54" spans="1:11">
      <c r="A54" s="6"/>
      <c r="B54" s="6"/>
      <c r="C54" s="6"/>
      <c r="D54" s="6"/>
      <c r="E54" s="6"/>
      <c r="F54" s="6"/>
      <c r="G54" s="6"/>
      <c r="H54" s="6"/>
      <c r="I54" s="6"/>
      <c r="J54" s="6"/>
      <c r="K54" s="6"/>
    </row>
    <row r="55" spans="1:11">
      <c r="A55" s="6"/>
      <c r="B55" s="6"/>
      <c r="C55" s="6"/>
      <c r="D55" s="6"/>
      <c r="E55" s="6"/>
      <c r="F55" s="6"/>
      <c r="G55" s="6"/>
      <c r="H55" s="6"/>
      <c r="I55" s="6"/>
      <c r="J55" s="6"/>
      <c r="K55" s="6"/>
    </row>
    <row r="56" spans="1:11">
      <c r="A56" s="6"/>
      <c r="B56" s="6"/>
      <c r="C56" s="6"/>
      <c r="D56" s="6"/>
      <c r="E56" s="6"/>
      <c r="F56" s="6"/>
      <c r="G56" s="6"/>
      <c r="H56" s="6"/>
      <c r="I56" s="6"/>
      <c r="J56" s="6"/>
      <c r="K56" s="6"/>
    </row>
    <row r="57" spans="1:11">
      <c r="A57" s="6"/>
      <c r="B57" s="6"/>
      <c r="C57" s="6"/>
      <c r="D57" s="6"/>
      <c r="E57" s="6"/>
      <c r="F57" s="6"/>
      <c r="G57" s="6"/>
      <c r="H57" s="6"/>
      <c r="I57" s="6"/>
      <c r="J57" s="6"/>
      <c r="K57" s="6"/>
    </row>
    <row r="58" spans="1:11">
      <c r="A58" s="6"/>
      <c r="B58" s="6"/>
      <c r="C58" s="6"/>
      <c r="D58" s="6"/>
      <c r="E58" s="6"/>
      <c r="F58" s="6"/>
      <c r="G58" s="6"/>
      <c r="H58" s="6"/>
      <c r="I58" s="6"/>
      <c r="J58" s="6"/>
      <c r="K58" s="6"/>
    </row>
    <row r="59" spans="1:11">
      <c r="A59" s="6"/>
      <c r="B59" s="6"/>
      <c r="C59" s="6"/>
      <c r="D59" s="6"/>
      <c r="E59" s="6"/>
      <c r="F59" s="6"/>
      <c r="G59" s="6"/>
      <c r="H59" s="6"/>
      <c r="I59" s="6"/>
      <c r="J59" s="6"/>
      <c r="K59" s="6"/>
    </row>
    <row r="60" spans="1:11">
      <c r="A60" s="6"/>
      <c r="B60" s="6"/>
      <c r="C60" s="6"/>
      <c r="D60" s="6"/>
      <c r="E60" s="6"/>
      <c r="F60" s="6"/>
      <c r="G60" s="6"/>
      <c r="H60" s="6"/>
      <c r="I60" s="6"/>
      <c r="J60" s="6"/>
      <c r="K60" s="6"/>
    </row>
    <row r="61" spans="1:11" ht="13.5" thickBot="1">
      <c r="A61" s="6"/>
      <c r="B61" s="6"/>
      <c r="C61" s="6"/>
      <c r="D61" s="6"/>
      <c r="E61" s="6"/>
      <c r="F61" s="6"/>
      <c r="G61" s="6"/>
      <c r="H61" s="6"/>
      <c r="I61" s="6"/>
      <c r="J61" s="6"/>
      <c r="K61" s="6"/>
    </row>
    <row r="62" spans="1:11">
      <c r="A62" s="6"/>
      <c r="B62" s="484" t="str">
        <f>B15</f>
        <v>Tracteur 105–124 kW (143–169 ch)</v>
      </c>
      <c r="C62" s="268"/>
      <c r="D62" s="268"/>
      <c r="E62" s="489"/>
      <c r="F62" s="489"/>
      <c r="G62" s="489"/>
      <c r="H62" s="490"/>
      <c r="I62" s="6"/>
      <c r="J62" s="6"/>
      <c r="K62" s="6"/>
    </row>
    <row r="63" spans="1:11" ht="13.5" thickBot="1">
      <c r="A63" s="6"/>
      <c r="B63" s="491" t="s">
        <v>414</v>
      </c>
      <c r="C63" s="492" t="str">
        <f>C16</f>
        <v>Citerne 15 000 l, avec rampe d'épandage à patins, 15 m</v>
      </c>
      <c r="D63" s="493"/>
      <c r="E63" s="493"/>
      <c r="F63" s="493"/>
      <c r="G63" s="493"/>
      <c r="H63" s="494"/>
      <c r="I63" s="6"/>
      <c r="J63" s="6"/>
      <c r="K63" s="6"/>
    </row>
    <row r="64" spans="1:11">
      <c r="A64" s="6"/>
      <c r="B64" s="6"/>
      <c r="C64" s="6"/>
      <c r="D64" s="6"/>
      <c r="E64" s="6"/>
      <c r="F64" s="6"/>
      <c r="G64" s="6"/>
      <c r="H64" s="6"/>
      <c r="I64" s="6"/>
      <c r="J64" s="6"/>
      <c r="K64" s="6"/>
    </row>
    <row r="65" spans="1:11">
      <c r="A65" s="6"/>
      <c r="B65" s="6" t="s">
        <v>1436</v>
      </c>
      <c r="C65" s="358">
        <f t="shared" ref="C65:I65" si="3">C24/C23</f>
        <v>15.2454</v>
      </c>
      <c r="D65" s="358">
        <f t="shared" si="3"/>
        <v>7.6227</v>
      </c>
      <c r="E65" s="358">
        <f t="shared" si="3"/>
        <v>5.0818000000000003</v>
      </c>
      <c r="F65" s="358">
        <f t="shared" si="3"/>
        <v>3.81135</v>
      </c>
      <c r="G65" s="358">
        <f t="shared" si="3"/>
        <v>3.04908</v>
      </c>
      <c r="H65" s="358">
        <f t="shared" si="3"/>
        <v>2.5409000000000002</v>
      </c>
      <c r="I65" s="358">
        <f t="shared" si="3"/>
        <v>2.1779142857142855</v>
      </c>
      <c r="J65" s="6"/>
      <c r="K65" s="6"/>
    </row>
    <row r="66" spans="1:11">
      <c r="A66" s="6"/>
      <c r="B66" s="6" t="s">
        <v>1437</v>
      </c>
      <c r="C66" s="358">
        <f t="shared" ref="C66:I66" si="4">C25/C23</f>
        <v>2.4848827304499781</v>
      </c>
      <c r="D66" s="358">
        <f t="shared" si="4"/>
        <v>2.4848827304499781</v>
      </c>
      <c r="E66" s="358">
        <f t="shared" si="4"/>
        <v>2.4848827304499781</v>
      </c>
      <c r="F66" s="358">
        <f t="shared" si="4"/>
        <v>2.4848827304499781</v>
      </c>
      <c r="G66" s="358">
        <f t="shared" si="4"/>
        <v>2.4848827304499781</v>
      </c>
      <c r="H66" s="358">
        <f t="shared" si="4"/>
        <v>2.4848827304499781</v>
      </c>
      <c r="I66" s="358">
        <f t="shared" si="4"/>
        <v>2.4848827304499781</v>
      </c>
      <c r="J66" s="6"/>
      <c r="K66" s="6"/>
    </row>
    <row r="67" spans="1:11">
      <c r="A67" s="6"/>
      <c r="B67" s="935" t="s">
        <v>1428</v>
      </c>
      <c r="C67" s="6">
        <f t="shared" ref="C67:I67" si="5">$C22</f>
        <v>6</v>
      </c>
      <c r="D67" s="6">
        <f t="shared" si="5"/>
        <v>6</v>
      </c>
      <c r="E67" s="6">
        <f t="shared" si="5"/>
        <v>6</v>
      </c>
      <c r="F67" s="6">
        <f t="shared" si="5"/>
        <v>6</v>
      </c>
      <c r="G67" s="6">
        <f t="shared" si="5"/>
        <v>6</v>
      </c>
      <c r="H67" s="6">
        <f t="shared" si="5"/>
        <v>6</v>
      </c>
      <c r="I67" s="6">
        <f t="shared" si="5"/>
        <v>6</v>
      </c>
      <c r="J67" s="6"/>
      <c r="K67" s="6"/>
    </row>
    <row r="68" spans="1:11">
      <c r="A68" s="6"/>
      <c r="B68" s="6"/>
      <c r="C68" s="6"/>
      <c r="D68" s="6"/>
      <c r="E68" s="6"/>
      <c r="F68" s="6"/>
      <c r="G68" s="6"/>
      <c r="H68" s="6"/>
      <c r="I68" s="6"/>
      <c r="J68" s="6"/>
      <c r="K68" s="6"/>
    </row>
    <row r="69" spans="1:11">
      <c r="A69" s="6"/>
      <c r="B69" s="6"/>
      <c r="C69" s="6"/>
      <c r="D69" s="6"/>
      <c r="E69" s="6"/>
      <c r="F69" s="6"/>
      <c r="G69" s="6"/>
      <c r="H69" s="6"/>
      <c r="I69" s="6"/>
      <c r="J69" s="6"/>
      <c r="K69" s="6"/>
    </row>
    <row r="70" spans="1:11" ht="18">
      <c r="A70" s="6"/>
      <c r="B70" s="192" t="s">
        <v>1438</v>
      </c>
      <c r="C70" s="6"/>
      <c r="D70" s="6"/>
      <c r="E70" s="6"/>
      <c r="F70" s="6"/>
      <c r="G70" s="6"/>
      <c r="H70" s="6"/>
      <c r="I70" s="6"/>
      <c r="J70" s="6"/>
      <c r="K70" s="6"/>
    </row>
    <row r="71" spans="1:11">
      <c r="A71" s="6"/>
      <c r="B71" s="6"/>
      <c r="C71" s="6"/>
      <c r="D71" s="6"/>
      <c r="E71" s="6"/>
      <c r="F71" s="6"/>
      <c r="G71" s="6"/>
      <c r="H71" s="6"/>
      <c r="I71" s="6"/>
      <c r="J71" s="6"/>
      <c r="K71" s="6"/>
    </row>
    <row r="72" spans="1:11">
      <c r="A72" s="6"/>
      <c r="B72" s="6"/>
      <c r="C72" s="6"/>
      <c r="D72" s="6"/>
      <c r="E72" s="6"/>
      <c r="F72" s="6"/>
      <c r="G72" s="6"/>
      <c r="H72" s="6"/>
      <c r="I72" s="6"/>
      <c r="J72" s="6"/>
      <c r="K72" s="6"/>
    </row>
    <row r="73" spans="1:11">
      <c r="A73" s="6"/>
      <c r="B73" s="6"/>
      <c r="C73" s="6"/>
      <c r="D73" s="6"/>
      <c r="E73" s="6"/>
      <c r="F73" s="6"/>
      <c r="G73" s="6"/>
      <c r="H73" s="6"/>
      <c r="I73" s="6"/>
      <c r="J73" s="6"/>
      <c r="K73" s="6"/>
    </row>
    <row r="74" spans="1:11">
      <c r="A74" s="6"/>
      <c r="B74" s="6"/>
      <c r="C74" s="6"/>
      <c r="D74" s="6"/>
      <c r="E74" s="6"/>
      <c r="F74" s="6"/>
      <c r="G74" s="6"/>
      <c r="H74" s="6"/>
      <c r="I74" s="6"/>
      <c r="J74" s="6"/>
      <c r="K74" s="6"/>
    </row>
    <row r="75" spans="1:11">
      <c r="A75" s="6"/>
      <c r="B75" s="6"/>
      <c r="C75" s="6"/>
      <c r="D75" s="6"/>
      <c r="E75" s="6"/>
      <c r="F75" s="6"/>
      <c r="G75" s="6"/>
      <c r="H75" s="6"/>
      <c r="I75" s="6"/>
      <c r="J75" s="6"/>
      <c r="K75" s="6"/>
    </row>
    <row r="76" spans="1:11">
      <c r="A76" s="6"/>
      <c r="B76" s="6"/>
      <c r="C76" s="6"/>
      <c r="D76" s="6"/>
      <c r="E76" s="6"/>
      <c r="F76" s="6"/>
      <c r="G76" s="6"/>
      <c r="H76" s="6"/>
      <c r="I76" s="6"/>
      <c r="J76" s="6"/>
      <c r="K76" s="6"/>
    </row>
    <row r="77" spans="1:11" s="467" customFormat="1"/>
    <row r="78" spans="1:11" s="467" customFormat="1"/>
    <row r="79" spans="1:11" s="467" customFormat="1"/>
    <row r="80" spans="1:11" s="467" customFormat="1"/>
    <row r="81" s="467" customFormat="1"/>
    <row r="82" s="467" customFormat="1"/>
    <row r="83" s="467" customFormat="1"/>
    <row r="84" s="467" customFormat="1"/>
    <row r="85" s="467" customFormat="1"/>
    <row r="86" s="467" customFormat="1"/>
    <row r="87" s="467" customFormat="1"/>
    <row r="88" s="467" customFormat="1"/>
    <row r="89" s="467" customFormat="1"/>
    <row r="90" s="467" customFormat="1"/>
    <row r="91" s="467" customFormat="1"/>
    <row r="92" s="467" customFormat="1"/>
    <row r="93" s="467" customFormat="1"/>
    <row r="94" s="467" customFormat="1"/>
    <row r="95" s="467" customFormat="1"/>
    <row r="96" s="467" customFormat="1"/>
    <row r="97" s="467" customFormat="1"/>
    <row r="98" s="467" customFormat="1"/>
    <row r="99" s="467" customFormat="1"/>
    <row r="100" s="467" customFormat="1"/>
    <row r="101" s="467" customFormat="1"/>
    <row r="102" s="467" customFormat="1"/>
    <row r="103" s="467" customFormat="1"/>
    <row r="104" s="467" customFormat="1"/>
    <row r="105" s="467" customFormat="1"/>
    <row r="106" s="467" customFormat="1"/>
    <row r="107" s="467" customFormat="1"/>
    <row r="108" s="467" customFormat="1"/>
    <row r="109" s="467" customFormat="1"/>
    <row r="110" s="467" customFormat="1"/>
  </sheetData>
  <sheetProtection algorithmName="SHA-512" hashValue="T/AEGo4x3bCTWJR7m9KMWdDAsbxdPZxZBM7VzMZgkhrp+GcGFNBRenS190u1B/BIkKAH2sKO4//I/AX//a5SPA==" saltValue="RNyD2kyQ/i7VKYjuNXzbWg==" spinCount="100000" sheet="1" objects="1" scenarios="1"/>
  <phoneticPr fontId="67" type="noConversion"/>
  <hyperlinks>
    <hyperlink ref="G6:I6" location="Maschinen_berechnen!C4" display="zum Schalter hier klicken!" xr:uid="{CC78DFAE-8405-4BC6-A1A9-51308B670161}"/>
    <hyperlink ref="G6:J6" location="'Calcul des machines'!C4" display="Cliquez ici pour faire votre choix !" xr:uid="{4F08A7DA-3183-4E23-89A8-C745738FE51C}"/>
  </hyperlinks>
  <pageMargins left="0.39370078740157483" right="0.39370078740157483" top="0.98425196850393704" bottom="0.98425196850393704" header="0.51181102362204722" footer="0.51181102362204722"/>
  <pageSetup paperSize="9" scale="85" orientation="portrait" horizontalDpi="4294967292" verticalDpi="4294967292"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AA256"/>
  <sheetViews>
    <sheetView topLeftCell="A3" workbookViewId="0">
      <pane ySplit="825" activePane="bottomLeft"/>
      <selection activeCell="F69" sqref="F69"/>
      <selection pane="bottomLeft" activeCell="F1" sqref="F1"/>
    </sheetView>
  </sheetViews>
  <sheetFormatPr baseColWidth="10" defaultColWidth="11.42578125" defaultRowHeight="10.5"/>
  <cols>
    <col min="1" max="1" width="2.85546875" style="17" customWidth="1"/>
    <col min="2" max="2" width="22.140625" style="17" customWidth="1"/>
    <col min="3" max="5" width="7.7109375" style="17" customWidth="1"/>
    <col min="6" max="6" width="8.7109375" style="17" customWidth="1"/>
    <col min="7" max="12" width="9.85546875" style="17" customWidth="1"/>
    <col min="13" max="25" width="8.7109375" style="17" customWidth="1"/>
    <col min="26" max="16384" width="11.42578125" style="17"/>
  </cols>
  <sheetData>
    <row r="1" spans="1:25" s="13" customFormat="1" ht="15.75">
      <c r="A1" s="12" t="s">
        <v>336</v>
      </c>
      <c r="C1" s="14"/>
      <c r="D1" s="14"/>
      <c r="E1" s="14"/>
      <c r="F1" s="14"/>
      <c r="G1" s="15"/>
      <c r="H1" s="15"/>
      <c r="I1" s="15"/>
      <c r="J1" s="14"/>
      <c r="K1" s="15"/>
      <c r="L1" s="16"/>
      <c r="M1" s="14"/>
      <c r="N1" s="14"/>
      <c r="O1" s="14"/>
      <c r="P1" s="14"/>
      <c r="Q1" s="14"/>
      <c r="R1" s="14"/>
      <c r="S1" s="14"/>
      <c r="T1" s="14"/>
      <c r="U1" s="14"/>
      <c r="V1" s="14"/>
      <c r="W1" s="14"/>
      <c r="X1" s="14"/>
      <c r="Y1" s="14"/>
    </row>
    <row r="3" spans="1:25">
      <c r="A3" s="21" t="s">
        <v>337</v>
      </c>
      <c r="B3" s="22"/>
      <c r="C3" s="23"/>
      <c r="D3" s="23" t="s">
        <v>338</v>
      </c>
      <c r="E3" s="23" t="s">
        <v>339</v>
      </c>
      <c r="F3" s="103" t="s">
        <v>143</v>
      </c>
      <c r="G3" s="24">
        <v>2009</v>
      </c>
      <c r="H3" s="24">
        <v>2008</v>
      </c>
      <c r="I3" s="24">
        <v>2007</v>
      </c>
      <c r="J3" s="25">
        <v>2006</v>
      </c>
      <c r="K3" s="24">
        <v>2005</v>
      </c>
      <c r="L3" s="26">
        <v>2004</v>
      </c>
      <c r="M3" s="25">
        <v>2003</v>
      </c>
      <c r="N3" s="25">
        <v>2002</v>
      </c>
      <c r="O3" s="25">
        <v>2001</v>
      </c>
      <c r="P3" s="25">
        <v>2000</v>
      </c>
      <c r="Q3" s="25">
        <v>1999</v>
      </c>
      <c r="R3" s="25">
        <v>1998</v>
      </c>
      <c r="S3" s="25">
        <v>1997</v>
      </c>
      <c r="T3" s="25">
        <v>1996</v>
      </c>
      <c r="U3" s="25">
        <v>1995</v>
      </c>
      <c r="V3" s="25">
        <v>1994</v>
      </c>
      <c r="W3" s="25">
        <v>1993</v>
      </c>
      <c r="X3" s="25">
        <v>1992</v>
      </c>
      <c r="Y3" s="25">
        <v>1991</v>
      </c>
    </row>
    <row r="4" spans="1:25">
      <c r="A4" s="27" t="s">
        <v>340</v>
      </c>
      <c r="B4" s="28"/>
      <c r="C4" s="29"/>
      <c r="D4" s="29" t="s">
        <v>341</v>
      </c>
      <c r="E4" s="29" t="s">
        <v>342</v>
      </c>
      <c r="F4" s="104">
        <v>39975</v>
      </c>
      <c r="G4" s="30">
        <v>39622</v>
      </c>
      <c r="H4" s="30">
        <v>39267</v>
      </c>
      <c r="I4" s="30">
        <v>38903</v>
      </c>
      <c r="J4" s="31">
        <v>38546</v>
      </c>
      <c r="K4" s="30">
        <v>38181</v>
      </c>
      <c r="L4" s="32">
        <v>37818</v>
      </c>
      <c r="M4" s="31">
        <v>37438</v>
      </c>
      <c r="N4" s="31">
        <v>37056</v>
      </c>
      <c r="O4" s="31">
        <v>36721</v>
      </c>
      <c r="P4" s="31">
        <v>36336</v>
      </c>
      <c r="Q4" s="31">
        <v>35976</v>
      </c>
      <c r="R4" s="31">
        <v>35626</v>
      </c>
      <c r="S4" s="31">
        <v>35272</v>
      </c>
      <c r="T4" s="31">
        <v>34887</v>
      </c>
      <c r="U4" s="31">
        <v>34522</v>
      </c>
      <c r="V4" s="31">
        <v>34170</v>
      </c>
      <c r="W4" s="31">
        <v>33793</v>
      </c>
      <c r="X4" s="31" t="s">
        <v>221</v>
      </c>
      <c r="Y4" s="31">
        <v>33035</v>
      </c>
    </row>
    <row r="5" spans="1:25">
      <c r="A5" s="33"/>
      <c r="B5" s="34"/>
      <c r="C5" s="35"/>
      <c r="D5" s="35"/>
      <c r="E5" s="35"/>
      <c r="F5" s="36"/>
      <c r="G5" s="36"/>
      <c r="H5" s="36"/>
      <c r="I5" s="36"/>
      <c r="J5" s="35"/>
      <c r="K5" s="36"/>
      <c r="L5" s="37"/>
      <c r="M5" s="35"/>
      <c r="N5" s="35"/>
      <c r="O5" s="35"/>
      <c r="P5" s="35"/>
      <c r="Q5" s="35"/>
      <c r="R5" s="35"/>
      <c r="S5" s="35"/>
      <c r="T5" s="35"/>
      <c r="U5" s="35"/>
      <c r="V5" s="35"/>
      <c r="W5" s="35"/>
      <c r="X5" s="35"/>
      <c r="Y5" s="35"/>
    </row>
    <row r="6" spans="1:25">
      <c r="A6" s="38" t="s">
        <v>343</v>
      </c>
      <c r="B6" s="39"/>
      <c r="C6" s="40"/>
      <c r="D6" s="40"/>
      <c r="E6" s="40"/>
      <c r="F6" s="41"/>
      <c r="G6" s="41"/>
      <c r="H6" s="41"/>
      <c r="I6" s="41"/>
      <c r="J6" s="40"/>
      <c r="K6" s="41"/>
      <c r="L6" s="42"/>
      <c r="M6" s="40"/>
      <c r="N6" s="40"/>
      <c r="O6" s="40"/>
      <c r="P6" s="40"/>
      <c r="Q6" s="40"/>
      <c r="R6" s="40"/>
      <c r="S6" s="40"/>
      <c r="T6" s="40"/>
      <c r="U6" s="40"/>
      <c r="V6" s="40"/>
      <c r="W6" s="40"/>
      <c r="X6" s="40"/>
      <c r="Y6" s="40"/>
    </row>
    <row r="7" spans="1:25">
      <c r="A7" s="43"/>
      <c r="B7" s="39" t="s">
        <v>344</v>
      </c>
      <c r="C7" s="40" t="s">
        <v>380</v>
      </c>
      <c r="D7" s="40"/>
      <c r="E7" s="40"/>
      <c r="F7" s="44"/>
      <c r="G7" s="44">
        <v>27</v>
      </c>
      <c r="H7" s="44">
        <v>27</v>
      </c>
      <c r="I7" s="44">
        <v>27</v>
      </c>
      <c r="J7" s="45">
        <v>26</v>
      </c>
      <c r="K7" s="44">
        <v>26</v>
      </c>
      <c r="L7" s="46">
        <v>25</v>
      </c>
      <c r="M7" s="45">
        <v>25</v>
      </c>
      <c r="N7" s="45">
        <v>24</v>
      </c>
      <c r="O7" s="45">
        <v>24</v>
      </c>
      <c r="P7" s="45">
        <v>23</v>
      </c>
      <c r="Q7" s="45">
        <v>23</v>
      </c>
      <c r="R7" s="45">
        <v>23</v>
      </c>
      <c r="S7" s="45">
        <v>23</v>
      </c>
      <c r="T7" s="45">
        <v>23</v>
      </c>
      <c r="U7" s="45">
        <v>22</v>
      </c>
      <c r="V7" s="45">
        <v>22</v>
      </c>
      <c r="W7" s="45">
        <v>21</v>
      </c>
      <c r="X7" s="45">
        <v>20</v>
      </c>
      <c r="Y7" s="45">
        <v>19</v>
      </c>
    </row>
    <row r="8" spans="1:25">
      <c r="A8" s="43"/>
      <c r="B8" s="39" t="s">
        <v>345</v>
      </c>
      <c r="C8" s="40" t="s">
        <v>380</v>
      </c>
      <c r="D8" s="40"/>
      <c r="E8" s="40"/>
      <c r="F8" s="44"/>
      <c r="G8" s="44">
        <v>62</v>
      </c>
      <c r="H8" s="44">
        <v>61</v>
      </c>
      <c r="I8" s="44">
        <v>61</v>
      </c>
      <c r="J8" s="45">
        <v>58</v>
      </c>
      <c r="K8" s="44">
        <v>58</v>
      </c>
      <c r="L8" s="46">
        <v>56</v>
      </c>
      <c r="M8" s="45">
        <v>55</v>
      </c>
      <c r="N8" s="45">
        <v>49</v>
      </c>
      <c r="O8" s="45">
        <v>49</v>
      </c>
      <c r="P8" s="45">
        <v>46</v>
      </c>
      <c r="Q8" s="45">
        <v>46</v>
      </c>
      <c r="R8" s="45">
        <v>46</v>
      </c>
      <c r="S8" s="45">
        <v>46</v>
      </c>
      <c r="T8" s="45">
        <v>46</v>
      </c>
      <c r="U8" s="45">
        <v>44</v>
      </c>
      <c r="V8" s="45">
        <v>44</v>
      </c>
      <c r="W8" s="45">
        <v>41.6</v>
      </c>
      <c r="X8" s="45">
        <v>39.799999999999997</v>
      </c>
      <c r="Y8" s="45">
        <v>35.700000000000003</v>
      </c>
    </row>
    <row r="9" spans="1:25">
      <c r="A9" s="43"/>
      <c r="B9" s="39" t="s">
        <v>346</v>
      </c>
      <c r="C9" s="40" t="s">
        <v>380</v>
      </c>
      <c r="D9" s="40"/>
      <c r="E9" s="40"/>
      <c r="F9" s="44"/>
      <c r="G9" s="44">
        <v>57</v>
      </c>
      <c r="H9" s="44">
        <v>55</v>
      </c>
      <c r="I9" s="44">
        <v>55</v>
      </c>
      <c r="J9" s="45">
        <v>53</v>
      </c>
      <c r="K9" s="44">
        <v>53</v>
      </c>
      <c r="L9" s="46">
        <v>63</v>
      </c>
      <c r="M9" s="45">
        <v>50</v>
      </c>
      <c r="N9" s="45">
        <v>45</v>
      </c>
      <c r="O9" s="45">
        <v>45</v>
      </c>
      <c r="P9" s="45">
        <v>42</v>
      </c>
      <c r="Q9" s="45">
        <v>42</v>
      </c>
      <c r="R9" s="45" t="s">
        <v>347</v>
      </c>
      <c r="S9" s="45" t="s">
        <v>347</v>
      </c>
      <c r="T9" s="45" t="s">
        <v>347</v>
      </c>
      <c r="U9" s="45" t="s">
        <v>348</v>
      </c>
      <c r="V9" s="45" t="s">
        <v>348</v>
      </c>
      <c r="W9" s="45" t="s">
        <v>349</v>
      </c>
      <c r="X9" s="45" t="s">
        <v>350</v>
      </c>
      <c r="Y9" s="45" t="s">
        <v>351</v>
      </c>
    </row>
    <row r="10" spans="1:25">
      <c r="A10" s="43"/>
      <c r="B10" s="39"/>
      <c r="C10" s="40" t="s">
        <v>380</v>
      </c>
      <c r="D10" s="40"/>
      <c r="E10" s="40"/>
      <c r="F10" s="44"/>
      <c r="G10" s="44">
        <v>68</v>
      </c>
      <c r="H10" s="44">
        <v>66</v>
      </c>
      <c r="I10" s="44">
        <v>66</v>
      </c>
      <c r="J10" s="45">
        <v>64</v>
      </c>
      <c r="K10" s="44">
        <v>63</v>
      </c>
      <c r="L10" s="46">
        <v>61</v>
      </c>
      <c r="M10" s="45">
        <v>59</v>
      </c>
      <c r="N10" s="45">
        <v>54</v>
      </c>
      <c r="O10" s="45">
        <v>54</v>
      </c>
      <c r="P10" s="45">
        <v>51</v>
      </c>
      <c r="Q10" s="45">
        <v>51</v>
      </c>
      <c r="R10" s="45">
        <v>51</v>
      </c>
      <c r="S10" s="45" t="s">
        <v>352</v>
      </c>
      <c r="T10" s="45" t="s">
        <v>352</v>
      </c>
      <c r="U10" s="45" t="s">
        <v>353</v>
      </c>
      <c r="V10" s="45" t="s">
        <v>353</v>
      </c>
      <c r="W10" s="45">
        <v>45</v>
      </c>
      <c r="X10" s="45" t="s">
        <v>347</v>
      </c>
      <c r="Y10" s="45">
        <v>37</v>
      </c>
    </row>
    <row r="11" spans="1:25">
      <c r="A11" s="43"/>
      <c r="B11" s="39" t="s">
        <v>354</v>
      </c>
      <c r="C11" s="40" t="s">
        <v>380</v>
      </c>
      <c r="D11" s="40"/>
      <c r="E11" s="40"/>
      <c r="F11" s="44"/>
      <c r="G11" s="44">
        <v>47</v>
      </c>
      <c r="H11" s="44"/>
      <c r="I11" s="44"/>
      <c r="J11" s="45"/>
      <c r="K11" s="44"/>
      <c r="L11" s="46"/>
      <c r="M11" s="45"/>
      <c r="N11" s="45"/>
      <c r="O11" s="45"/>
      <c r="P11" s="45"/>
      <c r="Q11" s="45"/>
      <c r="R11" s="45"/>
      <c r="S11" s="45"/>
      <c r="T11" s="45"/>
      <c r="U11" s="45"/>
      <c r="V11" s="45"/>
      <c r="W11" s="45"/>
      <c r="X11" s="45"/>
      <c r="Y11" s="45"/>
    </row>
    <row r="12" spans="1:25">
      <c r="A12" s="43"/>
      <c r="B12" s="39" t="s">
        <v>346</v>
      </c>
      <c r="C12" s="40" t="s">
        <v>380</v>
      </c>
      <c r="D12" s="40"/>
      <c r="E12" s="40"/>
      <c r="F12" s="44"/>
      <c r="G12" s="44">
        <v>42</v>
      </c>
      <c r="H12" s="44"/>
      <c r="I12" s="44"/>
      <c r="J12" s="45"/>
      <c r="K12" s="44"/>
      <c r="L12" s="46"/>
      <c r="M12" s="45"/>
      <c r="N12" s="45"/>
      <c r="O12" s="45"/>
      <c r="P12" s="45"/>
      <c r="Q12" s="45"/>
      <c r="R12" s="45"/>
      <c r="S12" s="45"/>
      <c r="T12" s="45"/>
      <c r="U12" s="45"/>
      <c r="V12" s="45"/>
      <c r="W12" s="45"/>
      <c r="X12" s="45"/>
      <c r="Y12" s="45"/>
    </row>
    <row r="13" spans="1:25">
      <c r="A13" s="43"/>
      <c r="B13" s="39"/>
      <c r="C13" s="40" t="s">
        <v>380</v>
      </c>
      <c r="D13" s="40"/>
      <c r="E13" s="40"/>
      <c r="F13" s="44"/>
      <c r="G13" s="44">
        <v>51</v>
      </c>
      <c r="H13" s="44"/>
      <c r="I13" s="44"/>
      <c r="J13" s="45"/>
      <c r="K13" s="44"/>
      <c r="L13" s="46"/>
      <c r="M13" s="45"/>
      <c r="N13" s="45"/>
      <c r="O13" s="45"/>
      <c r="P13" s="45"/>
      <c r="Q13" s="45"/>
      <c r="R13" s="45"/>
      <c r="S13" s="45"/>
      <c r="T13" s="45"/>
      <c r="U13" s="45"/>
      <c r="V13" s="45"/>
      <c r="W13" s="45"/>
      <c r="X13" s="45"/>
      <c r="Y13" s="45"/>
    </row>
    <row r="14" spans="1:25">
      <c r="A14" s="43"/>
      <c r="B14" s="39"/>
      <c r="C14" s="40" t="s">
        <v>380</v>
      </c>
      <c r="D14" s="40"/>
      <c r="E14" s="40"/>
      <c r="F14" s="44"/>
      <c r="G14" s="44"/>
      <c r="H14" s="44"/>
      <c r="I14" s="44"/>
      <c r="J14" s="45"/>
      <c r="K14" s="44"/>
      <c r="L14" s="46"/>
      <c r="M14" s="45"/>
      <c r="N14" s="45"/>
      <c r="O14" s="45"/>
      <c r="P14" s="45"/>
      <c r="Q14" s="45"/>
      <c r="R14" s="45"/>
      <c r="S14" s="45"/>
      <c r="T14" s="45"/>
      <c r="U14" s="45"/>
      <c r="V14" s="45"/>
      <c r="W14" s="45"/>
      <c r="X14" s="45"/>
      <c r="Y14" s="45"/>
    </row>
    <row r="15" spans="1:25">
      <c r="A15" s="38" t="s">
        <v>172</v>
      </c>
      <c r="B15" s="39"/>
      <c r="C15" s="40" t="s">
        <v>382</v>
      </c>
      <c r="D15" s="40"/>
      <c r="E15" s="40"/>
      <c r="F15" s="44">
        <v>4</v>
      </c>
      <c r="G15" s="44">
        <v>4</v>
      </c>
      <c r="H15" s="44">
        <v>4</v>
      </c>
      <c r="I15" s="44">
        <v>3.5</v>
      </c>
      <c r="J15" s="45">
        <v>3.5</v>
      </c>
      <c r="K15" s="44">
        <v>4</v>
      </c>
      <c r="L15" s="46">
        <v>4</v>
      </c>
      <c r="M15" s="45">
        <v>4.5</v>
      </c>
      <c r="N15" s="45">
        <v>5</v>
      </c>
      <c r="O15" s="45">
        <v>5</v>
      </c>
      <c r="P15" s="45">
        <v>4.5</v>
      </c>
      <c r="Q15" s="45">
        <v>5</v>
      </c>
      <c r="R15" s="45">
        <v>5</v>
      </c>
      <c r="S15" s="45">
        <v>5.5</v>
      </c>
      <c r="T15" s="45">
        <v>6</v>
      </c>
      <c r="U15" s="45">
        <v>6</v>
      </c>
      <c r="V15" s="45">
        <v>7</v>
      </c>
      <c r="W15" s="45">
        <v>8</v>
      </c>
      <c r="X15" s="45">
        <v>8</v>
      </c>
      <c r="Y15" s="45">
        <v>7.5</v>
      </c>
    </row>
    <row r="16" spans="1:25">
      <c r="A16" s="43"/>
      <c r="B16" s="39"/>
      <c r="C16" s="40"/>
      <c r="D16" s="40"/>
      <c r="E16" s="40"/>
      <c r="F16" s="44"/>
      <c r="G16" s="44"/>
      <c r="H16" s="44"/>
      <c r="I16" s="44"/>
      <c r="J16" s="45"/>
      <c r="K16" s="44"/>
      <c r="L16" s="46"/>
      <c r="M16" s="45"/>
      <c r="N16" s="45"/>
      <c r="O16" s="45"/>
      <c r="P16" s="45"/>
      <c r="Q16" s="45"/>
      <c r="R16" s="45"/>
      <c r="S16" s="45"/>
      <c r="T16" s="45"/>
      <c r="U16" s="45"/>
      <c r="V16" s="45"/>
      <c r="W16" s="45"/>
      <c r="X16" s="45"/>
      <c r="Y16" s="45"/>
    </row>
    <row r="17" spans="1:25">
      <c r="A17" s="38" t="s">
        <v>355</v>
      </c>
      <c r="B17" s="39"/>
      <c r="C17" s="40"/>
      <c r="D17" s="40"/>
      <c r="E17" s="40"/>
      <c r="F17" s="44"/>
      <c r="G17" s="44"/>
      <c r="H17" s="44"/>
      <c r="I17" s="44"/>
      <c r="J17" s="45"/>
      <c r="K17" s="44"/>
      <c r="L17" s="46"/>
      <c r="M17" s="45"/>
      <c r="N17" s="45"/>
      <c r="O17" s="45"/>
      <c r="P17" s="45"/>
      <c r="Q17" s="45"/>
      <c r="R17" s="45"/>
      <c r="S17" s="45"/>
      <c r="T17" s="45"/>
      <c r="U17" s="45"/>
      <c r="V17" s="45"/>
      <c r="W17" s="45"/>
      <c r="X17" s="45"/>
      <c r="Y17" s="45"/>
    </row>
    <row r="18" spans="1:25">
      <c r="A18" s="43"/>
      <c r="B18" s="39" t="s">
        <v>356</v>
      </c>
      <c r="C18" s="40" t="s">
        <v>395</v>
      </c>
      <c r="D18" s="40"/>
      <c r="E18" s="40"/>
      <c r="F18" s="47"/>
      <c r="G18" s="47">
        <v>2.23</v>
      </c>
      <c r="H18" s="47">
        <v>1.71</v>
      </c>
      <c r="I18" s="47">
        <v>1.74</v>
      </c>
      <c r="J18" s="48">
        <v>1.65</v>
      </c>
      <c r="K18" s="44">
        <v>1.4</v>
      </c>
      <c r="L18" s="46">
        <v>1.4</v>
      </c>
      <c r="M18" s="45">
        <v>1.4</v>
      </c>
      <c r="N18" s="45">
        <v>1.4</v>
      </c>
      <c r="O18" s="45">
        <v>1.4</v>
      </c>
      <c r="P18" s="45">
        <v>1.2</v>
      </c>
      <c r="Q18" s="45">
        <v>1.1000000000000001</v>
      </c>
      <c r="R18" s="45">
        <v>1.1000000000000001</v>
      </c>
      <c r="S18" s="45">
        <v>1.1000000000000001</v>
      </c>
      <c r="T18" s="45">
        <v>1.1000000000000001</v>
      </c>
      <c r="U18" s="45">
        <v>1.1499999999999999</v>
      </c>
      <c r="V18" s="45">
        <v>1.17</v>
      </c>
      <c r="W18" s="45">
        <v>1</v>
      </c>
      <c r="X18" s="45">
        <v>1.03</v>
      </c>
      <c r="Y18" s="45">
        <v>1</v>
      </c>
    </row>
    <row r="19" spans="1:25">
      <c r="A19" s="43"/>
      <c r="B19" s="39" t="s">
        <v>394</v>
      </c>
      <c r="C19" s="40" t="s">
        <v>395</v>
      </c>
      <c r="D19" s="40"/>
      <c r="E19" s="40"/>
      <c r="F19" s="49"/>
      <c r="G19" s="49">
        <v>2</v>
      </c>
      <c r="H19" s="49">
        <v>1.77</v>
      </c>
      <c r="I19" s="49">
        <v>1.73</v>
      </c>
      <c r="J19" s="50">
        <v>1.6</v>
      </c>
      <c r="K19" s="44">
        <v>1.4</v>
      </c>
      <c r="L19" s="46">
        <v>1.4</v>
      </c>
      <c r="M19" s="45">
        <v>1.4</v>
      </c>
      <c r="N19" s="45">
        <v>1.4</v>
      </c>
      <c r="O19" s="45">
        <v>1.4</v>
      </c>
      <c r="P19" s="45">
        <v>1.2</v>
      </c>
      <c r="Q19" s="45">
        <v>1.1499999999999999</v>
      </c>
      <c r="R19" s="45">
        <v>1.1499999999999999</v>
      </c>
      <c r="S19" s="45">
        <v>1.1499999999999999</v>
      </c>
      <c r="T19" s="45">
        <v>1.1499999999999999</v>
      </c>
      <c r="U19" s="45">
        <v>1.1399999999999999</v>
      </c>
      <c r="V19" s="45">
        <v>1.2</v>
      </c>
      <c r="W19" s="45">
        <v>1.02</v>
      </c>
      <c r="X19" s="45">
        <v>1.04</v>
      </c>
      <c r="Y19" s="45">
        <v>1.04</v>
      </c>
    </row>
    <row r="20" spans="1:25">
      <c r="A20" s="43"/>
      <c r="B20" s="39" t="s">
        <v>357</v>
      </c>
      <c r="C20" s="40" t="s">
        <v>395</v>
      </c>
      <c r="D20" s="40"/>
      <c r="E20" s="40"/>
      <c r="F20" s="49"/>
      <c r="G20" s="49">
        <v>5.2</v>
      </c>
      <c r="H20" s="49">
        <v>5</v>
      </c>
      <c r="I20" s="49">
        <v>5.0999999999999996</v>
      </c>
      <c r="J20" s="50">
        <v>5.0999999999999996</v>
      </c>
      <c r="K20" s="44">
        <v>4.9000000000000004</v>
      </c>
      <c r="L20" s="46">
        <v>4.9000000000000004</v>
      </c>
      <c r="M20" s="45">
        <v>4.9000000000000004</v>
      </c>
      <c r="N20" s="45"/>
      <c r="O20" s="45"/>
      <c r="P20" s="45"/>
      <c r="Q20" s="45"/>
      <c r="R20" s="45"/>
      <c r="S20" s="45"/>
      <c r="T20" s="45"/>
      <c r="U20" s="45"/>
      <c r="V20" s="45"/>
      <c r="W20" s="45"/>
      <c r="X20" s="45"/>
      <c r="Y20" s="45"/>
    </row>
    <row r="21" spans="1:25">
      <c r="A21" s="43"/>
      <c r="B21" s="39" t="s">
        <v>206</v>
      </c>
      <c r="C21" s="40" t="s">
        <v>395</v>
      </c>
      <c r="D21" s="40"/>
      <c r="E21" s="40"/>
      <c r="F21" s="44"/>
      <c r="G21" s="44"/>
      <c r="H21" s="44"/>
      <c r="I21" s="44"/>
      <c r="J21" s="45"/>
      <c r="K21" s="44"/>
      <c r="L21" s="46"/>
      <c r="M21" s="45"/>
      <c r="N21" s="45"/>
      <c r="O21" s="45"/>
      <c r="P21" s="45">
        <v>4.75</v>
      </c>
      <c r="Q21" s="45">
        <v>5</v>
      </c>
      <c r="R21" s="45">
        <v>5</v>
      </c>
      <c r="S21" s="45">
        <v>5</v>
      </c>
      <c r="T21" s="45">
        <v>5</v>
      </c>
      <c r="U21" s="45">
        <v>4</v>
      </c>
      <c r="V21" s="45">
        <v>4</v>
      </c>
      <c r="W21" s="45">
        <v>4.2</v>
      </c>
      <c r="X21" s="45">
        <v>4.0999999999999996</v>
      </c>
      <c r="Y21" s="45">
        <v>4.4000000000000004</v>
      </c>
    </row>
    <row r="22" spans="1:25">
      <c r="A22" s="43"/>
      <c r="B22" s="39" t="s">
        <v>358</v>
      </c>
      <c r="C22" s="40" t="s">
        <v>395</v>
      </c>
      <c r="D22" s="40"/>
      <c r="E22" s="40"/>
      <c r="F22" s="44">
        <v>5.5</v>
      </c>
      <c r="G22" s="44">
        <v>7</v>
      </c>
      <c r="H22" s="44">
        <v>6.6</v>
      </c>
      <c r="I22" s="44">
        <v>7.6</v>
      </c>
      <c r="J22" s="45">
        <v>7.6</v>
      </c>
      <c r="K22" s="44">
        <v>7.6</v>
      </c>
      <c r="L22" s="46">
        <v>7.6</v>
      </c>
      <c r="M22" s="45">
        <v>7</v>
      </c>
      <c r="N22" s="45">
        <v>6.4</v>
      </c>
      <c r="O22" s="45">
        <v>6.5</v>
      </c>
      <c r="P22" s="45">
        <v>7</v>
      </c>
      <c r="Q22" s="45">
        <v>7</v>
      </c>
      <c r="R22" s="45"/>
      <c r="S22" s="45"/>
      <c r="T22" s="45"/>
      <c r="U22" s="45"/>
      <c r="V22" s="45"/>
      <c r="W22" s="45"/>
      <c r="X22" s="45"/>
      <c r="Y22" s="45"/>
    </row>
    <row r="23" spans="1:25">
      <c r="A23" s="43"/>
      <c r="B23" s="39"/>
      <c r="C23" s="40"/>
      <c r="D23" s="40"/>
      <c r="E23" s="40"/>
      <c r="F23" s="44"/>
      <c r="G23" s="44"/>
      <c r="H23" s="44"/>
      <c r="I23" s="44"/>
      <c r="J23" s="45"/>
      <c r="K23" s="44"/>
      <c r="L23" s="46"/>
      <c r="M23" s="45"/>
      <c r="N23" s="45"/>
      <c r="O23" s="45"/>
      <c r="P23" s="45"/>
      <c r="Q23" s="45"/>
      <c r="R23" s="45"/>
      <c r="S23" s="45"/>
      <c r="T23" s="45"/>
      <c r="U23" s="45"/>
      <c r="V23" s="45"/>
      <c r="W23" s="45"/>
      <c r="X23" s="45"/>
      <c r="Y23" s="45"/>
    </row>
    <row r="24" spans="1:25">
      <c r="A24" s="38" t="s">
        <v>396</v>
      </c>
      <c r="B24" s="39"/>
      <c r="C24" s="40"/>
      <c r="D24" s="40"/>
      <c r="E24" s="40"/>
      <c r="F24" s="44"/>
      <c r="G24" s="44"/>
      <c r="H24" s="44"/>
      <c r="I24" s="44"/>
      <c r="J24" s="45"/>
      <c r="K24" s="44"/>
      <c r="L24" s="46"/>
      <c r="M24" s="45"/>
      <c r="N24" s="45"/>
      <c r="O24" s="45"/>
      <c r="P24" s="45"/>
      <c r="Q24" s="45"/>
      <c r="R24" s="45"/>
      <c r="S24" s="45"/>
      <c r="T24" s="45"/>
      <c r="U24" s="45"/>
      <c r="V24" s="45"/>
      <c r="W24" s="45"/>
      <c r="X24" s="45"/>
      <c r="Y24" s="45"/>
    </row>
    <row r="25" spans="1:25">
      <c r="A25" s="43"/>
      <c r="B25" s="39" t="s">
        <v>360</v>
      </c>
      <c r="C25" s="40" t="s">
        <v>193</v>
      </c>
      <c r="D25" s="40"/>
      <c r="E25" s="40"/>
      <c r="F25" s="51">
        <v>280</v>
      </c>
      <c r="G25" s="51">
        <v>280</v>
      </c>
      <c r="H25" s="44">
        <v>280</v>
      </c>
      <c r="I25" s="44">
        <v>260</v>
      </c>
      <c r="J25" s="45">
        <v>260</v>
      </c>
      <c r="K25" s="44">
        <v>260</v>
      </c>
      <c r="L25" s="46">
        <v>260</v>
      </c>
      <c r="M25" s="45">
        <v>260</v>
      </c>
      <c r="N25" s="45">
        <v>260</v>
      </c>
      <c r="O25" s="45">
        <v>260</v>
      </c>
      <c r="P25" s="45">
        <v>270</v>
      </c>
      <c r="Q25" s="45">
        <v>270</v>
      </c>
      <c r="R25" s="45">
        <v>270</v>
      </c>
      <c r="S25" s="45">
        <v>270</v>
      </c>
      <c r="T25" s="45">
        <v>270</v>
      </c>
      <c r="U25" s="45">
        <v>270</v>
      </c>
      <c r="V25" s="45">
        <v>270</v>
      </c>
      <c r="W25" s="45">
        <v>270</v>
      </c>
      <c r="X25" s="45">
        <v>250</v>
      </c>
      <c r="Y25" s="45">
        <v>230</v>
      </c>
    </row>
    <row r="26" spans="1:25">
      <c r="A26" s="43"/>
      <c r="B26" s="39" t="s">
        <v>198</v>
      </c>
      <c r="C26" s="40" t="s">
        <v>193</v>
      </c>
      <c r="D26" s="40"/>
      <c r="E26" s="40"/>
      <c r="F26" s="51">
        <v>130</v>
      </c>
      <c r="G26" s="51">
        <v>130</v>
      </c>
      <c r="H26" s="44">
        <v>130</v>
      </c>
      <c r="I26" s="44">
        <v>120</v>
      </c>
      <c r="J26" s="45">
        <v>120</v>
      </c>
      <c r="K26" s="44">
        <v>120</v>
      </c>
      <c r="L26" s="46">
        <v>120</v>
      </c>
      <c r="M26" s="45">
        <v>120</v>
      </c>
      <c r="N26" s="45">
        <v>120</v>
      </c>
      <c r="O26" s="45">
        <v>120</v>
      </c>
      <c r="P26" s="45">
        <v>120</v>
      </c>
      <c r="Q26" s="45">
        <v>120</v>
      </c>
      <c r="R26" s="45">
        <v>120</v>
      </c>
      <c r="S26" s="45">
        <v>120</v>
      </c>
      <c r="T26" s="45">
        <v>120</v>
      </c>
      <c r="U26" s="45">
        <v>120</v>
      </c>
      <c r="V26" s="45">
        <v>120</v>
      </c>
      <c r="W26" s="45">
        <v>120</v>
      </c>
      <c r="X26" s="45">
        <v>110</v>
      </c>
      <c r="Y26" s="45">
        <v>90</v>
      </c>
    </row>
    <row r="27" spans="1:25">
      <c r="A27" s="43"/>
      <c r="B27" s="39"/>
      <c r="C27" s="40"/>
      <c r="D27" s="40"/>
      <c r="E27" s="40"/>
      <c r="F27" s="44"/>
      <c r="G27" s="44"/>
      <c r="H27" s="44"/>
      <c r="I27" s="44"/>
      <c r="J27" s="45"/>
      <c r="K27" s="44"/>
      <c r="L27" s="46"/>
      <c r="M27" s="45"/>
      <c r="N27" s="45"/>
      <c r="O27" s="45"/>
      <c r="P27" s="45"/>
      <c r="Q27" s="45"/>
      <c r="R27" s="45"/>
      <c r="S27" s="45"/>
      <c r="T27" s="45"/>
      <c r="U27" s="45"/>
      <c r="V27" s="45"/>
      <c r="W27" s="45"/>
      <c r="X27" s="45"/>
      <c r="Y27" s="45"/>
    </row>
    <row r="28" spans="1:25">
      <c r="A28" s="43" t="s">
        <v>361</v>
      </c>
      <c r="B28" s="39"/>
      <c r="C28" s="40"/>
      <c r="D28" s="40"/>
      <c r="E28" s="40"/>
      <c r="F28" s="44"/>
      <c r="G28" s="44"/>
      <c r="H28" s="44"/>
      <c r="I28" s="44"/>
      <c r="J28" s="45"/>
      <c r="K28" s="44"/>
      <c r="L28" s="46"/>
      <c r="M28" s="45"/>
      <c r="N28" s="45"/>
      <c r="O28" s="45"/>
      <c r="P28" s="45"/>
      <c r="Q28" s="45"/>
      <c r="R28" s="45"/>
      <c r="S28" s="45"/>
      <c r="T28" s="45"/>
      <c r="U28" s="45"/>
      <c r="V28" s="45"/>
      <c r="W28" s="45"/>
      <c r="X28" s="45"/>
      <c r="Y28" s="45"/>
    </row>
    <row r="29" spans="1:25">
      <c r="A29" s="43"/>
      <c r="B29" s="39" t="s">
        <v>362</v>
      </c>
      <c r="C29" s="52">
        <v>6.2E-2</v>
      </c>
      <c r="D29" s="52"/>
      <c r="E29" s="52"/>
      <c r="F29" s="53"/>
      <c r="G29" s="53"/>
      <c r="H29" s="53"/>
      <c r="I29" s="53"/>
      <c r="J29" s="52"/>
      <c r="K29" s="53"/>
      <c r="L29" s="54"/>
      <c r="M29" s="52"/>
      <c r="N29" s="55" t="s">
        <v>363</v>
      </c>
      <c r="O29" s="52"/>
      <c r="P29" s="52"/>
      <c r="Q29" s="52"/>
      <c r="R29" s="52"/>
      <c r="S29" s="52"/>
      <c r="T29" s="52"/>
      <c r="U29" s="52"/>
      <c r="V29" s="52"/>
      <c r="W29" s="52"/>
      <c r="X29" s="52"/>
      <c r="Y29" s="52"/>
    </row>
    <row r="30" spans="1:25">
      <c r="A30" s="43"/>
      <c r="B30" s="39" t="s">
        <v>364</v>
      </c>
      <c r="C30" s="52">
        <v>6.4000000000000001E-2</v>
      </c>
      <c r="D30" s="52"/>
      <c r="E30" s="52"/>
      <c r="F30" s="53"/>
      <c r="G30" s="53"/>
      <c r="H30" s="53"/>
      <c r="I30" s="53"/>
      <c r="J30" s="52"/>
      <c r="K30" s="53"/>
      <c r="L30" s="54"/>
      <c r="M30" s="52"/>
      <c r="N30" s="52"/>
      <c r="O30" s="52"/>
      <c r="P30" s="52"/>
      <c r="Q30" s="52"/>
      <c r="R30" s="52"/>
      <c r="S30" s="52"/>
      <c r="T30" s="52"/>
      <c r="U30" s="52"/>
      <c r="V30" s="52"/>
      <c r="W30" s="52"/>
      <c r="X30" s="52"/>
      <c r="Y30" s="52"/>
    </row>
    <row r="31" spans="1:25">
      <c r="A31" s="43"/>
      <c r="B31" s="39" t="s">
        <v>365</v>
      </c>
      <c r="C31" s="52">
        <v>6.5000000000000002E-2</v>
      </c>
      <c r="D31" s="52"/>
      <c r="E31" s="52"/>
      <c r="F31" s="56"/>
      <c r="G31" s="56"/>
      <c r="H31" s="56"/>
      <c r="I31" s="56"/>
      <c r="J31" s="55"/>
      <c r="K31" s="56"/>
      <c r="L31" s="57"/>
      <c r="M31" s="55"/>
      <c r="N31" s="55" t="s">
        <v>366</v>
      </c>
      <c r="O31" s="52"/>
      <c r="P31" s="52"/>
      <c r="Q31" s="52"/>
      <c r="R31" s="52"/>
      <c r="S31" s="52"/>
      <c r="T31" s="52"/>
      <c r="U31" s="52"/>
      <c r="V31" s="52"/>
      <c r="W31" s="52"/>
      <c r="X31" s="52"/>
      <c r="Y31" s="52"/>
    </row>
    <row r="32" spans="1:25">
      <c r="A32" s="43"/>
      <c r="B32" s="39" t="s">
        <v>367</v>
      </c>
      <c r="C32" s="52">
        <v>5.8000000000000003E-2</v>
      </c>
      <c r="D32" s="52"/>
      <c r="E32" s="52"/>
      <c r="F32" s="56"/>
      <c r="G32" s="56"/>
      <c r="H32" s="56"/>
      <c r="I32" s="56"/>
      <c r="J32" s="55"/>
      <c r="K32" s="56"/>
      <c r="L32" s="57"/>
      <c r="M32" s="55"/>
      <c r="N32" s="55"/>
      <c r="O32" s="52"/>
      <c r="P32" s="52"/>
      <c r="Q32" s="52"/>
      <c r="R32" s="52"/>
      <c r="S32" s="52"/>
      <c r="T32" s="52"/>
      <c r="U32" s="52"/>
      <c r="V32" s="52"/>
      <c r="W32" s="52"/>
      <c r="X32" s="52"/>
      <c r="Y32" s="52"/>
    </row>
    <row r="33" spans="1:25">
      <c r="A33" s="43"/>
      <c r="B33" s="39" t="s">
        <v>280</v>
      </c>
      <c r="C33" s="52">
        <v>5.2999999999999999E-2</v>
      </c>
      <c r="D33" s="52"/>
      <c r="E33" s="52"/>
      <c r="F33" s="56"/>
      <c r="G33" s="56"/>
      <c r="H33" s="56"/>
      <c r="I33" s="56"/>
      <c r="J33" s="55"/>
      <c r="K33" s="56"/>
      <c r="L33" s="54"/>
      <c r="M33" s="52"/>
      <c r="N33" s="52"/>
      <c r="O33" s="52"/>
      <c r="P33" s="52"/>
      <c r="Q33" s="52"/>
      <c r="R33" s="52"/>
      <c r="S33" s="52"/>
      <c r="T33" s="52"/>
      <c r="U33" s="52"/>
      <c r="V33" s="52"/>
      <c r="W33" s="52"/>
      <c r="X33" s="52"/>
      <c r="Y33" s="52"/>
    </row>
    <row r="34" spans="1:25">
      <c r="A34" s="43"/>
      <c r="B34" s="39" t="s">
        <v>281</v>
      </c>
      <c r="C34" s="52"/>
      <c r="D34" s="52"/>
      <c r="E34" s="52"/>
      <c r="F34" s="53">
        <v>3.3300000000000003E-2</v>
      </c>
      <c r="G34" s="53">
        <v>3.3300000000000003E-2</v>
      </c>
      <c r="H34" s="53">
        <v>3.3300000000000003E-2</v>
      </c>
      <c r="I34" s="53">
        <v>3.3300000000000003E-2</v>
      </c>
      <c r="J34" s="52">
        <v>3.3300000000000003E-2</v>
      </c>
      <c r="K34" s="53">
        <v>3.3300000000000003E-2</v>
      </c>
      <c r="L34" s="54">
        <v>3.3300000000000003E-2</v>
      </c>
      <c r="M34" s="52">
        <v>3.3300000000000003E-2</v>
      </c>
      <c r="N34" s="52">
        <v>3.3000000000000002E-2</v>
      </c>
      <c r="O34" s="52"/>
      <c r="P34" s="52">
        <v>3.3000000000000002E-2</v>
      </c>
      <c r="Q34" s="52"/>
      <c r="R34" s="52"/>
      <c r="S34" s="52">
        <v>3.3000000000000002E-2</v>
      </c>
      <c r="T34" s="52"/>
      <c r="U34" s="52"/>
      <c r="V34" s="52"/>
      <c r="W34" s="52"/>
      <c r="X34" s="52"/>
      <c r="Y34" s="52"/>
    </row>
    <row r="35" spans="1:25">
      <c r="A35" s="43"/>
      <c r="B35" s="39" t="s">
        <v>282</v>
      </c>
      <c r="C35" s="52"/>
      <c r="D35" s="52"/>
      <c r="E35" s="52"/>
      <c r="F35" s="53">
        <v>3.0000000000000001E-3</v>
      </c>
      <c r="G35" s="53">
        <v>3.0000000000000001E-3</v>
      </c>
      <c r="H35" s="53">
        <v>3.0000000000000001E-3</v>
      </c>
      <c r="I35" s="53">
        <v>3.0000000000000001E-3</v>
      </c>
      <c r="J35" s="52">
        <v>3.0000000000000001E-3</v>
      </c>
      <c r="K35" s="53">
        <v>3.0000000000000001E-3</v>
      </c>
      <c r="L35" s="54">
        <v>3.0000000000000001E-3</v>
      </c>
      <c r="M35" s="52">
        <v>3.0000000000000001E-3</v>
      </c>
      <c r="N35" s="52">
        <v>3.0000000000000001E-3</v>
      </c>
      <c r="O35" s="52"/>
      <c r="P35" s="52">
        <v>3.0000000000000001E-3</v>
      </c>
      <c r="Q35" s="52"/>
      <c r="R35" s="52"/>
      <c r="S35" s="52">
        <v>3.0000000000000001E-3</v>
      </c>
      <c r="T35" s="52"/>
      <c r="U35" s="52"/>
      <c r="V35" s="52"/>
      <c r="W35" s="52"/>
      <c r="X35" s="52"/>
      <c r="Y35" s="52"/>
    </row>
    <row r="36" spans="1:25">
      <c r="A36" s="43"/>
      <c r="B36" s="39" t="s">
        <v>283</v>
      </c>
      <c r="C36" s="52"/>
      <c r="D36" s="52"/>
      <c r="E36" s="52"/>
      <c r="F36" s="53">
        <v>1E-3</v>
      </c>
      <c r="G36" s="53">
        <v>1E-3</v>
      </c>
      <c r="H36" s="53">
        <v>1E-3</v>
      </c>
      <c r="I36" s="53">
        <v>1E-3</v>
      </c>
      <c r="J36" s="52">
        <v>1E-3</v>
      </c>
      <c r="K36" s="53">
        <v>1E-3</v>
      </c>
      <c r="L36" s="54">
        <v>1E-3</v>
      </c>
      <c r="M36" s="52">
        <v>1E-4</v>
      </c>
      <c r="N36" s="52">
        <v>1E-3</v>
      </c>
      <c r="O36" s="52"/>
      <c r="P36" s="52">
        <v>1E-3</v>
      </c>
      <c r="Q36" s="52"/>
      <c r="R36" s="52"/>
      <c r="S36" s="52">
        <v>1E-3</v>
      </c>
      <c r="T36" s="52"/>
      <c r="U36" s="52"/>
      <c r="V36" s="52"/>
      <c r="W36" s="52"/>
      <c r="X36" s="52"/>
      <c r="Y36" s="52"/>
    </row>
    <row r="37" spans="1:25">
      <c r="A37" s="43"/>
      <c r="B37" s="39" t="s">
        <v>284</v>
      </c>
      <c r="C37" s="52"/>
      <c r="D37" s="52"/>
      <c r="E37" s="52"/>
      <c r="F37" s="53">
        <v>3.5000000000000003E-2</v>
      </c>
      <c r="G37" s="53">
        <v>3.5000000000000003E-2</v>
      </c>
      <c r="H37" s="53">
        <v>3.2500000000000001E-2</v>
      </c>
      <c r="I37" s="53">
        <v>0.03</v>
      </c>
      <c r="J37" s="52">
        <v>0.03</v>
      </c>
      <c r="K37" s="53">
        <v>3.2500000000000001E-2</v>
      </c>
      <c r="L37" s="54"/>
      <c r="M37" s="52"/>
      <c r="N37" s="52"/>
      <c r="O37" s="52"/>
      <c r="P37" s="52"/>
      <c r="Q37" s="52"/>
      <c r="R37" s="52"/>
      <c r="S37" s="52">
        <v>6.25E-2</v>
      </c>
      <c r="T37" s="52"/>
      <c r="U37" s="52"/>
      <c r="V37" s="52"/>
      <c r="W37" s="52"/>
      <c r="X37" s="52"/>
      <c r="Y37" s="52"/>
    </row>
    <row r="38" spans="1:25">
      <c r="A38" s="43"/>
      <c r="B38" s="39" t="s">
        <v>285</v>
      </c>
      <c r="C38" s="52"/>
      <c r="D38" s="52"/>
      <c r="E38" s="52"/>
      <c r="F38" s="53">
        <v>1.8100000000000002E-2</v>
      </c>
      <c r="G38" s="53">
        <v>1.8100000000000002E-2</v>
      </c>
      <c r="H38" s="53">
        <v>1.6799999999999999E-2</v>
      </c>
      <c r="I38" s="53">
        <v>1.6E-2</v>
      </c>
      <c r="J38" s="52">
        <v>1.4999999999999999E-2</v>
      </c>
      <c r="K38" s="53">
        <v>1.67E-2</v>
      </c>
      <c r="L38" s="54">
        <v>2.1000000000000001E-2</v>
      </c>
      <c r="M38" s="52">
        <v>2.5000000000000001E-2</v>
      </c>
      <c r="N38" s="52">
        <v>2.7E-2</v>
      </c>
      <c r="O38" s="52"/>
      <c r="P38" s="52">
        <v>2.4E-2</v>
      </c>
      <c r="Q38" s="52"/>
      <c r="R38" s="52"/>
      <c r="S38" s="52">
        <v>3.6999999999999998E-2</v>
      </c>
      <c r="T38" s="52"/>
      <c r="U38" s="52"/>
      <c r="V38" s="52"/>
      <c r="W38" s="52"/>
      <c r="X38" s="52"/>
      <c r="Y38" s="52"/>
    </row>
    <row r="39" spans="1:25">
      <c r="A39" s="43"/>
      <c r="B39" s="39" t="s">
        <v>286</v>
      </c>
      <c r="C39" s="52"/>
      <c r="D39" s="52"/>
      <c r="E39" s="52"/>
      <c r="F39" s="58">
        <f t="shared" ref="F39:K39" si="0">F34+F35+F36+F38</f>
        <v>5.5400000000000005E-2</v>
      </c>
      <c r="G39" s="58">
        <f t="shared" si="0"/>
        <v>5.5400000000000005E-2</v>
      </c>
      <c r="H39" s="53">
        <f t="shared" si="0"/>
        <v>5.4100000000000009E-2</v>
      </c>
      <c r="I39" s="53">
        <f t="shared" si="0"/>
        <v>5.3300000000000007E-2</v>
      </c>
      <c r="J39" s="52">
        <f t="shared" si="0"/>
        <v>5.2300000000000006E-2</v>
      </c>
      <c r="K39" s="53">
        <f t="shared" si="0"/>
        <v>5.4000000000000006E-2</v>
      </c>
      <c r="L39" s="54"/>
      <c r="M39" s="53">
        <f>M34+M35+M36+M38</f>
        <v>6.140000000000001E-2</v>
      </c>
      <c r="N39" s="53">
        <f t="shared" ref="N39:S39" si="1">N34+N35+N36+N38</f>
        <v>6.4000000000000001E-2</v>
      </c>
      <c r="O39" s="53">
        <f t="shared" si="1"/>
        <v>0</v>
      </c>
      <c r="P39" s="53">
        <f t="shared" si="1"/>
        <v>6.1000000000000006E-2</v>
      </c>
      <c r="Q39" s="53">
        <f t="shared" si="1"/>
        <v>0</v>
      </c>
      <c r="R39" s="53">
        <f t="shared" si="1"/>
        <v>0</v>
      </c>
      <c r="S39" s="53">
        <f t="shared" si="1"/>
        <v>7.400000000000001E-2</v>
      </c>
      <c r="T39" s="52"/>
      <c r="U39" s="52"/>
      <c r="V39" s="52"/>
      <c r="W39" s="52"/>
      <c r="X39" s="52"/>
      <c r="Y39" s="52"/>
    </row>
    <row r="40" spans="1:25">
      <c r="A40" s="43"/>
      <c r="B40" s="39" t="s">
        <v>287</v>
      </c>
      <c r="C40" s="52" t="s">
        <v>382</v>
      </c>
      <c r="D40" s="52"/>
      <c r="E40" s="52"/>
      <c r="F40" s="59">
        <v>5.5E-2</v>
      </c>
      <c r="G40" s="59">
        <v>5.5E-2</v>
      </c>
      <c r="H40" s="59">
        <v>5.3999999999999999E-2</v>
      </c>
      <c r="I40" s="59">
        <v>5.2999999999999999E-2</v>
      </c>
      <c r="J40" s="60">
        <v>5.2999999999999999E-2</v>
      </c>
      <c r="K40" s="59">
        <v>5.3999999999999999E-2</v>
      </c>
      <c r="L40" s="54">
        <v>5.8000000000000003E-2</v>
      </c>
      <c r="M40" s="52">
        <v>6.2E-2</v>
      </c>
      <c r="N40" s="52">
        <v>6.4000000000000001E-2</v>
      </c>
      <c r="O40" s="52">
        <v>6.4000000000000001E-2</v>
      </c>
      <c r="P40" s="52">
        <v>6.0999999999999999E-2</v>
      </c>
      <c r="Q40" s="52">
        <v>7.3999999999999996E-2</v>
      </c>
      <c r="R40" s="52">
        <v>7.3999999999999996E-2</v>
      </c>
      <c r="S40" s="52">
        <v>7.3999999999999996E-2</v>
      </c>
      <c r="T40" s="52">
        <v>7.3999999999999996E-2</v>
      </c>
      <c r="U40" s="52">
        <v>7.3999999999999996E-2</v>
      </c>
      <c r="V40" s="52">
        <v>7.3999999999999996E-2</v>
      </c>
      <c r="W40" s="52">
        <v>7.3999999999999996E-2</v>
      </c>
      <c r="X40" s="52">
        <v>0.08</v>
      </c>
      <c r="Y40" s="52">
        <v>0.08</v>
      </c>
    </row>
    <row r="41" spans="1:25">
      <c r="A41" s="43"/>
      <c r="B41" s="39" t="s">
        <v>360</v>
      </c>
      <c r="C41" s="40" t="s">
        <v>193</v>
      </c>
      <c r="D41" s="40"/>
      <c r="E41" s="40"/>
      <c r="F41" s="61">
        <f t="shared" ref="F41:Y41" si="2">F25*F40</f>
        <v>15.4</v>
      </c>
      <c r="G41" s="61">
        <f t="shared" si="2"/>
        <v>15.4</v>
      </c>
      <c r="H41" s="44">
        <f t="shared" si="2"/>
        <v>15.12</v>
      </c>
      <c r="I41" s="44">
        <f t="shared" si="2"/>
        <v>13.78</v>
      </c>
      <c r="J41" s="45">
        <f t="shared" si="2"/>
        <v>13.78</v>
      </c>
      <c r="K41" s="44">
        <f t="shared" si="2"/>
        <v>14.04</v>
      </c>
      <c r="L41" s="46">
        <f t="shared" si="2"/>
        <v>15.08</v>
      </c>
      <c r="M41" s="45">
        <f t="shared" si="2"/>
        <v>16.12</v>
      </c>
      <c r="N41" s="45">
        <f t="shared" si="2"/>
        <v>16.64</v>
      </c>
      <c r="O41" s="45">
        <f t="shared" si="2"/>
        <v>16.64</v>
      </c>
      <c r="P41" s="45">
        <f t="shared" si="2"/>
        <v>16.47</v>
      </c>
      <c r="Q41" s="45">
        <f t="shared" si="2"/>
        <v>19.98</v>
      </c>
      <c r="R41" s="45">
        <f t="shared" si="2"/>
        <v>19.98</v>
      </c>
      <c r="S41" s="45">
        <f t="shared" si="2"/>
        <v>19.98</v>
      </c>
      <c r="T41" s="45">
        <f t="shared" si="2"/>
        <v>19.98</v>
      </c>
      <c r="U41" s="45">
        <f t="shared" si="2"/>
        <v>19.98</v>
      </c>
      <c r="V41" s="45">
        <f t="shared" si="2"/>
        <v>19.98</v>
      </c>
      <c r="W41" s="45">
        <f t="shared" si="2"/>
        <v>19.98</v>
      </c>
      <c r="X41" s="45">
        <f t="shared" si="2"/>
        <v>20</v>
      </c>
      <c r="Y41" s="45">
        <f t="shared" si="2"/>
        <v>18.400000000000002</v>
      </c>
    </row>
    <row r="42" spans="1:25">
      <c r="A42" s="43"/>
      <c r="B42" s="39" t="s">
        <v>198</v>
      </c>
      <c r="C42" s="40" t="s">
        <v>193</v>
      </c>
      <c r="D42" s="40"/>
      <c r="E42" s="40"/>
      <c r="F42" s="61">
        <f>F26*F40</f>
        <v>7.15</v>
      </c>
      <c r="G42" s="61">
        <f>G26*G40</f>
        <v>7.15</v>
      </c>
      <c r="H42" s="44">
        <f>H26*H40</f>
        <v>7.02</v>
      </c>
      <c r="I42" s="44">
        <f t="shared" ref="I42:Y42" si="3">I26*I40</f>
        <v>6.3599999999999994</v>
      </c>
      <c r="J42" s="45">
        <f t="shared" si="3"/>
        <v>6.3599999999999994</v>
      </c>
      <c r="K42" s="44">
        <f t="shared" si="3"/>
        <v>6.4799999999999995</v>
      </c>
      <c r="L42" s="46">
        <f t="shared" si="3"/>
        <v>6.96</v>
      </c>
      <c r="M42" s="45">
        <f t="shared" si="3"/>
        <v>7.4399999999999995</v>
      </c>
      <c r="N42" s="45">
        <f t="shared" si="3"/>
        <v>7.68</v>
      </c>
      <c r="O42" s="45">
        <f t="shared" si="3"/>
        <v>7.68</v>
      </c>
      <c r="P42" s="45">
        <f t="shared" si="3"/>
        <v>7.32</v>
      </c>
      <c r="Q42" s="45">
        <f t="shared" si="3"/>
        <v>8.879999999999999</v>
      </c>
      <c r="R42" s="45">
        <f t="shared" si="3"/>
        <v>8.879999999999999</v>
      </c>
      <c r="S42" s="45">
        <f t="shared" si="3"/>
        <v>8.879999999999999</v>
      </c>
      <c r="T42" s="45">
        <f t="shared" si="3"/>
        <v>8.879999999999999</v>
      </c>
      <c r="U42" s="45">
        <f t="shared" si="3"/>
        <v>8.879999999999999</v>
      </c>
      <c r="V42" s="45">
        <f t="shared" si="3"/>
        <v>8.879999999999999</v>
      </c>
      <c r="W42" s="45">
        <f t="shared" si="3"/>
        <v>8.879999999999999</v>
      </c>
      <c r="X42" s="45">
        <f t="shared" si="3"/>
        <v>8.8000000000000007</v>
      </c>
      <c r="Y42" s="45">
        <f t="shared" si="3"/>
        <v>7.2</v>
      </c>
    </row>
    <row r="43" spans="1:25">
      <c r="A43" s="43"/>
      <c r="B43" s="39" t="s">
        <v>288</v>
      </c>
      <c r="C43" s="40" t="s">
        <v>193</v>
      </c>
      <c r="D43" s="40"/>
      <c r="E43" s="40"/>
      <c r="F43" s="62">
        <v>15</v>
      </c>
      <c r="G43" s="62">
        <v>15</v>
      </c>
      <c r="H43" s="51">
        <v>15</v>
      </c>
      <c r="I43" s="51">
        <v>14</v>
      </c>
      <c r="J43" s="63">
        <v>14</v>
      </c>
      <c r="K43" s="64">
        <v>14</v>
      </c>
      <c r="L43" s="65">
        <v>15</v>
      </c>
      <c r="M43" s="66">
        <v>16.5</v>
      </c>
      <c r="N43" s="45">
        <v>16.5</v>
      </c>
      <c r="O43" s="45"/>
      <c r="P43" s="45">
        <v>16.5</v>
      </c>
      <c r="Q43" s="45">
        <v>20</v>
      </c>
      <c r="R43" s="45">
        <v>20</v>
      </c>
      <c r="S43" s="45">
        <v>20</v>
      </c>
      <c r="T43" s="45">
        <v>20</v>
      </c>
      <c r="U43" s="45">
        <v>20</v>
      </c>
      <c r="V43" s="45">
        <v>20</v>
      </c>
      <c r="W43" s="45">
        <v>20</v>
      </c>
      <c r="X43" s="45">
        <v>20</v>
      </c>
      <c r="Y43" s="45">
        <v>18</v>
      </c>
    </row>
    <row r="44" spans="1:25">
      <c r="A44" s="43"/>
      <c r="B44" s="39" t="s">
        <v>289</v>
      </c>
      <c r="C44" s="40" t="s">
        <v>193</v>
      </c>
      <c r="D44" s="40"/>
      <c r="E44" s="40"/>
      <c r="F44" s="62">
        <v>7</v>
      </c>
      <c r="G44" s="62">
        <v>7</v>
      </c>
      <c r="H44" s="51">
        <v>7</v>
      </c>
      <c r="I44" s="51">
        <v>6.5</v>
      </c>
      <c r="J44" s="63">
        <v>6.5</v>
      </c>
      <c r="K44" s="64">
        <v>6.5</v>
      </c>
      <c r="L44" s="46">
        <v>7</v>
      </c>
      <c r="M44" s="45">
        <v>7.5</v>
      </c>
      <c r="N44" s="45">
        <v>7.5</v>
      </c>
      <c r="O44" s="45">
        <v>7.5</v>
      </c>
      <c r="P44" s="45">
        <v>7.5</v>
      </c>
      <c r="Q44" s="45">
        <v>9</v>
      </c>
      <c r="R44" s="45">
        <v>9</v>
      </c>
      <c r="S44" s="45">
        <v>9</v>
      </c>
      <c r="T44" s="45">
        <v>9</v>
      </c>
      <c r="U44" s="45">
        <v>9</v>
      </c>
      <c r="V44" s="45">
        <v>9</v>
      </c>
      <c r="W44" s="45">
        <v>9</v>
      </c>
      <c r="X44" s="45">
        <v>9</v>
      </c>
      <c r="Y44" s="45">
        <v>7</v>
      </c>
    </row>
    <row r="45" spans="1:25">
      <c r="A45" s="43"/>
      <c r="B45" s="39"/>
      <c r="C45" s="40"/>
      <c r="D45" s="40"/>
      <c r="E45" s="40"/>
      <c r="F45" s="44"/>
      <c r="G45" s="44"/>
      <c r="H45" s="44"/>
      <c r="I45" s="44"/>
      <c r="J45" s="45"/>
      <c r="K45" s="44"/>
      <c r="L45" s="46"/>
      <c r="M45" s="45"/>
      <c r="N45" s="45"/>
      <c r="O45" s="45"/>
      <c r="P45" s="45"/>
      <c r="Q45" s="45"/>
      <c r="R45" s="45"/>
      <c r="S45" s="45"/>
      <c r="T45" s="45"/>
      <c r="U45" s="45"/>
      <c r="V45" s="45"/>
      <c r="W45" s="45"/>
      <c r="X45" s="45"/>
      <c r="Y45" s="45"/>
    </row>
    <row r="46" spans="1:25">
      <c r="A46" s="43"/>
      <c r="B46" s="39"/>
      <c r="C46" s="40"/>
      <c r="D46" s="40"/>
      <c r="E46" s="40"/>
      <c r="F46" s="41"/>
      <c r="G46" s="41"/>
      <c r="H46" s="41"/>
      <c r="I46" s="41"/>
      <c r="J46" s="40"/>
      <c r="K46" s="41"/>
      <c r="L46" s="42"/>
      <c r="M46" s="40"/>
      <c r="N46" s="40"/>
      <c r="O46" s="40"/>
      <c r="P46" s="40"/>
      <c r="Q46" s="40"/>
      <c r="R46" s="40"/>
      <c r="S46" s="40"/>
      <c r="T46" s="40"/>
      <c r="U46" s="40"/>
      <c r="V46" s="40"/>
      <c r="W46" s="40"/>
      <c r="X46" s="40"/>
      <c r="Y46" s="40"/>
    </row>
    <row r="47" spans="1:25">
      <c r="A47" s="38" t="s">
        <v>290</v>
      </c>
      <c r="B47" s="39"/>
      <c r="C47" s="40"/>
      <c r="D47" s="40"/>
      <c r="E47" s="40"/>
      <c r="F47" s="41"/>
      <c r="G47" s="41"/>
      <c r="H47" s="41"/>
      <c r="I47" s="41"/>
      <c r="J47" s="40"/>
      <c r="K47" s="41"/>
      <c r="L47" s="42"/>
      <c r="M47" s="40"/>
      <c r="N47" s="40"/>
      <c r="O47" s="40"/>
      <c r="P47" s="40"/>
      <c r="Q47" s="40"/>
      <c r="R47" s="40"/>
      <c r="S47" s="40"/>
      <c r="T47" s="40"/>
      <c r="U47" s="40"/>
      <c r="V47" s="40"/>
      <c r="W47" s="40"/>
      <c r="X47" s="40"/>
      <c r="Y47" s="40"/>
    </row>
    <row r="48" spans="1:25">
      <c r="A48" s="38" t="s">
        <v>291</v>
      </c>
      <c r="B48" s="39"/>
      <c r="C48" s="40"/>
      <c r="D48" s="40"/>
      <c r="E48" s="40"/>
      <c r="F48" s="41"/>
      <c r="G48" s="41"/>
      <c r="H48" s="41"/>
      <c r="I48" s="41"/>
      <c r="J48" s="40"/>
      <c r="K48" s="41"/>
      <c r="L48" s="42"/>
      <c r="M48" s="40"/>
      <c r="N48" s="40"/>
      <c r="O48" s="40"/>
      <c r="P48" s="40"/>
      <c r="Q48" s="40"/>
      <c r="R48" s="40"/>
      <c r="S48" s="40"/>
      <c r="T48" s="40"/>
      <c r="U48" s="40"/>
      <c r="V48" s="40"/>
      <c r="W48" s="40"/>
      <c r="X48" s="40"/>
      <c r="Y48" s="40"/>
    </row>
    <row r="49" spans="1:25">
      <c r="A49" s="43"/>
      <c r="B49" s="39" t="s">
        <v>292</v>
      </c>
      <c r="C49" s="40" t="s">
        <v>380</v>
      </c>
      <c r="D49" s="40"/>
      <c r="E49" s="40"/>
      <c r="F49" s="41">
        <v>682</v>
      </c>
      <c r="G49" s="41">
        <v>682</v>
      </c>
      <c r="H49" s="41">
        <v>682</v>
      </c>
      <c r="I49" s="41">
        <v>682</v>
      </c>
      <c r="J49" s="40">
        <v>497</v>
      </c>
      <c r="K49" s="41">
        <v>497</v>
      </c>
      <c r="L49" s="42">
        <v>497</v>
      </c>
      <c r="M49" s="40">
        <v>497</v>
      </c>
      <c r="N49" s="40">
        <v>497</v>
      </c>
      <c r="O49" s="40">
        <v>497</v>
      </c>
      <c r="P49" s="40">
        <v>497</v>
      </c>
      <c r="Q49" s="40">
        <v>497</v>
      </c>
      <c r="R49" s="40">
        <v>497</v>
      </c>
      <c r="S49" s="40">
        <v>497</v>
      </c>
      <c r="T49" s="40">
        <v>497</v>
      </c>
      <c r="U49" s="40">
        <v>497</v>
      </c>
      <c r="V49" s="40">
        <v>497</v>
      </c>
      <c r="W49" s="40">
        <v>497</v>
      </c>
      <c r="X49" s="40">
        <v>369</v>
      </c>
      <c r="Y49" s="40">
        <v>369</v>
      </c>
    </row>
    <row r="50" spans="1:25">
      <c r="A50" s="43"/>
      <c r="B50" s="39" t="s">
        <v>293</v>
      </c>
      <c r="C50" s="40" t="s">
        <v>380</v>
      </c>
      <c r="D50" s="40"/>
      <c r="E50" s="40"/>
      <c r="F50" s="41">
        <v>112</v>
      </c>
      <c r="G50" s="41">
        <v>112</v>
      </c>
      <c r="H50" s="41">
        <v>112</v>
      </c>
      <c r="I50" s="41">
        <v>112</v>
      </c>
      <c r="J50" s="40">
        <v>112</v>
      </c>
      <c r="K50" s="41">
        <v>112</v>
      </c>
      <c r="L50" s="42">
        <v>112</v>
      </c>
      <c r="M50" s="40">
        <v>112</v>
      </c>
      <c r="N50" s="40">
        <v>112</v>
      </c>
      <c r="O50" s="40">
        <v>112</v>
      </c>
      <c r="P50" s="40">
        <v>112</v>
      </c>
      <c r="Q50" s="40">
        <v>112</v>
      </c>
      <c r="R50" s="40">
        <v>112</v>
      </c>
      <c r="S50" s="40">
        <v>112</v>
      </c>
      <c r="T50" s="40">
        <v>112</v>
      </c>
      <c r="U50" s="40">
        <v>112</v>
      </c>
      <c r="V50" s="40">
        <v>112</v>
      </c>
      <c r="W50" s="40">
        <v>112</v>
      </c>
      <c r="X50" s="40">
        <v>90</v>
      </c>
      <c r="Y50" s="40">
        <v>90</v>
      </c>
    </row>
    <row r="51" spans="1:25">
      <c r="A51" s="43"/>
      <c r="B51" s="39" t="s">
        <v>294</v>
      </c>
      <c r="C51" s="40" t="s">
        <v>380</v>
      </c>
      <c r="D51" s="40"/>
      <c r="E51" s="40"/>
      <c r="F51" s="41">
        <v>682</v>
      </c>
      <c r="G51" s="41">
        <v>682</v>
      </c>
      <c r="H51" s="41">
        <v>682</v>
      </c>
      <c r="I51" s="41">
        <v>682</v>
      </c>
      <c r="J51" s="40">
        <v>497</v>
      </c>
      <c r="K51" s="41">
        <v>497</v>
      </c>
      <c r="L51" s="42">
        <v>497</v>
      </c>
      <c r="M51" s="40">
        <v>497</v>
      </c>
      <c r="N51" s="40">
        <v>497</v>
      </c>
      <c r="O51" s="40">
        <v>497</v>
      </c>
      <c r="P51" s="40">
        <v>497</v>
      </c>
      <c r="Q51" s="40">
        <v>497</v>
      </c>
      <c r="R51" s="40">
        <v>497</v>
      </c>
      <c r="S51" s="40">
        <v>497</v>
      </c>
      <c r="T51" s="40">
        <v>497</v>
      </c>
      <c r="U51" s="40">
        <v>497</v>
      </c>
      <c r="V51" s="40">
        <v>497</v>
      </c>
      <c r="W51" s="40">
        <v>497</v>
      </c>
      <c r="X51" s="40">
        <v>369</v>
      </c>
      <c r="Y51" s="40">
        <v>369</v>
      </c>
    </row>
    <row r="52" spans="1:25">
      <c r="A52" s="43"/>
      <c r="B52" s="39" t="s">
        <v>121</v>
      </c>
      <c r="C52" s="40" t="s">
        <v>380</v>
      </c>
      <c r="D52" s="40"/>
      <c r="E52" s="40"/>
      <c r="F52" s="41">
        <v>528</v>
      </c>
      <c r="G52" s="41">
        <v>528</v>
      </c>
      <c r="H52" s="41">
        <v>528</v>
      </c>
      <c r="I52" s="41">
        <v>528</v>
      </c>
      <c r="J52" s="40">
        <v>528</v>
      </c>
      <c r="K52" s="41">
        <v>528</v>
      </c>
      <c r="L52" s="42">
        <v>528</v>
      </c>
      <c r="M52" s="40">
        <v>528</v>
      </c>
      <c r="N52" s="40"/>
      <c r="O52" s="40"/>
      <c r="P52" s="40"/>
      <c r="Q52" s="40"/>
      <c r="R52" s="40"/>
      <c r="S52" s="40"/>
      <c r="T52" s="40"/>
      <c r="U52" s="40"/>
      <c r="V52" s="40"/>
      <c r="W52" s="40"/>
      <c r="X52" s="40"/>
      <c r="Y52" s="40"/>
    </row>
    <row r="53" spans="1:25">
      <c r="A53" s="43"/>
      <c r="B53" s="39" t="s">
        <v>295</v>
      </c>
      <c r="C53" s="40" t="s">
        <v>380</v>
      </c>
      <c r="D53" s="40"/>
      <c r="E53" s="40"/>
      <c r="F53" s="41">
        <v>1105</v>
      </c>
      <c r="G53" s="41">
        <v>1105</v>
      </c>
      <c r="H53" s="41">
        <v>1105</v>
      </c>
      <c r="I53" s="41">
        <v>1105</v>
      </c>
      <c r="J53" s="40">
        <v>1105</v>
      </c>
      <c r="K53" s="41">
        <v>1105</v>
      </c>
      <c r="L53" s="42">
        <v>1105</v>
      </c>
      <c r="M53" s="40">
        <v>1105</v>
      </c>
      <c r="N53" s="40">
        <v>1105</v>
      </c>
      <c r="O53" s="40">
        <v>1105</v>
      </c>
      <c r="P53" s="40">
        <v>1105</v>
      </c>
      <c r="Q53" s="40">
        <v>1105</v>
      </c>
      <c r="R53" s="40">
        <v>1105</v>
      </c>
      <c r="S53" s="40">
        <v>1105</v>
      </c>
      <c r="T53" s="40"/>
      <c r="U53" s="40"/>
      <c r="V53" s="40"/>
      <c r="W53" s="40"/>
      <c r="X53" s="40"/>
      <c r="Y53" s="40"/>
    </row>
    <row r="54" spans="1:25">
      <c r="A54" s="43"/>
      <c r="B54" s="39" t="s">
        <v>296</v>
      </c>
      <c r="C54" s="40" t="s">
        <v>380</v>
      </c>
      <c r="D54" s="40"/>
      <c r="E54" s="40"/>
      <c r="F54" s="41">
        <v>1308</v>
      </c>
      <c r="G54" s="41">
        <v>1308</v>
      </c>
      <c r="H54" s="41">
        <v>1308</v>
      </c>
      <c r="I54" s="41">
        <v>1308</v>
      </c>
      <c r="J54" s="40">
        <v>1308</v>
      </c>
      <c r="K54" s="41">
        <v>1308</v>
      </c>
      <c r="L54" s="42">
        <v>1308</v>
      </c>
      <c r="M54" s="40">
        <v>1308</v>
      </c>
      <c r="N54" s="40">
        <v>1308</v>
      </c>
      <c r="O54" s="40">
        <v>1308</v>
      </c>
      <c r="P54" s="40">
        <v>1308</v>
      </c>
      <c r="Q54" s="40">
        <v>1308</v>
      </c>
      <c r="R54" s="40">
        <v>1308</v>
      </c>
      <c r="S54" s="40">
        <v>1308</v>
      </c>
      <c r="T54" s="40"/>
      <c r="U54" s="40"/>
      <c r="V54" s="40"/>
      <c r="W54" s="40"/>
      <c r="X54" s="40"/>
      <c r="Y54" s="40"/>
    </row>
    <row r="55" spans="1:25">
      <c r="A55" s="43"/>
      <c r="B55" s="39" t="s">
        <v>204</v>
      </c>
      <c r="C55" s="40" t="s">
        <v>380</v>
      </c>
      <c r="D55" s="40"/>
      <c r="E55" s="40"/>
      <c r="F55" s="41">
        <v>401</v>
      </c>
      <c r="G55" s="41">
        <v>401</v>
      </c>
      <c r="H55" s="41">
        <v>401</v>
      </c>
      <c r="I55" s="41">
        <v>401</v>
      </c>
      <c r="J55" s="40">
        <v>401</v>
      </c>
      <c r="K55" s="41">
        <v>401</v>
      </c>
      <c r="L55" s="42">
        <v>401</v>
      </c>
      <c r="M55" s="40">
        <v>401</v>
      </c>
      <c r="N55" s="40">
        <v>401</v>
      </c>
      <c r="O55" s="40">
        <v>401</v>
      </c>
      <c r="P55" s="40">
        <v>401</v>
      </c>
      <c r="Q55" s="40">
        <v>401</v>
      </c>
      <c r="R55" s="40">
        <v>401</v>
      </c>
      <c r="S55" s="40">
        <v>401</v>
      </c>
      <c r="T55" s="40">
        <v>401</v>
      </c>
      <c r="U55" s="40">
        <v>401</v>
      </c>
      <c r="V55" s="40">
        <v>401</v>
      </c>
      <c r="W55" s="40">
        <v>401</v>
      </c>
      <c r="X55" s="40">
        <v>227</v>
      </c>
      <c r="Y55" s="40">
        <v>227</v>
      </c>
    </row>
    <row r="56" spans="1:25">
      <c r="A56" s="43"/>
      <c r="B56" s="39" t="s">
        <v>297</v>
      </c>
      <c r="C56" s="40"/>
      <c r="D56" s="40"/>
      <c r="E56" s="40"/>
      <c r="F56" s="41"/>
      <c r="G56" s="41"/>
      <c r="H56" s="41"/>
      <c r="I56" s="41"/>
      <c r="J56" s="40"/>
      <c r="K56" s="41"/>
      <c r="L56" s="42"/>
      <c r="M56" s="40"/>
      <c r="N56" s="40"/>
      <c r="O56" s="40"/>
      <c r="P56" s="40"/>
      <c r="Q56" s="40"/>
      <c r="R56" s="40"/>
      <c r="S56" s="40"/>
      <c r="T56" s="40"/>
      <c r="U56" s="40"/>
      <c r="V56" s="40"/>
      <c r="W56" s="40"/>
      <c r="X56" s="40"/>
      <c r="Y56" s="40"/>
    </row>
    <row r="57" spans="1:25">
      <c r="A57" s="43"/>
      <c r="B57" s="39" t="s">
        <v>298</v>
      </c>
      <c r="C57" s="40" t="s">
        <v>380</v>
      </c>
      <c r="D57" s="40"/>
      <c r="E57" s="40"/>
      <c r="F57" s="41">
        <v>72</v>
      </c>
      <c r="G57" s="41">
        <v>72</v>
      </c>
      <c r="H57" s="41">
        <v>72</v>
      </c>
      <c r="I57" s="41">
        <v>72</v>
      </c>
      <c r="J57" s="40">
        <v>72</v>
      </c>
      <c r="K57" s="41">
        <v>72</v>
      </c>
      <c r="L57" s="42">
        <v>72</v>
      </c>
      <c r="M57" s="40">
        <v>72</v>
      </c>
      <c r="N57" s="40">
        <v>72</v>
      </c>
      <c r="O57" s="40">
        <v>72</v>
      </c>
      <c r="P57" s="40">
        <v>72</v>
      </c>
      <c r="Q57" s="40">
        <v>72</v>
      </c>
      <c r="R57" s="40">
        <v>72</v>
      </c>
      <c r="S57" s="40">
        <v>72</v>
      </c>
      <c r="T57" s="40">
        <v>72</v>
      </c>
      <c r="U57" s="40">
        <v>72</v>
      </c>
      <c r="V57" s="40">
        <v>72</v>
      </c>
      <c r="W57" s="40">
        <v>72</v>
      </c>
      <c r="X57" s="40">
        <v>72</v>
      </c>
      <c r="Y57" s="40">
        <v>72</v>
      </c>
    </row>
    <row r="58" spans="1:25">
      <c r="A58" s="43"/>
      <c r="B58" s="39" t="s">
        <v>158</v>
      </c>
      <c r="C58" s="40" t="s">
        <v>380</v>
      </c>
      <c r="D58" s="40"/>
      <c r="E58" s="40"/>
      <c r="F58" s="41">
        <v>306</v>
      </c>
      <c r="G58" s="41">
        <v>306</v>
      </c>
      <c r="H58" s="41">
        <v>306</v>
      </c>
      <c r="I58" s="41">
        <v>306</v>
      </c>
      <c r="J58" s="40">
        <v>306</v>
      </c>
      <c r="K58" s="41">
        <v>306</v>
      </c>
      <c r="L58" s="42">
        <v>306</v>
      </c>
      <c r="M58" s="40">
        <v>306</v>
      </c>
      <c r="N58" s="40">
        <v>306</v>
      </c>
      <c r="O58" s="40">
        <v>306</v>
      </c>
      <c r="P58" s="40">
        <v>306</v>
      </c>
      <c r="Q58" s="40">
        <v>306</v>
      </c>
      <c r="R58" s="40">
        <v>306</v>
      </c>
      <c r="S58" s="40">
        <v>306</v>
      </c>
      <c r="T58" s="40">
        <v>306</v>
      </c>
      <c r="U58" s="40">
        <v>306</v>
      </c>
      <c r="V58" s="40">
        <v>306</v>
      </c>
      <c r="W58" s="40">
        <v>306</v>
      </c>
      <c r="X58" s="40">
        <v>258</v>
      </c>
      <c r="Y58" s="40">
        <v>258</v>
      </c>
    </row>
    <row r="59" spans="1:25">
      <c r="A59" s="43"/>
      <c r="B59" s="39" t="s">
        <v>205</v>
      </c>
      <c r="C59" s="40" t="s">
        <v>380</v>
      </c>
      <c r="D59" s="40"/>
      <c r="E59" s="40"/>
      <c r="F59" s="41">
        <v>10</v>
      </c>
      <c r="G59" s="41">
        <v>10</v>
      </c>
      <c r="H59" s="41">
        <v>10</v>
      </c>
      <c r="I59" s="41">
        <v>10</v>
      </c>
      <c r="J59" s="40">
        <v>10</v>
      </c>
      <c r="K59" s="41">
        <v>10</v>
      </c>
      <c r="L59" s="42">
        <v>10</v>
      </c>
      <c r="M59" s="40">
        <v>10</v>
      </c>
      <c r="N59" s="40">
        <v>10</v>
      </c>
      <c r="O59" s="40">
        <v>10</v>
      </c>
      <c r="P59" s="40">
        <v>10</v>
      </c>
      <c r="Q59" s="40">
        <v>10</v>
      </c>
      <c r="R59" s="40">
        <v>10</v>
      </c>
      <c r="S59" s="40">
        <v>10</v>
      </c>
      <c r="T59" s="40">
        <v>10</v>
      </c>
      <c r="U59" s="40">
        <v>10</v>
      </c>
      <c r="V59" s="40">
        <v>10</v>
      </c>
      <c r="W59" s="40">
        <v>10</v>
      </c>
      <c r="X59" s="40">
        <v>10</v>
      </c>
      <c r="Y59" s="40">
        <v>10</v>
      </c>
    </row>
    <row r="60" spans="1:25">
      <c r="A60" s="43"/>
      <c r="B60" s="39" t="s">
        <v>173</v>
      </c>
      <c r="C60" s="40" t="s">
        <v>380</v>
      </c>
      <c r="D60" s="40"/>
      <c r="E60" s="40"/>
      <c r="F60" s="41">
        <v>100</v>
      </c>
      <c r="G60" s="41">
        <v>100</v>
      </c>
      <c r="H60" s="41">
        <v>100</v>
      </c>
      <c r="I60" s="41">
        <v>100</v>
      </c>
      <c r="J60" s="40">
        <v>100</v>
      </c>
      <c r="K60" s="41">
        <v>100</v>
      </c>
      <c r="L60" s="42">
        <v>100</v>
      </c>
      <c r="M60" s="40">
        <v>100</v>
      </c>
      <c r="N60" s="40">
        <v>100</v>
      </c>
      <c r="O60" s="40">
        <v>100</v>
      </c>
      <c r="P60" s="40">
        <v>100</v>
      </c>
      <c r="Q60" s="40"/>
      <c r="R60" s="40"/>
      <c r="S60" s="40"/>
      <c r="T60" s="40"/>
      <c r="U60" s="40"/>
      <c r="V60" s="40"/>
      <c r="W60" s="40"/>
      <c r="X60" s="40"/>
      <c r="Y60" s="40"/>
    </row>
    <row r="61" spans="1:25">
      <c r="A61" s="43"/>
      <c r="B61" s="39"/>
      <c r="C61" s="40"/>
      <c r="D61" s="40"/>
      <c r="E61" s="40"/>
      <c r="F61" s="41"/>
      <c r="G61" s="41"/>
      <c r="H61" s="41"/>
      <c r="I61" s="41"/>
      <c r="J61" s="40"/>
      <c r="K61" s="41"/>
      <c r="L61" s="42"/>
      <c r="M61" s="40"/>
      <c r="N61" s="40"/>
      <c r="O61" s="40"/>
      <c r="P61" s="40"/>
      <c r="Q61" s="40"/>
      <c r="R61" s="40"/>
      <c r="S61" s="40"/>
      <c r="T61" s="40"/>
      <c r="U61" s="40"/>
      <c r="V61" s="40"/>
      <c r="W61" s="40"/>
      <c r="X61" s="40"/>
      <c r="Y61" s="40"/>
    </row>
    <row r="62" spans="1:25">
      <c r="A62" s="38" t="s">
        <v>299</v>
      </c>
      <c r="B62" s="39"/>
      <c r="C62" s="40"/>
      <c r="D62" s="40"/>
      <c r="E62" s="40"/>
      <c r="F62" s="41"/>
      <c r="G62" s="41"/>
      <c r="H62" s="41"/>
      <c r="I62" s="41"/>
      <c r="J62" s="40"/>
      <c r="K62" s="41"/>
      <c r="L62" s="42"/>
      <c r="M62" s="40"/>
      <c r="N62" s="40"/>
      <c r="O62" s="40"/>
      <c r="P62" s="40"/>
      <c r="Q62" s="40"/>
      <c r="R62" s="40"/>
      <c r="S62" s="40"/>
      <c r="T62" s="40"/>
      <c r="U62" s="40"/>
      <c r="V62" s="40"/>
      <c r="W62" s="40"/>
      <c r="X62" s="40"/>
      <c r="Y62" s="40"/>
    </row>
    <row r="63" spans="1:25">
      <c r="A63" s="43"/>
      <c r="B63" s="39" t="s">
        <v>300</v>
      </c>
      <c r="C63" s="40"/>
      <c r="D63" s="40"/>
      <c r="E63" s="40"/>
      <c r="F63" s="41"/>
      <c r="G63" s="41"/>
      <c r="H63" s="41"/>
      <c r="I63" s="41"/>
      <c r="J63" s="40"/>
      <c r="K63" s="41"/>
      <c r="L63" s="42"/>
      <c r="M63" s="40"/>
      <c r="N63" s="40"/>
      <c r="O63" s="40"/>
      <c r="P63" s="40"/>
      <c r="Q63" s="40"/>
      <c r="R63" s="40"/>
      <c r="S63" s="40"/>
      <c r="T63" s="40"/>
      <c r="U63" s="40"/>
      <c r="V63" s="40"/>
      <c r="W63" s="40"/>
      <c r="X63" s="40"/>
      <c r="Y63" s="40"/>
    </row>
    <row r="64" spans="1:25">
      <c r="A64" s="43"/>
      <c r="B64" s="39" t="s">
        <v>301</v>
      </c>
      <c r="C64" s="40" t="s">
        <v>161</v>
      </c>
      <c r="D64" s="40"/>
      <c r="E64" s="40"/>
      <c r="F64" s="67">
        <v>350</v>
      </c>
      <c r="G64" s="67">
        <v>350</v>
      </c>
      <c r="H64" s="67">
        <v>350</v>
      </c>
      <c r="I64" s="67">
        <v>350</v>
      </c>
      <c r="J64" s="40">
        <v>360</v>
      </c>
      <c r="K64" s="41">
        <v>360</v>
      </c>
      <c r="L64" s="42">
        <v>360</v>
      </c>
      <c r="M64" s="40">
        <v>360</v>
      </c>
      <c r="N64" s="40">
        <v>360</v>
      </c>
      <c r="O64" s="40">
        <v>360</v>
      </c>
      <c r="P64" s="40">
        <v>360</v>
      </c>
      <c r="Q64" s="40">
        <v>360</v>
      </c>
      <c r="R64" s="40">
        <v>360</v>
      </c>
      <c r="S64" s="40">
        <v>360</v>
      </c>
      <c r="T64" s="40">
        <v>360</v>
      </c>
      <c r="U64" s="40">
        <v>360</v>
      </c>
      <c r="V64" s="40">
        <v>360</v>
      </c>
      <c r="W64" s="40">
        <v>360</v>
      </c>
      <c r="X64" s="40">
        <v>360</v>
      </c>
      <c r="Y64" s="40">
        <v>370</v>
      </c>
    </row>
    <row r="65" spans="1:25">
      <c r="A65" s="43"/>
      <c r="B65" s="39" t="s">
        <v>117</v>
      </c>
      <c r="C65" s="40" t="s">
        <v>161</v>
      </c>
      <c r="D65" s="40"/>
      <c r="E65" s="40"/>
      <c r="F65" s="67">
        <v>750</v>
      </c>
      <c r="G65" s="67">
        <v>750</v>
      </c>
      <c r="H65" s="67">
        <v>750</v>
      </c>
      <c r="I65" s="67">
        <v>750</v>
      </c>
      <c r="J65" s="40">
        <v>720</v>
      </c>
      <c r="K65" s="41">
        <v>720</v>
      </c>
      <c r="L65" s="42">
        <v>720</v>
      </c>
      <c r="M65" s="40">
        <v>900</v>
      </c>
      <c r="N65" s="40">
        <v>900</v>
      </c>
      <c r="O65" s="40">
        <v>900</v>
      </c>
      <c r="P65" s="40">
        <v>900</v>
      </c>
      <c r="Q65" s="40">
        <v>900</v>
      </c>
      <c r="R65" s="40">
        <v>900</v>
      </c>
      <c r="S65" s="40">
        <v>900</v>
      </c>
      <c r="T65" s="40">
        <v>900</v>
      </c>
      <c r="U65" s="40">
        <v>900</v>
      </c>
      <c r="V65" s="40">
        <v>900</v>
      </c>
      <c r="W65" s="40">
        <v>900</v>
      </c>
      <c r="X65" s="40">
        <v>900</v>
      </c>
      <c r="Y65" s="40">
        <v>900</v>
      </c>
    </row>
    <row r="66" spans="1:25">
      <c r="A66" s="43"/>
      <c r="B66" s="39" t="s">
        <v>118</v>
      </c>
      <c r="C66" s="40" t="s">
        <v>161</v>
      </c>
      <c r="D66" s="40"/>
      <c r="E66" s="40"/>
      <c r="F66" s="67">
        <v>130</v>
      </c>
      <c r="G66" s="67">
        <v>130</v>
      </c>
      <c r="H66" s="67">
        <v>130</v>
      </c>
      <c r="I66" s="67">
        <v>130</v>
      </c>
      <c r="J66" s="40">
        <v>150</v>
      </c>
      <c r="K66" s="41">
        <v>150</v>
      </c>
      <c r="L66" s="42">
        <v>150</v>
      </c>
      <c r="M66" s="40">
        <v>150</v>
      </c>
      <c r="N66" s="40">
        <v>150</v>
      </c>
      <c r="O66" s="40">
        <v>150</v>
      </c>
      <c r="P66" s="40">
        <v>150</v>
      </c>
      <c r="Q66" s="40">
        <v>150</v>
      </c>
      <c r="R66" s="40">
        <v>150</v>
      </c>
      <c r="S66" s="40">
        <v>150</v>
      </c>
      <c r="T66" s="40">
        <v>150</v>
      </c>
      <c r="U66" s="40">
        <v>150</v>
      </c>
      <c r="V66" s="40">
        <v>150</v>
      </c>
      <c r="W66" s="40">
        <v>150</v>
      </c>
      <c r="X66" s="40">
        <v>150</v>
      </c>
      <c r="Y66" s="40">
        <v>150</v>
      </c>
    </row>
    <row r="67" spans="1:25">
      <c r="A67" s="43"/>
      <c r="B67" s="39"/>
      <c r="C67" s="40"/>
      <c r="D67" s="40"/>
      <c r="E67" s="40"/>
      <c r="F67" s="41"/>
      <c r="G67" s="41"/>
      <c r="H67" s="41"/>
      <c r="I67" s="41"/>
      <c r="J67" s="40"/>
      <c r="K67" s="41"/>
      <c r="L67" s="42"/>
      <c r="M67" s="40"/>
      <c r="N67" s="40"/>
      <c r="O67" s="40"/>
      <c r="P67" s="40"/>
      <c r="Q67" s="40"/>
      <c r="R67" s="40"/>
      <c r="S67" s="40"/>
      <c r="T67" s="40"/>
      <c r="U67" s="40"/>
      <c r="V67" s="40"/>
      <c r="W67" s="40"/>
      <c r="X67" s="40"/>
      <c r="Y67" s="40"/>
    </row>
    <row r="68" spans="1:25">
      <c r="A68" s="43"/>
      <c r="B68" s="39" t="s">
        <v>302</v>
      </c>
      <c r="C68" s="40"/>
      <c r="D68" s="40">
        <v>1.0760000000000001</v>
      </c>
      <c r="E68" s="40"/>
      <c r="F68" s="41"/>
      <c r="G68" s="41"/>
      <c r="H68" s="41"/>
      <c r="I68" s="41"/>
      <c r="J68" s="40"/>
      <c r="K68" s="41"/>
      <c r="L68" s="42"/>
      <c r="M68" s="40"/>
      <c r="N68" s="40"/>
      <c r="O68" s="40"/>
      <c r="P68" s="40"/>
      <c r="Q68" s="40"/>
      <c r="R68" s="40"/>
      <c r="S68" s="40"/>
      <c r="T68" s="40"/>
      <c r="U68" s="40"/>
      <c r="V68" s="40"/>
      <c r="W68" s="40"/>
      <c r="X68" s="40"/>
      <c r="Y68" s="40"/>
    </row>
    <row r="69" spans="1:25">
      <c r="A69" s="43"/>
      <c r="B69" s="39" t="s">
        <v>301</v>
      </c>
      <c r="C69" s="40" t="s">
        <v>178</v>
      </c>
      <c r="D69" s="45">
        <v>5.25</v>
      </c>
      <c r="E69" s="51"/>
      <c r="F69" s="51">
        <v>4.1399999999999997</v>
      </c>
      <c r="G69" s="51">
        <v>4.5999999999999996</v>
      </c>
      <c r="H69" s="51">
        <v>4.4000000000000004</v>
      </c>
      <c r="I69" s="51">
        <v>4.04</v>
      </c>
      <c r="J69" s="63">
        <f>D$68*D69</f>
        <v>5.649</v>
      </c>
      <c r="K69" s="64">
        <v>4.8</v>
      </c>
      <c r="L69" s="65">
        <v>5.05</v>
      </c>
      <c r="M69" s="66">
        <v>4.6500000000000004</v>
      </c>
      <c r="N69" s="66">
        <v>5.0999999999999996</v>
      </c>
      <c r="O69" s="66">
        <v>5</v>
      </c>
      <c r="P69" s="66">
        <v>4.3499999999999996</v>
      </c>
      <c r="Q69" s="45">
        <v>4.3499999999999996</v>
      </c>
      <c r="R69" s="45">
        <v>4.6500000000000004</v>
      </c>
      <c r="S69" s="45">
        <v>3.5</v>
      </c>
      <c r="T69" s="45">
        <v>4.6500000000000004</v>
      </c>
      <c r="U69" s="45">
        <v>4.0999999999999996</v>
      </c>
      <c r="V69" s="45">
        <v>4.42</v>
      </c>
      <c r="W69" s="45">
        <v>4.4800000000000004</v>
      </c>
      <c r="X69" s="45">
        <v>3.9</v>
      </c>
      <c r="Y69" s="45">
        <v>4.4000000000000004</v>
      </c>
    </row>
    <row r="70" spans="1:25">
      <c r="A70" s="43"/>
      <c r="B70" s="39" t="s">
        <v>117</v>
      </c>
      <c r="C70" s="40" t="s">
        <v>178</v>
      </c>
      <c r="D70" s="45">
        <v>5.55</v>
      </c>
      <c r="E70" s="51"/>
      <c r="F70" s="51">
        <v>4.04</v>
      </c>
      <c r="G70" s="51">
        <v>4.5999999999999996</v>
      </c>
      <c r="H70" s="51">
        <v>4.5999999999999996</v>
      </c>
      <c r="I70" s="51">
        <v>4.2</v>
      </c>
      <c r="J70" s="63">
        <v>6</v>
      </c>
      <c r="K70" s="64">
        <v>5.0999999999999996</v>
      </c>
      <c r="L70" s="65">
        <v>5.4</v>
      </c>
      <c r="M70" s="66">
        <v>5.15</v>
      </c>
      <c r="N70" s="66">
        <v>5.65</v>
      </c>
      <c r="O70" s="66">
        <v>5.55</v>
      </c>
      <c r="P70" s="66">
        <v>4.9000000000000004</v>
      </c>
      <c r="Q70" s="45">
        <v>4.9000000000000004</v>
      </c>
      <c r="R70" s="45">
        <v>5.2</v>
      </c>
      <c r="S70" s="45">
        <v>3.7</v>
      </c>
      <c r="T70" s="45">
        <v>4.8499999999999996</v>
      </c>
      <c r="U70" s="45">
        <v>5.2</v>
      </c>
      <c r="V70" s="45">
        <v>5.07</v>
      </c>
      <c r="W70" s="45">
        <v>5.6</v>
      </c>
      <c r="X70" s="45">
        <v>4.8499999999999996</v>
      </c>
      <c r="Y70" s="45">
        <v>5.45</v>
      </c>
    </row>
    <row r="71" spans="1:25">
      <c r="A71" s="43"/>
      <c r="B71" s="39" t="s">
        <v>118</v>
      </c>
      <c r="C71" s="40" t="s">
        <v>178</v>
      </c>
      <c r="D71" s="45">
        <v>4.4000000000000004</v>
      </c>
      <c r="E71" s="51"/>
      <c r="F71" s="51">
        <v>3.66</v>
      </c>
      <c r="G71" s="51">
        <v>4.5999999999999996</v>
      </c>
      <c r="H71" s="51">
        <v>4.3499999999999996</v>
      </c>
      <c r="I71" s="51">
        <v>4.09</v>
      </c>
      <c r="J71" s="63">
        <v>4.75</v>
      </c>
      <c r="K71" s="64">
        <v>3.9</v>
      </c>
      <c r="L71" s="65">
        <v>4.0999999999999996</v>
      </c>
      <c r="M71" s="66">
        <v>3.75</v>
      </c>
      <c r="N71" s="66">
        <v>4.1500000000000004</v>
      </c>
      <c r="O71" s="66">
        <v>4.05</v>
      </c>
      <c r="P71" s="66">
        <v>3.5</v>
      </c>
      <c r="Q71" s="45">
        <v>3.5</v>
      </c>
      <c r="R71" s="45">
        <v>2.95</v>
      </c>
      <c r="S71" s="45">
        <v>3.7</v>
      </c>
      <c r="T71" s="45">
        <v>4.55</v>
      </c>
      <c r="U71" s="45">
        <v>4.0999999999999996</v>
      </c>
      <c r="V71" s="45">
        <v>4.42</v>
      </c>
      <c r="W71" s="45">
        <v>4.4800000000000004</v>
      </c>
      <c r="X71" s="45">
        <v>4.0999999999999996</v>
      </c>
      <c r="Y71" s="45">
        <v>4.42</v>
      </c>
    </row>
    <row r="72" spans="1:25">
      <c r="A72" s="43"/>
      <c r="B72" s="39"/>
      <c r="C72" s="40"/>
      <c r="D72" s="45"/>
      <c r="E72" s="40"/>
      <c r="F72" s="41"/>
      <c r="G72" s="41"/>
      <c r="H72" s="41"/>
      <c r="I72" s="41"/>
      <c r="J72" s="40"/>
      <c r="K72" s="41"/>
      <c r="L72" s="42"/>
      <c r="M72" s="40"/>
      <c r="N72" s="40"/>
      <c r="O72" s="40"/>
      <c r="P72" s="40"/>
      <c r="Q72" s="40"/>
      <c r="R72" s="40"/>
      <c r="S72" s="40"/>
      <c r="T72" s="40"/>
      <c r="U72" s="40"/>
      <c r="V72" s="40"/>
      <c r="W72" s="40"/>
      <c r="X72" s="40"/>
      <c r="Y72" s="40"/>
    </row>
    <row r="73" spans="1:25">
      <c r="A73" s="43"/>
      <c r="B73" s="39" t="s">
        <v>303</v>
      </c>
      <c r="C73" s="40"/>
      <c r="D73" s="45"/>
      <c r="E73" s="40"/>
      <c r="F73" s="41"/>
      <c r="G73" s="41"/>
      <c r="H73" s="41"/>
      <c r="I73" s="41"/>
      <c r="J73" s="40"/>
      <c r="K73" s="41"/>
      <c r="L73" s="42"/>
      <c r="M73" s="40"/>
      <c r="N73" s="40"/>
      <c r="O73" s="40"/>
      <c r="P73" s="40"/>
      <c r="Q73" s="40"/>
      <c r="R73" s="40"/>
      <c r="S73" s="40"/>
      <c r="T73" s="40"/>
      <c r="U73" s="40"/>
      <c r="V73" s="40"/>
      <c r="W73" s="40"/>
      <c r="X73" s="40"/>
      <c r="Y73" s="40"/>
    </row>
    <row r="74" spans="1:25">
      <c r="A74" s="43"/>
      <c r="B74" s="39" t="s">
        <v>301</v>
      </c>
      <c r="C74" s="40" t="s">
        <v>179</v>
      </c>
      <c r="D74" s="45"/>
      <c r="E74" s="40"/>
      <c r="F74" s="68">
        <f t="shared" ref="F74:Y76" si="4">F69/F64</f>
        <v>1.1828571428571428E-2</v>
      </c>
      <c r="G74" s="68">
        <f t="shared" si="4"/>
        <v>1.3142857142857142E-2</v>
      </c>
      <c r="H74" s="69">
        <f t="shared" si="4"/>
        <v>1.2571428571428572E-2</v>
      </c>
      <c r="I74" s="69">
        <f t="shared" si="4"/>
        <v>1.1542857142857143E-2</v>
      </c>
      <c r="J74" s="70">
        <f t="shared" si="4"/>
        <v>1.5691666666666666E-2</v>
      </c>
      <c r="K74" s="69">
        <f t="shared" si="4"/>
        <v>1.3333333333333332E-2</v>
      </c>
      <c r="L74" s="71">
        <f t="shared" si="4"/>
        <v>1.4027777777777778E-2</v>
      </c>
      <c r="M74" s="70">
        <f t="shared" si="4"/>
        <v>1.2916666666666668E-2</v>
      </c>
      <c r="N74" s="70">
        <f t="shared" si="4"/>
        <v>1.4166666666666666E-2</v>
      </c>
      <c r="O74" s="70">
        <f t="shared" si="4"/>
        <v>1.3888888888888888E-2</v>
      </c>
      <c r="P74" s="70">
        <f t="shared" si="4"/>
        <v>1.2083333333333333E-2</v>
      </c>
      <c r="Q74" s="70">
        <f t="shared" si="4"/>
        <v>1.2083333333333333E-2</v>
      </c>
      <c r="R74" s="70">
        <f t="shared" si="4"/>
        <v>1.2916666666666668E-2</v>
      </c>
      <c r="S74" s="70">
        <f t="shared" si="4"/>
        <v>9.7222222222222224E-3</v>
      </c>
      <c r="T74" s="70">
        <f t="shared" si="4"/>
        <v>1.2916666666666668E-2</v>
      </c>
      <c r="U74" s="70">
        <f t="shared" si="4"/>
        <v>1.1388888888888888E-2</v>
      </c>
      <c r="V74" s="70">
        <f t="shared" si="4"/>
        <v>1.2277777777777778E-2</v>
      </c>
      <c r="W74" s="70">
        <f t="shared" si="4"/>
        <v>1.2444444444444445E-2</v>
      </c>
      <c r="X74" s="70">
        <f t="shared" si="4"/>
        <v>1.0833333333333334E-2</v>
      </c>
      <c r="Y74" s="70">
        <f t="shared" si="4"/>
        <v>1.1891891891891894E-2</v>
      </c>
    </row>
    <row r="75" spans="1:25">
      <c r="A75" s="43"/>
      <c r="B75" s="39" t="s">
        <v>117</v>
      </c>
      <c r="C75" s="40" t="s">
        <v>179</v>
      </c>
      <c r="D75" s="45"/>
      <c r="E75" s="40"/>
      <c r="F75" s="68">
        <f t="shared" si="4"/>
        <v>5.3866666666666663E-3</v>
      </c>
      <c r="G75" s="68">
        <f t="shared" si="4"/>
        <v>6.1333333333333327E-3</v>
      </c>
      <c r="H75" s="69">
        <f t="shared" si="4"/>
        <v>6.1333333333333327E-3</v>
      </c>
      <c r="I75" s="69">
        <f t="shared" si="4"/>
        <v>5.5999999999999999E-3</v>
      </c>
      <c r="J75" s="70">
        <f t="shared" si="4"/>
        <v>8.3333333333333332E-3</v>
      </c>
      <c r="K75" s="69">
        <f t="shared" si="4"/>
        <v>7.083333333333333E-3</v>
      </c>
      <c r="L75" s="71">
        <f t="shared" si="4"/>
        <v>7.5000000000000006E-3</v>
      </c>
      <c r="M75" s="70">
        <f t="shared" si="4"/>
        <v>5.7222222222222223E-3</v>
      </c>
      <c r="N75" s="70">
        <f t="shared" si="4"/>
        <v>6.277777777777778E-3</v>
      </c>
      <c r="O75" s="70">
        <f t="shared" si="4"/>
        <v>6.1666666666666667E-3</v>
      </c>
      <c r="P75" s="70">
        <f t="shared" si="4"/>
        <v>5.4444444444444445E-3</v>
      </c>
      <c r="Q75" s="70">
        <f t="shared" si="4"/>
        <v>5.4444444444444445E-3</v>
      </c>
      <c r="R75" s="70">
        <f t="shared" si="4"/>
        <v>5.7777777777777784E-3</v>
      </c>
      <c r="S75" s="70">
        <f t="shared" si="4"/>
        <v>4.1111111111111114E-3</v>
      </c>
      <c r="T75" s="70">
        <f t="shared" si="4"/>
        <v>5.3888888888888884E-3</v>
      </c>
      <c r="U75" s="70">
        <f t="shared" si="4"/>
        <v>5.7777777777777784E-3</v>
      </c>
      <c r="V75" s="70">
        <f t="shared" si="4"/>
        <v>5.6333333333333339E-3</v>
      </c>
      <c r="W75" s="70">
        <f t="shared" si="4"/>
        <v>6.2222222222222219E-3</v>
      </c>
      <c r="X75" s="70">
        <f t="shared" si="4"/>
        <v>5.3888888888888884E-3</v>
      </c>
      <c r="Y75" s="70">
        <f t="shared" si="4"/>
        <v>6.0555555555555553E-3</v>
      </c>
    </row>
    <row r="76" spans="1:25">
      <c r="A76" s="43"/>
      <c r="B76" s="39" t="s">
        <v>118</v>
      </c>
      <c r="C76" s="40" t="s">
        <v>179</v>
      </c>
      <c r="D76" s="45"/>
      <c r="E76" s="40"/>
      <c r="F76" s="68">
        <f t="shared" si="4"/>
        <v>2.8153846153846154E-2</v>
      </c>
      <c r="G76" s="68">
        <f t="shared" si="4"/>
        <v>3.5384615384615382E-2</v>
      </c>
      <c r="H76" s="69">
        <f t="shared" si="4"/>
        <v>3.3461538461538459E-2</v>
      </c>
      <c r="I76" s="69">
        <f t="shared" si="4"/>
        <v>3.1461538461538457E-2</v>
      </c>
      <c r="J76" s="70">
        <f t="shared" si="4"/>
        <v>3.1666666666666669E-2</v>
      </c>
      <c r="K76" s="69">
        <f t="shared" si="4"/>
        <v>2.5999999999999999E-2</v>
      </c>
      <c r="L76" s="71">
        <f t="shared" si="4"/>
        <v>2.7333333333333331E-2</v>
      </c>
      <c r="M76" s="70">
        <f t="shared" si="4"/>
        <v>2.5000000000000001E-2</v>
      </c>
      <c r="N76" s="70">
        <f t="shared" si="4"/>
        <v>2.7666666666666669E-2</v>
      </c>
      <c r="O76" s="70">
        <f t="shared" si="4"/>
        <v>2.7E-2</v>
      </c>
      <c r="P76" s="70">
        <f t="shared" si="4"/>
        <v>2.3333333333333334E-2</v>
      </c>
      <c r="Q76" s="70">
        <f t="shared" si="4"/>
        <v>2.3333333333333334E-2</v>
      </c>
      <c r="R76" s="70">
        <f t="shared" si="4"/>
        <v>1.9666666666666669E-2</v>
      </c>
      <c r="S76" s="70">
        <f t="shared" si="4"/>
        <v>2.4666666666666667E-2</v>
      </c>
      <c r="T76" s="70">
        <f t="shared" si="4"/>
        <v>3.0333333333333334E-2</v>
      </c>
      <c r="U76" s="70">
        <f t="shared" si="4"/>
        <v>2.7333333333333331E-2</v>
      </c>
      <c r="V76" s="70">
        <f t="shared" si="4"/>
        <v>2.9466666666666665E-2</v>
      </c>
      <c r="W76" s="70">
        <f t="shared" si="4"/>
        <v>2.986666666666667E-2</v>
      </c>
      <c r="X76" s="70">
        <f t="shared" si="4"/>
        <v>2.7333333333333331E-2</v>
      </c>
      <c r="Y76" s="70">
        <f t="shared" si="4"/>
        <v>2.9466666666666665E-2</v>
      </c>
    </row>
    <row r="77" spans="1:25">
      <c r="A77" s="43"/>
      <c r="B77" s="39"/>
      <c r="C77" s="40"/>
      <c r="D77" s="45"/>
      <c r="E77" s="40"/>
      <c r="F77" s="41"/>
      <c r="G77" s="41"/>
      <c r="H77" s="41"/>
      <c r="I77" s="41"/>
      <c r="J77" s="40"/>
      <c r="K77" s="41"/>
      <c r="L77" s="42"/>
      <c r="M77" s="40"/>
      <c r="N77" s="40"/>
      <c r="O77" s="40"/>
      <c r="P77" s="40"/>
      <c r="Q77" s="40"/>
      <c r="R77" s="40"/>
      <c r="S77" s="40"/>
      <c r="T77" s="40"/>
      <c r="U77" s="40"/>
      <c r="V77" s="40"/>
      <c r="W77" s="40"/>
      <c r="X77" s="40"/>
      <c r="Y77" s="40"/>
    </row>
    <row r="78" spans="1:25">
      <c r="A78" s="43"/>
      <c r="B78" s="39"/>
      <c r="C78" s="40"/>
      <c r="D78" s="45"/>
      <c r="E78" s="40"/>
      <c r="F78" s="41"/>
      <c r="G78" s="41"/>
      <c r="H78" s="41"/>
      <c r="I78" s="41"/>
      <c r="J78" s="40"/>
      <c r="K78" s="41"/>
      <c r="L78" s="42"/>
      <c r="M78" s="40"/>
      <c r="N78" s="40"/>
      <c r="O78" s="40"/>
      <c r="P78" s="40"/>
      <c r="Q78" s="40"/>
      <c r="R78" s="40"/>
      <c r="S78" s="40"/>
      <c r="T78" s="40"/>
      <c r="U78" s="40"/>
      <c r="V78" s="40"/>
      <c r="W78" s="40"/>
      <c r="X78" s="40"/>
      <c r="Y78" s="40"/>
    </row>
    <row r="79" spans="1:25">
      <c r="A79" s="43"/>
      <c r="B79" s="39" t="s">
        <v>304</v>
      </c>
      <c r="C79" s="40"/>
      <c r="D79" s="45"/>
      <c r="E79" s="40"/>
      <c r="F79" s="41"/>
      <c r="G79" s="41"/>
      <c r="H79" s="41"/>
      <c r="I79" s="41"/>
      <c r="J79" s="40"/>
      <c r="K79" s="41"/>
      <c r="L79" s="42"/>
      <c r="M79" s="40"/>
      <c r="N79" s="40"/>
      <c r="O79" s="40"/>
      <c r="P79" s="40"/>
      <c r="Q79" s="40"/>
      <c r="R79" s="40"/>
      <c r="S79" s="40"/>
      <c r="T79" s="40"/>
      <c r="U79" s="40"/>
      <c r="V79" s="40"/>
      <c r="W79" s="40"/>
      <c r="X79" s="40"/>
      <c r="Y79" s="40"/>
    </row>
    <row r="80" spans="1:25">
      <c r="A80" s="43"/>
      <c r="B80" s="39" t="s">
        <v>301</v>
      </c>
      <c r="C80" s="40" t="s">
        <v>305</v>
      </c>
      <c r="D80" s="45"/>
      <c r="E80" s="40"/>
      <c r="F80" s="44">
        <v>5.8</v>
      </c>
      <c r="G80" s="44">
        <v>5.8</v>
      </c>
      <c r="H80" s="44">
        <v>5.8</v>
      </c>
      <c r="I80" s="44">
        <v>5.8</v>
      </c>
      <c r="J80" s="45">
        <v>5.8</v>
      </c>
      <c r="K80" s="44">
        <v>5.8</v>
      </c>
      <c r="L80" s="46">
        <v>5.8</v>
      </c>
      <c r="M80" s="45">
        <v>5.8</v>
      </c>
      <c r="N80" s="45">
        <v>5.8</v>
      </c>
      <c r="O80" s="45">
        <v>5.8</v>
      </c>
      <c r="P80" s="45">
        <v>5.8</v>
      </c>
      <c r="Q80" s="45">
        <v>5.8</v>
      </c>
      <c r="R80" s="45">
        <v>5.8</v>
      </c>
      <c r="S80" s="45">
        <v>5.8</v>
      </c>
      <c r="T80" s="45">
        <v>5.8</v>
      </c>
      <c r="U80" s="45">
        <v>5.8</v>
      </c>
      <c r="V80" s="45">
        <v>5.8</v>
      </c>
      <c r="W80" s="45">
        <v>5.8</v>
      </c>
      <c r="X80" s="45">
        <v>5.8</v>
      </c>
      <c r="Y80" s="45">
        <v>5.8</v>
      </c>
    </row>
    <row r="81" spans="1:25">
      <c r="A81" s="43"/>
      <c r="B81" s="39" t="s">
        <v>306</v>
      </c>
      <c r="C81" s="40" t="s">
        <v>307</v>
      </c>
      <c r="D81" s="45"/>
      <c r="E81" s="40"/>
      <c r="F81" s="44">
        <v>9</v>
      </c>
      <c r="G81" s="44">
        <v>9</v>
      </c>
      <c r="H81" s="44">
        <v>9</v>
      </c>
      <c r="I81" s="44">
        <v>9</v>
      </c>
      <c r="J81" s="45">
        <v>9</v>
      </c>
      <c r="K81" s="44">
        <v>9</v>
      </c>
      <c r="L81" s="46">
        <v>9</v>
      </c>
      <c r="M81" s="45">
        <v>9</v>
      </c>
      <c r="N81" s="45">
        <v>9</v>
      </c>
      <c r="O81" s="45">
        <v>9</v>
      </c>
      <c r="P81" s="45">
        <v>9</v>
      </c>
      <c r="Q81" s="45"/>
      <c r="R81" s="45"/>
      <c r="S81" s="45"/>
      <c r="T81" s="45"/>
      <c r="U81" s="45"/>
      <c r="V81" s="45"/>
      <c r="W81" s="45"/>
      <c r="X81" s="45"/>
      <c r="Y81" s="45"/>
    </row>
    <row r="82" spans="1:25">
      <c r="A82" s="43"/>
      <c r="B82" s="39" t="s">
        <v>308</v>
      </c>
      <c r="C82" s="40" t="s">
        <v>307</v>
      </c>
      <c r="D82" s="45"/>
      <c r="E82" s="40"/>
      <c r="F82" s="44">
        <v>42</v>
      </c>
      <c r="G82" s="44">
        <v>42</v>
      </c>
      <c r="H82" s="44">
        <v>42</v>
      </c>
      <c r="I82" s="44">
        <v>42</v>
      </c>
      <c r="J82" s="45">
        <v>42</v>
      </c>
      <c r="K82" s="44">
        <v>42</v>
      </c>
      <c r="L82" s="46">
        <v>42</v>
      </c>
      <c r="M82" s="45">
        <v>42</v>
      </c>
      <c r="N82" s="45">
        <v>42</v>
      </c>
      <c r="O82" s="45">
        <v>42</v>
      </c>
      <c r="P82" s="45">
        <v>42</v>
      </c>
      <c r="Q82" s="45">
        <v>42</v>
      </c>
      <c r="R82" s="45">
        <v>42</v>
      </c>
      <c r="S82" s="45">
        <v>42</v>
      </c>
      <c r="T82" s="45">
        <v>42</v>
      </c>
      <c r="U82" s="45">
        <v>42</v>
      </c>
      <c r="V82" s="45">
        <v>42</v>
      </c>
      <c r="W82" s="45">
        <v>42</v>
      </c>
      <c r="X82" s="45">
        <v>42</v>
      </c>
      <c r="Y82" s="45">
        <v>40</v>
      </c>
    </row>
    <row r="83" spans="1:25">
      <c r="A83" s="43"/>
      <c r="B83" s="39" t="s">
        <v>309</v>
      </c>
      <c r="C83" s="40" t="s">
        <v>307</v>
      </c>
      <c r="D83" s="45"/>
      <c r="E83" s="40"/>
      <c r="F83" s="44">
        <v>52</v>
      </c>
      <c r="G83" s="44">
        <v>52</v>
      </c>
      <c r="H83" s="44">
        <v>52</v>
      </c>
      <c r="I83" s="44">
        <v>52</v>
      </c>
      <c r="J83" s="45">
        <v>52</v>
      </c>
      <c r="K83" s="44">
        <v>52</v>
      </c>
      <c r="L83" s="46">
        <v>52</v>
      </c>
      <c r="M83" s="45">
        <v>52</v>
      </c>
      <c r="N83" s="45">
        <v>52</v>
      </c>
      <c r="O83" s="45">
        <v>52</v>
      </c>
      <c r="P83" s="45">
        <v>52</v>
      </c>
      <c r="Q83" s="45">
        <v>52</v>
      </c>
      <c r="R83" s="45">
        <v>52</v>
      </c>
      <c r="S83" s="45">
        <v>52</v>
      </c>
      <c r="T83" s="45">
        <v>52</v>
      </c>
      <c r="U83" s="45">
        <v>52</v>
      </c>
      <c r="V83" s="45">
        <v>52</v>
      </c>
      <c r="W83" s="45">
        <v>52</v>
      </c>
      <c r="X83" s="45">
        <v>52</v>
      </c>
      <c r="Y83" s="45">
        <v>50</v>
      </c>
    </row>
    <row r="84" spans="1:25">
      <c r="A84" s="43" t="s">
        <v>221</v>
      </c>
      <c r="B84" s="39" t="s">
        <v>310</v>
      </c>
      <c r="C84" s="40" t="s">
        <v>311</v>
      </c>
      <c r="D84" s="45"/>
      <c r="E84" s="40"/>
      <c r="F84" s="44">
        <v>24</v>
      </c>
      <c r="G84" s="44">
        <v>24</v>
      </c>
      <c r="H84" s="44">
        <v>24</v>
      </c>
      <c r="I84" s="44">
        <v>24</v>
      </c>
      <c r="J84" s="45">
        <v>24</v>
      </c>
      <c r="K84" s="44">
        <v>24</v>
      </c>
      <c r="L84" s="46">
        <v>24</v>
      </c>
      <c r="M84" s="45">
        <v>24</v>
      </c>
      <c r="N84" s="45">
        <v>24</v>
      </c>
      <c r="O84" s="45">
        <v>24</v>
      </c>
      <c r="P84" s="45">
        <v>24</v>
      </c>
      <c r="Q84" s="45">
        <v>24</v>
      </c>
      <c r="R84" s="45">
        <v>24</v>
      </c>
      <c r="S84" s="45">
        <v>24</v>
      </c>
      <c r="T84" s="45">
        <v>24</v>
      </c>
      <c r="U84" s="45">
        <v>27</v>
      </c>
      <c r="V84" s="45">
        <v>27</v>
      </c>
      <c r="W84" s="45">
        <v>27</v>
      </c>
      <c r="X84" s="45">
        <v>27</v>
      </c>
      <c r="Y84" s="45">
        <v>0</v>
      </c>
    </row>
    <row r="85" spans="1:25">
      <c r="A85" s="43"/>
      <c r="B85" s="39" t="s">
        <v>312</v>
      </c>
      <c r="C85" s="40" t="s">
        <v>311</v>
      </c>
      <c r="D85" s="45"/>
      <c r="E85" s="40"/>
      <c r="F85" s="44">
        <v>38</v>
      </c>
      <c r="G85" s="44">
        <v>38</v>
      </c>
      <c r="H85" s="44">
        <v>38</v>
      </c>
      <c r="I85" s="44">
        <v>38</v>
      </c>
      <c r="J85" s="45">
        <v>38</v>
      </c>
      <c r="K85" s="44">
        <v>38</v>
      </c>
      <c r="L85" s="46">
        <v>38</v>
      </c>
      <c r="M85" s="45">
        <v>38</v>
      </c>
      <c r="N85" s="45">
        <v>38</v>
      </c>
      <c r="O85" s="45">
        <v>38</v>
      </c>
      <c r="P85" s="45">
        <v>38</v>
      </c>
      <c r="Q85" s="45">
        <v>38</v>
      </c>
      <c r="R85" s="45">
        <v>38</v>
      </c>
      <c r="S85" s="45">
        <v>38</v>
      </c>
      <c r="T85" s="45">
        <v>38</v>
      </c>
      <c r="U85" s="45">
        <v>38</v>
      </c>
      <c r="V85" s="45">
        <v>38</v>
      </c>
      <c r="W85" s="45">
        <v>38</v>
      </c>
      <c r="X85" s="45">
        <v>38</v>
      </c>
      <c r="Y85" s="45">
        <v>0</v>
      </c>
    </row>
    <row r="86" spans="1:25">
      <c r="A86" s="43"/>
      <c r="B86" s="39"/>
      <c r="C86" s="40"/>
      <c r="D86" s="45"/>
      <c r="E86" s="40"/>
      <c r="F86" s="41"/>
      <c r="G86" s="41"/>
      <c r="H86" s="41"/>
      <c r="I86" s="41"/>
      <c r="J86" s="40"/>
      <c r="K86" s="41"/>
      <c r="L86" s="42"/>
      <c r="M86" s="40"/>
      <c r="N86" s="40"/>
      <c r="O86" s="40"/>
      <c r="P86" s="40"/>
      <c r="Q86" s="40"/>
      <c r="R86" s="40"/>
      <c r="S86" s="40"/>
      <c r="T86" s="40"/>
      <c r="U86" s="40"/>
      <c r="V86" s="40"/>
      <c r="W86" s="40"/>
      <c r="X86" s="40"/>
      <c r="Y86" s="40"/>
    </row>
    <row r="87" spans="1:25">
      <c r="A87" s="43"/>
      <c r="B87" s="72" t="s">
        <v>313</v>
      </c>
      <c r="C87" s="40"/>
      <c r="D87" s="45"/>
      <c r="E87" s="40"/>
      <c r="F87" s="41"/>
      <c r="G87" s="41"/>
      <c r="H87" s="41"/>
      <c r="I87" s="41"/>
      <c r="J87" s="40"/>
      <c r="K87" s="41"/>
      <c r="L87" s="42"/>
      <c r="M87" s="40"/>
      <c r="N87" s="40"/>
      <c r="O87" s="40"/>
      <c r="P87" s="40"/>
      <c r="Q87" s="40"/>
      <c r="R87" s="40"/>
      <c r="S87" s="40"/>
      <c r="T87" s="40"/>
      <c r="U87" s="40"/>
      <c r="V87" s="40"/>
      <c r="W87" s="40"/>
      <c r="X87" s="40"/>
      <c r="Y87" s="40"/>
    </row>
    <row r="88" spans="1:25">
      <c r="A88" s="43"/>
      <c r="B88" s="39" t="s">
        <v>301</v>
      </c>
      <c r="C88" s="40" t="s">
        <v>180</v>
      </c>
      <c r="D88" s="45"/>
      <c r="E88" s="40"/>
      <c r="F88" s="73">
        <f>F80*F74</f>
        <v>6.8605714285714284E-2</v>
      </c>
      <c r="G88" s="73">
        <f>G80*G74</f>
        <v>7.6228571428571423E-2</v>
      </c>
      <c r="H88" s="49">
        <f t="shared" ref="H88:Y89" si="5">H80*H74</f>
        <v>7.2914285714285709E-2</v>
      </c>
      <c r="I88" s="49">
        <f t="shared" si="5"/>
        <v>6.6948571428571427E-2</v>
      </c>
      <c r="J88" s="50">
        <f t="shared" si="5"/>
        <v>9.1011666666666657E-2</v>
      </c>
      <c r="K88" s="49">
        <f t="shared" si="5"/>
        <v>7.7333333333333323E-2</v>
      </c>
      <c r="L88" s="74">
        <f t="shared" si="5"/>
        <v>8.1361111111111106E-2</v>
      </c>
      <c r="M88" s="50">
        <f t="shared" si="5"/>
        <v>7.4916666666666673E-2</v>
      </c>
      <c r="N88" s="50">
        <f t="shared" si="5"/>
        <v>8.2166666666666666E-2</v>
      </c>
      <c r="O88" s="50">
        <f t="shared" si="5"/>
        <v>8.0555555555555547E-2</v>
      </c>
      <c r="P88" s="50">
        <f t="shared" si="5"/>
        <v>7.0083333333333331E-2</v>
      </c>
      <c r="Q88" s="50">
        <f t="shared" si="5"/>
        <v>7.0083333333333331E-2</v>
      </c>
      <c r="R88" s="50">
        <f t="shared" si="5"/>
        <v>7.4916666666666673E-2</v>
      </c>
      <c r="S88" s="50">
        <f t="shared" si="5"/>
        <v>5.6388888888888891E-2</v>
      </c>
      <c r="T88" s="50">
        <f t="shared" si="5"/>
        <v>7.4916666666666673E-2</v>
      </c>
      <c r="U88" s="50">
        <f t="shared" si="5"/>
        <v>6.6055555555555548E-2</v>
      </c>
      <c r="V88" s="50">
        <f t="shared" si="5"/>
        <v>7.1211111111111114E-2</v>
      </c>
      <c r="W88" s="50">
        <f t="shared" si="5"/>
        <v>7.2177777777777785E-2</v>
      </c>
      <c r="X88" s="50">
        <f t="shared" si="5"/>
        <v>6.2833333333333338E-2</v>
      </c>
      <c r="Y88" s="50">
        <f t="shared" si="5"/>
        <v>6.8972972972972987E-2</v>
      </c>
    </row>
    <row r="89" spans="1:25">
      <c r="A89" s="43"/>
      <c r="B89" s="39" t="s">
        <v>314</v>
      </c>
      <c r="C89" s="40" t="s">
        <v>183</v>
      </c>
      <c r="D89" s="45"/>
      <c r="E89" s="40"/>
      <c r="F89" s="73">
        <f>F81*F75</f>
        <v>4.8479999999999995E-2</v>
      </c>
      <c r="G89" s="73">
        <f>G81*G75</f>
        <v>5.5199999999999992E-2</v>
      </c>
      <c r="H89" s="49">
        <f t="shared" si="5"/>
        <v>5.5199999999999992E-2</v>
      </c>
      <c r="I89" s="49">
        <f t="shared" si="5"/>
        <v>5.04E-2</v>
      </c>
      <c r="J89" s="50">
        <f t="shared" si="5"/>
        <v>7.4999999999999997E-2</v>
      </c>
      <c r="K89" s="49">
        <f t="shared" si="5"/>
        <v>6.3750000000000001E-2</v>
      </c>
      <c r="L89" s="74">
        <f t="shared" si="5"/>
        <v>6.7500000000000004E-2</v>
      </c>
      <c r="M89" s="50">
        <f t="shared" si="5"/>
        <v>5.1500000000000004E-2</v>
      </c>
      <c r="N89" s="50">
        <f t="shared" si="5"/>
        <v>5.6500000000000002E-2</v>
      </c>
      <c r="O89" s="50">
        <f t="shared" si="5"/>
        <v>5.5500000000000001E-2</v>
      </c>
      <c r="P89" s="50">
        <f t="shared" si="5"/>
        <v>4.9000000000000002E-2</v>
      </c>
      <c r="Q89" s="50">
        <f t="shared" ref="Q89:Y90" si="6">Q81*Q74</f>
        <v>0</v>
      </c>
      <c r="R89" s="50">
        <f t="shared" si="6"/>
        <v>0</v>
      </c>
      <c r="S89" s="50">
        <f t="shared" si="6"/>
        <v>0</v>
      </c>
      <c r="T89" s="50">
        <f t="shared" si="6"/>
        <v>0</v>
      </c>
      <c r="U89" s="50">
        <f t="shared" si="6"/>
        <v>0</v>
      </c>
      <c r="V89" s="50">
        <f t="shared" si="6"/>
        <v>0</v>
      </c>
      <c r="W89" s="50">
        <f t="shared" si="6"/>
        <v>0</v>
      </c>
      <c r="X89" s="50">
        <f t="shared" si="6"/>
        <v>0</v>
      </c>
      <c r="Y89" s="50">
        <f t="shared" si="6"/>
        <v>0</v>
      </c>
    </row>
    <row r="90" spans="1:25">
      <c r="A90" s="43"/>
      <c r="B90" s="39" t="s">
        <v>308</v>
      </c>
      <c r="C90" s="40" t="s">
        <v>183</v>
      </c>
      <c r="D90" s="45"/>
      <c r="E90" s="40"/>
      <c r="F90" s="73">
        <f>F82*F75</f>
        <v>0.22624</v>
      </c>
      <c r="G90" s="73">
        <f>G82*G75</f>
        <v>0.2576</v>
      </c>
      <c r="H90" s="49">
        <f>H82*H75</f>
        <v>0.2576</v>
      </c>
      <c r="I90" s="49">
        <f>I82*I75</f>
        <v>0.23519999999999999</v>
      </c>
      <c r="J90" s="50">
        <f>J82*J75</f>
        <v>0.35</v>
      </c>
      <c r="K90" s="49">
        <f t="shared" ref="K90:P90" si="7">K82*K75</f>
        <v>0.29749999999999999</v>
      </c>
      <c r="L90" s="74">
        <f t="shared" si="7"/>
        <v>0.315</v>
      </c>
      <c r="M90" s="50">
        <f t="shared" si="7"/>
        <v>0.24033333333333334</v>
      </c>
      <c r="N90" s="50">
        <f t="shared" si="7"/>
        <v>0.26366666666666666</v>
      </c>
      <c r="O90" s="50">
        <f t="shared" si="7"/>
        <v>0.25900000000000001</v>
      </c>
      <c r="P90" s="50">
        <f t="shared" si="7"/>
        <v>0.22866666666666666</v>
      </c>
      <c r="Q90" s="50">
        <f t="shared" si="6"/>
        <v>0.22866666666666666</v>
      </c>
      <c r="R90" s="50">
        <f t="shared" si="6"/>
        <v>0.2426666666666667</v>
      </c>
      <c r="S90" s="50">
        <f t="shared" si="6"/>
        <v>0.17266666666666669</v>
      </c>
      <c r="T90" s="50">
        <f t="shared" si="6"/>
        <v>0.2263333333333333</v>
      </c>
      <c r="U90" s="50">
        <f t="shared" si="6"/>
        <v>0.2426666666666667</v>
      </c>
      <c r="V90" s="50">
        <f t="shared" si="6"/>
        <v>0.23660000000000003</v>
      </c>
      <c r="W90" s="50">
        <f t="shared" si="6"/>
        <v>0.26133333333333331</v>
      </c>
      <c r="X90" s="50">
        <f t="shared" si="6"/>
        <v>0.2263333333333333</v>
      </c>
      <c r="Y90" s="50">
        <f t="shared" si="6"/>
        <v>0.24222222222222223</v>
      </c>
    </row>
    <row r="91" spans="1:25">
      <c r="A91" s="43"/>
      <c r="B91" s="39" t="s">
        <v>309</v>
      </c>
      <c r="C91" s="40" t="s">
        <v>183</v>
      </c>
      <c r="D91" s="45"/>
      <c r="E91" s="40"/>
      <c r="F91" s="73">
        <f>F83*F75</f>
        <v>0.28010666666666667</v>
      </c>
      <c r="G91" s="73">
        <f>G83*G75</f>
        <v>0.31893333333333329</v>
      </c>
      <c r="H91" s="49">
        <f t="shared" ref="H91:Y92" si="8">H83*H75</f>
        <v>0.31893333333333329</v>
      </c>
      <c r="I91" s="49">
        <f t="shared" si="8"/>
        <v>0.29120000000000001</v>
      </c>
      <c r="J91" s="50">
        <f t="shared" si="8"/>
        <v>0.43333333333333335</v>
      </c>
      <c r="K91" s="49">
        <f t="shared" si="8"/>
        <v>0.36833333333333329</v>
      </c>
      <c r="L91" s="74">
        <f t="shared" si="8"/>
        <v>0.39</v>
      </c>
      <c r="M91" s="50">
        <f t="shared" si="8"/>
        <v>0.29755555555555557</v>
      </c>
      <c r="N91" s="50">
        <f t="shared" si="8"/>
        <v>0.32644444444444443</v>
      </c>
      <c r="O91" s="50">
        <f t="shared" si="8"/>
        <v>0.32066666666666666</v>
      </c>
      <c r="P91" s="50">
        <f t="shared" si="8"/>
        <v>0.28311111111111109</v>
      </c>
      <c r="Q91" s="50">
        <f t="shared" si="8"/>
        <v>0.28311111111111109</v>
      </c>
      <c r="R91" s="50">
        <f t="shared" si="8"/>
        <v>0.30044444444444446</v>
      </c>
      <c r="S91" s="50">
        <f t="shared" si="8"/>
        <v>0.21377777777777779</v>
      </c>
      <c r="T91" s="50">
        <f t="shared" si="8"/>
        <v>0.28022222222222221</v>
      </c>
      <c r="U91" s="50">
        <f t="shared" si="8"/>
        <v>0.30044444444444446</v>
      </c>
      <c r="V91" s="50">
        <f t="shared" si="8"/>
        <v>0.29293333333333338</v>
      </c>
      <c r="W91" s="50">
        <f t="shared" si="8"/>
        <v>0.32355555555555554</v>
      </c>
      <c r="X91" s="50">
        <f t="shared" si="8"/>
        <v>0.28022222222222221</v>
      </c>
      <c r="Y91" s="50">
        <f t="shared" si="8"/>
        <v>0.30277777777777776</v>
      </c>
    </row>
    <row r="92" spans="1:25">
      <c r="A92" s="43"/>
      <c r="B92" s="39" t="s">
        <v>310</v>
      </c>
      <c r="C92" s="40" t="s">
        <v>315</v>
      </c>
      <c r="D92" s="45"/>
      <c r="E92" s="40"/>
      <c r="F92" s="73">
        <f>F84*F76</f>
        <v>0.6756923076923077</v>
      </c>
      <c r="G92" s="73">
        <f>G84*G76</f>
        <v>0.84923076923076923</v>
      </c>
      <c r="H92" s="49">
        <f t="shared" si="8"/>
        <v>0.80307692307692302</v>
      </c>
      <c r="I92" s="49">
        <f t="shared" si="8"/>
        <v>0.75507692307692298</v>
      </c>
      <c r="J92" s="50">
        <f t="shared" si="8"/>
        <v>0.76</v>
      </c>
      <c r="K92" s="49">
        <f t="shared" si="8"/>
        <v>0.624</v>
      </c>
      <c r="L92" s="74">
        <f t="shared" si="8"/>
        <v>0.65599999999999992</v>
      </c>
      <c r="M92" s="50">
        <f t="shared" si="8"/>
        <v>0.60000000000000009</v>
      </c>
      <c r="N92" s="50">
        <f t="shared" si="8"/>
        <v>0.66400000000000003</v>
      </c>
      <c r="O92" s="50">
        <f t="shared" si="8"/>
        <v>0.64800000000000002</v>
      </c>
      <c r="P92" s="50">
        <f t="shared" si="8"/>
        <v>0.56000000000000005</v>
      </c>
      <c r="Q92" s="50">
        <f t="shared" si="8"/>
        <v>0.56000000000000005</v>
      </c>
      <c r="R92" s="50">
        <f t="shared" si="8"/>
        <v>0.47200000000000009</v>
      </c>
      <c r="S92" s="50">
        <f t="shared" si="8"/>
        <v>0.59199999999999997</v>
      </c>
      <c r="T92" s="50">
        <f t="shared" si="8"/>
        <v>0.72799999999999998</v>
      </c>
      <c r="U92" s="50">
        <f t="shared" si="8"/>
        <v>0.73799999999999999</v>
      </c>
      <c r="V92" s="50">
        <f t="shared" si="8"/>
        <v>0.79559999999999997</v>
      </c>
      <c r="W92" s="50">
        <f t="shared" si="8"/>
        <v>0.80640000000000012</v>
      </c>
      <c r="X92" s="50">
        <f t="shared" si="8"/>
        <v>0.73799999999999999</v>
      </c>
      <c r="Y92" s="50">
        <f t="shared" si="8"/>
        <v>0</v>
      </c>
    </row>
    <row r="93" spans="1:25">
      <c r="A93" s="43"/>
      <c r="B93" s="39" t="s">
        <v>312</v>
      </c>
      <c r="C93" s="40" t="s">
        <v>315</v>
      </c>
      <c r="D93" s="45"/>
      <c r="E93" s="40"/>
      <c r="F93" s="73">
        <f>F85*F76</f>
        <v>1.0698461538461539</v>
      </c>
      <c r="G93" s="73">
        <f>G85*G76</f>
        <v>1.3446153846153845</v>
      </c>
      <c r="H93" s="49">
        <f>H85*H76</f>
        <v>1.2715384615384615</v>
      </c>
      <c r="I93" s="49">
        <f>I85*I76</f>
        <v>1.1955384615384614</v>
      </c>
      <c r="J93" s="50">
        <f>J85*J76</f>
        <v>1.2033333333333334</v>
      </c>
      <c r="K93" s="49">
        <f t="shared" ref="K93:Y93" si="9">K85*K76</f>
        <v>0.98799999999999999</v>
      </c>
      <c r="L93" s="74">
        <f t="shared" si="9"/>
        <v>1.0386666666666666</v>
      </c>
      <c r="M93" s="50">
        <f t="shared" si="9"/>
        <v>0.95000000000000007</v>
      </c>
      <c r="N93" s="50">
        <f t="shared" si="9"/>
        <v>1.0513333333333335</v>
      </c>
      <c r="O93" s="50">
        <f t="shared" si="9"/>
        <v>1.026</v>
      </c>
      <c r="P93" s="50">
        <f t="shared" si="9"/>
        <v>0.88666666666666671</v>
      </c>
      <c r="Q93" s="50">
        <f t="shared" si="9"/>
        <v>0.88666666666666671</v>
      </c>
      <c r="R93" s="50">
        <f t="shared" si="9"/>
        <v>0.7473333333333334</v>
      </c>
      <c r="S93" s="50">
        <f t="shared" si="9"/>
        <v>0.93733333333333335</v>
      </c>
      <c r="T93" s="50">
        <f t="shared" si="9"/>
        <v>1.1526666666666667</v>
      </c>
      <c r="U93" s="50">
        <f t="shared" si="9"/>
        <v>1.0386666666666666</v>
      </c>
      <c r="V93" s="50">
        <f t="shared" si="9"/>
        <v>1.1197333333333332</v>
      </c>
      <c r="W93" s="50">
        <f t="shared" si="9"/>
        <v>1.1349333333333333</v>
      </c>
      <c r="X93" s="50">
        <f t="shared" si="9"/>
        <v>1.0386666666666666</v>
      </c>
      <c r="Y93" s="50">
        <f t="shared" si="9"/>
        <v>0</v>
      </c>
    </row>
    <row r="94" spans="1:25">
      <c r="A94" s="43"/>
      <c r="B94" s="39"/>
      <c r="C94" s="40"/>
      <c r="D94" s="45"/>
      <c r="E94" s="40"/>
      <c r="F94" s="41"/>
      <c r="G94" s="41"/>
      <c r="H94" s="41"/>
      <c r="I94" s="41"/>
      <c r="J94" s="40"/>
      <c r="K94" s="41"/>
      <c r="L94" s="42"/>
      <c r="M94" s="40"/>
      <c r="N94" s="40"/>
      <c r="O94" s="40"/>
      <c r="P94" s="40"/>
      <c r="Q94" s="40"/>
      <c r="R94" s="40"/>
      <c r="S94" s="40"/>
      <c r="T94" s="40"/>
      <c r="U94" s="40"/>
      <c r="V94" s="40"/>
      <c r="W94" s="40"/>
      <c r="X94" s="40"/>
      <c r="Y94" s="40"/>
    </row>
    <row r="95" spans="1:25">
      <c r="A95" s="38" t="s">
        <v>316</v>
      </c>
      <c r="B95" s="39"/>
      <c r="C95" s="40"/>
      <c r="D95" s="45"/>
      <c r="E95" s="40"/>
      <c r="F95" s="41"/>
      <c r="G95" s="41"/>
      <c r="H95" s="41"/>
      <c r="I95" s="41"/>
      <c r="J95" s="40"/>
      <c r="K95" s="41"/>
      <c r="L95" s="42"/>
      <c r="M95" s="40"/>
      <c r="N95" s="40"/>
      <c r="O95" s="40"/>
      <c r="P95" s="40"/>
      <c r="Q95" s="40"/>
      <c r="R95" s="40"/>
      <c r="S95" s="40"/>
      <c r="T95" s="40"/>
      <c r="U95" s="40"/>
      <c r="V95" s="40"/>
      <c r="W95" s="40"/>
      <c r="X95" s="40"/>
      <c r="Y95" s="40"/>
    </row>
    <row r="96" spans="1:25">
      <c r="A96" s="43"/>
      <c r="B96" s="39" t="s">
        <v>317</v>
      </c>
      <c r="C96" s="40"/>
      <c r="D96" s="45"/>
      <c r="E96" s="40"/>
      <c r="F96" s="41"/>
      <c r="G96" s="41"/>
      <c r="H96" s="41"/>
      <c r="I96" s="41"/>
      <c r="J96" s="40"/>
      <c r="K96" s="41"/>
      <c r="L96" s="42"/>
      <c r="M96" s="40"/>
      <c r="N96" s="40"/>
      <c r="O96" s="40"/>
      <c r="P96" s="40"/>
      <c r="Q96" s="40"/>
      <c r="R96" s="40"/>
      <c r="S96" s="40"/>
      <c r="T96" s="40"/>
      <c r="U96" s="40"/>
      <c r="V96" s="40"/>
      <c r="W96" s="40"/>
      <c r="X96" s="40"/>
      <c r="Y96" s="40"/>
    </row>
    <row r="97" spans="1:25">
      <c r="A97" s="43"/>
      <c r="B97" s="39" t="s">
        <v>318</v>
      </c>
      <c r="C97" s="40" t="s">
        <v>182</v>
      </c>
      <c r="D97" s="45"/>
      <c r="E97" s="51"/>
      <c r="F97" s="51"/>
      <c r="G97" s="51">
        <v>251</v>
      </c>
      <c r="H97" s="51">
        <v>245</v>
      </c>
      <c r="I97" s="51">
        <v>272</v>
      </c>
      <c r="J97" s="63">
        <v>285</v>
      </c>
      <c r="K97" s="64">
        <v>236</v>
      </c>
      <c r="L97" s="65">
        <v>251</v>
      </c>
      <c r="M97" s="66">
        <v>233</v>
      </c>
      <c r="N97" s="66">
        <v>275</v>
      </c>
      <c r="O97" s="66">
        <v>297</v>
      </c>
      <c r="P97" s="66">
        <v>257</v>
      </c>
      <c r="Q97" s="45">
        <v>279</v>
      </c>
      <c r="R97" s="45">
        <v>311</v>
      </c>
      <c r="S97" s="45">
        <v>320</v>
      </c>
      <c r="T97" s="45">
        <v>305</v>
      </c>
      <c r="U97" s="45">
        <v>286</v>
      </c>
      <c r="V97" s="45">
        <v>395.5</v>
      </c>
      <c r="W97" s="45">
        <v>660</v>
      </c>
      <c r="X97" s="45"/>
      <c r="Y97" s="45"/>
    </row>
    <row r="98" spans="1:25">
      <c r="A98" s="43"/>
      <c r="B98" s="39" t="s">
        <v>319</v>
      </c>
      <c r="C98" s="40"/>
      <c r="D98" s="45"/>
      <c r="E98" s="63"/>
      <c r="F98" s="75"/>
      <c r="G98" s="75">
        <v>2600</v>
      </c>
      <c r="H98" s="75">
        <v>2600</v>
      </c>
      <c r="I98" s="51"/>
      <c r="J98" s="63"/>
      <c r="K98" s="64"/>
      <c r="L98" s="65"/>
      <c r="M98" s="66"/>
      <c r="N98" s="66"/>
      <c r="O98" s="66"/>
      <c r="P98" s="66"/>
      <c r="Q98" s="45"/>
      <c r="R98" s="45"/>
      <c r="S98" s="45"/>
      <c r="T98" s="45"/>
      <c r="U98" s="45"/>
      <c r="V98" s="45"/>
      <c r="W98" s="45"/>
      <c r="X98" s="45"/>
      <c r="Y98" s="45"/>
    </row>
    <row r="99" spans="1:25">
      <c r="A99" s="43"/>
      <c r="B99" s="39">
        <v>125</v>
      </c>
      <c r="C99" s="40" t="s">
        <v>179</v>
      </c>
      <c r="D99" s="45"/>
      <c r="E99" s="40"/>
      <c r="F99" s="107">
        <f>F248</f>
        <v>8.4581196581196574E-2</v>
      </c>
      <c r="G99" s="68">
        <f>G97/G98</f>
        <v>9.6538461538461545E-2</v>
      </c>
      <c r="H99" s="69">
        <f>H97/H98</f>
        <v>9.4230769230769229E-2</v>
      </c>
      <c r="I99" s="69">
        <f t="shared" ref="I99:W99" si="10">I97/3000</f>
        <v>9.0666666666666673E-2</v>
      </c>
      <c r="J99" s="70">
        <f t="shared" si="10"/>
        <v>9.5000000000000001E-2</v>
      </c>
      <c r="K99" s="69">
        <f t="shared" si="10"/>
        <v>7.8666666666666663E-2</v>
      </c>
      <c r="L99" s="71">
        <f t="shared" si="10"/>
        <v>8.3666666666666667E-2</v>
      </c>
      <c r="M99" s="70">
        <f t="shared" si="10"/>
        <v>7.7666666666666662E-2</v>
      </c>
      <c r="N99" s="70">
        <f t="shared" si="10"/>
        <v>9.166666666666666E-2</v>
      </c>
      <c r="O99" s="70">
        <f t="shared" si="10"/>
        <v>9.9000000000000005E-2</v>
      </c>
      <c r="P99" s="70">
        <f t="shared" si="10"/>
        <v>8.5666666666666669E-2</v>
      </c>
      <c r="Q99" s="70">
        <f t="shared" si="10"/>
        <v>9.2999999999999999E-2</v>
      </c>
      <c r="R99" s="70">
        <f t="shared" si="10"/>
        <v>0.10366666666666667</v>
      </c>
      <c r="S99" s="70">
        <f t="shared" si="10"/>
        <v>0.10666666666666667</v>
      </c>
      <c r="T99" s="70">
        <f t="shared" si="10"/>
        <v>0.10166666666666667</v>
      </c>
      <c r="U99" s="70">
        <f t="shared" si="10"/>
        <v>9.5333333333333339E-2</v>
      </c>
      <c r="V99" s="70">
        <f t="shared" si="10"/>
        <v>0.13183333333333333</v>
      </c>
      <c r="W99" s="70">
        <f t="shared" si="10"/>
        <v>0.22</v>
      </c>
      <c r="X99" s="70"/>
      <c r="Y99" s="70"/>
    </row>
    <row r="100" spans="1:25">
      <c r="A100" s="43"/>
      <c r="B100" s="39">
        <v>130</v>
      </c>
      <c r="C100" s="40" t="s">
        <v>179</v>
      </c>
      <c r="D100" s="45"/>
      <c r="E100" s="40"/>
      <c r="F100" s="107">
        <f>F243</f>
        <v>8.6147435897435898E-2</v>
      </c>
      <c r="G100" s="41"/>
      <c r="H100" s="41"/>
      <c r="I100" s="41"/>
      <c r="J100" s="40"/>
      <c r="K100" s="41"/>
      <c r="L100" s="42"/>
      <c r="M100" s="40"/>
      <c r="N100" s="40"/>
      <c r="O100" s="40"/>
      <c r="P100" s="40"/>
      <c r="Q100" s="40"/>
      <c r="R100" s="40"/>
      <c r="S100" s="40"/>
      <c r="T100" s="40"/>
      <c r="U100" s="40"/>
      <c r="V100" s="40"/>
      <c r="W100" s="40"/>
      <c r="X100" s="40"/>
      <c r="Y100" s="40"/>
    </row>
    <row r="101" spans="1:25">
      <c r="A101" s="43"/>
      <c r="B101" s="39" t="s">
        <v>144</v>
      </c>
      <c r="C101" s="40"/>
      <c r="D101" s="45"/>
      <c r="E101" s="40"/>
      <c r="F101" s="41"/>
      <c r="G101" s="41"/>
      <c r="H101" s="41"/>
      <c r="I101" s="41"/>
      <c r="J101" s="40"/>
      <c r="K101" s="41"/>
      <c r="L101" s="42"/>
      <c r="M101" s="40"/>
      <c r="N101" s="40"/>
      <c r="O101" s="40"/>
      <c r="P101" s="40"/>
      <c r="Q101" s="40"/>
      <c r="R101" s="40"/>
      <c r="S101" s="40"/>
      <c r="T101" s="40"/>
      <c r="U101" s="40"/>
      <c r="V101" s="40"/>
      <c r="W101" s="40"/>
      <c r="X101" s="40"/>
      <c r="Y101" s="40"/>
    </row>
    <row r="102" spans="1:25">
      <c r="A102" s="43"/>
      <c r="B102" s="39" t="s">
        <v>308</v>
      </c>
      <c r="C102" s="40" t="s">
        <v>307</v>
      </c>
      <c r="D102" s="45"/>
      <c r="E102" s="40"/>
      <c r="F102" s="44">
        <v>11.4</v>
      </c>
      <c r="G102" s="44">
        <v>7.6</v>
      </c>
      <c r="H102" s="44">
        <v>7.6</v>
      </c>
      <c r="I102" s="44">
        <v>7.6</v>
      </c>
      <c r="J102" s="45">
        <v>7.6</v>
      </c>
      <c r="K102" s="44">
        <v>7.6</v>
      </c>
      <c r="L102" s="46">
        <v>7.6</v>
      </c>
      <c r="M102" s="45">
        <v>7.6</v>
      </c>
      <c r="N102" s="45">
        <v>7.6</v>
      </c>
      <c r="O102" s="45">
        <v>7.6</v>
      </c>
      <c r="P102" s="45">
        <v>7.6</v>
      </c>
      <c r="Q102" s="45">
        <v>7.6</v>
      </c>
      <c r="R102" s="45">
        <v>7.6</v>
      </c>
      <c r="S102" s="45">
        <v>7.6</v>
      </c>
      <c r="T102" s="45">
        <v>7.6</v>
      </c>
      <c r="U102" s="45">
        <v>7.6</v>
      </c>
      <c r="V102" s="45">
        <v>7.6</v>
      </c>
      <c r="W102" s="45">
        <v>7.6</v>
      </c>
      <c r="X102" s="45"/>
      <c r="Y102" s="45"/>
    </row>
    <row r="103" spans="1:25">
      <c r="A103" s="43"/>
      <c r="B103" s="39" t="s">
        <v>309</v>
      </c>
      <c r="C103" s="40" t="s">
        <v>307</v>
      </c>
      <c r="D103" s="45"/>
      <c r="E103" s="40"/>
      <c r="F103" s="44">
        <v>14.1</v>
      </c>
      <c r="G103" s="44">
        <v>9.4</v>
      </c>
      <c r="H103" s="44">
        <v>9.4</v>
      </c>
      <c r="I103" s="44">
        <v>9.4</v>
      </c>
      <c r="J103" s="45">
        <v>9.4</v>
      </c>
      <c r="K103" s="44">
        <v>9.4</v>
      </c>
      <c r="L103" s="46">
        <v>9.4</v>
      </c>
      <c r="M103" s="45">
        <v>9.4</v>
      </c>
      <c r="N103" s="45">
        <v>9.4</v>
      </c>
      <c r="O103" s="45">
        <v>9.4</v>
      </c>
      <c r="P103" s="45">
        <v>9.4</v>
      </c>
      <c r="Q103" s="45">
        <v>9.4</v>
      </c>
      <c r="R103" s="45">
        <v>9.4</v>
      </c>
      <c r="S103" s="45">
        <v>9.4</v>
      </c>
      <c r="T103" s="45">
        <v>9.4</v>
      </c>
      <c r="U103" s="45">
        <v>9.4</v>
      </c>
      <c r="V103" s="45">
        <v>9.4</v>
      </c>
      <c r="W103" s="45">
        <v>9.4</v>
      </c>
      <c r="X103" s="45"/>
      <c r="Y103" s="45"/>
    </row>
    <row r="104" spans="1:25">
      <c r="A104" s="43"/>
      <c r="B104" s="39"/>
      <c r="C104" s="40"/>
      <c r="D104" s="45"/>
      <c r="E104" s="40"/>
      <c r="F104" s="44"/>
      <c r="G104" s="44"/>
      <c r="H104" s="44"/>
      <c r="I104" s="44"/>
      <c r="J104" s="45"/>
      <c r="K104" s="44"/>
      <c r="L104" s="46"/>
      <c r="M104" s="45"/>
      <c r="N104" s="45"/>
      <c r="O104" s="45"/>
      <c r="P104" s="45"/>
      <c r="Q104" s="45"/>
      <c r="R104" s="45"/>
      <c r="S104" s="45"/>
      <c r="T104" s="45"/>
      <c r="U104" s="45"/>
      <c r="V104" s="45"/>
      <c r="W104" s="45"/>
      <c r="X104" s="45"/>
      <c r="Y104" s="45"/>
    </row>
    <row r="105" spans="1:25">
      <c r="A105" s="43"/>
      <c r="B105" s="39" t="s">
        <v>145</v>
      </c>
      <c r="C105" s="40"/>
      <c r="D105" s="45"/>
      <c r="E105" s="40"/>
      <c r="F105" s="44"/>
      <c r="G105" s="44"/>
      <c r="H105" s="44"/>
      <c r="I105" s="44"/>
      <c r="J105" s="45"/>
      <c r="K105" s="44"/>
      <c r="L105" s="46"/>
      <c r="M105" s="45"/>
      <c r="N105" s="45"/>
      <c r="O105" s="45"/>
      <c r="P105" s="45"/>
      <c r="Q105" s="45"/>
      <c r="R105" s="45"/>
      <c r="S105" s="45"/>
      <c r="T105" s="45"/>
      <c r="U105" s="45"/>
      <c r="V105" s="45"/>
      <c r="W105" s="45"/>
      <c r="X105" s="45"/>
      <c r="Y105" s="45"/>
    </row>
    <row r="106" spans="1:25">
      <c r="A106" s="43"/>
      <c r="B106" s="39" t="s">
        <v>308</v>
      </c>
      <c r="C106" s="40" t="s">
        <v>307</v>
      </c>
      <c r="D106" s="45"/>
      <c r="E106" s="40"/>
      <c r="F106" s="44">
        <v>8.6</v>
      </c>
      <c r="G106" s="44"/>
      <c r="H106" s="44"/>
      <c r="I106" s="44"/>
      <c r="J106" s="45"/>
      <c r="K106" s="44"/>
      <c r="L106" s="46"/>
      <c r="M106" s="45"/>
      <c r="N106" s="45"/>
      <c r="O106" s="45"/>
      <c r="P106" s="45"/>
      <c r="Q106" s="45"/>
      <c r="R106" s="45"/>
      <c r="S106" s="45"/>
      <c r="T106" s="45"/>
      <c r="U106" s="45"/>
      <c r="V106" s="45"/>
      <c r="W106" s="45"/>
      <c r="X106" s="45"/>
      <c r="Y106" s="45"/>
    </row>
    <row r="107" spans="1:25">
      <c r="A107" s="43"/>
      <c r="B107" s="39" t="s">
        <v>309</v>
      </c>
      <c r="C107" s="40" t="s">
        <v>307</v>
      </c>
      <c r="D107" s="45"/>
      <c r="E107" s="40"/>
      <c r="F107" s="44">
        <v>10.6</v>
      </c>
      <c r="G107" s="44"/>
      <c r="H107" s="44"/>
      <c r="I107" s="44"/>
      <c r="J107" s="45"/>
      <c r="K107" s="44"/>
      <c r="L107" s="46"/>
      <c r="M107" s="45"/>
      <c r="N107" s="45"/>
      <c r="O107" s="45"/>
      <c r="P107" s="45"/>
      <c r="Q107" s="45"/>
      <c r="R107" s="45"/>
      <c r="S107" s="45"/>
      <c r="T107" s="45"/>
      <c r="U107" s="45"/>
      <c r="V107" s="45"/>
      <c r="W107" s="45"/>
      <c r="X107" s="45"/>
      <c r="Y107" s="45"/>
    </row>
    <row r="108" spans="1:25">
      <c r="A108" s="43"/>
      <c r="B108" s="39"/>
      <c r="C108" s="40"/>
      <c r="D108" s="45"/>
      <c r="E108" s="40"/>
      <c r="F108" s="41"/>
      <c r="G108" s="41"/>
      <c r="H108" s="41"/>
      <c r="I108" s="41"/>
      <c r="J108" s="40"/>
      <c r="K108" s="41"/>
      <c r="L108" s="42"/>
      <c r="M108" s="40"/>
      <c r="N108" s="40"/>
      <c r="O108" s="40"/>
      <c r="P108" s="40"/>
      <c r="Q108" s="40"/>
      <c r="R108" s="40"/>
      <c r="S108" s="40"/>
      <c r="T108" s="40"/>
      <c r="U108" s="40"/>
      <c r="V108" s="40"/>
      <c r="W108" s="40"/>
      <c r="X108" s="40"/>
      <c r="Y108" s="40"/>
    </row>
    <row r="109" spans="1:25">
      <c r="A109" s="43"/>
      <c r="B109" s="39" t="s">
        <v>146</v>
      </c>
      <c r="C109" s="40"/>
      <c r="D109" s="45"/>
      <c r="E109" s="40"/>
      <c r="F109" s="41"/>
      <c r="G109" s="41"/>
      <c r="H109" s="41"/>
      <c r="I109" s="41"/>
      <c r="J109" s="40"/>
      <c r="K109" s="41"/>
      <c r="L109" s="42"/>
      <c r="M109" s="40"/>
      <c r="N109" s="40"/>
      <c r="O109" s="40"/>
      <c r="P109" s="40"/>
      <c r="Q109" s="40"/>
      <c r="R109" s="40"/>
      <c r="S109" s="40"/>
      <c r="T109" s="40"/>
      <c r="U109" s="40"/>
      <c r="V109" s="40"/>
      <c r="W109" s="40"/>
      <c r="X109" s="40"/>
      <c r="Y109" s="40"/>
    </row>
    <row r="110" spans="1:25">
      <c r="A110" s="43"/>
      <c r="B110" s="39" t="s">
        <v>308</v>
      </c>
      <c r="C110" s="40" t="s">
        <v>183</v>
      </c>
      <c r="D110" s="45"/>
      <c r="E110" s="40"/>
      <c r="F110" s="76">
        <f>F102*F99</f>
        <v>0.96422564102564101</v>
      </c>
      <c r="G110" s="76">
        <f>G102*G99</f>
        <v>0.73369230769230775</v>
      </c>
      <c r="H110" s="49">
        <f>H102*H99</f>
        <v>0.71615384615384614</v>
      </c>
      <c r="I110" s="49">
        <f>I102*I99</f>
        <v>0.68906666666666672</v>
      </c>
      <c r="J110" s="50">
        <f>J102*J99</f>
        <v>0.72199999999999998</v>
      </c>
      <c r="K110" s="49">
        <f t="shared" ref="K110:W110" si="11">K102*K99</f>
        <v>0.59786666666666666</v>
      </c>
      <c r="L110" s="74">
        <f t="shared" si="11"/>
        <v>0.63586666666666669</v>
      </c>
      <c r="M110" s="50">
        <f t="shared" si="11"/>
        <v>0.59026666666666661</v>
      </c>
      <c r="N110" s="50">
        <f t="shared" si="11"/>
        <v>0.69666666666666655</v>
      </c>
      <c r="O110" s="50">
        <f t="shared" si="11"/>
        <v>0.75239999999999996</v>
      </c>
      <c r="P110" s="50">
        <f t="shared" si="11"/>
        <v>0.65106666666666668</v>
      </c>
      <c r="Q110" s="50">
        <f t="shared" si="11"/>
        <v>0.70679999999999998</v>
      </c>
      <c r="R110" s="50">
        <f t="shared" si="11"/>
        <v>0.78786666666666672</v>
      </c>
      <c r="S110" s="50">
        <f t="shared" si="11"/>
        <v>0.81066666666666665</v>
      </c>
      <c r="T110" s="50">
        <f t="shared" si="11"/>
        <v>0.77266666666666661</v>
      </c>
      <c r="U110" s="50">
        <f t="shared" si="11"/>
        <v>0.72453333333333336</v>
      </c>
      <c r="V110" s="50">
        <f t="shared" si="11"/>
        <v>1.0019333333333333</v>
      </c>
      <c r="W110" s="50">
        <f t="shared" si="11"/>
        <v>1.6719999999999999</v>
      </c>
      <c r="X110" s="45"/>
      <c r="Y110" s="45"/>
    </row>
    <row r="111" spans="1:25">
      <c r="A111" s="43"/>
      <c r="B111" s="39" t="s">
        <v>309</v>
      </c>
      <c r="C111" s="40" t="s">
        <v>183</v>
      </c>
      <c r="D111" s="45"/>
      <c r="E111" s="40"/>
      <c r="F111" s="76">
        <f>F103*F100</f>
        <v>1.214678846153846</v>
      </c>
      <c r="G111" s="76">
        <f>G103*G99</f>
        <v>0.90746153846153854</v>
      </c>
      <c r="H111" s="49">
        <f>H103*H99</f>
        <v>0.88576923076923075</v>
      </c>
      <c r="I111" s="49">
        <f>I103*I99</f>
        <v>0.85226666666666673</v>
      </c>
      <c r="J111" s="50">
        <f>J103*J99</f>
        <v>0.89300000000000002</v>
      </c>
      <c r="K111" s="49">
        <f t="shared" ref="K111:W111" si="12">K103*K99</f>
        <v>0.73946666666666661</v>
      </c>
      <c r="L111" s="74">
        <f t="shared" si="12"/>
        <v>0.78646666666666665</v>
      </c>
      <c r="M111" s="50">
        <f t="shared" si="12"/>
        <v>0.73006666666666664</v>
      </c>
      <c r="N111" s="50">
        <f t="shared" si="12"/>
        <v>0.86166666666666669</v>
      </c>
      <c r="O111" s="50">
        <f t="shared" si="12"/>
        <v>0.93060000000000009</v>
      </c>
      <c r="P111" s="50">
        <f t="shared" si="12"/>
        <v>0.80526666666666669</v>
      </c>
      <c r="Q111" s="50">
        <f t="shared" si="12"/>
        <v>0.87419999999999998</v>
      </c>
      <c r="R111" s="50">
        <f t="shared" si="12"/>
        <v>0.9744666666666667</v>
      </c>
      <c r="S111" s="50">
        <f t="shared" si="12"/>
        <v>1.0026666666666668</v>
      </c>
      <c r="T111" s="50">
        <f t="shared" si="12"/>
        <v>0.95566666666666678</v>
      </c>
      <c r="U111" s="50">
        <f t="shared" si="12"/>
        <v>0.89613333333333345</v>
      </c>
      <c r="V111" s="50">
        <f t="shared" si="12"/>
        <v>1.2392333333333334</v>
      </c>
      <c r="W111" s="50">
        <f t="shared" si="12"/>
        <v>2.0680000000000001</v>
      </c>
      <c r="X111" s="45"/>
      <c r="Y111" s="45"/>
    </row>
    <row r="112" spans="1:25">
      <c r="A112" s="43"/>
      <c r="B112" s="39"/>
      <c r="C112" s="40"/>
      <c r="D112" s="45"/>
      <c r="E112" s="40"/>
      <c r="F112" s="76"/>
      <c r="G112" s="76"/>
      <c r="H112" s="49"/>
      <c r="I112" s="49"/>
      <c r="J112" s="50"/>
      <c r="K112" s="49"/>
      <c r="L112" s="74"/>
      <c r="M112" s="50"/>
      <c r="N112" s="50"/>
      <c r="O112" s="50"/>
      <c r="P112" s="50"/>
      <c r="Q112" s="50"/>
      <c r="R112" s="50"/>
      <c r="S112" s="50"/>
      <c r="T112" s="50"/>
      <c r="U112" s="50"/>
      <c r="V112" s="50"/>
      <c r="W112" s="50"/>
      <c r="X112" s="45"/>
      <c r="Y112" s="45"/>
    </row>
    <row r="113" spans="1:27">
      <c r="A113" s="43"/>
      <c r="B113" s="39" t="s">
        <v>102</v>
      </c>
      <c r="C113" s="40"/>
      <c r="D113" s="45"/>
      <c r="E113" s="40"/>
      <c r="F113" s="76"/>
      <c r="G113" s="76"/>
      <c r="H113" s="49"/>
      <c r="I113" s="49"/>
      <c r="J113" s="50"/>
      <c r="K113" s="49"/>
      <c r="L113" s="74"/>
      <c r="M113" s="50"/>
      <c r="N113" s="50"/>
      <c r="O113" s="50"/>
      <c r="P113" s="50"/>
      <c r="Q113" s="50"/>
      <c r="R113" s="50"/>
      <c r="S113" s="50"/>
      <c r="T113" s="50"/>
      <c r="U113" s="50"/>
      <c r="V113" s="50"/>
      <c r="W113" s="50"/>
      <c r="X113" s="45"/>
      <c r="Y113" s="45"/>
    </row>
    <row r="114" spans="1:27">
      <c r="A114" s="43"/>
      <c r="B114" s="39" t="s">
        <v>308</v>
      </c>
      <c r="C114" s="40" t="s">
        <v>183</v>
      </c>
      <c r="D114" s="45"/>
      <c r="E114" s="40"/>
      <c r="F114" s="76">
        <f>F99*F106</f>
        <v>0.72739829059829053</v>
      </c>
      <c r="G114" s="76"/>
      <c r="H114" s="49"/>
      <c r="I114" s="49"/>
      <c r="J114" s="50"/>
      <c r="K114" s="49"/>
      <c r="L114" s="74"/>
      <c r="M114" s="50"/>
      <c r="N114" s="50"/>
      <c r="O114" s="50"/>
      <c r="P114" s="50"/>
      <c r="Q114" s="50"/>
      <c r="R114" s="50"/>
      <c r="S114" s="50"/>
      <c r="T114" s="50"/>
      <c r="U114" s="50"/>
      <c r="V114" s="50"/>
      <c r="W114" s="50"/>
      <c r="X114" s="45"/>
      <c r="Y114" s="45"/>
    </row>
    <row r="115" spans="1:27">
      <c r="A115" s="43"/>
      <c r="B115" s="39" t="s">
        <v>309</v>
      </c>
      <c r="C115" s="40" t="s">
        <v>183</v>
      </c>
      <c r="D115" s="45"/>
      <c r="E115" s="40"/>
      <c r="F115" s="76">
        <f>F100*F107</f>
        <v>0.91316282051282049</v>
      </c>
      <c r="G115" s="76"/>
      <c r="H115" s="49"/>
      <c r="I115" s="49"/>
      <c r="J115" s="50"/>
      <c r="K115" s="49"/>
      <c r="L115" s="74"/>
      <c r="M115" s="50"/>
      <c r="N115" s="50"/>
      <c r="O115" s="50"/>
      <c r="P115" s="50"/>
      <c r="Q115" s="50"/>
      <c r="R115" s="50"/>
      <c r="S115" s="50"/>
      <c r="T115" s="50"/>
      <c r="U115" s="50"/>
      <c r="V115" s="50"/>
      <c r="W115" s="50"/>
      <c r="X115" s="45"/>
      <c r="Y115" s="45"/>
    </row>
    <row r="116" spans="1:27">
      <c r="A116" s="43"/>
      <c r="B116" s="39"/>
      <c r="C116" s="40"/>
      <c r="D116" s="45"/>
      <c r="E116" s="40"/>
      <c r="F116" s="41"/>
      <c r="G116" s="41"/>
      <c r="H116" s="41"/>
      <c r="I116" s="41"/>
      <c r="J116" s="40"/>
      <c r="K116" s="41"/>
      <c r="L116" s="42"/>
      <c r="M116" s="40"/>
      <c r="N116" s="40"/>
      <c r="O116" s="40"/>
      <c r="P116" s="40"/>
      <c r="Q116" s="40"/>
      <c r="R116" s="40"/>
      <c r="S116" s="40"/>
      <c r="T116" s="40"/>
      <c r="U116" s="40"/>
      <c r="V116" s="40"/>
      <c r="W116" s="40"/>
      <c r="X116" s="40"/>
      <c r="Y116" s="40"/>
    </row>
    <row r="117" spans="1:27">
      <c r="A117" s="38" t="s">
        <v>97</v>
      </c>
      <c r="B117" s="39"/>
      <c r="C117" s="40"/>
      <c r="D117" s="45"/>
      <c r="E117" s="40"/>
      <c r="F117" s="41"/>
      <c r="G117" s="41"/>
      <c r="H117" s="41"/>
      <c r="I117" s="41"/>
      <c r="J117" s="40"/>
      <c r="K117" s="41"/>
      <c r="L117" s="42"/>
      <c r="M117" s="40"/>
      <c r="N117" s="40"/>
      <c r="O117" s="40"/>
      <c r="P117" s="40"/>
      <c r="Q117" s="40"/>
      <c r="R117" s="40"/>
      <c r="S117" s="40"/>
      <c r="T117" s="40"/>
      <c r="U117" s="40"/>
      <c r="V117" s="40"/>
      <c r="W117" s="40"/>
      <c r="X117" s="40"/>
      <c r="Y117" s="40"/>
    </row>
    <row r="118" spans="1:27">
      <c r="A118" s="43"/>
      <c r="B118" s="39" t="s">
        <v>320</v>
      </c>
      <c r="C118" s="40"/>
      <c r="D118" s="45"/>
      <c r="E118" s="40"/>
      <c r="F118" s="41"/>
      <c r="G118" s="41"/>
      <c r="H118" s="41"/>
      <c r="I118" s="41"/>
      <c r="J118" s="40"/>
      <c r="K118" s="41"/>
      <c r="L118" s="42"/>
      <c r="M118" s="40"/>
      <c r="N118" s="40"/>
      <c r="O118" s="40"/>
      <c r="P118" s="40"/>
      <c r="Q118" s="40"/>
      <c r="R118" s="40"/>
      <c r="S118" s="40"/>
      <c r="T118" s="40"/>
      <c r="U118" s="40"/>
      <c r="V118" s="40"/>
      <c r="W118" s="40"/>
      <c r="X118" s="40"/>
      <c r="Y118" s="40"/>
    </row>
    <row r="119" spans="1:27">
      <c r="A119" s="43"/>
      <c r="B119" s="39" t="s">
        <v>321</v>
      </c>
      <c r="C119" s="40"/>
      <c r="D119" s="45"/>
      <c r="E119" s="40"/>
      <c r="F119" s="41"/>
      <c r="G119" s="41"/>
      <c r="H119" s="41"/>
      <c r="I119" s="41"/>
      <c r="J119" s="40"/>
      <c r="K119" s="41"/>
      <c r="L119" s="42"/>
      <c r="M119" s="40"/>
      <c r="N119" s="40"/>
      <c r="O119" s="40"/>
      <c r="P119" s="40"/>
      <c r="Q119" s="40"/>
      <c r="R119" s="40"/>
      <c r="S119" s="40"/>
      <c r="T119" s="40"/>
      <c r="U119" s="40"/>
      <c r="V119" s="40"/>
      <c r="W119" s="40"/>
      <c r="X119" s="40"/>
      <c r="Y119" s="40"/>
    </row>
    <row r="120" spans="1:27">
      <c r="A120" s="43"/>
      <c r="B120" s="39" t="s">
        <v>322</v>
      </c>
      <c r="C120" s="40"/>
      <c r="D120" s="45"/>
      <c r="E120" s="40"/>
      <c r="F120" s="41"/>
      <c r="G120" s="41"/>
      <c r="H120" s="41"/>
      <c r="I120" s="41"/>
      <c r="J120" s="40"/>
      <c r="K120" s="41"/>
      <c r="L120" s="42"/>
      <c r="M120" s="40"/>
      <c r="N120" s="40"/>
      <c r="O120" s="40"/>
      <c r="P120" s="40"/>
      <c r="Q120" s="40"/>
      <c r="R120" s="40"/>
      <c r="S120" s="40"/>
      <c r="T120" s="40"/>
      <c r="U120" s="40"/>
      <c r="V120" s="40"/>
      <c r="W120" s="40"/>
      <c r="X120" s="40"/>
      <c r="Y120" s="40"/>
    </row>
    <row r="121" spans="1:27">
      <c r="A121" s="43"/>
      <c r="B121" s="39" t="s">
        <v>300</v>
      </c>
      <c r="C121" s="40"/>
      <c r="D121" s="45"/>
      <c r="E121" s="40"/>
      <c r="F121" s="41"/>
      <c r="G121" s="41"/>
      <c r="H121" s="41"/>
      <c r="I121" s="41"/>
      <c r="J121" s="40"/>
      <c r="K121" s="41"/>
      <c r="L121" s="42"/>
      <c r="M121" s="40"/>
      <c r="N121" s="40"/>
      <c r="O121" s="40"/>
      <c r="P121" s="40"/>
      <c r="Q121" s="40"/>
      <c r="R121" s="40"/>
      <c r="S121" s="40"/>
      <c r="T121" s="40"/>
      <c r="U121" s="40"/>
      <c r="V121" s="40"/>
      <c r="W121" s="40"/>
      <c r="X121" s="40"/>
      <c r="Y121" s="40"/>
    </row>
    <row r="122" spans="1:27">
      <c r="A122" s="43"/>
      <c r="B122" s="39" t="s">
        <v>184</v>
      </c>
      <c r="C122" s="40" t="s">
        <v>119</v>
      </c>
      <c r="D122" s="45"/>
      <c r="E122" s="40"/>
      <c r="F122" s="44">
        <v>1500</v>
      </c>
      <c r="G122" s="44">
        <v>1800</v>
      </c>
      <c r="H122" s="44">
        <v>1800</v>
      </c>
      <c r="I122" s="44">
        <v>1800</v>
      </c>
      <c r="J122" s="45">
        <v>1800</v>
      </c>
      <c r="K122" s="44">
        <v>1800</v>
      </c>
      <c r="L122" s="46">
        <v>1800</v>
      </c>
      <c r="M122" s="45">
        <v>1800</v>
      </c>
      <c r="N122" s="45">
        <v>1800</v>
      </c>
      <c r="O122" s="45">
        <v>1800</v>
      </c>
      <c r="P122" s="45">
        <v>1800</v>
      </c>
      <c r="Q122" s="45">
        <v>1800</v>
      </c>
      <c r="R122" s="45">
        <v>1800</v>
      </c>
      <c r="S122" s="45">
        <v>1800</v>
      </c>
      <c r="T122" s="45">
        <v>1800</v>
      </c>
      <c r="U122" s="45">
        <v>1800</v>
      </c>
      <c r="V122" s="45">
        <v>1800</v>
      </c>
      <c r="W122" s="45">
        <v>1800</v>
      </c>
      <c r="X122" s="45">
        <v>1800</v>
      </c>
      <c r="Y122" s="45">
        <v>1800</v>
      </c>
    </row>
    <row r="123" spans="1:27">
      <c r="A123" s="43"/>
      <c r="B123" s="39" t="s">
        <v>185</v>
      </c>
      <c r="C123" s="40" t="s">
        <v>119</v>
      </c>
      <c r="D123" s="45"/>
      <c r="E123" s="40"/>
      <c r="F123" s="44">
        <v>0.75</v>
      </c>
      <c r="G123" s="44">
        <v>0.5</v>
      </c>
      <c r="H123" s="44">
        <v>0.5</v>
      </c>
      <c r="I123" s="44">
        <v>0.5</v>
      </c>
      <c r="J123" s="45">
        <v>0.5</v>
      </c>
      <c r="K123" s="44">
        <v>0.5</v>
      </c>
      <c r="L123" s="46">
        <v>0.5</v>
      </c>
      <c r="M123" s="45">
        <v>0.5</v>
      </c>
      <c r="N123" s="45">
        <v>0.5</v>
      </c>
      <c r="O123" s="45">
        <v>0.5</v>
      </c>
      <c r="P123" s="45">
        <v>0.5</v>
      </c>
      <c r="Q123" s="45">
        <v>0.5</v>
      </c>
      <c r="R123" s="45">
        <v>0.5</v>
      </c>
      <c r="S123" s="45">
        <v>0.5</v>
      </c>
      <c r="T123" s="45">
        <v>0.5</v>
      </c>
      <c r="U123" s="45">
        <v>0.5</v>
      </c>
      <c r="V123" s="45">
        <v>0.5</v>
      </c>
      <c r="W123" s="45">
        <v>0.5</v>
      </c>
      <c r="X123" s="45">
        <v>0.5</v>
      </c>
      <c r="Y123" s="45">
        <v>0.5</v>
      </c>
    </row>
    <row r="124" spans="1:27">
      <c r="A124" s="43"/>
      <c r="B124" s="39" t="s">
        <v>186</v>
      </c>
      <c r="C124" s="40" t="s">
        <v>389</v>
      </c>
      <c r="D124" s="45"/>
      <c r="E124" s="40"/>
      <c r="F124" s="44">
        <v>28</v>
      </c>
      <c r="G124" s="44">
        <v>22.3</v>
      </c>
      <c r="H124" s="44">
        <v>22.3</v>
      </c>
      <c r="I124" s="44">
        <v>22.3</v>
      </c>
      <c r="J124" s="45">
        <v>22.3</v>
      </c>
      <c r="K124" s="44">
        <v>22.3</v>
      </c>
      <c r="L124" s="46">
        <v>22.3</v>
      </c>
      <c r="M124" s="45">
        <v>22.3</v>
      </c>
      <c r="N124" s="45">
        <v>22.3</v>
      </c>
      <c r="O124" s="45">
        <v>22.3</v>
      </c>
      <c r="P124" s="45">
        <v>22.3</v>
      </c>
      <c r="Q124" s="45">
        <v>20</v>
      </c>
      <c r="R124" s="45">
        <v>20</v>
      </c>
      <c r="S124" s="45">
        <v>20</v>
      </c>
      <c r="T124" s="45">
        <v>20</v>
      </c>
      <c r="U124" s="45">
        <v>20</v>
      </c>
      <c r="V124" s="45">
        <v>20</v>
      </c>
      <c r="W124" s="45">
        <v>20</v>
      </c>
      <c r="X124" s="45">
        <v>20</v>
      </c>
      <c r="Y124" s="45">
        <v>20</v>
      </c>
    </row>
    <row r="125" spans="1:27">
      <c r="A125" s="43"/>
      <c r="B125" s="39"/>
      <c r="C125" s="40"/>
      <c r="D125" s="45"/>
      <c r="E125" s="40"/>
      <c r="F125" s="44"/>
      <c r="G125" s="44"/>
      <c r="H125" s="44"/>
      <c r="I125" s="44"/>
      <c r="J125" s="45"/>
      <c r="K125" s="44"/>
      <c r="L125" s="46"/>
      <c r="M125" s="45"/>
      <c r="N125" s="45"/>
      <c r="O125" s="45"/>
      <c r="P125" s="45"/>
      <c r="Q125" s="45"/>
      <c r="R125" s="45"/>
      <c r="S125" s="45"/>
      <c r="T125" s="45"/>
      <c r="U125" s="45"/>
      <c r="V125" s="45"/>
      <c r="W125" s="45"/>
      <c r="X125" s="45"/>
      <c r="Y125" s="45"/>
      <c r="AA125" s="17">
        <v>28</v>
      </c>
    </row>
    <row r="126" spans="1:27">
      <c r="A126" s="43"/>
      <c r="B126" s="39" t="s">
        <v>391</v>
      </c>
      <c r="C126" s="40" t="s">
        <v>307</v>
      </c>
      <c r="D126" s="45"/>
      <c r="E126" s="40"/>
      <c r="F126" s="44">
        <v>63</v>
      </c>
      <c r="G126" s="44">
        <v>95</v>
      </c>
      <c r="H126" s="44">
        <v>95</v>
      </c>
      <c r="I126" s="44">
        <v>95</v>
      </c>
      <c r="J126" s="45">
        <v>95</v>
      </c>
      <c r="K126" s="44">
        <v>95</v>
      </c>
      <c r="L126" s="46">
        <v>95</v>
      </c>
      <c r="M126" s="45">
        <v>95</v>
      </c>
      <c r="N126" s="45">
        <v>95</v>
      </c>
      <c r="O126" s="45">
        <v>95</v>
      </c>
      <c r="P126" s="45">
        <v>95</v>
      </c>
      <c r="Q126" s="45">
        <v>90</v>
      </c>
      <c r="R126" s="45">
        <v>90</v>
      </c>
      <c r="S126" s="45">
        <v>90</v>
      </c>
      <c r="T126" s="45">
        <v>90</v>
      </c>
      <c r="U126" s="45">
        <v>90</v>
      </c>
      <c r="V126" s="45">
        <v>80</v>
      </c>
      <c r="W126" s="45">
        <v>80</v>
      </c>
      <c r="X126" s="45">
        <v>67</v>
      </c>
      <c r="Y126" s="45">
        <v>67</v>
      </c>
      <c r="AA126" s="17">
        <v>1.2</v>
      </c>
    </row>
    <row r="127" spans="1:27">
      <c r="A127" s="43"/>
      <c r="B127" s="39"/>
      <c r="C127" s="40"/>
      <c r="D127" s="45"/>
      <c r="E127" s="40"/>
      <c r="F127" s="77">
        <f t="shared" ref="F127:P127" si="13">F124/F122*F126</f>
        <v>1.1760000000000002</v>
      </c>
      <c r="G127" s="77">
        <f t="shared" si="13"/>
        <v>1.1769444444444443</v>
      </c>
      <c r="H127" s="78">
        <f t="shared" si="13"/>
        <v>1.1769444444444443</v>
      </c>
      <c r="I127" s="78">
        <f t="shared" si="13"/>
        <v>1.1769444444444443</v>
      </c>
      <c r="J127" s="79">
        <f t="shared" si="13"/>
        <v>1.1769444444444443</v>
      </c>
      <c r="K127" s="78">
        <f t="shared" si="13"/>
        <v>1.1769444444444443</v>
      </c>
      <c r="L127" s="80">
        <f t="shared" si="13"/>
        <v>1.1769444444444443</v>
      </c>
      <c r="M127" s="79">
        <f t="shared" si="13"/>
        <v>1.1769444444444443</v>
      </c>
      <c r="N127" s="79">
        <f t="shared" si="13"/>
        <v>1.1769444444444443</v>
      </c>
      <c r="O127" s="79">
        <f t="shared" si="13"/>
        <v>1.1769444444444443</v>
      </c>
      <c r="P127" s="79">
        <f t="shared" si="13"/>
        <v>1.1769444444444443</v>
      </c>
      <c r="Q127" s="45"/>
      <c r="R127" s="45"/>
      <c r="S127" s="45"/>
      <c r="T127" s="45"/>
      <c r="U127" s="45"/>
      <c r="V127" s="45"/>
      <c r="W127" s="45"/>
      <c r="X127" s="45"/>
      <c r="Y127" s="45"/>
      <c r="AA127" s="17">
        <f>AA125/AA126</f>
        <v>23.333333333333336</v>
      </c>
    </row>
    <row r="128" spans="1:27">
      <c r="A128" s="43"/>
      <c r="B128" s="39"/>
      <c r="C128" s="40"/>
      <c r="D128" s="45"/>
      <c r="E128" s="40"/>
      <c r="F128" s="78"/>
      <c r="G128" s="78"/>
      <c r="H128" s="78"/>
      <c r="I128" s="78"/>
      <c r="J128" s="79"/>
      <c r="K128" s="78"/>
      <c r="L128" s="80"/>
      <c r="M128" s="79"/>
      <c r="N128" s="79"/>
      <c r="O128" s="79"/>
      <c r="P128" s="79"/>
      <c r="Q128" s="45"/>
      <c r="R128" s="45"/>
      <c r="S128" s="45"/>
      <c r="T128" s="45"/>
      <c r="U128" s="45"/>
      <c r="V128" s="45"/>
      <c r="W128" s="45"/>
      <c r="X128" s="45"/>
      <c r="Y128" s="45"/>
    </row>
    <row r="129" spans="1:27">
      <c r="A129" s="43"/>
      <c r="B129" s="39" t="s">
        <v>392</v>
      </c>
      <c r="C129" s="40" t="s">
        <v>307</v>
      </c>
      <c r="D129" s="45"/>
      <c r="E129" s="40"/>
      <c r="F129" s="44">
        <v>71</v>
      </c>
      <c r="G129" s="78"/>
      <c r="H129" s="78"/>
      <c r="I129" s="78"/>
      <c r="J129" s="79"/>
      <c r="K129" s="78"/>
      <c r="L129" s="80"/>
      <c r="M129" s="79"/>
      <c r="N129" s="79"/>
      <c r="O129" s="79"/>
      <c r="P129" s="79"/>
      <c r="Q129" s="45"/>
      <c r="R129" s="45"/>
      <c r="S129" s="45"/>
      <c r="T129" s="45"/>
      <c r="U129" s="45"/>
      <c r="V129" s="45"/>
      <c r="W129" s="45"/>
      <c r="X129" s="45"/>
      <c r="Y129" s="45"/>
    </row>
    <row r="130" spans="1:27">
      <c r="A130" s="43"/>
      <c r="B130" s="39"/>
      <c r="C130" s="40"/>
      <c r="D130" s="45"/>
      <c r="E130" s="40"/>
      <c r="F130" s="77">
        <f>F129*F124/F122</f>
        <v>1.3253333333333333</v>
      </c>
      <c r="G130" s="78"/>
      <c r="H130" s="78"/>
      <c r="I130" s="78"/>
      <c r="J130" s="79"/>
      <c r="K130" s="78"/>
      <c r="L130" s="80"/>
      <c r="M130" s="79"/>
      <c r="N130" s="79"/>
      <c r="O130" s="79"/>
      <c r="P130" s="79"/>
      <c r="Q130" s="45"/>
      <c r="R130" s="45"/>
      <c r="S130" s="45"/>
      <c r="T130" s="45"/>
      <c r="U130" s="45"/>
      <c r="V130" s="45"/>
      <c r="W130" s="45"/>
      <c r="X130" s="45"/>
      <c r="Y130" s="45"/>
    </row>
    <row r="131" spans="1:27">
      <c r="A131" s="43"/>
      <c r="B131" s="39"/>
      <c r="C131" s="40"/>
      <c r="D131" s="45"/>
      <c r="E131" s="40"/>
      <c r="F131" s="78"/>
      <c r="G131" s="78"/>
      <c r="H131" s="78"/>
      <c r="I131" s="78"/>
      <c r="J131" s="79"/>
      <c r="K131" s="78"/>
      <c r="L131" s="80"/>
      <c r="M131" s="79"/>
      <c r="N131" s="79"/>
      <c r="O131" s="79"/>
      <c r="P131" s="79"/>
      <c r="Q131" s="45"/>
      <c r="R131" s="45"/>
      <c r="S131" s="45"/>
      <c r="T131" s="45"/>
      <c r="U131" s="45"/>
      <c r="V131" s="45"/>
      <c r="W131" s="45"/>
      <c r="X131" s="45"/>
      <c r="Y131" s="45"/>
    </row>
    <row r="132" spans="1:27">
      <c r="A132" s="43"/>
      <c r="B132" s="39" t="s">
        <v>324</v>
      </c>
      <c r="C132" s="40" t="s">
        <v>221</v>
      </c>
      <c r="D132" s="45"/>
      <c r="E132" s="40"/>
      <c r="F132" s="44"/>
      <c r="G132" s="44"/>
      <c r="H132" s="44"/>
      <c r="I132" s="44"/>
      <c r="J132" s="45"/>
      <c r="K132" s="44"/>
      <c r="L132" s="46"/>
      <c r="M132" s="45"/>
      <c r="N132" s="45"/>
      <c r="O132" s="45"/>
      <c r="P132" s="45"/>
      <c r="Q132" s="45"/>
      <c r="R132" s="45"/>
      <c r="S132" s="45"/>
      <c r="T132" s="45"/>
      <c r="U132" s="45"/>
      <c r="V132" s="45"/>
      <c r="W132" s="45"/>
      <c r="X132" s="45"/>
      <c r="Y132" s="45"/>
    </row>
    <row r="133" spans="1:27">
      <c r="A133" s="43"/>
      <c r="B133" s="39" t="s">
        <v>325</v>
      </c>
      <c r="C133" s="40" t="s">
        <v>380</v>
      </c>
      <c r="D133" s="45"/>
      <c r="E133" s="51"/>
      <c r="F133" s="106">
        <f>F255</f>
        <v>106</v>
      </c>
      <c r="G133" s="51">
        <v>106</v>
      </c>
      <c r="H133" s="51">
        <v>91.5</v>
      </c>
      <c r="I133" s="51">
        <v>94</v>
      </c>
      <c r="J133" s="63">
        <v>84</v>
      </c>
      <c r="K133" s="64">
        <v>69</v>
      </c>
      <c r="L133" s="65">
        <v>74</v>
      </c>
      <c r="M133" s="66">
        <v>69</v>
      </c>
      <c r="N133" s="66">
        <v>84</v>
      </c>
      <c r="O133" s="66">
        <v>102</v>
      </c>
      <c r="P133" s="66">
        <v>93</v>
      </c>
      <c r="Q133" s="45">
        <v>92</v>
      </c>
      <c r="R133" s="45">
        <v>93</v>
      </c>
      <c r="S133" s="45">
        <v>85</v>
      </c>
      <c r="T133" s="45">
        <v>95</v>
      </c>
      <c r="U133" s="45">
        <v>82</v>
      </c>
      <c r="V133" s="45">
        <v>126</v>
      </c>
      <c r="W133" s="45">
        <v>128</v>
      </c>
      <c r="X133" s="45">
        <v>130</v>
      </c>
      <c r="Y133" s="45">
        <v>130</v>
      </c>
      <c r="AA133" s="17">
        <v>1800</v>
      </c>
    </row>
    <row r="134" spans="1:27">
      <c r="A134" s="43"/>
      <c r="B134" s="39" t="s">
        <v>326</v>
      </c>
      <c r="C134" s="40" t="s">
        <v>179</v>
      </c>
      <c r="D134" s="45"/>
      <c r="E134" s="40"/>
      <c r="F134" s="68">
        <f t="shared" ref="F134:Y134" si="14">F133/F122</f>
        <v>7.0666666666666669E-2</v>
      </c>
      <c r="G134" s="68">
        <f t="shared" si="14"/>
        <v>5.8888888888888886E-2</v>
      </c>
      <c r="H134" s="69">
        <f t="shared" si="14"/>
        <v>5.0833333333333335E-2</v>
      </c>
      <c r="I134" s="69">
        <f t="shared" si="14"/>
        <v>5.2222222222222225E-2</v>
      </c>
      <c r="J134" s="70">
        <f t="shared" si="14"/>
        <v>4.6666666666666669E-2</v>
      </c>
      <c r="K134" s="69">
        <f t="shared" si="14"/>
        <v>3.833333333333333E-2</v>
      </c>
      <c r="L134" s="71">
        <f t="shared" si="14"/>
        <v>4.1111111111111112E-2</v>
      </c>
      <c r="M134" s="70">
        <f t="shared" si="14"/>
        <v>3.833333333333333E-2</v>
      </c>
      <c r="N134" s="70">
        <f t="shared" si="14"/>
        <v>4.6666666666666669E-2</v>
      </c>
      <c r="O134" s="70">
        <f t="shared" si="14"/>
        <v>5.6666666666666664E-2</v>
      </c>
      <c r="P134" s="70">
        <f t="shared" si="14"/>
        <v>5.1666666666666666E-2</v>
      </c>
      <c r="Q134" s="70">
        <f t="shared" si="14"/>
        <v>5.1111111111111114E-2</v>
      </c>
      <c r="R134" s="70">
        <f t="shared" si="14"/>
        <v>5.1666666666666666E-2</v>
      </c>
      <c r="S134" s="70">
        <f t="shared" si="14"/>
        <v>4.7222222222222221E-2</v>
      </c>
      <c r="T134" s="70">
        <f t="shared" si="14"/>
        <v>5.2777777777777778E-2</v>
      </c>
      <c r="U134" s="70">
        <f t="shared" si="14"/>
        <v>4.5555555555555557E-2</v>
      </c>
      <c r="V134" s="70">
        <f t="shared" si="14"/>
        <v>7.0000000000000007E-2</v>
      </c>
      <c r="W134" s="70">
        <f t="shared" si="14"/>
        <v>7.1111111111111111E-2</v>
      </c>
      <c r="X134" s="70">
        <f t="shared" si="14"/>
        <v>7.2222222222222215E-2</v>
      </c>
      <c r="Y134" s="70">
        <f t="shared" si="14"/>
        <v>7.2222222222222215E-2</v>
      </c>
      <c r="AA134" s="17">
        <f>AA133/AA127</f>
        <v>77.142857142857139</v>
      </c>
    </row>
    <row r="135" spans="1:27">
      <c r="A135" s="43"/>
      <c r="B135" s="39" t="s">
        <v>393</v>
      </c>
      <c r="C135" s="40" t="s">
        <v>380</v>
      </c>
      <c r="D135" s="45"/>
      <c r="E135" s="40"/>
      <c r="F135" s="76">
        <f t="shared" ref="F135:Y135" si="15">F126*F134</f>
        <v>4.452</v>
      </c>
      <c r="G135" s="76">
        <f t="shared" si="15"/>
        <v>5.5944444444444441</v>
      </c>
      <c r="H135" s="49">
        <f t="shared" si="15"/>
        <v>4.8291666666666666</v>
      </c>
      <c r="I135" s="49">
        <f t="shared" si="15"/>
        <v>4.9611111111111112</v>
      </c>
      <c r="J135" s="50">
        <f t="shared" si="15"/>
        <v>4.4333333333333336</v>
      </c>
      <c r="K135" s="49">
        <f t="shared" si="15"/>
        <v>3.6416666666666666</v>
      </c>
      <c r="L135" s="74">
        <f t="shared" si="15"/>
        <v>3.9055555555555554</v>
      </c>
      <c r="M135" s="50">
        <f t="shared" si="15"/>
        <v>3.6416666666666666</v>
      </c>
      <c r="N135" s="50">
        <f t="shared" si="15"/>
        <v>4.4333333333333336</v>
      </c>
      <c r="O135" s="50">
        <f t="shared" si="15"/>
        <v>5.3833333333333329</v>
      </c>
      <c r="P135" s="50">
        <f t="shared" si="15"/>
        <v>4.9083333333333332</v>
      </c>
      <c r="Q135" s="50">
        <f t="shared" si="15"/>
        <v>4.6000000000000005</v>
      </c>
      <c r="R135" s="50">
        <f t="shared" si="15"/>
        <v>4.6500000000000004</v>
      </c>
      <c r="S135" s="50">
        <f t="shared" si="15"/>
        <v>4.25</v>
      </c>
      <c r="T135" s="50">
        <f t="shared" si="15"/>
        <v>4.75</v>
      </c>
      <c r="U135" s="50">
        <f t="shared" si="15"/>
        <v>4.1000000000000005</v>
      </c>
      <c r="V135" s="50">
        <f t="shared" si="15"/>
        <v>5.6000000000000005</v>
      </c>
      <c r="W135" s="50">
        <f t="shared" si="15"/>
        <v>5.6888888888888891</v>
      </c>
      <c r="X135" s="50">
        <f t="shared" si="15"/>
        <v>4.8388888888888886</v>
      </c>
      <c r="Y135" s="50">
        <f t="shared" si="15"/>
        <v>4.8388888888888886</v>
      </c>
    </row>
    <row r="136" spans="1:27">
      <c r="A136" s="43"/>
      <c r="B136" s="39" t="s">
        <v>228</v>
      </c>
      <c r="C136" s="40" t="s">
        <v>380</v>
      </c>
      <c r="D136" s="45"/>
      <c r="E136" s="40"/>
      <c r="F136" s="76">
        <f>F129*F134</f>
        <v>5.0173333333333332</v>
      </c>
      <c r="G136" s="49"/>
      <c r="H136" s="49"/>
      <c r="I136" s="49"/>
      <c r="J136" s="50"/>
      <c r="K136" s="49"/>
      <c r="L136" s="74"/>
      <c r="M136" s="50"/>
      <c r="N136" s="50"/>
      <c r="O136" s="50"/>
      <c r="P136" s="50"/>
      <c r="Q136" s="50"/>
      <c r="R136" s="50"/>
      <c r="S136" s="50"/>
      <c r="T136" s="50"/>
      <c r="U136" s="50"/>
      <c r="V136" s="50"/>
      <c r="W136" s="50"/>
      <c r="X136" s="50"/>
      <c r="Y136" s="50"/>
    </row>
    <row r="137" spans="1:27">
      <c r="A137" s="43"/>
      <c r="B137" s="39"/>
      <c r="C137" s="40"/>
      <c r="D137" s="45"/>
      <c r="E137" s="40"/>
      <c r="F137" s="49"/>
      <c r="G137" s="49"/>
      <c r="H137" s="49"/>
      <c r="I137" s="49"/>
      <c r="J137" s="50"/>
      <c r="K137" s="49"/>
      <c r="L137" s="74"/>
      <c r="M137" s="50"/>
      <c r="N137" s="50"/>
      <c r="O137" s="50"/>
      <c r="P137" s="50"/>
      <c r="Q137" s="50"/>
      <c r="R137" s="50"/>
      <c r="S137" s="50"/>
      <c r="T137" s="50"/>
      <c r="U137" s="50"/>
      <c r="V137" s="50"/>
      <c r="W137" s="50"/>
      <c r="X137" s="50"/>
      <c r="Y137" s="50"/>
    </row>
    <row r="138" spans="1:27">
      <c r="A138" s="43"/>
      <c r="B138" s="39"/>
      <c r="C138" s="40"/>
      <c r="D138" s="45"/>
      <c r="E138" s="40"/>
      <c r="F138" s="49"/>
      <c r="G138" s="49"/>
      <c r="H138" s="49"/>
      <c r="I138" s="49"/>
      <c r="J138" s="50"/>
      <c r="K138" s="49"/>
      <c r="L138" s="74"/>
      <c r="M138" s="50"/>
      <c r="N138" s="50"/>
      <c r="O138" s="50"/>
      <c r="P138" s="50"/>
      <c r="Q138" s="50"/>
      <c r="R138" s="50"/>
      <c r="S138" s="50"/>
      <c r="T138" s="50"/>
      <c r="U138" s="50"/>
      <c r="V138" s="50"/>
      <c r="W138" s="50"/>
      <c r="X138" s="50"/>
      <c r="Y138" s="50"/>
    </row>
    <row r="139" spans="1:27">
      <c r="A139" s="43"/>
      <c r="B139" s="39"/>
      <c r="C139" s="40"/>
      <c r="D139" s="45"/>
      <c r="E139" s="40"/>
      <c r="F139" s="49"/>
      <c r="G139" s="49"/>
      <c r="H139" s="49"/>
      <c r="I139" s="49"/>
      <c r="J139" s="50"/>
      <c r="K139" s="49"/>
      <c r="L139" s="74"/>
      <c r="M139" s="50"/>
      <c r="N139" s="50"/>
      <c r="O139" s="50"/>
      <c r="P139" s="50"/>
      <c r="Q139" s="50"/>
      <c r="R139" s="50"/>
      <c r="S139" s="50"/>
      <c r="T139" s="50"/>
      <c r="U139" s="50"/>
      <c r="V139" s="50"/>
      <c r="W139" s="50"/>
      <c r="X139" s="50"/>
      <c r="Y139" s="50"/>
    </row>
    <row r="140" spans="1:27">
      <c r="A140" s="43"/>
      <c r="B140" s="39"/>
      <c r="C140" s="40"/>
      <c r="D140" s="45"/>
      <c r="E140" s="40"/>
      <c r="F140" s="49"/>
      <c r="G140" s="49"/>
      <c r="H140" s="49"/>
      <c r="I140" s="49"/>
      <c r="J140" s="50"/>
      <c r="K140" s="49"/>
      <c r="L140" s="74"/>
      <c r="M140" s="50"/>
      <c r="N140" s="50"/>
      <c r="O140" s="50"/>
      <c r="P140" s="50"/>
      <c r="Q140" s="50"/>
      <c r="R140" s="50"/>
      <c r="S140" s="50"/>
      <c r="T140" s="50"/>
      <c r="U140" s="50"/>
      <c r="V140" s="50"/>
      <c r="W140" s="50"/>
      <c r="X140" s="50"/>
      <c r="Y140" s="50"/>
    </row>
    <row r="141" spans="1:27">
      <c r="A141" s="43"/>
      <c r="B141" s="39"/>
      <c r="C141" s="40"/>
      <c r="D141" s="45"/>
      <c r="E141" s="40"/>
      <c r="F141" s="49"/>
      <c r="G141" s="49"/>
      <c r="H141" s="49"/>
      <c r="I141" s="49"/>
      <c r="J141" s="50"/>
      <c r="K141" s="49"/>
      <c r="L141" s="74"/>
      <c r="M141" s="50"/>
      <c r="N141" s="50"/>
      <c r="O141" s="50"/>
      <c r="P141" s="50"/>
      <c r="Q141" s="50"/>
      <c r="R141" s="50"/>
      <c r="S141" s="50"/>
      <c r="T141" s="50"/>
      <c r="U141" s="50"/>
      <c r="V141" s="50"/>
      <c r="W141" s="50"/>
      <c r="X141" s="50"/>
      <c r="Y141" s="50"/>
    </row>
    <row r="142" spans="1:27">
      <c r="A142" s="38" t="s">
        <v>328</v>
      </c>
      <c r="B142" s="39"/>
      <c r="C142" s="40"/>
      <c r="D142" s="45"/>
      <c r="E142" s="40"/>
      <c r="F142" s="41"/>
      <c r="G142" s="41"/>
      <c r="H142" s="41"/>
      <c r="I142" s="41"/>
      <c r="J142" s="40"/>
      <c r="K142" s="41"/>
      <c r="L142" s="42"/>
      <c r="M142" s="40"/>
      <c r="N142" s="40"/>
      <c r="O142" s="40"/>
      <c r="P142" s="40"/>
      <c r="Q142" s="40"/>
      <c r="R142" s="40"/>
      <c r="S142" s="40"/>
      <c r="T142" s="40"/>
      <c r="U142" s="40"/>
      <c r="V142" s="40"/>
      <c r="W142" s="40"/>
      <c r="X142" s="40"/>
      <c r="Y142" s="40"/>
    </row>
    <row r="143" spans="1:27">
      <c r="A143" s="43"/>
      <c r="B143" s="39" t="s">
        <v>329</v>
      </c>
      <c r="C143" s="40"/>
      <c r="D143" s="45"/>
      <c r="E143" s="40"/>
      <c r="F143" s="41"/>
      <c r="G143" s="41"/>
      <c r="H143" s="41"/>
      <c r="I143" s="41"/>
      <c r="J143" s="40"/>
      <c r="K143" s="41"/>
      <c r="L143" s="42"/>
      <c r="M143" s="40"/>
      <c r="N143" s="40"/>
      <c r="O143" s="40"/>
      <c r="P143" s="40"/>
      <c r="Q143" s="40"/>
      <c r="R143" s="40"/>
      <c r="S143" s="40"/>
      <c r="T143" s="40"/>
      <c r="U143" s="40"/>
      <c r="V143" s="40"/>
      <c r="W143" s="40"/>
      <c r="X143" s="40"/>
      <c r="Y143" s="40"/>
    </row>
    <row r="144" spans="1:27">
      <c r="A144" s="43"/>
      <c r="B144" s="39" t="s">
        <v>330</v>
      </c>
      <c r="C144" s="40"/>
      <c r="D144" s="45"/>
      <c r="E144" s="40"/>
      <c r="F144" s="41"/>
      <c r="G144" s="41"/>
      <c r="H144" s="41"/>
      <c r="I144" s="41"/>
      <c r="J144" s="40"/>
      <c r="K144" s="41"/>
      <c r="L144" s="42"/>
      <c r="M144" s="40"/>
      <c r="N144" s="40"/>
      <c r="O144" s="40"/>
      <c r="P144" s="40"/>
      <c r="Q144" s="40"/>
      <c r="R144" s="40"/>
      <c r="S144" s="40"/>
      <c r="T144" s="40"/>
      <c r="U144" s="40"/>
      <c r="V144" s="40"/>
      <c r="W144" s="40"/>
      <c r="X144" s="40"/>
      <c r="Y144" s="40"/>
    </row>
    <row r="145" spans="1:27">
      <c r="A145" s="43"/>
      <c r="B145" s="39" t="s">
        <v>300</v>
      </c>
      <c r="C145" s="40"/>
      <c r="D145" s="45"/>
      <c r="E145" s="40"/>
      <c r="F145" s="41"/>
      <c r="G145" s="41"/>
      <c r="H145" s="41"/>
      <c r="I145" s="41"/>
      <c r="J145" s="40"/>
      <c r="K145" s="41"/>
      <c r="L145" s="42"/>
      <c r="M145" s="40"/>
      <c r="N145" s="40"/>
      <c r="O145" s="40"/>
      <c r="P145" s="40"/>
      <c r="Q145" s="40"/>
      <c r="R145" s="40"/>
      <c r="S145" s="40"/>
      <c r="T145" s="40"/>
      <c r="U145" s="40"/>
      <c r="V145" s="40"/>
      <c r="W145" s="40"/>
      <c r="X145" s="40"/>
      <c r="Y145" s="40"/>
    </row>
    <row r="146" spans="1:27">
      <c r="A146" s="43"/>
      <c r="B146" s="39" t="s">
        <v>184</v>
      </c>
      <c r="C146" s="40" t="s">
        <v>119</v>
      </c>
      <c r="D146" s="45"/>
      <c r="E146" s="40"/>
      <c r="F146" s="44">
        <v>1500</v>
      </c>
      <c r="G146" s="44">
        <v>1800</v>
      </c>
      <c r="H146" s="44">
        <v>1800</v>
      </c>
      <c r="I146" s="44">
        <v>1800</v>
      </c>
      <c r="J146" s="45">
        <v>1800</v>
      </c>
      <c r="K146" s="44">
        <v>1800</v>
      </c>
      <c r="L146" s="46">
        <v>1800</v>
      </c>
      <c r="M146" s="45">
        <v>1800</v>
      </c>
      <c r="N146" s="45">
        <v>1800</v>
      </c>
      <c r="O146" s="45">
        <v>1800</v>
      </c>
      <c r="P146" s="45">
        <v>1800</v>
      </c>
      <c r="Q146" s="45"/>
      <c r="R146" s="45"/>
      <c r="S146" s="45"/>
      <c r="T146" s="45"/>
      <c r="U146" s="45"/>
      <c r="V146" s="45"/>
      <c r="W146" s="45"/>
      <c r="X146" s="45"/>
      <c r="Y146" s="45"/>
    </row>
    <row r="147" spans="1:27">
      <c r="A147" s="43"/>
      <c r="B147" s="39" t="s">
        <v>185</v>
      </c>
      <c r="C147" s="40" t="s">
        <v>119</v>
      </c>
      <c r="D147" s="45"/>
      <c r="E147" s="40"/>
      <c r="F147" s="44">
        <v>0.25</v>
      </c>
      <c r="G147" s="44">
        <v>0.25</v>
      </c>
      <c r="H147" s="44">
        <v>0.25</v>
      </c>
      <c r="I147" s="44">
        <v>0.25</v>
      </c>
      <c r="J147" s="45">
        <v>0.25</v>
      </c>
      <c r="K147" s="44">
        <v>0.25</v>
      </c>
      <c r="L147" s="46">
        <v>0.25</v>
      </c>
      <c r="M147" s="45">
        <v>0.25</v>
      </c>
      <c r="N147" s="45">
        <v>0.25</v>
      </c>
      <c r="O147" s="45">
        <v>0.25</v>
      </c>
      <c r="P147" s="45">
        <v>0.25</v>
      </c>
      <c r="Q147" s="45"/>
      <c r="R147" s="45"/>
      <c r="S147" s="45"/>
      <c r="T147" s="45"/>
      <c r="U147" s="45"/>
      <c r="V147" s="45"/>
      <c r="W147" s="45"/>
      <c r="X147" s="45"/>
      <c r="Y147" s="45"/>
    </row>
    <row r="148" spans="1:27">
      <c r="A148" s="43"/>
      <c r="B148" s="39" t="s">
        <v>186</v>
      </c>
      <c r="C148" s="40" t="s">
        <v>389</v>
      </c>
      <c r="D148" s="45"/>
      <c r="E148" s="40"/>
      <c r="F148" s="44">
        <v>9.25</v>
      </c>
      <c r="G148" s="44">
        <v>11.1</v>
      </c>
      <c r="H148" s="44">
        <v>11.1</v>
      </c>
      <c r="I148" s="44">
        <v>11.1</v>
      </c>
      <c r="J148" s="45">
        <v>11.1</v>
      </c>
      <c r="K148" s="44">
        <v>11.1</v>
      </c>
      <c r="L148" s="46">
        <v>11.1</v>
      </c>
      <c r="M148" s="45">
        <v>11.1</v>
      </c>
      <c r="N148" s="45">
        <v>11.1</v>
      </c>
      <c r="O148" s="45">
        <v>11.1</v>
      </c>
      <c r="P148" s="45">
        <v>11.1</v>
      </c>
      <c r="Q148" s="45"/>
      <c r="R148" s="45"/>
      <c r="S148" s="45"/>
      <c r="T148" s="45"/>
      <c r="U148" s="45"/>
      <c r="V148" s="45"/>
      <c r="W148" s="45"/>
      <c r="X148" s="45"/>
      <c r="Y148" s="45"/>
    </row>
    <row r="149" spans="1:27">
      <c r="A149" s="43"/>
      <c r="B149" s="39"/>
      <c r="C149" s="40"/>
      <c r="D149" s="45"/>
      <c r="E149" s="40"/>
      <c r="F149" s="44"/>
      <c r="G149" s="44"/>
      <c r="H149" s="44"/>
      <c r="I149" s="44"/>
      <c r="J149" s="45"/>
      <c r="K149" s="44"/>
      <c r="L149" s="46"/>
      <c r="M149" s="45"/>
      <c r="N149" s="45"/>
      <c r="O149" s="45"/>
      <c r="P149" s="45"/>
      <c r="Q149" s="45"/>
      <c r="R149" s="45"/>
      <c r="S149" s="45"/>
      <c r="T149" s="45"/>
      <c r="U149" s="45"/>
      <c r="V149" s="45"/>
      <c r="W149" s="45"/>
      <c r="X149" s="45"/>
      <c r="Y149" s="45"/>
    </row>
    <row r="150" spans="1:27">
      <c r="A150" s="43"/>
      <c r="B150" s="39" t="s">
        <v>323</v>
      </c>
      <c r="C150" s="40" t="s">
        <v>307</v>
      </c>
      <c r="D150" s="45"/>
      <c r="E150" s="40"/>
      <c r="F150" s="44">
        <v>50</v>
      </c>
      <c r="G150" s="44">
        <v>50</v>
      </c>
      <c r="H150" s="44">
        <v>50</v>
      </c>
      <c r="I150" s="44">
        <v>50</v>
      </c>
      <c r="J150" s="45">
        <v>50</v>
      </c>
      <c r="K150" s="44">
        <v>50</v>
      </c>
      <c r="L150" s="46">
        <v>50</v>
      </c>
      <c r="M150" s="45">
        <v>50</v>
      </c>
      <c r="N150" s="45">
        <v>50</v>
      </c>
      <c r="O150" s="45">
        <v>50</v>
      </c>
      <c r="P150" s="45">
        <v>50</v>
      </c>
      <c r="Q150" s="45"/>
      <c r="R150" s="45"/>
      <c r="S150" s="45"/>
      <c r="T150" s="45"/>
      <c r="U150" s="45"/>
      <c r="V150" s="45"/>
      <c r="W150" s="45"/>
      <c r="X150" s="45"/>
      <c r="Y150" s="45"/>
    </row>
    <row r="151" spans="1:27">
      <c r="A151" s="43"/>
      <c r="B151" s="39"/>
      <c r="C151" s="40"/>
      <c r="D151" s="45"/>
      <c r="E151" s="40"/>
      <c r="F151" s="81">
        <f t="shared" ref="F151:P151" si="16">F148/F146*F150</f>
        <v>0.30833333333333335</v>
      </c>
      <c r="G151" s="81">
        <f t="shared" si="16"/>
        <v>0.30833333333333335</v>
      </c>
      <c r="H151" s="82">
        <f t="shared" si="16"/>
        <v>0.30833333333333335</v>
      </c>
      <c r="I151" s="82">
        <f t="shared" si="16"/>
        <v>0.30833333333333335</v>
      </c>
      <c r="J151" s="83">
        <f t="shared" si="16"/>
        <v>0.30833333333333335</v>
      </c>
      <c r="K151" s="82">
        <f t="shared" si="16"/>
        <v>0.30833333333333335</v>
      </c>
      <c r="L151" s="84">
        <f t="shared" si="16"/>
        <v>0.30833333333333335</v>
      </c>
      <c r="M151" s="83">
        <f t="shared" si="16"/>
        <v>0.30833333333333335</v>
      </c>
      <c r="N151" s="83">
        <f t="shared" si="16"/>
        <v>0.30833333333333335</v>
      </c>
      <c r="O151" s="83">
        <f t="shared" si="16"/>
        <v>0.30833333333333335</v>
      </c>
      <c r="P151" s="83">
        <f t="shared" si="16"/>
        <v>0.30833333333333335</v>
      </c>
      <c r="Q151" s="45"/>
      <c r="R151" s="45"/>
      <c r="S151" s="45"/>
      <c r="T151" s="45"/>
      <c r="U151" s="45"/>
      <c r="V151" s="45"/>
      <c r="W151" s="45"/>
      <c r="X151" s="45"/>
      <c r="Y151" s="45"/>
    </row>
    <row r="152" spans="1:27">
      <c r="A152" s="43"/>
      <c r="B152" s="39" t="s">
        <v>324</v>
      </c>
      <c r="C152" s="40" t="s">
        <v>221</v>
      </c>
      <c r="D152" s="45"/>
      <c r="E152" s="40"/>
      <c r="F152" s="44"/>
      <c r="G152" s="44"/>
      <c r="H152" s="44"/>
      <c r="I152" s="44"/>
      <c r="J152" s="45"/>
      <c r="K152" s="44"/>
      <c r="L152" s="46"/>
      <c r="M152" s="45"/>
      <c r="N152" s="45"/>
      <c r="O152" s="45"/>
      <c r="P152" s="45"/>
      <c r="Q152" s="45"/>
      <c r="R152" s="45"/>
      <c r="S152" s="45"/>
      <c r="T152" s="45"/>
      <c r="U152" s="45"/>
      <c r="V152" s="45"/>
      <c r="W152" s="45"/>
      <c r="X152" s="45"/>
      <c r="Y152" s="45"/>
    </row>
    <row r="153" spans="1:27">
      <c r="A153" s="43"/>
      <c r="B153" s="39" t="s">
        <v>325</v>
      </c>
      <c r="C153" s="40" t="s">
        <v>380</v>
      </c>
      <c r="D153" s="45"/>
      <c r="E153" s="51"/>
      <c r="F153" s="51">
        <v>41</v>
      </c>
      <c r="G153" s="51">
        <v>53</v>
      </c>
      <c r="H153" s="51">
        <v>51</v>
      </c>
      <c r="I153" s="51">
        <v>51</v>
      </c>
      <c r="J153" s="63">
        <v>52</v>
      </c>
      <c r="K153" s="64">
        <v>39</v>
      </c>
      <c r="L153" s="65">
        <v>42</v>
      </c>
      <c r="M153" s="66">
        <v>39</v>
      </c>
      <c r="N153" s="66">
        <v>46</v>
      </c>
      <c r="O153" s="66">
        <v>56</v>
      </c>
      <c r="P153" s="66">
        <v>51</v>
      </c>
      <c r="Q153" s="45"/>
      <c r="R153" s="45"/>
      <c r="S153" s="45"/>
      <c r="T153" s="45"/>
      <c r="U153" s="45"/>
      <c r="V153" s="45"/>
      <c r="W153" s="45"/>
      <c r="X153" s="45"/>
      <c r="Y153" s="45"/>
    </row>
    <row r="154" spans="1:27">
      <c r="A154" s="43"/>
      <c r="B154" s="39" t="s">
        <v>326</v>
      </c>
      <c r="C154" s="40" t="s">
        <v>179</v>
      </c>
      <c r="D154" s="45"/>
      <c r="E154" s="40"/>
      <c r="F154" s="68">
        <f t="shared" ref="F154:P154" si="17">F153/F146</f>
        <v>2.7333333333333334E-2</v>
      </c>
      <c r="G154" s="68">
        <f t="shared" si="17"/>
        <v>2.9444444444444443E-2</v>
      </c>
      <c r="H154" s="69">
        <f t="shared" si="17"/>
        <v>2.8333333333333332E-2</v>
      </c>
      <c r="I154" s="69">
        <f t="shared" si="17"/>
        <v>2.8333333333333332E-2</v>
      </c>
      <c r="J154" s="70">
        <f t="shared" si="17"/>
        <v>2.8888888888888888E-2</v>
      </c>
      <c r="K154" s="69">
        <f t="shared" si="17"/>
        <v>2.1666666666666667E-2</v>
      </c>
      <c r="L154" s="71">
        <f t="shared" si="17"/>
        <v>2.3333333333333334E-2</v>
      </c>
      <c r="M154" s="70">
        <f t="shared" si="17"/>
        <v>2.1666666666666667E-2</v>
      </c>
      <c r="N154" s="70">
        <f t="shared" si="17"/>
        <v>2.5555555555555557E-2</v>
      </c>
      <c r="O154" s="70">
        <f t="shared" si="17"/>
        <v>3.111111111111111E-2</v>
      </c>
      <c r="P154" s="70">
        <f t="shared" si="17"/>
        <v>2.8333333333333332E-2</v>
      </c>
      <c r="Q154" s="70"/>
      <c r="R154" s="70"/>
      <c r="S154" s="70"/>
      <c r="T154" s="70"/>
      <c r="U154" s="70"/>
      <c r="V154" s="70"/>
      <c r="W154" s="70"/>
      <c r="X154" s="70"/>
      <c r="Y154" s="70"/>
    </row>
    <row r="155" spans="1:27">
      <c r="A155" s="43"/>
      <c r="B155" s="39" t="s">
        <v>327</v>
      </c>
      <c r="C155" s="40" t="s">
        <v>380</v>
      </c>
      <c r="D155" s="45"/>
      <c r="E155" s="40"/>
      <c r="F155" s="76">
        <f t="shared" ref="F155:P155" si="18">F150*F154</f>
        <v>1.3666666666666667</v>
      </c>
      <c r="G155" s="76">
        <f t="shared" si="18"/>
        <v>1.4722222222222221</v>
      </c>
      <c r="H155" s="49">
        <f t="shared" si="18"/>
        <v>1.4166666666666665</v>
      </c>
      <c r="I155" s="49">
        <f t="shared" si="18"/>
        <v>1.4166666666666665</v>
      </c>
      <c r="J155" s="50">
        <f t="shared" si="18"/>
        <v>1.4444444444444444</v>
      </c>
      <c r="K155" s="49">
        <f t="shared" si="18"/>
        <v>1.0833333333333335</v>
      </c>
      <c r="L155" s="74">
        <f t="shared" si="18"/>
        <v>1.1666666666666667</v>
      </c>
      <c r="M155" s="50">
        <f t="shared" si="18"/>
        <v>1.0833333333333335</v>
      </c>
      <c r="N155" s="50">
        <f t="shared" si="18"/>
        <v>1.2777777777777779</v>
      </c>
      <c r="O155" s="50">
        <f t="shared" si="18"/>
        <v>1.5555555555555556</v>
      </c>
      <c r="P155" s="50">
        <f t="shared" si="18"/>
        <v>1.4166666666666665</v>
      </c>
      <c r="Q155" s="50"/>
      <c r="R155" s="50"/>
      <c r="S155" s="50"/>
      <c r="T155" s="50"/>
      <c r="U155" s="50"/>
      <c r="V155" s="50"/>
      <c r="W155" s="50"/>
      <c r="X155" s="50"/>
      <c r="Y155" s="50"/>
    </row>
    <row r="156" spans="1:27">
      <c r="A156" s="43"/>
      <c r="B156" s="39"/>
      <c r="C156" s="40" t="s">
        <v>231</v>
      </c>
      <c r="D156" s="45"/>
      <c r="E156" s="40"/>
      <c r="F156" s="49"/>
      <c r="G156" s="49"/>
      <c r="H156" s="49"/>
      <c r="I156" s="49"/>
      <c r="J156" s="50"/>
      <c r="K156" s="49"/>
      <c r="L156" s="74"/>
      <c r="M156" s="50"/>
      <c r="N156" s="50"/>
      <c r="O156" s="50"/>
      <c r="P156" s="50"/>
      <c r="Q156" s="50"/>
      <c r="R156" s="50"/>
      <c r="S156" s="50"/>
      <c r="T156" s="50"/>
      <c r="U156" s="50"/>
      <c r="V156" s="50"/>
      <c r="W156" s="50"/>
      <c r="X156" s="50"/>
      <c r="Y156" s="50"/>
    </row>
    <row r="157" spans="1:27">
      <c r="A157" s="38" t="s">
        <v>232</v>
      </c>
      <c r="B157" s="39"/>
      <c r="C157" s="40"/>
      <c r="D157" s="45"/>
      <c r="E157" s="40"/>
      <c r="F157" s="41"/>
      <c r="G157" s="41"/>
      <c r="H157" s="41"/>
      <c r="I157" s="41"/>
      <c r="J157" s="40"/>
      <c r="K157" s="41"/>
      <c r="L157" s="42"/>
      <c r="M157" s="40"/>
      <c r="N157" s="40"/>
      <c r="O157" s="40"/>
      <c r="P157" s="40"/>
      <c r="Q157" s="40"/>
      <c r="R157" s="40"/>
      <c r="S157" s="40"/>
      <c r="T157" s="40"/>
      <c r="U157" s="40"/>
      <c r="V157" s="40"/>
      <c r="W157" s="40"/>
      <c r="X157" s="40"/>
      <c r="Y157" s="40"/>
      <c r="AA157" s="17">
        <v>1500</v>
      </c>
    </row>
    <row r="158" spans="1:27">
      <c r="A158" s="43" t="s">
        <v>233</v>
      </c>
      <c r="B158" s="39"/>
      <c r="C158" s="40"/>
      <c r="D158" s="45"/>
      <c r="E158" s="40"/>
      <c r="F158" s="41"/>
      <c r="G158" s="41"/>
      <c r="H158" s="41"/>
      <c r="I158" s="41"/>
      <c r="J158" s="40"/>
      <c r="K158" s="41"/>
      <c r="L158" s="42"/>
      <c r="M158" s="40"/>
      <c r="N158" s="40"/>
      <c r="O158" s="40"/>
      <c r="P158" s="40"/>
      <c r="Q158" s="40"/>
      <c r="R158" s="40"/>
      <c r="S158" s="40"/>
      <c r="T158" s="40"/>
      <c r="U158" s="40"/>
      <c r="V158" s="40"/>
      <c r="W158" s="40"/>
      <c r="X158" s="40"/>
      <c r="Y158" s="40"/>
      <c r="AA158" s="17">
        <v>23</v>
      </c>
    </row>
    <row r="159" spans="1:27">
      <c r="A159" s="43"/>
      <c r="B159" s="39" t="s">
        <v>234</v>
      </c>
      <c r="C159" s="40"/>
      <c r="D159" s="45"/>
      <c r="E159" s="40"/>
      <c r="F159" s="41"/>
      <c r="G159" s="41"/>
      <c r="H159" s="41"/>
      <c r="I159" s="41"/>
      <c r="J159" s="40"/>
      <c r="K159" s="41"/>
      <c r="L159" s="42"/>
      <c r="M159" s="40"/>
      <c r="N159" s="40"/>
      <c r="O159" s="40"/>
      <c r="P159" s="40"/>
      <c r="Q159" s="40"/>
      <c r="R159" s="40"/>
      <c r="S159" s="40"/>
      <c r="T159" s="40"/>
      <c r="U159" s="40"/>
      <c r="V159" s="40"/>
      <c r="W159" s="40"/>
      <c r="X159" s="40"/>
      <c r="Y159" s="40"/>
      <c r="AA159" s="17">
        <f>AA157/AA158</f>
        <v>65.217391304347828</v>
      </c>
    </row>
    <row r="160" spans="1:27">
      <c r="A160" s="43"/>
      <c r="B160" s="39" t="s">
        <v>235</v>
      </c>
      <c r="C160" s="40"/>
      <c r="D160" s="45"/>
      <c r="E160" s="40"/>
      <c r="F160" s="41"/>
      <c r="G160" s="41"/>
      <c r="H160" s="41"/>
      <c r="I160" s="41"/>
      <c r="J160" s="40"/>
      <c r="K160" s="41"/>
      <c r="L160" s="42"/>
      <c r="M160" s="40"/>
      <c r="N160" s="40"/>
      <c r="O160" s="40"/>
      <c r="P160" s="40"/>
      <c r="Q160" s="40"/>
      <c r="R160" s="40"/>
      <c r="S160" s="40"/>
      <c r="T160" s="40"/>
      <c r="U160" s="40"/>
      <c r="V160" s="40"/>
      <c r="W160" s="40"/>
      <c r="X160" s="40"/>
      <c r="Y160" s="40"/>
    </row>
    <row r="161" spans="1:27">
      <c r="A161" s="43" t="s">
        <v>236</v>
      </c>
      <c r="B161" s="39"/>
      <c r="C161" s="40"/>
      <c r="D161" s="45"/>
      <c r="E161" s="40"/>
      <c r="F161" s="41"/>
      <c r="G161" s="41"/>
      <c r="H161" s="41"/>
      <c r="I161" s="41"/>
      <c r="J161" s="40"/>
      <c r="K161" s="41"/>
      <c r="L161" s="42"/>
      <c r="M161" s="40"/>
      <c r="N161" s="40"/>
      <c r="O161" s="40"/>
      <c r="P161" s="40"/>
      <c r="Q161" s="40"/>
      <c r="R161" s="40"/>
      <c r="S161" s="40"/>
      <c r="T161" s="40"/>
      <c r="U161" s="40"/>
      <c r="V161" s="40"/>
      <c r="W161" s="40"/>
      <c r="X161" s="40"/>
      <c r="Y161" s="40"/>
    </row>
    <row r="162" spans="1:27">
      <c r="A162" s="43"/>
      <c r="B162" s="39" t="s">
        <v>237</v>
      </c>
      <c r="C162" s="40"/>
      <c r="D162" s="45"/>
      <c r="E162" s="40"/>
      <c r="F162" s="41"/>
      <c r="G162" s="41"/>
      <c r="H162" s="41"/>
      <c r="I162" s="41"/>
      <c r="J162" s="40"/>
      <c r="K162" s="41"/>
      <c r="L162" s="42"/>
      <c r="M162" s="40"/>
      <c r="N162" s="40"/>
      <c r="O162" s="40"/>
      <c r="P162" s="40"/>
      <c r="Q162" s="40"/>
      <c r="R162" s="40"/>
      <c r="S162" s="40"/>
      <c r="T162" s="40"/>
      <c r="U162" s="40"/>
      <c r="V162" s="40"/>
      <c r="W162" s="40"/>
      <c r="X162" s="40"/>
      <c r="Y162" s="40"/>
    </row>
    <row r="163" spans="1:27">
      <c r="A163" s="43"/>
      <c r="B163" s="39" t="s">
        <v>321</v>
      </c>
      <c r="C163" s="40"/>
      <c r="D163" s="45"/>
      <c r="E163" s="40"/>
      <c r="F163" s="41"/>
      <c r="G163" s="41"/>
      <c r="H163" s="41"/>
      <c r="I163" s="41"/>
      <c r="J163" s="40"/>
      <c r="K163" s="41"/>
      <c r="L163" s="42"/>
      <c r="M163" s="40"/>
      <c r="N163" s="40"/>
      <c r="O163" s="40"/>
      <c r="P163" s="40"/>
      <c r="Q163" s="40"/>
      <c r="R163" s="40"/>
      <c r="S163" s="40"/>
      <c r="T163" s="40"/>
      <c r="U163" s="40"/>
      <c r="V163" s="40"/>
      <c r="W163" s="40"/>
      <c r="X163" s="40"/>
      <c r="Y163" s="40"/>
    </row>
    <row r="164" spans="1:27">
      <c r="A164" s="43"/>
      <c r="B164" s="39" t="s">
        <v>238</v>
      </c>
      <c r="C164" s="40"/>
      <c r="D164" s="45"/>
      <c r="E164" s="40"/>
      <c r="F164" s="41"/>
      <c r="G164" s="41"/>
      <c r="H164" s="41"/>
      <c r="I164" s="41"/>
      <c r="J164" s="40"/>
      <c r="K164" s="41"/>
      <c r="L164" s="42"/>
      <c r="M164" s="40"/>
      <c r="N164" s="40"/>
      <c r="O164" s="40"/>
      <c r="P164" s="40"/>
      <c r="Q164" s="40"/>
      <c r="R164" s="40"/>
      <c r="S164" s="40"/>
      <c r="T164" s="40"/>
      <c r="U164" s="40"/>
      <c r="V164" s="40"/>
      <c r="W164" s="40"/>
      <c r="X164" s="40"/>
      <c r="Y164" s="40"/>
    </row>
    <row r="165" spans="1:27">
      <c r="A165" s="43"/>
      <c r="B165" s="39" t="s">
        <v>300</v>
      </c>
      <c r="C165" s="40"/>
      <c r="D165" s="45"/>
      <c r="E165" s="40"/>
      <c r="F165" s="41"/>
      <c r="G165" s="41"/>
      <c r="H165" s="41"/>
      <c r="I165" s="41"/>
      <c r="J165" s="40"/>
      <c r="K165" s="41"/>
      <c r="L165" s="42"/>
      <c r="M165" s="40"/>
      <c r="N165" s="40"/>
      <c r="O165" s="40"/>
      <c r="P165" s="40"/>
      <c r="Q165" s="40"/>
      <c r="R165" s="40"/>
      <c r="S165" s="40"/>
      <c r="T165" s="40"/>
      <c r="U165" s="40"/>
      <c r="V165" s="40"/>
      <c r="W165" s="40"/>
      <c r="X165" s="40"/>
      <c r="Y165" s="40"/>
    </row>
    <row r="166" spans="1:27">
      <c r="A166" s="43"/>
      <c r="B166" s="39" t="s">
        <v>184</v>
      </c>
      <c r="C166" s="40" t="s">
        <v>119</v>
      </c>
      <c r="D166" s="45"/>
      <c r="E166" s="40"/>
      <c r="F166" s="44">
        <v>1500</v>
      </c>
      <c r="G166" s="44">
        <v>1500</v>
      </c>
      <c r="H166" s="44">
        <v>1500</v>
      </c>
      <c r="I166" s="44">
        <v>1500</v>
      </c>
      <c r="J166" s="45">
        <v>1500</v>
      </c>
      <c r="K166" s="44">
        <v>1500</v>
      </c>
      <c r="L166" s="46">
        <v>1500</v>
      </c>
      <c r="M166" s="45">
        <v>1500</v>
      </c>
      <c r="N166" s="45">
        <v>1500</v>
      </c>
      <c r="O166" s="45">
        <v>1500</v>
      </c>
      <c r="P166" s="45">
        <v>1500</v>
      </c>
      <c r="Q166" s="45">
        <v>1500</v>
      </c>
      <c r="R166" s="45">
        <v>1450</v>
      </c>
      <c r="S166" s="45">
        <v>1450</v>
      </c>
      <c r="T166" s="45">
        <v>1450</v>
      </c>
      <c r="U166" s="45">
        <v>1200</v>
      </c>
      <c r="V166" s="45">
        <v>1200</v>
      </c>
      <c r="W166" s="45"/>
      <c r="X166" s="45"/>
      <c r="Y166" s="45"/>
    </row>
    <row r="167" spans="1:27">
      <c r="A167" s="43"/>
      <c r="B167" s="39" t="s">
        <v>185</v>
      </c>
      <c r="C167" s="40" t="s">
        <v>119</v>
      </c>
      <c r="D167" s="45"/>
      <c r="E167" s="40"/>
      <c r="F167" s="44">
        <v>0.75</v>
      </c>
      <c r="G167" s="44">
        <v>0.75</v>
      </c>
      <c r="H167" s="44">
        <v>0.75</v>
      </c>
      <c r="I167" s="44">
        <v>0.75</v>
      </c>
      <c r="J167" s="45">
        <v>0.75</v>
      </c>
      <c r="K167" s="44">
        <v>0.75</v>
      </c>
      <c r="L167" s="46">
        <v>0.75</v>
      </c>
      <c r="M167" s="45">
        <v>0.75</v>
      </c>
      <c r="N167" s="45">
        <v>0.75</v>
      </c>
      <c r="O167" s="45">
        <v>0.75</v>
      </c>
      <c r="P167" s="45">
        <v>0.75</v>
      </c>
      <c r="Q167" s="45">
        <v>0.75</v>
      </c>
      <c r="R167" s="45">
        <v>0.75</v>
      </c>
      <c r="S167" s="45">
        <v>0.75</v>
      </c>
      <c r="T167" s="45">
        <v>0.75</v>
      </c>
      <c r="U167" s="45">
        <v>0.75</v>
      </c>
      <c r="V167" s="45">
        <v>0.75</v>
      </c>
      <c r="W167" s="45"/>
      <c r="X167" s="45"/>
      <c r="Y167" s="45"/>
    </row>
    <row r="168" spans="1:27">
      <c r="A168" s="43"/>
      <c r="B168" s="39" t="s">
        <v>186</v>
      </c>
      <c r="C168" s="40" t="s">
        <v>389</v>
      </c>
      <c r="D168" s="45"/>
      <c r="E168" s="40"/>
      <c r="F168" s="44">
        <v>28</v>
      </c>
      <c r="G168" s="44">
        <v>28</v>
      </c>
      <c r="H168" s="44">
        <v>28</v>
      </c>
      <c r="I168" s="44">
        <v>28</v>
      </c>
      <c r="J168" s="45">
        <v>28</v>
      </c>
      <c r="K168" s="44">
        <v>28</v>
      </c>
      <c r="L168" s="46">
        <v>28</v>
      </c>
      <c r="M168" s="45">
        <v>28</v>
      </c>
      <c r="N168" s="45">
        <v>28</v>
      </c>
      <c r="O168" s="45">
        <v>28</v>
      </c>
      <c r="P168" s="45">
        <v>28</v>
      </c>
      <c r="Q168" s="45">
        <v>20</v>
      </c>
      <c r="R168" s="45">
        <v>20</v>
      </c>
      <c r="S168" s="45">
        <v>20</v>
      </c>
      <c r="T168" s="45">
        <v>20</v>
      </c>
      <c r="U168" s="45">
        <v>20</v>
      </c>
      <c r="V168" s="45">
        <v>20</v>
      </c>
      <c r="W168" s="45"/>
      <c r="X168" s="45"/>
      <c r="Y168" s="45"/>
    </row>
    <row r="169" spans="1:27">
      <c r="A169" s="43"/>
      <c r="B169" s="39"/>
      <c r="C169" s="40"/>
      <c r="D169" s="45"/>
      <c r="E169" s="40"/>
      <c r="F169" s="44"/>
      <c r="G169" s="44"/>
      <c r="H169" s="44"/>
      <c r="I169" s="44"/>
      <c r="J169" s="45"/>
      <c r="K169" s="44"/>
      <c r="L169" s="46"/>
      <c r="M169" s="45"/>
      <c r="N169" s="45"/>
      <c r="O169" s="45"/>
      <c r="P169" s="45"/>
      <c r="Q169" s="45"/>
      <c r="R169" s="45"/>
      <c r="S169" s="45"/>
      <c r="T169" s="45"/>
      <c r="U169" s="45"/>
      <c r="V169" s="45"/>
      <c r="W169" s="45"/>
      <c r="X169" s="45"/>
      <c r="Y169" s="45"/>
    </row>
    <row r="170" spans="1:27">
      <c r="A170" s="43"/>
      <c r="B170" s="39" t="s">
        <v>323</v>
      </c>
      <c r="C170" s="40" t="s">
        <v>311</v>
      </c>
      <c r="D170" s="45"/>
      <c r="E170" s="40"/>
      <c r="F170" s="44">
        <v>70</v>
      </c>
      <c r="G170" s="44">
        <v>70</v>
      </c>
      <c r="H170" s="44">
        <v>70</v>
      </c>
      <c r="I170" s="44">
        <v>70</v>
      </c>
      <c r="J170" s="45">
        <v>70</v>
      </c>
      <c r="K170" s="44">
        <v>70</v>
      </c>
      <c r="L170" s="46">
        <v>70</v>
      </c>
      <c r="M170" s="45">
        <v>70</v>
      </c>
      <c r="N170" s="45">
        <v>70</v>
      </c>
      <c r="O170" s="45">
        <v>70</v>
      </c>
      <c r="P170" s="45">
        <v>70</v>
      </c>
      <c r="Q170" s="45">
        <v>70</v>
      </c>
      <c r="R170" s="45">
        <v>70</v>
      </c>
      <c r="S170" s="45">
        <v>70</v>
      </c>
      <c r="T170" s="45">
        <v>70</v>
      </c>
      <c r="U170" s="45">
        <v>70</v>
      </c>
      <c r="V170" s="45">
        <v>70</v>
      </c>
      <c r="W170" s="45"/>
      <c r="X170" s="45"/>
      <c r="Y170" s="45"/>
      <c r="Z170" s="85" t="s">
        <v>239</v>
      </c>
    </row>
    <row r="171" spans="1:27">
      <c r="A171" s="43"/>
      <c r="B171" s="39"/>
      <c r="C171" s="40"/>
      <c r="D171" s="45"/>
      <c r="E171" s="40"/>
      <c r="F171" s="44"/>
      <c r="G171" s="44"/>
      <c r="H171" s="44"/>
      <c r="I171" s="44"/>
      <c r="J171" s="45"/>
      <c r="K171" s="44"/>
      <c r="L171" s="46"/>
      <c r="M171" s="45"/>
      <c r="N171" s="45"/>
      <c r="O171" s="45"/>
      <c r="P171" s="45"/>
      <c r="Q171" s="45"/>
      <c r="R171" s="45"/>
      <c r="S171" s="45"/>
      <c r="T171" s="45"/>
      <c r="U171" s="45"/>
      <c r="V171" s="45"/>
      <c r="W171" s="45"/>
      <c r="X171" s="45"/>
      <c r="Y171" s="45"/>
      <c r="AA171" s="17" t="s">
        <v>240</v>
      </c>
    </row>
    <row r="172" spans="1:27">
      <c r="A172" s="43"/>
      <c r="B172" s="39" t="s">
        <v>324</v>
      </c>
      <c r="C172" s="40" t="s">
        <v>221</v>
      </c>
      <c r="D172" s="45"/>
      <c r="E172" s="40"/>
      <c r="F172" s="44"/>
      <c r="G172" s="44"/>
      <c r="H172" s="44"/>
      <c r="I172" s="44"/>
      <c r="J172" s="45"/>
      <c r="K172" s="44"/>
      <c r="L172" s="46"/>
      <c r="M172" s="45"/>
      <c r="N172" s="45"/>
      <c r="O172" s="45"/>
      <c r="P172" s="45"/>
      <c r="Q172" s="45"/>
      <c r="R172" s="45"/>
      <c r="S172" s="45"/>
      <c r="T172" s="45"/>
      <c r="U172" s="45"/>
      <c r="V172" s="45"/>
      <c r="W172" s="45"/>
      <c r="X172" s="45"/>
      <c r="Y172" s="45"/>
      <c r="AA172" s="17">
        <v>93</v>
      </c>
    </row>
    <row r="173" spans="1:27">
      <c r="A173" s="43"/>
      <c r="B173" s="39" t="s">
        <v>325</v>
      </c>
      <c r="C173" s="40" t="s">
        <v>380</v>
      </c>
      <c r="D173" s="45"/>
      <c r="E173" s="51"/>
      <c r="F173" s="51">
        <f>F133</f>
        <v>106</v>
      </c>
      <c r="G173" s="51">
        <v>127</v>
      </c>
      <c r="H173" s="51">
        <v>116</v>
      </c>
      <c r="I173" s="51">
        <v>113</v>
      </c>
      <c r="J173" s="63">
        <v>105</v>
      </c>
      <c r="K173" s="64">
        <v>86</v>
      </c>
      <c r="L173" s="65">
        <v>89</v>
      </c>
      <c r="M173" s="66">
        <v>85</v>
      </c>
      <c r="N173" s="66">
        <v>103</v>
      </c>
      <c r="O173" s="66">
        <v>128</v>
      </c>
      <c r="P173" s="66">
        <v>116</v>
      </c>
      <c r="Q173" s="45">
        <v>115</v>
      </c>
      <c r="R173" s="45">
        <v>112</v>
      </c>
      <c r="S173" s="45">
        <v>100</v>
      </c>
      <c r="T173" s="45">
        <v>115</v>
      </c>
      <c r="U173" s="45">
        <v>99</v>
      </c>
      <c r="V173" s="45">
        <v>126</v>
      </c>
      <c r="W173" s="45"/>
      <c r="X173" s="45"/>
      <c r="Y173" s="45"/>
      <c r="AA173" s="17">
        <v>1.075</v>
      </c>
    </row>
    <row r="174" spans="1:27">
      <c r="A174" s="43"/>
      <c r="B174" s="39" t="s">
        <v>326</v>
      </c>
      <c r="C174" s="40" t="s">
        <v>179</v>
      </c>
      <c r="D174" s="45"/>
      <c r="E174" s="40"/>
      <c r="F174" s="68">
        <f t="shared" ref="F174:V174" si="19">F173/F166</f>
        <v>7.0666666666666669E-2</v>
      </c>
      <c r="G174" s="68">
        <f t="shared" si="19"/>
        <v>8.4666666666666668E-2</v>
      </c>
      <c r="H174" s="69">
        <f t="shared" si="19"/>
        <v>7.7333333333333337E-2</v>
      </c>
      <c r="I174" s="69">
        <f t="shared" si="19"/>
        <v>7.5333333333333335E-2</v>
      </c>
      <c r="J174" s="70">
        <f t="shared" si="19"/>
        <v>7.0000000000000007E-2</v>
      </c>
      <c r="K174" s="69">
        <f t="shared" si="19"/>
        <v>5.7333333333333333E-2</v>
      </c>
      <c r="L174" s="71">
        <f t="shared" si="19"/>
        <v>5.9333333333333335E-2</v>
      </c>
      <c r="M174" s="70">
        <f t="shared" si="19"/>
        <v>5.6666666666666664E-2</v>
      </c>
      <c r="N174" s="70">
        <f t="shared" si="19"/>
        <v>6.8666666666666668E-2</v>
      </c>
      <c r="O174" s="70">
        <f t="shared" si="19"/>
        <v>8.533333333333333E-2</v>
      </c>
      <c r="P174" s="70">
        <f t="shared" si="19"/>
        <v>7.7333333333333337E-2</v>
      </c>
      <c r="Q174" s="70">
        <f t="shared" si="19"/>
        <v>7.6666666666666661E-2</v>
      </c>
      <c r="R174" s="70">
        <f t="shared" si="19"/>
        <v>7.7241379310344832E-2</v>
      </c>
      <c r="S174" s="70">
        <f t="shared" si="19"/>
        <v>6.8965517241379309E-2</v>
      </c>
      <c r="T174" s="70">
        <f t="shared" si="19"/>
        <v>7.9310344827586213E-2</v>
      </c>
      <c r="U174" s="70">
        <f t="shared" si="19"/>
        <v>8.2500000000000004E-2</v>
      </c>
      <c r="V174" s="70">
        <f t="shared" si="19"/>
        <v>0.105</v>
      </c>
      <c r="W174" s="70"/>
      <c r="X174" s="70"/>
      <c r="Y174" s="70"/>
      <c r="AA174" s="17">
        <f>AA172*AA173</f>
        <v>99.974999999999994</v>
      </c>
    </row>
    <row r="175" spans="1:27">
      <c r="A175" s="43"/>
      <c r="B175" s="39" t="s">
        <v>241</v>
      </c>
      <c r="C175" s="40" t="s">
        <v>315</v>
      </c>
      <c r="D175" s="45"/>
      <c r="E175" s="40"/>
      <c r="F175" s="76">
        <f t="shared" ref="F175:V175" si="20">F170*F174</f>
        <v>4.9466666666666672</v>
      </c>
      <c r="G175" s="76">
        <f t="shared" si="20"/>
        <v>5.9266666666666667</v>
      </c>
      <c r="H175" s="49">
        <f t="shared" si="20"/>
        <v>5.413333333333334</v>
      </c>
      <c r="I175" s="49">
        <f t="shared" si="20"/>
        <v>5.2733333333333334</v>
      </c>
      <c r="J175" s="50">
        <f t="shared" si="20"/>
        <v>4.9000000000000004</v>
      </c>
      <c r="K175" s="49">
        <f t="shared" si="20"/>
        <v>4.0133333333333336</v>
      </c>
      <c r="L175" s="74">
        <f t="shared" si="20"/>
        <v>4.1533333333333333</v>
      </c>
      <c r="M175" s="50">
        <f t="shared" si="20"/>
        <v>3.9666666666666663</v>
      </c>
      <c r="N175" s="50">
        <f t="shared" si="20"/>
        <v>4.8066666666666666</v>
      </c>
      <c r="O175" s="50">
        <f t="shared" si="20"/>
        <v>5.9733333333333327</v>
      </c>
      <c r="P175" s="50">
        <f t="shared" si="20"/>
        <v>5.413333333333334</v>
      </c>
      <c r="Q175" s="50">
        <f t="shared" si="20"/>
        <v>5.3666666666666663</v>
      </c>
      <c r="R175" s="50">
        <f t="shared" si="20"/>
        <v>5.4068965517241381</v>
      </c>
      <c r="S175" s="50">
        <f t="shared" si="20"/>
        <v>4.8275862068965516</v>
      </c>
      <c r="T175" s="50">
        <f t="shared" si="20"/>
        <v>5.5517241379310347</v>
      </c>
      <c r="U175" s="50">
        <f t="shared" si="20"/>
        <v>5.7750000000000004</v>
      </c>
      <c r="V175" s="50">
        <f t="shared" si="20"/>
        <v>7.35</v>
      </c>
      <c r="W175" s="50"/>
      <c r="X175" s="50"/>
      <c r="Y175" s="50"/>
    </row>
    <row r="176" spans="1:27">
      <c r="A176" s="43"/>
      <c r="B176" s="39"/>
      <c r="C176" s="40"/>
      <c r="D176" s="45"/>
      <c r="E176" s="40"/>
      <c r="F176" s="86"/>
      <c r="G176" s="86"/>
      <c r="H176" s="41"/>
      <c r="I176" s="41"/>
      <c r="J176" s="40"/>
      <c r="K176" s="41"/>
      <c r="L176" s="42"/>
      <c r="M176" s="40"/>
      <c r="N176" s="40"/>
      <c r="O176" s="40"/>
      <c r="P176" s="40"/>
      <c r="Q176" s="40"/>
      <c r="R176" s="40"/>
      <c r="S176" s="40"/>
      <c r="T176" s="40"/>
      <c r="U176" s="40"/>
      <c r="V176" s="40"/>
      <c r="W176" s="40"/>
      <c r="X176" s="40"/>
      <c r="Y176" s="40"/>
    </row>
    <row r="177" spans="1:25">
      <c r="A177" s="38" t="s">
        <v>242</v>
      </c>
      <c r="B177" s="39"/>
      <c r="C177" s="40" t="s">
        <v>183</v>
      </c>
      <c r="D177" s="45"/>
      <c r="E177" s="40"/>
      <c r="F177" s="76">
        <f t="shared" ref="F177:K177" si="21">F135+F110</f>
        <v>5.4162256410256413</v>
      </c>
      <c r="G177" s="76">
        <f t="shared" si="21"/>
        <v>6.3281367521367518</v>
      </c>
      <c r="H177" s="49">
        <f t="shared" si="21"/>
        <v>5.5453205128205125</v>
      </c>
      <c r="I177" s="49">
        <f t="shared" si="21"/>
        <v>5.6501777777777775</v>
      </c>
      <c r="J177" s="50">
        <f t="shared" si="21"/>
        <v>5.1553333333333331</v>
      </c>
      <c r="K177" s="49">
        <f t="shared" si="21"/>
        <v>4.2395333333333332</v>
      </c>
      <c r="L177" s="74">
        <v>4.55</v>
      </c>
      <c r="M177" s="50">
        <f>M135+M110</f>
        <v>4.2319333333333331</v>
      </c>
      <c r="N177" s="50">
        <v>5.13</v>
      </c>
      <c r="O177" s="50">
        <v>6.13</v>
      </c>
      <c r="P177" s="40"/>
      <c r="Q177" s="40"/>
      <c r="R177" s="40"/>
      <c r="S177" s="40"/>
      <c r="T177" s="40"/>
      <c r="U177" s="40"/>
      <c r="V177" s="40"/>
      <c r="W177" s="40"/>
      <c r="X177" s="40"/>
      <c r="Y177" s="40"/>
    </row>
    <row r="178" spans="1:25">
      <c r="A178" s="38"/>
      <c r="B178" s="39"/>
      <c r="C178" s="40"/>
      <c r="D178" s="45"/>
      <c r="E178" s="40"/>
      <c r="F178" s="49"/>
      <c r="G178" s="49"/>
      <c r="H178" s="49"/>
      <c r="I178" s="49"/>
      <c r="J178" s="50"/>
      <c r="K178" s="49"/>
      <c r="L178" s="74"/>
      <c r="M178" s="50"/>
      <c r="N178" s="50"/>
      <c r="O178" s="50"/>
      <c r="P178" s="40"/>
      <c r="Q178" s="40"/>
      <c r="R178" s="40"/>
      <c r="S178" s="40"/>
      <c r="T178" s="40"/>
      <c r="U178" s="40"/>
      <c r="V178" s="40"/>
      <c r="W178" s="40"/>
      <c r="X178" s="40"/>
      <c r="Y178" s="40"/>
    </row>
    <row r="179" spans="1:25">
      <c r="A179" s="38" t="s">
        <v>243</v>
      </c>
      <c r="B179" s="39"/>
      <c r="C179" s="40"/>
      <c r="D179" s="45"/>
      <c r="E179" s="40"/>
      <c r="F179" s="49"/>
      <c r="G179" s="49"/>
      <c r="H179" s="49"/>
      <c r="I179" s="49"/>
      <c r="J179" s="50"/>
      <c r="K179" s="49"/>
      <c r="L179" s="74"/>
      <c r="M179" s="50"/>
      <c r="N179" s="50"/>
      <c r="O179" s="50"/>
      <c r="P179" s="40"/>
      <c r="Q179" s="40"/>
      <c r="R179" s="40"/>
      <c r="S179" s="40"/>
      <c r="T179" s="40"/>
      <c r="U179" s="40"/>
      <c r="V179" s="40"/>
      <c r="W179" s="40"/>
      <c r="X179" s="40"/>
      <c r="Y179" s="40"/>
    </row>
    <row r="180" spans="1:25">
      <c r="A180" s="38"/>
      <c r="B180" s="39" t="s">
        <v>244</v>
      </c>
      <c r="C180" s="40"/>
      <c r="D180" s="45"/>
      <c r="E180" s="40"/>
      <c r="F180" s="44" t="s">
        <v>245</v>
      </c>
      <c r="G180" s="44" t="s">
        <v>245</v>
      </c>
      <c r="H180" s="44" t="s">
        <v>245</v>
      </c>
      <c r="I180" s="44" t="s">
        <v>245</v>
      </c>
      <c r="J180" s="45" t="s">
        <v>245</v>
      </c>
      <c r="K180" s="44" t="s">
        <v>245</v>
      </c>
      <c r="L180" s="46" t="s">
        <v>245</v>
      </c>
      <c r="M180" s="50"/>
      <c r="N180" s="50"/>
      <c r="O180" s="50"/>
      <c r="P180" s="40"/>
      <c r="Q180" s="40"/>
      <c r="R180" s="40"/>
      <c r="S180" s="40"/>
      <c r="T180" s="40"/>
      <c r="U180" s="40"/>
      <c r="V180" s="40"/>
      <c r="W180" s="40"/>
      <c r="X180" s="40"/>
      <c r="Y180" s="40"/>
    </row>
    <row r="181" spans="1:25">
      <c r="A181" s="38"/>
      <c r="B181" s="39" t="s">
        <v>246</v>
      </c>
      <c r="C181" s="40"/>
      <c r="D181" s="45"/>
      <c r="E181" s="40"/>
      <c r="F181" s="87">
        <v>200</v>
      </c>
      <c r="G181" s="87">
        <v>200</v>
      </c>
      <c r="H181" s="87">
        <v>200</v>
      </c>
      <c r="I181" s="87">
        <v>200</v>
      </c>
      <c r="J181" s="88">
        <v>200</v>
      </c>
      <c r="K181" s="87">
        <v>200</v>
      </c>
      <c r="L181" s="89">
        <v>200</v>
      </c>
      <c r="M181" s="50"/>
      <c r="N181" s="50"/>
      <c r="O181" s="50"/>
      <c r="P181" s="40"/>
      <c r="Q181" s="40"/>
      <c r="R181" s="40"/>
      <c r="S181" s="40"/>
      <c r="T181" s="40"/>
      <c r="U181" s="40"/>
      <c r="V181" s="40"/>
      <c r="W181" s="40"/>
      <c r="X181" s="40"/>
      <c r="Y181" s="40"/>
    </row>
    <row r="182" spans="1:25">
      <c r="A182" s="38"/>
      <c r="B182" s="39" t="s">
        <v>247</v>
      </c>
      <c r="C182" s="40" t="s">
        <v>380</v>
      </c>
      <c r="D182" s="45"/>
      <c r="E182" s="40"/>
      <c r="F182" s="51">
        <v>600</v>
      </c>
      <c r="G182" s="51">
        <v>1100</v>
      </c>
      <c r="H182" s="51">
        <v>1006</v>
      </c>
      <c r="I182" s="51">
        <v>980</v>
      </c>
      <c r="J182" s="63">
        <v>910</v>
      </c>
      <c r="K182" s="64">
        <v>800</v>
      </c>
      <c r="L182" s="65">
        <v>800</v>
      </c>
      <c r="M182" s="50"/>
      <c r="N182" s="50"/>
      <c r="O182" s="50"/>
      <c r="P182" s="40"/>
      <c r="Q182" s="40"/>
      <c r="R182" s="40"/>
      <c r="S182" s="40"/>
      <c r="T182" s="40"/>
      <c r="U182" s="40"/>
      <c r="V182" s="40"/>
      <c r="W182" s="40"/>
      <c r="X182" s="40"/>
      <c r="Y182" s="40"/>
    </row>
    <row r="183" spans="1:25">
      <c r="A183" s="38"/>
      <c r="B183" s="39" t="s">
        <v>248</v>
      </c>
      <c r="C183" s="40" t="s">
        <v>193</v>
      </c>
      <c r="D183" s="45"/>
      <c r="E183" s="40"/>
      <c r="F183" s="76">
        <f t="shared" ref="F183:L183" si="22">F182/F181</f>
        <v>3</v>
      </c>
      <c r="G183" s="76">
        <f t="shared" si="22"/>
        <v>5.5</v>
      </c>
      <c r="H183" s="49">
        <f t="shared" si="22"/>
        <v>5.03</v>
      </c>
      <c r="I183" s="49">
        <f t="shared" si="22"/>
        <v>4.9000000000000004</v>
      </c>
      <c r="J183" s="50">
        <f t="shared" si="22"/>
        <v>4.55</v>
      </c>
      <c r="K183" s="49">
        <f t="shared" si="22"/>
        <v>4</v>
      </c>
      <c r="L183" s="74">
        <f t="shared" si="22"/>
        <v>4</v>
      </c>
      <c r="M183" s="50"/>
      <c r="N183" s="50"/>
      <c r="O183" s="50"/>
      <c r="P183" s="40"/>
      <c r="Q183" s="40"/>
      <c r="R183" s="40"/>
      <c r="S183" s="40"/>
      <c r="T183" s="40"/>
      <c r="U183" s="40"/>
      <c r="V183" s="40"/>
      <c r="W183" s="40"/>
      <c r="X183" s="40"/>
      <c r="Y183" s="40"/>
    </row>
    <row r="184" spans="1:25">
      <c r="A184" s="38"/>
      <c r="B184" s="39"/>
      <c r="C184" s="40"/>
      <c r="D184" s="45"/>
      <c r="E184" s="40"/>
      <c r="F184" s="49"/>
      <c r="G184" s="49"/>
      <c r="H184" s="49"/>
      <c r="I184" s="49"/>
      <c r="J184" s="50"/>
      <c r="K184" s="49"/>
      <c r="L184" s="74"/>
      <c r="M184" s="50"/>
      <c r="N184" s="50"/>
      <c r="O184" s="50"/>
      <c r="P184" s="40"/>
      <c r="Q184" s="40"/>
      <c r="R184" s="40"/>
      <c r="S184" s="40"/>
      <c r="T184" s="40"/>
      <c r="U184" s="40"/>
      <c r="V184" s="40"/>
      <c r="W184" s="40"/>
      <c r="X184" s="40"/>
      <c r="Y184" s="40"/>
    </row>
    <row r="185" spans="1:25">
      <c r="A185" s="38" t="s">
        <v>249</v>
      </c>
      <c r="B185" s="39"/>
      <c r="C185" s="40"/>
      <c r="D185" s="45"/>
      <c r="E185" s="40"/>
      <c r="F185" s="41"/>
      <c r="G185" s="41"/>
      <c r="H185" s="41"/>
      <c r="I185" s="41"/>
      <c r="J185" s="40"/>
      <c r="K185" s="41"/>
      <c r="L185" s="42"/>
      <c r="M185" s="40"/>
      <c r="N185" s="40"/>
      <c r="O185" s="40"/>
      <c r="P185" s="40"/>
      <c r="Q185" s="40"/>
      <c r="R185" s="40"/>
      <c r="S185" s="40"/>
      <c r="T185" s="40"/>
      <c r="U185" s="40"/>
      <c r="V185" s="40"/>
      <c r="W185" s="40"/>
      <c r="X185" s="40"/>
      <c r="Y185" s="40"/>
    </row>
    <row r="186" spans="1:25">
      <c r="A186" s="43" t="s">
        <v>339</v>
      </c>
      <c r="B186" s="39"/>
      <c r="C186" s="40" t="s">
        <v>395</v>
      </c>
      <c r="D186" s="45"/>
      <c r="E186" s="40"/>
      <c r="F186" s="51">
        <v>5.5</v>
      </c>
      <c r="G186" s="51">
        <v>7</v>
      </c>
      <c r="H186" s="51">
        <v>6.6</v>
      </c>
      <c r="I186" s="51">
        <v>7.6</v>
      </c>
      <c r="J186" s="63">
        <v>7.5</v>
      </c>
      <c r="K186" s="64">
        <v>7.6</v>
      </c>
      <c r="L186" s="65">
        <v>7.6</v>
      </c>
      <c r="M186" s="66">
        <v>7.6</v>
      </c>
      <c r="N186" s="45">
        <v>6.4</v>
      </c>
      <c r="O186" s="45">
        <v>6.5</v>
      </c>
      <c r="P186" s="45">
        <v>5.8</v>
      </c>
      <c r="Q186" s="45">
        <v>7</v>
      </c>
      <c r="R186" s="45">
        <v>6.5</v>
      </c>
      <c r="S186" s="45">
        <v>6.5</v>
      </c>
      <c r="T186" s="45">
        <v>6.5</v>
      </c>
      <c r="U186" s="45">
        <v>6.5</v>
      </c>
      <c r="V186" s="45">
        <v>6.5</v>
      </c>
      <c r="W186" s="45">
        <v>6.5</v>
      </c>
      <c r="X186" s="45">
        <v>5</v>
      </c>
      <c r="Y186" s="45">
        <v>5</v>
      </c>
    </row>
    <row r="187" spans="1:25">
      <c r="A187" s="43" t="s">
        <v>250</v>
      </c>
      <c r="B187" s="39"/>
      <c r="C187" s="40"/>
      <c r="D187" s="45"/>
      <c r="E187" s="40"/>
      <c r="F187" s="44"/>
      <c r="G187" s="44"/>
      <c r="H187" s="44"/>
      <c r="I187" s="44"/>
      <c r="J187" s="45"/>
      <c r="K187" s="44"/>
      <c r="L187" s="46"/>
      <c r="M187" s="45"/>
      <c r="N187" s="45"/>
      <c r="O187" s="45"/>
      <c r="P187" s="45"/>
      <c r="Q187" s="45"/>
      <c r="R187" s="45"/>
      <c r="S187" s="45"/>
      <c r="T187" s="45"/>
      <c r="U187" s="45"/>
      <c r="V187" s="45"/>
      <c r="W187" s="45"/>
      <c r="X187" s="45"/>
      <c r="Y187" s="45"/>
    </row>
    <row r="188" spans="1:25">
      <c r="A188" s="43"/>
      <c r="B188" s="39" t="s">
        <v>125</v>
      </c>
      <c r="C188" s="90"/>
      <c r="D188" s="45"/>
      <c r="E188" s="90"/>
      <c r="F188" s="91">
        <v>0.32</v>
      </c>
      <c r="G188" s="91">
        <v>0.32</v>
      </c>
      <c r="H188" s="91">
        <v>0.32</v>
      </c>
      <c r="I188" s="91">
        <v>0.32</v>
      </c>
      <c r="J188" s="90">
        <v>0.32</v>
      </c>
      <c r="K188" s="91">
        <v>0.32</v>
      </c>
      <c r="L188" s="90">
        <v>0.32</v>
      </c>
      <c r="M188" s="90">
        <v>0.32</v>
      </c>
      <c r="N188" s="90">
        <v>0.32</v>
      </c>
      <c r="O188" s="90">
        <v>0.32</v>
      </c>
      <c r="P188" s="45"/>
      <c r="Q188" s="45"/>
      <c r="R188" s="45"/>
      <c r="S188" s="45"/>
      <c r="T188" s="45"/>
      <c r="U188" s="45"/>
      <c r="V188" s="45"/>
      <c r="W188" s="45"/>
      <c r="X188" s="45"/>
      <c r="Y188" s="45"/>
    </row>
    <row r="189" spans="1:25">
      <c r="A189" s="43"/>
      <c r="B189" s="39" t="s">
        <v>126</v>
      </c>
      <c r="C189" s="90"/>
      <c r="D189" s="45"/>
      <c r="E189" s="90"/>
      <c r="F189" s="91">
        <v>0.54</v>
      </c>
      <c r="G189" s="91">
        <v>0.54</v>
      </c>
      <c r="H189" s="91">
        <v>0.54</v>
      </c>
      <c r="I189" s="91">
        <v>0.54</v>
      </c>
      <c r="J189" s="90">
        <v>0.54</v>
      </c>
      <c r="K189" s="91">
        <v>0.54</v>
      </c>
      <c r="L189" s="90">
        <v>0.54</v>
      </c>
      <c r="M189" s="90">
        <v>0.54</v>
      </c>
      <c r="N189" s="90">
        <v>0.54</v>
      </c>
      <c r="O189" s="90">
        <v>0.54</v>
      </c>
      <c r="P189" s="45"/>
      <c r="Q189" s="45"/>
      <c r="R189" s="45"/>
      <c r="S189" s="45"/>
      <c r="T189" s="45"/>
      <c r="U189" s="45"/>
      <c r="V189" s="45"/>
      <c r="W189" s="45"/>
      <c r="X189" s="45"/>
      <c r="Y189" s="45"/>
    </row>
    <row r="190" spans="1:25">
      <c r="A190" s="43"/>
      <c r="B190" s="39" t="s">
        <v>127</v>
      </c>
      <c r="C190" s="90"/>
      <c r="D190" s="45"/>
      <c r="E190" s="90"/>
      <c r="F190" s="91">
        <v>0.63</v>
      </c>
      <c r="G190" s="91">
        <v>0.63</v>
      </c>
      <c r="H190" s="91">
        <v>0.63</v>
      </c>
      <c r="I190" s="91">
        <v>0.63</v>
      </c>
      <c r="J190" s="90">
        <v>0.63</v>
      </c>
      <c r="K190" s="91">
        <v>0.63</v>
      </c>
      <c r="L190" s="90">
        <v>0.63</v>
      </c>
      <c r="M190" s="90">
        <v>0.63</v>
      </c>
      <c r="N190" s="90">
        <v>0.63</v>
      </c>
      <c r="O190" s="90">
        <v>0.63</v>
      </c>
      <c r="P190" s="45"/>
      <c r="Q190" s="45"/>
      <c r="R190" s="45"/>
      <c r="S190" s="45"/>
      <c r="T190" s="45"/>
      <c r="U190" s="45"/>
      <c r="V190" s="45"/>
      <c r="W190" s="45"/>
      <c r="X190" s="45"/>
      <c r="Y190" s="45"/>
    </row>
    <row r="191" spans="1:25">
      <c r="A191" s="43" t="s">
        <v>120</v>
      </c>
      <c r="B191" s="39"/>
      <c r="C191" s="40"/>
      <c r="D191" s="40"/>
      <c r="E191" s="40"/>
      <c r="F191" s="44"/>
      <c r="G191" s="44"/>
      <c r="H191" s="44"/>
      <c r="I191" s="44"/>
      <c r="J191" s="45"/>
      <c r="K191" s="44"/>
      <c r="L191" s="46"/>
      <c r="M191" s="45"/>
      <c r="N191" s="45"/>
      <c r="O191" s="45"/>
      <c r="P191" s="45"/>
      <c r="Q191" s="45"/>
      <c r="R191" s="45"/>
      <c r="S191" s="45"/>
      <c r="T191" s="45"/>
      <c r="U191" s="45"/>
      <c r="V191" s="45"/>
      <c r="W191" s="45"/>
      <c r="X191" s="45"/>
      <c r="Y191" s="45"/>
    </row>
    <row r="192" spans="1:25">
      <c r="A192" s="43"/>
      <c r="B192" s="39" t="s">
        <v>251</v>
      </c>
      <c r="C192" s="40" t="s">
        <v>387</v>
      </c>
      <c r="D192" s="40"/>
      <c r="E192" s="40"/>
      <c r="F192" s="76">
        <f t="shared" ref="F192:G194" si="23">F$186*F188</f>
        <v>1.76</v>
      </c>
      <c r="G192" s="76">
        <f t="shared" si="23"/>
        <v>2.2400000000000002</v>
      </c>
      <c r="H192" s="44">
        <f t="shared" ref="H192:O194" si="24">H$186*H188</f>
        <v>2.1120000000000001</v>
      </c>
      <c r="I192" s="44">
        <f t="shared" si="24"/>
        <v>2.4319999999999999</v>
      </c>
      <c r="J192" s="45">
        <f t="shared" si="24"/>
        <v>2.4</v>
      </c>
      <c r="K192" s="44">
        <f t="shared" si="24"/>
        <v>2.4319999999999999</v>
      </c>
      <c r="L192" s="46">
        <f t="shared" si="24"/>
        <v>2.4319999999999999</v>
      </c>
      <c r="M192" s="45">
        <f t="shared" si="24"/>
        <v>2.4319999999999999</v>
      </c>
      <c r="N192" s="45">
        <f t="shared" si="24"/>
        <v>2.048</v>
      </c>
      <c r="O192" s="45">
        <f t="shared" si="24"/>
        <v>2.08</v>
      </c>
      <c r="P192" s="45"/>
      <c r="Q192" s="45"/>
      <c r="R192" s="45"/>
      <c r="S192" s="45"/>
      <c r="T192" s="45"/>
      <c r="U192" s="45"/>
      <c r="V192" s="45"/>
      <c r="W192" s="45"/>
      <c r="X192" s="45"/>
      <c r="Y192" s="45"/>
    </row>
    <row r="193" spans="1:25">
      <c r="A193" s="43"/>
      <c r="B193" s="39" t="s">
        <v>252</v>
      </c>
      <c r="C193" s="40" t="s">
        <v>387</v>
      </c>
      <c r="D193" s="40"/>
      <c r="E193" s="40"/>
      <c r="F193" s="76">
        <f t="shared" si="23"/>
        <v>2.97</v>
      </c>
      <c r="G193" s="76">
        <f t="shared" si="23"/>
        <v>3.7800000000000002</v>
      </c>
      <c r="H193" s="44">
        <f t="shared" si="24"/>
        <v>3.5640000000000001</v>
      </c>
      <c r="I193" s="44">
        <f t="shared" si="24"/>
        <v>4.1040000000000001</v>
      </c>
      <c r="J193" s="45">
        <f t="shared" si="24"/>
        <v>4.0500000000000007</v>
      </c>
      <c r="K193" s="44">
        <f t="shared" si="24"/>
        <v>4.1040000000000001</v>
      </c>
      <c r="L193" s="46">
        <f t="shared" si="24"/>
        <v>4.1040000000000001</v>
      </c>
      <c r="M193" s="45">
        <f t="shared" si="24"/>
        <v>4.1040000000000001</v>
      </c>
      <c r="N193" s="45">
        <f t="shared" si="24"/>
        <v>3.4560000000000004</v>
      </c>
      <c r="O193" s="45">
        <f t="shared" si="24"/>
        <v>3.5100000000000002</v>
      </c>
      <c r="P193" s="45"/>
      <c r="Q193" s="45"/>
      <c r="R193" s="45"/>
      <c r="S193" s="45"/>
      <c r="T193" s="45"/>
      <c r="U193" s="45"/>
      <c r="V193" s="45"/>
      <c r="W193" s="45"/>
      <c r="X193" s="45"/>
      <c r="Y193" s="45"/>
    </row>
    <row r="194" spans="1:25">
      <c r="A194" s="43"/>
      <c r="B194" s="39" t="s">
        <v>253</v>
      </c>
      <c r="C194" s="40" t="s">
        <v>387</v>
      </c>
      <c r="D194" s="40"/>
      <c r="E194" s="40"/>
      <c r="F194" s="76">
        <f t="shared" si="23"/>
        <v>3.4649999999999999</v>
      </c>
      <c r="G194" s="76">
        <f t="shared" si="23"/>
        <v>4.41</v>
      </c>
      <c r="H194" s="44">
        <f t="shared" si="24"/>
        <v>4.1579999999999995</v>
      </c>
      <c r="I194" s="44">
        <f t="shared" si="24"/>
        <v>4.7879999999999994</v>
      </c>
      <c r="J194" s="45">
        <f t="shared" si="24"/>
        <v>4.7249999999999996</v>
      </c>
      <c r="K194" s="44">
        <f t="shared" si="24"/>
        <v>4.7879999999999994</v>
      </c>
      <c r="L194" s="46">
        <f t="shared" si="24"/>
        <v>4.7879999999999994</v>
      </c>
      <c r="M194" s="45">
        <f t="shared" si="24"/>
        <v>4.7879999999999994</v>
      </c>
      <c r="N194" s="45">
        <f t="shared" si="24"/>
        <v>4.032</v>
      </c>
      <c r="O194" s="45">
        <f t="shared" si="24"/>
        <v>4.0949999999999998</v>
      </c>
      <c r="P194" s="45"/>
      <c r="Q194" s="45"/>
      <c r="R194" s="45"/>
      <c r="S194" s="45"/>
      <c r="T194" s="45"/>
      <c r="U194" s="45"/>
      <c r="V194" s="45"/>
      <c r="W194" s="45"/>
      <c r="X194" s="45"/>
      <c r="Y194" s="45"/>
    </row>
    <row r="195" spans="1:25">
      <c r="A195" s="43"/>
      <c r="B195" s="39"/>
      <c r="C195" s="40"/>
      <c r="D195" s="40"/>
      <c r="E195" s="40"/>
      <c r="F195" s="44"/>
      <c r="G195" s="44"/>
      <c r="H195" s="44"/>
      <c r="I195" s="44"/>
      <c r="J195" s="45"/>
      <c r="K195" s="44"/>
      <c r="L195" s="46"/>
      <c r="M195" s="45"/>
      <c r="N195" s="45"/>
      <c r="O195" s="45"/>
      <c r="P195" s="45"/>
      <c r="Q195" s="45"/>
      <c r="R195" s="45"/>
      <c r="S195" s="45"/>
      <c r="T195" s="45"/>
      <c r="U195" s="45"/>
      <c r="V195" s="45"/>
      <c r="W195" s="45"/>
      <c r="X195" s="45"/>
      <c r="Y195" s="45"/>
    </row>
    <row r="196" spans="1:25">
      <c r="A196" s="43"/>
      <c r="B196" s="39"/>
      <c r="C196" s="40"/>
      <c r="D196" s="40"/>
      <c r="E196" s="40"/>
      <c r="F196" s="41"/>
      <c r="G196" s="41"/>
      <c r="H196" s="41"/>
      <c r="I196" s="41"/>
      <c r="J196" s="40"/>
      <c r="K196" s="41"/>
      <c r="L196" s="42"/>
      <c r="M196" s="40"/>
      <c r="N196" s="40"/>
      <c r="O196" s="40"/>
      <c r="P196" s="40"/>
      <c r="Q196" s="40"/>
      <c r="R196" s="40"/>
      <c r="S196" s="40"/>
      <c r="T196" s="40"/>
      <c r="U196" s="40"/>
      <c r="V196" s="40"/>
      <c r="W196" s="40"/>
      <c r="X196" s="40"/>
      <c r="Y196" s="40"/>
    </row>
    <row r="197" spans="1:25" s="95" customFormat="1">
      <c r="A197" s="38" t="s">
        <v>254</v>
      </c>
      <c r="B197" s="72"/>
      <c r="C197" s="92"/>
      <c r="D197" s="92"/>
      <c r="E197" s="92"/>
      <c r="F197" s="93"/>
      <c r="G197" s="93"/>
      <c r="H197" s="93"/>
      <c r="I197" s="93"/>
      <c r="J197" s="92"/>
      <c r="K197" s="93"/>
      <c r="L197" s="94"/>
      <c r="M197" s="92"/>
      <c r="N197" s="92"/>
      <c r="O197" s="92"/>
      <c r="P197" s="92"/>
      <c r="Q197" s="92"/>
      <c r="R197" s="92"/>
      <c r="S197" s="92"/>
      <c r="T197" s="92"/>
      <c r="U197" s="92"/>
      <c r="V197" s="92"/>
      <c r="W197" s="92"/>
      <c r="X197" s="92"/>
      <c r="Y197" s="92"/>
    </row>
    <row r="198" spans="1:25">
      <c r="A198" s="43"/>
      <c r="B198" s="39" t="s">
        <v>255</v>
      </c>
      <c r="C198" s="40" t="s">
        <v>389</v>
      </c>
      <c r="D198" s="40"/>
      <c r="E198" s="40"/>
      <c r="F198" s="44">
        <v>16</v>
      </c>
      <c r="G198" s="44">
        <v>16</v>
      </c>
      <c r="H198" s="44">
        <v>16</v>
      </c>
      <c r="I198" s="44">
        <v>16</v>
      </c>
      <c r="J198" s="45">
        <v>16</v>
      </c>
      <c r="K198" s="44">
        <v>16</v>
      </c>
      <c r="L198" s="46">
        <v>16</v>
      </c>
      <c r="M198" s="45">
        <v>16</v>
      </c>
      <c r="N198" s="45">
        <v>16</v>
      </c>
      <c r="O198" s="45">
        <v>16</v>
      </c>
      <c r="P198" s="45">
        <v>16</v>
      </c>
      <c r="Q198" s="45">
        <v>16</v>
      </c>
      <c r="R198" s="45">
        <v>16</v>
      </c>
      <c r="S198" s="45">
        <v>16</v>
      </c>
      <c r="T198" s="45">
        <v>16</v>
      </c>
      <c r="U198" s="45">
        <v>16</v>
      </c>
      <c r="V198" s="45">
        <v>16</v>
      </c>
      <c r="W198" s="45">
        <v>16</v>
      </c>
      <c r="X198" s="45">
        <v>16</v>
      </c>
      <c r="Y198" s="45">
        <v>16</v>
      </c>
    </row>
    <row r="199" spans="1:25">
      <c r="A199" s="43"/>
      <c r="B199" s="39" t="s">
        <v>339</v>
      </c>
      <c r="C199" s="40" t="s">
        <v>178</v>
      </c>
      <c r="D199" s="40"/>
      <c r="E199" s="40" t="s">
        <v>359</v>
      </c>
      <c r="F199" s="51">
        <v>4.5</v>
      </c>
      <c r="G199" s="51">
        <v>5.5</v>
      </c>
      <c r="H199" s="51">
        <v>5</v>
      </c>
      <c r="I199" s="51">
        <v>5</v>
      </c>
      <c r="J199" s="63">
        <v>5</v>
      </c>
      <c r="K199" s="64">
        <v>4.8</v>
      </c>
      <c r="L199" s="65">
        <v>4.8</v>
      </c>
      <c r="M199" s="45">
        <v>4.8</v>
      </c>
      <c r="N199" s="45">
        <v>4.8</v>
      </c>
      <c r="O199" s="45">
        <v>4.5</v>
      </c>
      <c r="P199" s="45">
        <v>4.5</v>
      </c>
      <c r="Q199" s="45">
        <v>4.5</v>
      </c>
      <c r="R199" s="45">
        <v>4.5</v>
      </c>
      <c r="S199" s="45">
        <v>4.5</v>
      </c>
      <c r="T199" s="45">
        <v>4.5</v>
      </c>
      <c r="U199" s="45">
        <v>4.5</v>
      </c>
      <c r="V199" s="45">
        <v>4.5</v>
      </c>
      <c r="W199" s="45">
        <v>4.5</v>
      </c>
      <c r="X199" s="45">
        <v>4.5</v>
      </c>
      <c r="Y199" s="45">
        <v>4.5</v>
      </c>
    </row>
    <row r="200" spans="1:25">
      <c r="A200" s="43"/>
      <c r="B200" s="39" t="s">
        <v>256</v>
      </c>
      <c r="C200" s="40" t="s">
        <v>380</v>
      </c>
      <c r="D200" s="40"/>
      <c r="E200" s="40"/>
      <c r="F200" s="61">
        <f t="shared" ref="F200:Y200" si="25">F199*F198</f>
        <v>72</v>
      </c>
      <c r="G200" s="61">
        <f t="shared" si="25"/>
        <v>88</v>
      </c>
      <c r="H200" s="44">
        <f t="shared" si="25"/>
        <v>80</v>
      </c>
      <c r="I200" s="44">
        <f t="shared" si="25"/>
        <v>80</v>
      </c>
      <c r="J200" s="45">
        <f t="shared" si="25"/>
        <v>80</v>
      </c>
      <c r="K200" s="44">
        <f t="shared" si="25"/>
        <v>76.8</v>
      </c>
      <c r="L200" s="46">
        <f t="shared" si="25"/>
        <v>76.8</v>
      </c>
      <c r="M200" s="45">
        <f t="shared" si="25"/>
        <v>76.8</v>
      </c>
      <c r="N200" s="45">
        <f t="shared" si="25"/>
        <v>76.8</v>
      </c>
      <c r="O200" s="45">
        <f t="shared" si="25"/>
        <v>72</v>
      </c>
      <c r="P200" s="45">
        <f t="shared" si="25"/>
        <v>72</v>
      </c>
      <c r="Q200" s="45">
        <f t="shared" si="25"/>
        <v>72</v>
      </c>
      <c r="R200" s="45">
        <f t="shared" si="25"/>
        <v>72</v>
      </c>
      <c r="S200" s="45">
        <f t="shared" si="25"/>
        <v>72</v>
      </c>
      <c r="T200" s="45">
        <f t="shared" si="25"/>
        <v>72</v>
      </c>
      <c r="U200" s="45">
        <f t="shared" si="25"/>
        <v>72</v>
      </c>
      <c r="V200" s="45">
        <f t="shared" si="25"/>
        <v>72</v>
      </c>
      <c r="W200" s="45">
        <f t="shared" si="25"/>
        <v>72</v>
      </c>
      <c r="X200" s="45">
        <f t="shared" si="25"/>
        <v>72</v>
      </c>
      <c r="Y200" s="45">
        <f t="shared" si="25"/>
        <v>72</v>
      </c>
    </row>
    <row r="201" spans="1:25">
      <c r="A201" s="43"/>
      <c r="B201" s="39" t="s">
        <v>257</v>
      </c>
      <c r="C201" s="40" t="s">
        <v>371</v>
      </c>
      <c r="D201" s="40"/>
      <c r="E201" s="40"/>
      <c r="F201" s="45">
        <v>1800</v>
      </c>
      <c r="G201" s="61"/>
      <c r="H201" s="44"/>
      <c r="I201" s="44"/>
      <c r="J201" s="45"/>
      <c r="K201" s="44"/>
      <c r="L201" s="46"/>
      <c r="M201" s="45"/>
      <c r="N201" s="45"/>
      <c r="O201" s="45"/>
      <c r="P201" s="45"/>
      <c r="Q201" s="45"/>
      <c r="R201" s="45"/>
      <c r="S201" s="45"/>
      <c r="T201" s="45"/>
      <c r="U201" s="45"/>
      <c r="V201" s="45"/>
      <c r="W201" s="45"/>
      <c r="X201" s="45"/>
      <c r="Y201" s="45"/>
    </row>
    <row r="202" spans="1:25">
      <c r="A202" s="43"/>
      <c r="B202" s="39" t="s">
        <v>257</v>
      </c>
      <c r="C202" s="40" t="s">
        <v>116</v>
      </c>
      <c r="D202" s="40"/>
      <c r="E202" s="40"/>
      <c r="F202" s="110">
        <v>0.01</v>
      </c>
      <c r="G202" s="61"/>
      <c r="H202" s="44"/>
      <c r="I202" s="44"/>
      <c r="J202" s="45"/>
      <c r="K202" s="44"/>
      <c r="L202" s="46"/>
      <c r="M202" s="45"/>
      <c r="N202" s="45"/>
      <c r="O202" s="45"/>
      <c r="P202" s="45"/>
      <c r="Q202" s="45"/>
      <c r="R202" s="45"/>
      <c r="S202" s="45"/>
      <c r="T202" s="45"/>
      <c r="U202" s="45"/>
      <c r="V202" s="45"/>
      <c r="W202" s="45"/>
      <c r="X202" s="45"/>
      <c r="Y202" s="45"/>
    </row>
    <row r="203" spans="1:25">
      <c r="A203" s="43"/>
      <c r="B203" s="39" t="s">
        <v>257</v>
      </c>
      <c r="C203" s="40" t="s">
        <v>258</v>
      </c>
      <c r="D203" s="40"/>
      <c r="E203" s="40"/>
      <c r="F203" s="61">
        <f>F201*F202</f>
        <v>18</v>
      </c>
      <c r="G203" s="44">
        <v>35</v>
      </c>
      <c r="H203" s="44">
        <v>32</v>
      </c>
      <c r="I203" s="44">
        <v>32</v>
      </c>
      <c r="J203" s="45">
        <v>32</v>
      </c>
      <c r="K203" s="44">
        <v>32</v>
      </c>
      <c r="L203" s="46">
        <v>32</v>
      </c>
      <c r="M203" s="45">
        <v>32</v>
      </c>
      <c r="N203" s="45">
        <v>32</v>
      </c>
      <c r="O203" s="45">
        <v>28</v>
      </c>
      <c r="P203" s="45">
        <v>28</v>
      </c>
      <c r="Q203" s="45">
        <v>28</v>
      </c>
      <c r="R203" s="45">
        <v>28</v>
      </c>
      <c r="S203" s="45">
        <v>28</v>
      </c>
      <c r="T203" s="45">
        <v>28</v>
      </c>
      <c r="U203" s="45">
        <v>28</v>
      </c>
      <c r="V203" s="45">
        <v>28</v>
      </c>
      <c r="W203" s="45">
        <v>28</v>
      </c>
      <c r="X203" s="45">
        <v>28</v>
      </c>
      <c r="Y203" s="45">
        <v>28</v>
      </c>
    </row>
    <row r="204" spans="1:25">
      <c r="A204" s="43"/>
      <c r="B204" s="39" t="s">
        <v>375</v>
      </c>
      <c r="C204" s="40" t="s">
        <v>258</v>
      </c>
      <c r="D204" s="40"/>
      <c r="E204" s="40"/>
      <c r="F204" s="76">
        <f>F200+F203</f>
        <v>90</v>
      </c>
      <c r="G204" s="76">
        <f t="shared" ref="G204:Y204" si="26">SUM(G200:G203)</f>
        <v>123</v>
      </c>
      <c r="H204" s="49">
        <f t="shared" si="26"/>
        <v>112</v>
      </c>
      <c r="I204" s="49">
        <f t="shared" si="26"/>
        <v>112</v>
      </c>
      <c r="J204" s="50">
        <f t="shared" si="26"/>
        <v>112</v>
      </c>
      <c r="K204" s="49">
        <f t="shared" si="26"/>
        <v>108.8</v>
      </c>
      <c r="L204" s="74">
        <f t="shared" si="26"/>
        <v>108.8</v>
      </c>
      <c r="M204" s="50">
        <f t="shared" si="26"/>
        <v>108.8</v>
      </c>
      <c r="N204" s="50">
        <f t="shared" si="26"/>
        <v>108.8</v>
      </c>
      <c r="O204" s="50">
        <f t="shared" si="26"/>
        <v>100</v>
      </c>
      <c r="P204" s="50">
        <f t="shared" si="26"/>
        <v>100</v>
      </c>
      <c r="Q204" s="50">
        <f t="shared" si="26"/>
        <v>100</v>
      </c>
      <c r="R204" s="50">
        <f t="shared" si="26"/>
        <v>100</v>
      </c>
      <c r="S204" s="50">
        <f t="shared" si="26"/>
        <v>100</v>
      </c>
      <c r="T204" s="50">
        <f t="shared" si="26"/>
        <v>100</v>
      </c>
      <c r="U204" s="50">
        <f t="shared" si="26"/>
        <v>100</v>
      </c>
      <c r="V204" s="50">
        <f t="shared" si="26"/>
        <v>100</v>
      </c>
      <c r="W204" s="50">
        <f t="shared" si="26"/>
        <v>100</v>
      </c>
      <c r="X204" s="50">
        <f t="shared" si="26"/>
        <v>100</v>
      </c>
      <c r="Y204" s="50">
        <f t="shared" si="26"/>
        <v>100</v>
      </c>
    </row>
    <row r="205" spans="1:25">
      <c r="A205" s="43"/>
      <c r="B205" s="39"/>
      <c r="C205" s="40"/>
      <c r="D205" s="40"/>
      <c r="E205" s="40"/>
      <c r="F205" s="44"/>
      <c r="G205" s="44"/>
      <c r="H205" s="44"/>
      <c r="I205" s="44"/>
      <c r="J205" s="45"/>
      <c r="K205" s="44"/>
      <c r="L205" s="46"/>
      <c r="M205" s="45"/>
      <c r="N205" s="45"/>
      <c r="O205" s="45"/>
      <c r="P205" s="45"/>
      <c r="Q205" s="45"/>
      <c r="R205" s="45"/>
      <c r="S205" s="45"/>
      <c r="T205" s="45"/>
      <c r="U205" s="45"/>
      <c r="V205" s="45"/>
      <c r="W205" s="45"/>
      <c r="X205" s="45"/>
      <c r="Y205" s="45"/>
    </row>
    <row r="206" spans="1:25">
      <c r="A206" s="43"/>
      <c r="B206" s="39"/>
      <c r="C206" s="40"/>
      <c r="D206" s="40"/>
      <c r="E206" s="40"/>
      <c r="F206" s="41"/>
      <c r="G206" s="41"/>
      <c r="H206" s="41"/>
      <c r="I206" s="41"/>
      <c r="J206" s="40"/>
      <c r="K206" s="41"/>
      <c r="L206" s="42"/>
      <c r="M206" s="40"/>
      <c r="N206" s="40"/>
      <c r="O206" s="40"/>
      <c r="P206" s="40"/>
      <c r="Q206" s="40"/>
      <c r="R206" s="40"/>
      <c r="S206" s="40"/>
      <c r="T206" s="40"/>
      <c r="U206" s="40"/>
      <c r="V206" s="40"/>
      <c r="W206" s="40"/>
      <c r="X206" s="40"/>
      <c r="Y206" s="40"/>
    </row>
    <row r="207" spans="1:25" s="95" customFormat="1">
      <c r="A207" s="38" t="s">
        <v>259</v>
      </c>
      <c r="B207" s="72"/>
      <c r="C207" s="92"/>
      <c r="D207" s="92"/>
      <c r="E207" s="92"/>
      <c r="F207" s="93"/>
      <c r="G207" s="93"/>
      <c r="H207" s="93"/>
      <c r="I207" s="93"/>
      <c r="J207" s="92"/>
      <c r="K207" s="93"/>
      <c r="L207" s="94"/>
      <c r="M207" s="92"/>
      <c r="N207" s="92"/>
      <c r="O207" s="92"/>
      <c r="P207" s="92"/>
      <c r="Q207" s="92"/>
      <c r="R207" s="92"/>
      <c r="S207" s="92"/>
      <c r="T207" s="92"/>
      <c r="U207" s="92"/>
      <c r="V207" s="92"/>
      <c r="W207" s="92"/>
      <c r="X207" s="92"/>
      <c r="Y207" s="92"/>
    </row>
    <row r="208" spans="1:25">
      <c r="A208" s="43"/>
      <c r="B208" s="39" t="s">
        <v>260</v>
      </c>
      <c r="C208" s="40" t="s">
        <v>389</v>
      </c>
      <c r="D208" s="18"/>
      <c r="E208" s="40"/>
      <c r="F208" s="19">
        <v>10.5</v>
      </c>
      <c r="G208" s="19">
        <v>10.5</v>
      </c>
      <c r="H208" s="19">
        <v>10.5</v>
      </c>
      <c r="I208" s="19">
        <v>10.5</v>
      </c>
      <c r="J208" s="18">
        <v>10.5</v>
      </c>
      <c r="K208" s="19">
        <v>10.5</v>
      </c>
      <c r="L208" s="20">
        <v>10.5</v>
      </c>
      <c r="M208" s="18">
        <v>10.5</v>
      </c>
      <c r="N208" s="18">
        <v>10.5</v>
      </c>
      <c r="O208" s="18">
        <v>10.5</v>
      </c>
      <c r="P208" s="40">
        <v>10.5</v>
      </c>
      <c r="Q208" s="40">
        <v>10.5</v>
      </c>
      <c r="R208" s="40"/>
      <c r="S208" s="40"/>
      <c r="T208" s="40"/>
      <c r="U208" s="40"/>
      <c r="V208" s="40"/>
      <c r="W208" s="40"/>
      <c r="X208" s="40"/>
      <c r="Y208" s="40"/>
    </row>
    <row r="209" spans="1:25">
      <c r="A209" s="43"/>
      <c r="B209" s="39" t="s">
        <v>261</v>
      </c>
      <c r="C209" s="40" t="s">
        <v>380</v>
      </c>
      <c r="D209" s="40"/>
      <c r="E209" s="40"/>
      <c r="F209" s="51">
        <v>39</v>
      </c>
      <c r="G209" s="51">
        <v>39</v>
      </c>
      <c r="H209" s="51">
        <v>39.1</v>
      </c>
      <c r="I209" s="51">
        <v>39</v>
      </c>
      <c r="J209" s="63">
        <v>38.5</v>
      </c>
      <c r="K209" s="64">
        <v>42</v>
      </c>
      <c r="L209" s="46">
        <v>42</v>
      </c>
      <c r="M209" s="45">
        <v>42</v>
      </c>
      <c r="N209" s="45">
        <v>38</v>
      </c>
      <c r="O209" s="45">
        <v>38</v>
      </c>
      <c r="P209" s="45">
        <v>38</v>
      </c>
      <c r="Q209" s="45">
        <v>38</v>
      </c>
      <c r="R209" s="40"/>
      <c r="S209" s="40"/>
      <c r="T209" s="40"/>
      <c r="U209" s="40"/>
      <c r="V209" s="40"/>
      <c r="W209" s="40"/>
      <c r="X209" s="40"/>
      <c r="Y209" s="40"/>
    </row>
    <row r="210" spans="1:25">
      <c r="A210" s="43"/>
      <c r="B210" s="39" t="s">
        <v>262</v>
      </c>
      <c r="C210" s="40" t="s">
        <v>389</v>
      </c>
      <c r="D210" s="40"/>
      <c r="E210" s="40"/>
      <c r="F210" s="44">
        <v>110</v>
      </c>
      <c r="G210" s="44">
        <v>110</v>
      </c>
      <c r="H210" s="44">
        <v>110</v>
      </c>
      <c r="I210" s="44">
        <v>110</v>
      </c>
      <c r="J210" s="45">
        <v>110</v>
      </c>
      <c r="K210" s="44">
        <v>110</v>
      </c>
      <c r="L210" s="46">
        <v>110</v>
      </c>
      <c r="M210" s="45">
        <v>110</v>
      </c>
      <c r="N210" s="45">
        <v>110</v>
      </c>
      <c r="O210" s="45">
        <v>110</v>
      </c>
      <c r="P210" s="45">
        <v>110</v>
      </c>
      <c r="Q210" s="45">
        <v>110</v>
      </c>
      <c r="R210" s="45">
        <v>110</v>
      </c>
      <c r="S210" s="45">
        <v>110</v>
      </c>
      <c r="T210" s="45">
        <v>110</v>
      </c>
      <c r="U210" s="45"/>
      <c r="V210" s="45"/>
      <c r="W210" s="45"/>
      <c r="X210" s="45"/>
      <c r="Y210" s="45"/>
    </row>
    <row r="211" spans="1:25">
      <c r="A211" s="43"/>
      <c r="B211" s="39" t="s">
        <v>339</v>
      </c>
      <c r="C211" s="40" t="s">
        <v>178</v>
      </c>
      <c r="D211" s="40"/>
      <c r="E211" s="40"/>
      <c r="F211" s="61">
        <f t="shared" ref="F211:K211" si="27">F209/F208</f>
        <v>3.7142857142857144</v>
      </c>
      <c r="G211" s="61">
        <f t="shared" si="27"/>
        <v>3.7142857142857144</v>
      </c>
      <c r="H211" s="44">
        <f t="shared" si="27"/>
        <v>3.7238095238095239</v>
      </c>
      <c r="I211" s="44">
        <f t="shared" si="27"/>
        <v>3.7142857142857144</v>
      </c>
      <c r="J211" s="45">
        <f t="shared" si="27"/>
        <v>3.6666666666666665</v>
      </c>
      <c r="K211" s="44">
        <f t="shared" si="27"/>
        <v>4</v>
      </c>
      <c r="L211" s="45">
        <f t="shared" ref="L211:Q211" si="28">L209/L208</f>
        <v>4</v>
      </c>
      <c r="M211" s="45">
        <f t="shared" si="28"/>
        <v>4</v>
      </c>
      <c r="N211" s="45">
        <f t="shared" si="28"/>
        <v>3.6190476190476191</v>
      </c>
      <c r="O211" s="45">
        <f t="shared" si="28"/>
        <v>3.6190476190476191</v>
      </c>
      <c r="P211" s="45">
        <f t="shared" si="28"/>
        <v>3.6190476190476191</v>
      </c>
      <c r="Q211" s="45">
        <f t="shared" si="28"/>
        <v>3.6190476190476191</v>
      </c>
      <c r="R211" s="45">
        <v>2.5</v>
      </c>
      <c r="S211" s="45">
        <v>2.5</v>
      </c>
      <c r="T211" s="45">
        <v>2.5</v>
      </c>
      <c r="U211" s="45"/>
      <c r="V211" s="45"/>
      <c r="W211" s="45"/>
      <c r="X211" s="45"/>
      <c r="Y211" s="45"/>
    </row>
    <row r="212" spans="1:25">
      <c r="A212" s="43"/>
      <c r="B212" s="39" t="s">
        <v>256</v>
      </c>
      <c r="C212" s="40" t="s">
        <v>380</v>
      </c>
      <c r="D212" s="40"/>
      <c r="E212" s="40"/>
      <c r="F212" s="76">
        <f t="shared" ref="F212:T212" si="29">F211*F210</f>
        <v>408.57142857142861</v>
      </c>
      <c r="G212" s="76">
        <f t="shared" si="29"/>
        <v>408.57142857142861</v>
      </c>
      <c r="H212" s="49">
        <f t="shared" si="29"/>
        <v>409.61904761904765</v>
      </c>
      <c r="I212" s="49">
        <f t="shared" si="29"/>
        <v>408.57142857142861</v>
      </c>
      <c r="J212" s="50">
        <f t="shared" si="29"/>
        <v>403.33333333333331</v>
      </c>
      <c r="K212" s="49">
        <f t="shared" si="29"/>
        <v>440</v>
      </c>
      <c r="L212" s="74">
        <f t="shared" si="29"/>
        <v>440</v>
      </c>
      <c r="M212" s="50">
        <f t="shared" si="29"/>
        <v>440</v>
      </c>
      <c r="N212" s="50">
        <f t="shared" si="29"/>
        <v>398.09523809523807</v>
      </c>
      <c r="O212" s="50">
        <f t="shared" si="29"/>
        <v>398.09523809523807</v>
      </c>
      <c r="P212" s="50">
        <f t="shared" si="29"/>
        <v>398.09523809523807</v>
      </c>
      <c r="Q212" s="50">
        <f t="shared" si="29"/>
        <v>398.09523809523807</v>
      </c>
      <c r="R212" s="50">
        <f t="shared" si="29"/>
        <v>275</v>
      </c>
      <c r="S212" s="50">
        <f t="shared" si="29"/>
        <v>275</v>
      </c>
      <c r="T212" s="50">
        <f t="shared" si="29"/>
        <v>275</v>
      </c>
      <c r="U212" s="45"/>
      <c r="V212" s="45"/>
      <c r="W212" s="45"/>
      <c r="X212" s="45"/>
      <c r="Y212" s="45"/>
    </row>
    <row r="213" spans="1:25">
      <c r="A213" s="43"/>
      <c r="B213" s="39"/>
      <c r="C213" s="40"/>
      <c r="D213" s="40"/>
      <c r="E213" s="40"/>
      <c r="F213" s="44"/>
      <c r="G213" s="44"/>
      <c r="H213" s="44"/>
      <c r="I213" s="44"/>
      <c r="J213" s="45"/>
      <c r="K213" s="44"/>
      <c r="L213" s="46"/>
      <c r="M213" s="45"/>
      <c r="N213" s="45"/>
      <c r="O213" s="45"/>
      <c r="P213" s="45"/>
      <c r="Q213" s="45"/>
      <c r="R213" s="45"/>
      <c r="S213" s="45"/>
      <c r="T213" s="45"/>
      <c r="U213" s="45"/>
      <c r="V213" s="45"/>
      <c r="W213" s="45"/>
      <c r="X213" s="45"/>
      <c r="Y213" s="45"/>
    </row>
    <row r="214" spans="1:25">
      <c r="A214" s="43"/>
      <c r="B214" s="39"/>
      <c r="C214" s="40"/>
      <c r="D214" s="40"/>
      <c r="E214" s="40"/>
      <c r="F214" s="41"/>
      <c r="G214" s="41"/>
      <c r="H214" s="41"/>
      <c r="I214" s="41"/>
      <c r="J214" s="40"/>
      <c r="K214" s="41"/>
      <c r="L214" s="42"/>
      <c r="M214" s="40"/>
      <c r="N214" s="40"/>
      <c r="O214" s="40"/>
      <c r="P214" s="40"/>
      <c r="Q214" s="40"/>
      <c r="R214" s="40"/>
      <c r="S214" s="40"/>
      <c r="T214" s="40"/>
      <c r="U214" s="40"/>
      <c r="V214" s="40"/>
      <c r="W214" s="40"/>
      <c r="X214" s="40"/>
      <c r="Y214" s="40"/>
    </row>
    <row r="215" spans="1:25" s="95" customFormat="1">
      <c r="A215" s="38" t="s">
        <v>263</v>
      </c>
      <c r="B215" s="72"/>
      <c r="C215" s="92"/>
      <c r="D215" s="92"/>
      <c r="E215" s="92"/>
      <c r="F215" s="93"/>
      <c r="G215" s="93"/>
      <c r="H215" s="93"/>
      <c r="I215" s="93"/>
      <c r="J215" s="92"/>
      <c r="K215" s="93"/>
      <c r="L215" s="94"/>
      <c r="M215" s="92"/>
      <c r="N215" s="92"/>
      <c r="O215" s="92"/>
      <c r="P215" s="92"/>
      <c r="Q215" s="92"/>
      <c r="R215" s="92"/>
      <c r="S215" s="92"/>
      <c r="T215" s="92"/>
      <c r="U215" s="92"/>
      <c r="V215" s="92"/>
      <c r="W215" s="92"/>
      <c r="X215" s="92"/>
      <c r="Y215" s="92"/>
    </row>
    <row r="216" spans="1:25">
      <c r="A216" s="43"/>
      <c r="B216" s="39" t="s">
        <v>264</v>
      </c>
      <c r="C216" s="40" t="s">
        <v>389</v>
      </c>
      <c r="D216" s="18"/>
      <c r="E216" s="40"/>
      <c r="F216" s="19">
        <v>25</v>
      </c>
      <c r="G216" s="19">
        <v>25</v>
      </c>
      <c r="H216" s="19">
        <v>25</v>
      </c>
      <c r="I216" s="19">
        <v>25</v>
      </c>
      <c r="J216" s="18">
        <v>25</v>
      </c>
      <c r="K216" s="19">
        <v>25</v>
      </c>
      <c r="L216" s="20">
        <v>25</v>
      </c>
      <c r="M216" s="18">
        <v>25</v>
      </c>
      <c r="N216" s="18">
        <v>25</v>
      </c>
      <c r="O216" s="18">
        <v>25</v>
      </c>
      <c r="P216" s="40"/>
      <c r="Q216" s="40"/>
      <c r="R216" s="40"/>
      <c r="S216" s="40"/>
      <c r="T216" s="40"/>
      <c r="U216" s="40"/>
      <c r="V216" s="40"/>
      <c r="W216" s="40"/>
      <c r="X216" s="40"/>
      <c r="Y216" s="40"/>
    </row>
    <row r="217" spans="1:25">
      <c r="A217" s="43"/>
      <c r="B217" s="39" t="s">
        <v>265</v>
      </c>
      <c r="C217" s="40" t="s">
        <v>266</v>
      </c>
      <c r="D217" s="40"/>
      <c r="E217" s="40"/>
      <c r="F217" s="44">
        <v>30</v>
      </c>
      <c r="G217" s="44">
        <v>30</v>
      </c>
      <c r="H217" s="44">
        <v>30</v>
      </c>
      <c r="I217" s="44">
        <v>30</v>
      </c>
      <c r="J217" s="45">
        <v>30</v>
      </c>
      <c r="K217" s="44">
        <v>30</v>
      </c>
      <c r="L217" s="46">
        <v>30</v>
      </c>
      <c r="M217" s="45">
        <v>30</v>
      </c>
      <c r="N217" s="45">
        <v>30</v>
      </c>
      <c r="O217" s="45">
        <v>30</v>
      </c>
      <c r="P217" s="45"/>
      <c r="Q217" s="45"/>
      <c r="R217" s="40"/>
      <c r="S217" s="40"/>
      <c r="T217" s="40"/>
      <c r="U217" s="40"/>
      <c r="V217" s="40"/>
      <c r="W217" s="40"/>
      <c r="X217" s="40"/>
      <c r="Y217" s="40"/>
    </row>
    <row r="218" spans="1:25">
      <c r="A218" s="43"/>
      <c r="B218" s="39" t="s">
        <v>267</v>
      </c>
      <c r="C218" s="40" t="s">
        <v>380</v>
      </c>
      <c r="D218" s="40"/>
      <c r="E218" s="40" t="s">
        <v>359</v>
      </c>
      <c r="F218" s="64">
        <v>98.25</v>
      </c>
      <c r="G218" s="64">
        <v>98.25</v>
      </c>
      <c r="H218" s="64">
        <v>94.25</v>
      </c>
      <c r="I218" s="64">
        <v>83.5</v>
      </c>
      <c r="J218" s="66">
        <v>83.5</v>
      </c>
      <c r="K218" s="44">
        <v>75</v>
      </c>
      <c r="L218" s="46">
        <v>72.5</v>
      </c>
      <c r="M218" s="45">
        <v>55</v>
      </c>
      <c r="N218" s="45">
        <v>55</v>
      </c>
      <c r="O218" s="45">
        <v>55</v>
      </c>
      <c r="P218" s="45"/>
      <c r="Q218" s="45"/>
      <c r="R218" s="45"/>
      <c r="S218" s="45"/>
      <c r="T218" s="45"/>
      <c r="U218" s="45"/>
      <c r="V218" s="45"/>
      <c r="W218" s="45"/>
      <c r="X218" s="45"/>
      <c r="Y218" s="45"/>
    </row>
    <row r="219" spans="1:25">
      <c r="A219" s="43"/>
      <c r="B219" s="39" t="s">
        <v>268</v>
      </c>
      <c r="C219" s="40" t="s">
        <v>380</v>
      </c>
      <c r="D219" s="40"/>
      <c r="E219" s="40"/>
      <c r="F219" s="101">
        <f t="shared" ref="F219:O219" si="30">F218/F217</f>
        <v>3.2749999999999999</v>
      </c>
      <c r="G219" s="47">
        <f t="shared" si="30"/>
        <v>3.2749999999999999</v>
      </c>
      <c r="H219" s="47">
        <f t="shared" si="30"/>
        <v>3.1416666666666666</v>
      </c>
      <c r="I219" s="47">
        <f t="shared" si="30"/>
        <v>2.7833333333333332</v>
      </c>
      <c r="J219" s="48">
        <f t="shared" si="30"/>
        <v>2.7833333333333332</v>
      </c>
      <c r="K219" s="49">
        <f t="shared" si="30"/>
        <v>2.5</v>
      </c>
      <c r="L219" s="50">
        <f t="shared" si="30"/>
        <v>2.4166666666666665</v>
      </c>
      <c r="M219" s="50">
        <f t="shared" si="30"/>
        <v>1.8333333333333333</v>
      </c>
      <c r="N219" s="50">
        <f t="shared" si="30"/>
        <v>1.8333333333333333</v>
      </c>
      <c r="O219" s="50">
        <f t="shared" si="30"/>
        <v>1.8333333333333333</v>
      </c>
      <c r="P219" s="50"/>
      <c r="Q219" s="50"/>
      <c r="R219" s="50"/>
      <c r="S219" s="50"/>
      <c r="T219" s="50"/>
      <c r="U219" s="45"/>
      <c r="V219" s="45"/>
      <c r="W219" s="45"/>
      <c r="X219" s="45"/>
      <c r="Y219" s="45"/>
    </row>
    <row r="220" spans="1:25">
      <c r="A220" s="43"/>
      <c r="B220" s="39" t="s">
        <v>269</v>
      </c>
      <c r="C220" s="40" t="s">
        <v>193</v>
      </c>
      <c r="D220" s="40"/>
      <c r="E220" s="40" t="s">
        <v>359</v>
      </c>
      <c r="F220" s="51">
        <v>3.3</v>
      </c>
      <c r="G220" s="51">
        <v>3.3</v>
      </c>
      <c r="H220" s="51">
        <v>3.2</v>
      </c>
      <c r="I220" s="51">
        <v>2.8</v>
      </c>
      <c r="J220" s="63">
        <v>2.8</v>
      </c>
      <c r="K220" s="49">
        <v>2.5</v>
      </c>
      <c r="L220" s="74">
        <v>2.4</v>
      </c>
      <c r="M220" s="50">
        <v>1.8</v>
      </c>
      <c r="N220" s="50">
        <v>1.8</v>
      </c>
      <c r="O220" s="50">
        <v>1.8</v>
      </c>
      <c r="P220" s="50"/>
      <c r="Q220" s="50"/>
      <c r="R220" s="50"/>
      <c r="S220" s="50"/>
      <c r="T220" s="50"/>
      <c r="U220" s="45"/>
      <c r="V220" s="45"/>
      <c r="W220" s="45"/>
      <c r="X220" s="45"/>
      <c r="Y220" s="45"/>
    </row>
    <row r="221" spans="1:25">
      <c r="A221" s="43"/>
      <c r="B221" s="39"/>
      <c r="C221" s="40"/>
      <c r="D221" s="40"/>
      <c r="E221" s="40"/>
      <c r="F221" s="44"/>
      <c r="G221" s="44"/>
      <c r="H221" s="44"/>
      <c r="I221" s="44"/>
      <c r="J221" s="45"/>
      <c r="K221" s="44"/>
      <c r="L221" s="46"/>
      <c r="M221" s="45"/>
      <c r="N221" s="45"/>
      <c r="O221" s="45"/>
      <c r="P221" s="45"/>
      <c r="Q221" s="45"/>
      <c r="R221" s="45"/>
      <c r="S221" s="45"/>
      <c r="T221" s="45"/>
      <c r="U221" s="45"/>
      <c r="V221" s="45"/>
      <c r="W221" s="45"/>
      <c r="X221" s="45"/>
      <c r="Y221" s="45"/>
    </row>
    <row r="222" spans="1:25">
      <c r="A222" s="38" t="s">
        <v>175</v>
      </c>
      <c r="B222" s="39"/>
      <c r="C222" s="40"/>
      <c r="D222" s="40"/>
      <c r="E222" s="40"/>
      <c r="F222" s="44"/>
      <c r="G222" s="44"/>
      <c r="H222" s="44"/>
      <c r="I222" s="44"/>
      <c r="J222" s="45"/>
      <c r="K222" s="44"/>
      <c r="L222" s="46"/>
      <c r="M222" s="45"/>
      <c r="N222" s="45"/>
      <c r="O222" s="45"/>
      <c r="P222" s="45"/>
      <c r="Q222" s="45"/>
      <c r="R222" s="45"/>
      <c r="S222" s="45"/>
      <c r="T222" s="45"/>
      <c r="U222" s="45"/>
      <c r="V222" s="45"/>
      <c r="W222" s="45"/>
      <c r="X222" s="45"/>
      <c r="Y222" s="45"/>
    </row>
    <row r="223" spans="1:25">
      <c r="A223" s="43"/>
      <c r="B223" s="39" t="s">
        <v>270</v>
      </c>
      <c r="C223" s="40" t="s">
        <v>271</v>
      </c>
      <c r="D223" s="40"/>
      <c r="E223" s="40"/>
      <c r="F223" s="44">
        <v>2</v>
      </c>
      <c r="G223" s="44">
        <v>2</v>
      </c>
      <c r="H223" s="44">
        <v>2</v>
      </c>
      <c r="I223" s="44">
        <v>2</v>
      </c>
      <c r="J223" s="45">
        <v>2</v>
      </c>
      <c r="K223" s="44">
        <v>2</v>
      </c>
      <c r="L223" s="46">
        <v>2</v>
      </c>
      <c r="M223" s="45">
        <v>2</v>
      </c>
      <c r="N223" s="45">
        <v>2</v>
      </c>
      <c r="O223" s="45">
        <v>2</v>
      </c>
      <c r="P223" s="45">
        <v>2</v>
      </c>
      <c r="Q223" s="45">
        <v>2</v>
      </c>
      <c r="R223" s="45">
        <v>2</v>
      </c>
      <c r="S223" s="45">
        <v>2</v>
      </c>
      <c r="T223" s="45">
        <v>2</v>
      </c>
      <c r="U223" s="45">
        <v>2</v>
      </c>
      <c r="V223" s="45">
        <v>2</v>
      </c>
      <c r="W223" s="45">
        <v>2</v>
      </c>
      <c r="X223" s="45">
        <v>2</v>
      </c>
      <c r="Y223" s="45">
        <v>2</v>
      </c>
    </row>
    <row r="224" spans="1:25">
      <c r="A224" s="43"/>
      <c r="B224" s="39" t="s">
        <v>292</v>
      </c>
      <c r="C224" s="40" t="s">
        <v>271</v>
      </c>
      <c r="D224" s="40"/>
      <c r="E224" s="40"/>
      <c r="F224" s="44">
        <v>1.5</v>
      </c>
      <c r="G224" s="44">
        <v>1.5</v>
      </c>
      <c r="H224" s="44">
        <v>1.5</v>
      </c>
      <c r="I224" s="44">
        <v>1.5</v>
      </c>
      <c r="J224" s="45">
        <v>1.5</v>
      </c>
      <c r="K224" s="44">
        <v>1.5</v>
      </c>
      <c r="L224" s="46">
        <v>1.5</v>
      </c>
      <c r="M224" s="45">
        <v>1.5</v>
      </c>
      <c r="N224" s="45">
        <v>1.5</v>
      </c>
      <c r="O224" s="45">
        <v>1.5</v>
      </c>
      <c r="P224" s="45">
        <v>1.5</v>
      </c>
      <c r="Q224" s="45">
        <v>1.5</v>
      </c>
      <c r="R224" s="45">
        <v>1.5</v>
      </c>
      <c r="S224" s="45">
        <v>1.5</v>
      </c>
      <c r="T224" s="45">
        <v>1.5</v>
      </c>
      <c r="U224" s="45">
        <v>1.5</v>
      </c>
      <c r="V224" s="45">
        <v>1.5</v>
      </c>
      <c r="W224" s="45">
        <v>1.5</v>
      </c>
      <c r="X224" s="45">
        <v>1.5</v>
      </c>
      <c r="Y224" s="45">
        <v>1.5</v>
      </c>
    </row>
    <row r="225" spans="1:25">
      <c r="A225" s="43"/>
      <c r="B225" s="39"/>
      <c r="C225" s="40"/>
      <c r="D225" s="40"/>
      <c r="E225" s="40"/>
      <c r="F225" s="44"/>
      <c r="G225" s="44"/>
      <c r="H225" s="44"/>
      <c r="I225" s="44"/>
      <c r="J225" s="45"/>
      <c r="K225" s="44"/>
      <c r="L225" s="46"/>
      <c r="M225" s="45"/>
      <c r="N225" s="45"/>
      <c r="O225" s="45"/>
      <c r="P225" s="45"/>
      <c r="Q225" s="45"/>
      <c r="R225" s="45"/>
      <c r="S225" s="45"/>
      <c r="T225" s="45"/>
      <c r="U225" s="45"/>
      <c r="V225" s="45"/>
      <c r="W225" s="45"/>
      <c r="X225" s="45"/>
      <c r="Y225" s="45"/>
    </row>
    <row r="226" spans="1:25">
      <c r="A226" s="38" t="s">
        <v>272</v>
      </c>
      <c r="B226" s="39"/>
      <c r="C226" s="40"/>
      <c r="D226" s="40"/>
      <c r="E226" s="40"/>
      <c r="F226" s="44"/>
      <c r="G226" s="44"/>
      <c r="H226" s="44"/>
      <c r="I226" s="44"/>
      <c r="J226" s="45"/>
      <c r="K226" s="44"/>
      <c r="L226" s="46"/>
      <c r="M226" s="45"/>
      <c r="N226" s="45"/>
      <c r="O226" s="45"/>
      <c r="P226" s="45"/>
      <c r="Q226" s="45"/>
      <c r="R226" s="45"/>
      <c r="S226" s="45"/>
      <c r="T226" s="45"/>
      <c r="U226" s="45"/>
      <c r="V226" s="45"/>
      <c r="W226" s="45"/>
      <c r="X226" s="45"/>
      <c r="Y226" s="45"/>
    </row>
    <row r="227" spans="1:25">
      <c r="A227" s="43"/>
      <c r="B227" s="39" t="s">
        <v>273</v>
      </c>
      <c r="C227" s="40" t="s">
        <v>271</v>
      </c>
      <c r="D227" s="40"/>
      <c r="E227" s="40"/>
      <c r="F227" s="44" t="s">
        <v>274</v>
      </c>
      <c r="G227" s="44" t="s">
        <v>274</v>
      </c>
      <c r="H227" s="44" t="s">
        <v>274</v>
      </c>
      <c r="I227" s="44" t="s">
        <v>274</v>
      </c>
      <c r="J227" s="45" t="s">
        <v>274</v>
      </c>
      <c r="K227" s="44" t="s">
        <v>274</v>
      </c>
      <c r="L227" s="46" t="s">
        <v>274</v>
      </c>
      <c r="M227" s="45" t="s">
        <v>274</v>
      </c>
      <c r="N227" s="45" t="s">
        <v>274</v>
      </c>
      <c r="O227" s="45" t="s">
        <v>274</v>
      </c>
      <c r="P227" s="45" t="s">
        <v>274</v>
      </c>
      <c r="Q227" s="45" t="s">
        <v>274</v>
      </c>
      <c r="R227" s="45" t="s">
        <v>274</v>
      </c>
      <c r="S227" s="45" t="s">
        <v>274</v>
      </c>
      <c r="T227" s="45" t="s">
        <v>274</v>
      </c>
      <c r="U227" s="45">
        <v>5.5</v>
      </c>
      <c r="V227" s="45">
        <v>5.5</v>
      </c>
      <c r="W227" s="45">
        <v>5.5</v>
      </c>
      <c r="X227" s="45">
        <v>5.5</v>
      </c>
      <c r="Y227" s="45">
        <v>5.5</v>
      </c>
    </row>
    <row r="228" spans="1:25">
      <c r="A228" s="27"/>
      <c r="B228" s="96"/>
      <c r="C228" s="97"/>
      <c r="D228" s="97"/>
      <c r="E228" s="97"/>
      <c r="F228" s="98">
        <v>5.5</v>
      </c>
      <c r="G228" s="98">
        <v>5.5</v>
      </c>
      <c r="H228" s="98">
        <v>5.5</v>
      </c>
      <c r="I228" s="98">
        <v>5.5</v>
      </c>
      <c r="J228" s="99">
        <v>5.5</v>
      </c>
      <c r="K228" s="98">
        <v>5.5</v>
      </c>
      <c r="L228" s="100">
        <v>5.5</v>
      </c>
      <c r="M228" s="99">
        <v>5.5</v>
      </c>
      <c r="N228" s="99">
        <v>5.5</v>
      </c>
      <c r="O228" s="99">
        <v>5.5</v>
      </c>
      <c r="P228" s="99">
        <v>5.5</v>
      </c>
      <c r="Q228" s="99">
        <v>5.5</v>
      </c>
      <c r="R228" s="99">
        <v>5.5</v>
      </c>
      <c r="S228" s="99">
        <v>5.5</v>
      </c>
      <c r="T228" s="99">
        <v>5.5</v>
      </c>
      <c r="U228" s="97"/>
      <c r="V228" s="97"/>
      <c r="W228" s="97"/>
      <c r="X228" s="97"/>
      <c r="Y228" s="97"/>
    </row>
    <row r="232" spans="1:25">
      <c r="A232" s="17" t="s">
        <v>275</v>
      </c>
    </row>
    <row r="233" spans="1:25">
      <c r="B233" s="17" t="s">
        <v>276</v>
      </c>
      <c r="G233" s="19">
        <v>22</v>
      </c>
      <c r="H233" s="19">
        <v>22</v>
      </c>
      <c r="I233" s="19">
        <v>22</v>
      </c>
      <c r="J233" s="18">
        <v>22</v>
      </c>
      <c r="K233" s="19">
        <v>22</v>
      </c>
      <c r="L233" s="20">
        <v>22</v>
      </c>
      <c r="M233" s="18">
        <v>22</v>
      </c>
      <c r="N233" s="18">
        <v>22</v>
      </c>
      <c r="O233" s="18">
        <v>22</v>
      </c>
      <c r="P233" s="18">
        <v>22</v>
      </c>
      <c r="Q233" s="18" t="s">
        <v>389</v>
      </c>
    </row>
    <row r="234" spans="1:25">
      <c r="B234" s="17" t="s">
        <v>165</v>
      </c>
      <c r="G234" s="19">
        <v>48</v>
      </c>
      <c r="H234" s="19">
        <v>48</v>
      </c>
      <c r="I234" s="19">
        <v>48</v>
      </c>
      <c r="J234" s="18">
        <v>48</v>
      </c>
      <c r="K234" s="19">
        <v>48</v>
      </c>
      <c r="L234" s="20">
        <v>48</v>
      </c>
      <c r="M234" s="18">
        <v>48</v>
      </c>
      <c r="N234" s="18">
        <v>48</v>
      </c>
      <c r="O234" s="18">
        <v>48</v>
      </c>
      <c r="P234" s="18">
        <v>48</v>
      </c>
    </row>
    <row r="237" spans="1:25">
      <c r="B237" s="109" t="s">
        <v>103</v>
      </c>
    </row>
    <row r="238" spans="1:25">
      <c r="B238" s="17" t="s">
        <v>131</v>
      </c>
      <c r="C238" s="18" t="s">
        <v>181</v>
      </c>
      <c r="D238" s="18" t="s">
        <v>108</v>
      </c>
      <c r="F238" s="18" t="s">
        <v>110</v>
      </c>
    </row>
    <row r="239" spans="1:25">
      <c r="B239" s="17" t="s">
        <v>142</v>
      </c>
      <c r="C239" s="18">
        <v>3000</v>
      </c>
      <c r="D239" s="18">
        <v>130</v>
      </c>
      <c r="F239" s="18">
        <v>242</v>
      </c>
    </row>
    <row r="240" spans="1:25">
      <c r="B240" s="17" t="s">
        <v>104</v>
      </c>
      <c r="C240" s="18">
        <v>3000</v>
      </c>
      <c r="D240" s="18">
        <v>130</v>
      </c>
      <c r="F240" s="18">
        <v>247</v>
      </c>
    </row>
    <row r="241" spans="2:6">
      <c r="B241" s="17" t="s">
        <v>107</v>
      </c>
      <c r="C241" s="18">
        <v>3000</v>
      </c>
      <c r="D241" s="18">
        <v>130</v>
      </c>
      <c r="F241" s="18">
        <v>254</v>
      </c>
    </row>
    <row r="242" spans="2:6">
      <c r="B242" s="17" t="s">
        <v>109</v>
      </c>
      <c r="C242" s="18">
        <v>2600</v>
      </c>
      <c r="D242" s="18">
        <v>130</v>
      </c>
      <c r="F242" s="18">
        <v>252</v>
      </c>
    </row>
    <row r="243" spans="2:6">
      <c r="B243" s="95" t="s">
        <v>213</v>
      </c>
      <c r="F243" s="105">
        <f>((F239/C239)+(F240/C240)+(F241/C241)+(F242/C242))/4</f>
        <v>8.6147435897435898E-2</v>
      </c>
    </row>
    <row r="245" spans="2:6">
      <c r="B245" s="17" t="s">
        <v>105</v>
      </c>
      <c r="C245" s="18">
        <v>3000</v>
      </c>
      <c r="D245" s="18">
        <v>125</v>
      </c>
      <c r="F245" s="18">
        <v>239</v>
      </c>
    </row>
    <row r="246" spans="2:6">
      <c r="B246" s="17" t="s">
        <v>106</v>
      </c>
      <c r="C246" s="18">
        <v>3000</v>
      </c>
      <c r="D246" s="18">
        <v>123</v>
      </c>
      <c r="F246" s="18">
        <v>243</v>
      </c>
    </row>
    <row r="247" spans="2:6">
      <c r="B247" s="17" t="s">
        <v>111</v>
      </c>
      <c r="C247" s="18">
        <v>2600</v>
      </c>
      <c r="D247" s="18">
        <v>125</v>
      </c>
      <c r="F247" s="18">
        <v>242</v>
      </c>
    </row>
    <row r="248" spans="2:6">
      <c r="B248" s="95" t="s">
        <v>124</v>
      </c>
      <c r="F248" s="105">
        <f>((F245/C245)+(F246/C246)+(F247/C247))/3</f>
        <v>8.4581196581196574E-2</v>
      </c>
    </row>
    <row r="250" spans="2:6">
      <c r="B250" s="109" t="s">
        <v>112</v>
      </c>
      <c r="C250" s="18" t="s">
        <v>209</v>
      </c>
    </row>
    <row r="251" spans="2:6">
      <c r="B251" s="17" t="s">
        <v>208</v>
      </c>
      <c r="C251" s="18">
        <v>750</v>
      </c>
      <c r="D251" s="18">
        <v>1500</v>
      </c>
      <c r="F251" s="18">
        <v>103.3</v>
      </c>
    </row>
    <row r="252" spans="2:6">
      <c r="B252" s="17" t="s">
        <v>210</v>
      </c>
      <c r="C252" s="18">
        <v>750</v>
      </c>
      <c r="D252" s="18">
        <v>1500</v>
      </c>
      <c r="F252" s="18">
        <v>102.76</v>
      </c>
    </row>
    <row r="253" spans="2:6">
      <c r="B253" s="17" t="s">
        <v>211</v>
      </c>
      <c r="C253" s="18">
        <v>750</v>
      </c>
      <c r="D253" s="18">
        <v>1500</v>
      </c>
      <c r="F253" s="18">
        <v>108</v>
      </c>
    </row>
    <row r="254" spans="2:6">
      <c r="B254" s="17" t="s">
        <v>212</v>
      </c>
      <c r="C254" s="18">
        <v>750</v>
      </c>
      <c r="D254" s="18">
        <v>1500</v>
      </c>
      <c r="F254" s="18">
        <v>109</v>
      </c>
    </row>
    <row r="255" spans="2:6">
      <c r="B255" s="95" t="s">
        <v>124</v>
      </c>
      <c r="F255" s="105">
        <f>ROUND(AVERAGE(F251:F254),0)</f>
        <v>106</v>
      </c>
    </row>
    <row r="256" spans="2:6">
      <c r="B256" s="95"/>
      <c r="F256" s="105"/>
    </row>
  </sheetData>
  <customSheetViews>
    <customSheetView guid="{72D97B72-4F31-4935-B383-181115A2573C}" state="hidden" topLeftCell="A3">
      <selection activeCell="F1" sqref="F1"/>
      <pageMargins left="0.78740157499999996" right="0.78740157499999996" top="0.984251969" bottom="0.984251969" header="0.4921259845" footer="0.4921259845"/>
      <pageSetup orientation="portrait"/>
      <headerFooter alignWithMargins="0"/>
    </customSheetView>
    <customSheetView guid="{27A951D1-C3FC-484C-B83E-FA121C9E6D3A}" state="hidden" topLeftCell="A3">
      <selection activeCell="F1" sqref="F1"/>
      <pageMargins left="0.78740157499999996" right="0.78740157499999996" top="0.984251969" bottom="0.984251969" header="0.4921259845" footer="0.4921259845"/>
      <pageSetup orientation="portrait"/>
      <headerFooter alignWithMargins="0"/>
    </customSheetView>
  </customSheetViews>
  <phoneticPr fontId="0" type="noConversion"/>
  <pageMargins left="0.78740157499999996" right="0.78740157499999996" top="0.984251969" bottom="0.984251969" header="0.4921259845" footer="0.4921259845"/>
  <pageSetup orientation="portrait"/>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4:K20"/>
  <sheetViews>
    <sheetView workbookViewId="0">
      <selection activeCell="D21" sqref="D21"/>
    </sheetView>
  </sheetViews>
  <sheetFormatPr baseColWidth="10" defaultRowHeight="12.75"/>
  <cols>
    <col min="1" max="1" width="18.42578125" customWidth="1"/>
  </cols>
  <sheetData>
    <row r="4" spans="1:11">
      <c r="A4" t="s">
        <v>133</v>
      </c>
    </row>
    <row r="5" spans="1:11">
      <c r="A5" t="s">
        <v>134</v>
      </c>
    </row>
    <row r="6" spans="1:11">
      <c r="A6" t="s">
        <v>135</v>
      </c>
      <c r="B6" s="5">
        <v>23.51</v>
      </c>
    </row>
    <row r="7" spans="1:11">
      <c r="A7" t="s">
        <v>192</v>
      </c>
      <c r="B7" s="5">
        <v>49</v>
      </c>
      <c r="C7">
        <f>B7</f>
        <v>49</v>
      </c>
      <c r="D7">
        <f t="shared" ref="D7:K7" si="0">C7</f>
        <v>49</v>
      </c>
      <c r="E7">
        <f t="shared" si="0"/>
        <v>49</v>
      </c>
      <c r="F7">
        <f t="shared" si="0"/>
        <v>49</v>
      </c>
      <c r="G7">
        <f t="shared" si="0"/>
        <v>49</v>
      </c>
      <c r="H7">
        <f t="shared" si="0"/>
        <v>49</v>
      </c>
      <c r="I7">
        <f t="shared" si="0"/>
        <v>49</v>
      </c>
      <c r="J7">
        <f t="shared" si="0"/>
        <v>49</v>
      </c>
      <c r="K7">
        <f t="shared" si="0"/>
        <v>49</v>
      </c>
    </row>
    <row r="8" spans="1:11">
      <c r="A8" t="s">
        <v>372</v>
      </c>
      <c r="B8">
        <v>100</v>
      </c>
      <c r="C8">
        <v>200</v>
      </c>
      <c r="D8">
        <v>300</v>
      </c>
      <c r="E8">
        <v>400</v>
      </c>
      <c r="F8">
        <v>500</v>
      </c>
      <c r="G8">
        <v>600</v>
      </c>
      <c r="H8">
        <v>700</v>
      </c>
      <c r="I8">
        <v>800</v>
      </c>
      <c r="J8">
        <v>900</v>
      </c>
      <c r="K8">
        <v>1000</v>
      </c>
    </row>
    <row r="9" spans="1:11">
      <c r="A9" t="s">
        <v>163</v>
      </c>
      <c r="B9">
        <v>10272</v>
      </c>
      <c r="C9">
        <v>10272</v>
      </c>
      <c r="D9">
        <v>10639</v>
      </c>
      <c r="E9">
        <v>11005</v>
      </c>
      <c r="F9">
        <v>11372</v>
      </c>
      <c r="G9">
        <v>12105</v>
      </c>
      <c r="H9">
        <v>12105</v>
      </c>
      <c r="I9">
        <v>12105</v>
      </c>
      <c r="J9">
        <v>12105</v>
      </c>
      <c r="K9">
        <v>12105</v>
      </c>
    </row>
    <row r="10" spans="1:11">
      <c r="A10" t="s">
        <v>164</v>
      </c>
      <c r="B10">
        <f>$B$6*B8</f>
        <v>2351</v>
      </c>
      <c r="C10">
        <f t="shared" ref="C10:K10" si="1">$B$6*C8</f>
        <v>4702</v>
      </c>
      <c r="D10">
        <f t="shared" si="1"/>
        <v>7053.0000000000009</v>
      </c>
      <c r="E10">
        <f t="shared" si="1"/>
        <v>9404</v>
      </c>
      <c r="F10">
        <f t="shared" si="1"/>
        <v>11755</v>
      </c>
      <c r="G10">
        <f t="shared" si="1"/>
        <v>14106.000000000002</v>
      </c>
      <c r="H10">
        <f t="shared" si="1"/>
        <v>16457</v>
      </c>
      <c r="I10">
        <f t="shared" si="1"/>
        <v>18808</v>
      </c>
      <c r="J10">
        <f t="shared" si="1"/>
        <v>21159</v>
      </c>
      <c r="K10">
        <f t="shared" si="1"/>
        <v>23510</v>
      </c>
    </row>
    <row r="12" spans="1:11">
      <c r="A12" t="s">
        <v>372</v>
      </c>
      <c r="B12">
        <v>100</v>
      </c>
      <c r="C12">
        <v>200</v>
      </c>
      <c r="D12">
        <v>300</v>
      </c>
      <c r="E12">
        <v>400</v>
      </c>
      <c r="F12">
        <v>500</v>
      </c>
      <c r="G12">
        <v>600</v>
      </c>
      <c r="H12">
        <v>700</v>
      </c>
      <c r="I12">
        <v>800</v>
      </c>
      <c r="J12">
        <v>900</v>
      </c>
      <c r="K12">
        <v>1000</v>
      </c>
    </row>
    <row r="13" spans="1:11">
      <c r="A13" t="s">
        <v>163</v>
      </c>
      <c r="B13">
        <f>(B9+B10)/B12</f>
        <v>126.23</v>
      </c>
      <c r="C13">
        <f t="shared" ref="C13:K13" si="2">(C9+C10)/C12</f>
        <v>74.87</v>
      </c>
      <c r="D13">
        <f t="shared" si="2"/>
        <v>58.973333333333336</v>
      </c>
      <c r="E13">
        <f t="shared" si="2"/>
        <v>51.022500000000001</v>
      </c>
      <c r="F13">
        <f t="shared" si="2"/>
        <v>46.253999999999998</v>
      </c>
      <c r="G13">
        <f t="shared" si="2"/>
        <v>43.685000000000002</v>
      </c>
      <c r="H13">
        <f t="shared" si="2"/>
        <v>40.802857142857142</v>
      </c>
      <c r="I13">
        <f t="shared" si="2"/>
        <v>38.641249999999999</v>
      </c>
      <c r="J13">
        <f t="shared" si="2"/>
        <v>36.96</v>
      </c>
      <c r="K13">
        <f t="shared" si="2"/>
        <v>35.615000000000002</v>
      </c>
    </row>
    <row r="14" spans="1:11">
      <c r="A14" t="s">
        <v>164</v>
      </c>
      <c r="B14">
        <f>$B$6</f>
        <v>23.51</v>
      </c>
      <c r="C14">
        <f t="shared" ref="C14:K14" si="3">$B$6</f>
        <v>23.51</v>
      </c>
      <c r="D14">
        <f t="shared" si="3"/>
        <v>23.51</v>
      </c>
      <c r="E14">
        <f t="shared" si="3"/>
        <v>23.51</v>
      </c>
      <c r="F14">
        <f t="shared" si="3"/>
        <v>23.51</v>
      </c>
      <c r="G14">
        <f t="shared" si="3"/>
        <v>23.51</v>
      </c>
      <c r="H14">
        <f t="shared" si="3"/>
        <v>23.51</v>
      </c>
      <c r="I14">
        <f t="shared" si="3"/>
        <v>23.51</v>
      </c>
      <c r="J14">
        <f t="shared" si="3"/>
        <v>23.51</v>
      </c>
      <c r="K14">
        <f t="shared" si="3"/>
        <v>23.51</v>
      </c>
    </row>
    <row r="16" spans="1:11">
      <c r="A16" t="s">
        <v>192</v>
      </c>
      <c r="B16">
        <f>B8*$B$7</f>
        <v>4900</v>
      </c>
      <c r="C16">
        <f t="shared" ref="C16:K16" si="4">C8*$B$7</f>
        <v>9800</v>
      </c>
      <c r="D16">
        <f t="shared" si="4"/>
        <v>14700</v>
      </c>
      <c r="E16">
        <f t="shared" si="4"/>
        <v>19600</v>
      </c>
      <c r="F16">
        <f t="shared" si="4"/>
        <v>24500</v>
      </c>
      <c r="G16">
        <f t="shared" si="4"/>
        <v>29400</v>
      </c>
      <c r="H16">
        <f t="shared" si="4"/>
        <v>34300</v>
      </c>
      <c r="I16">
        <f t="shared" si="4"/>
        <v>39200</v>
      </c>
      <c r="J16">
        <f t="shared" si="4"/>
        <v>44100</v>
      </c>
      <c r="K16">
        <f t="shared" si="4"/>
        <v>49000</v>
      </c>
    </row>
    <row r="18" spans="1:11">
      <c r="A18" t="s">
        <v>375</v>
      </c>
    </row>
    <row r="19" spans="1:11">
      <c r="A19" t="s">
        <v>222</v>
      </c>
      <c r="B19">
        <v>143</v>
      </c>
      <c r="C19">
        <v>87</v>
      </c>
      <c r="D19">
        <v>69</v>
      </c>
      <c r="E19">
        <v>60</v>
      </c>
      <c r="F19">
        <v>55</v>
      </c>
      <c r="G19">
        <v>52</v>
      </c>
      <c r="H19">
        <v>49</v>
      </c>
      <c r="I19">
        <v>47</v>
      </c>
      <c r="J19">
        <v>45</v>
      </c>
      <c r="K19">
        <v>43</v>
      </c>
    </row>
    <row r="20" spans="1:11">
      <c r="A20" t="s">
        <v>191</v>
      </c>
      <c r="B20">
        <f t="shared" ref="B20:K20" si="5">B13-B14</f>
        <v>102.72</v>
      </c>
      <c r="C20">
        <f t="shared" si="5"/>
        <v>51.36</v>
      </c>
      <c r="D20">
        <f t="shared" si="5"/>
        <v>35.463333333333338</v>
      </c>
      <c r="E20">
        <f t="shared" si="5"/>
        <v>27.512499999999999</v>
      </c>
      <c r="F20">
        <f t="shared" si="5"/>
        <v>22.743999999999996</v>
      </c>
      <c r="G20">
        <f t="shared" si="5"/>
        <v>20.175000000000001</v>
      </c>
      <c r="H20">
        <f t="shared" si="5"/>
        <v>17.292857142857141</v>
      </c>
      <c r="I20">
        <f t="shared" si="5"/>
        <v>15.131249999999998</v>
      </c>
      <c r="J20">
        <f t="shared" si="5"/>
        <v>13.45</v>
      </c>
      <c r="K20">
        <f t="shared" si="5"/>
        <v>12.105</v>
      </c>
    </row>
  </sheetData>
  <customSheetViews>
    <customSheetView guid="{72D97B72-4F31-4935-B383-181115A2573C}" state="hidden">
      <selection activeCell="D21" sqref="D21"/>
      <pageMargins left="0.78740157499999996" right="0.78740157499999996" top="0.984251969" bottom="0.984251969" header="0.4921259845" footer="0.4921259845"/>
      <headerFooter alignWithMargins="0"/>
    </customSheetView>
    <customSheetView guid="{27A951D1-C3FC-484C-B83E-FA121C9E6D3A}" state="hidden">
      <selection activeCell="D21" sqref="D21"/>
      <pageMargins left="0.78740157499999996" right="0.78740157499999996" top="0.984251969" bottom="0.984251969" header="0.4921259845" footer="0.4921259845"/>
      <headerFooter alignWithMargins="0"/>
    </customSheetView>
  </customSheetViews>
  <phoneticPr fontId="0" type="noConversion"/>
  <pageMargins left="0.78740157499999996" right="0.78740157499999996" top="0.984251969" bottom="0.984251969" header="0.4921259845" footer="0.4921259845"/>
  <headerFooter alignWithMargins="0"/>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U178"/>
  <sheetViews>
    <sheetView showGridLines="0" zoomScaleNormal="100" workbookViewId="0">
      <selection activeCell="E65" sqref="E65"/>
    </sheetView>
  </sheetViews>
  <sheetFormatPr baseColWidth="10" defaultRowHeight="12.75"/>
  <cols>
    <col min="1" max="1" width="3.140625" customWidth="1"/>
    <col min="2" max="2" width="32.42578125" customWidth="1"/>
    <col min="4" max="4" width="16.85546875" customWidth="1"/>
    <col min="5" max="5" width="10.140625" customWidth="1"/>
    <col min="6" max="6" width="9.7109375" customWidth="1"/>
    <col min="7" max="7" width="29.42578125" customWidth="1"/>
    <col min="8" max="8" width="11.28515625" customWidth="1"/>
    <col min="9" max="9" width="4.42578125" customWidth="1"/>
    <col min="10" max="10" width="32" customWidth="1"/>
    <col min="16" max="16" width="16" customWidth="1"/>
  </cols>
  <sheetData>
    <row r="1" spans="1:21" ht="27">
      <c r="A1" s="301" t="s">
        <v>1439</v>
      </c>
      <c r="B1" s="6"/>
      <c r="C1" s="6"/>
      <c r="D1" s="6"/>
      <c r="E1" s="6"/>
      <c r="F1" s="6"/>
      <c r="G1" s="6"/>
      <c r="I1" s="6"/>
    </row>
    <row r="2" spans="1:21" ht="18">
      <c r="A2" s="192" t="str">
        <f>lire!A2</f>
        <v xml:space="preserve"> (Agroscope, Tänikon - V. 5.8/2025)</v>
      </c>
      <c r="B2" s="6"/>
      <c r="C2" s="6"/>
      <c r="D2" s="6"/>
      <c r="E2" s="6"/>
      <c r="F2" s="6"/>
      <c r="G2" s="6"/>
      <c r="I2" s="6"/>
    </row>
    <row r="3" spans="1:21" ht="18">
      <c r="A3" s="192"/>
      <c r="B3" s="939" t="s">
        <v>1440</v>
      </c>
      <c r="C3" s="467"/>
      <c r="D3" s="467"/>
      <c r="E3" s="467"/>
      <c r="F3" s="467"/>
      <c r="G3" s="467"/>
      <c r="I3" s="6"/>
    </row>
    <row r="4" spans="1:21" ht="15" customHeight="1">
      <c r="A4" s="192"/>
      <c r="B4" s="940" t="s">
        <v>1441</v>
      </c>
      <c r="C4" s="941"/>
      <c r="D4" s="467"/>
      <c r="E4" s="467"/>
      <c r="F4" s="467"/>
      <c r="G4" s="467"/>
      <c r="I4" s="6"/>
    </row>
    <row r="5" spans="1:21" ht="18">
      <c r="A5" s="192"/>
      <c r="B5" s="467"/>
      <c r="C5" s="471"/>
      <c r="D5" s="6"/>
      <c r="E5" s="6"/>
      <c r="F5" s="6"/>
      <c r="G5" s="462"/>
      <c r="I5" s="6"/>
      <c r="J5" s="6"/>
      <c r="K5" s="6"/>
      <c r="L5" s="6"/>
      <c r="M5" s="6"/>
      <c r="N5" s="6"/>
      <c r="O5" s="6"/>
      <c r="P5" s="6"/>
      <c r="R5">
        <v>0</v>
      </c>
      <c r="S5" t="s">
        <v>136</v>
      </c>
      <c r="U5" t="s">
        <v>122</v>
      </c>
    </row>
    <row r="6" spans="1:21" ht="18">
      <c r="A6" s="6"/>
      <c r="B6" s="250" t="s">
        <v>1442</v>
      </c>
      <c r="C6" s="6"/>
      <c r="D6" s="187" t="s">
        <v>331</v>
      </c>
      <c r="E6" s="206">
        <f ca="1">NOW()</f>
        <v>45911.373451157408</v>
      </c>
      <c r="F6" s="6"/>
      <c r="G6" s="6"/>
      <c r="I6" s="416"/>
      <c r="R6">
        <v>1</v>
      </c>
      <c r="S6" t="s">
        <v>196</v>
      </c>
      <c r="U6" t="s">
        <v>123</v>
      </c>
    </row>
    <row r="7" spans="1:21" ht="18">
      <c r="A7" s="192"/>
      <c r="B7" s="10"/>
      <c r="C7" s="6"/>
      <c r="D7" s="6"/>
      <c r="E7" s="6"/>
      <c r="F7" s="6"/>
      <c r="G7" s="6"/>
      <c r="I7" s="416"/>
      <c r="R7">
        <v>2</v>
      </c>
      <c r="S7" t="s">
        <v>195</v>
      </c>
    </row>
    <row r="8" spans="1:21" ht="16.5" thickBot="1">
      <c r="A8" s="208"/>
      <c r="B8" s="827" t="s">
        <v>509</v>
      </c>
      <c r="C8" s="302"/>
      <c r="D8" s="303" t="s">
        <v>510</v>
      </c>
      <c r="E8" s="302"/>
      <c r="F8" s="302"/>
      <c r="G8" s="302"/>
      <c r="I8" s="416"/>
      <c r="R8">
        <v>3</v>
      </c>
      <c r="S8" t="s">
        <v>197</v>
      </c>
      <c r="T8" s="305">
        <f>Hypothèses!C24</f>
        <v>4.831666666666667</v>
      </c>
    </row>
    <row r="9" spans="1:21" ht="15.75">
      <c r="A9" s="6"/>
      <c r="B9" s="386"/>
      <c r="C9" s="306"/>
      <c r="D9" s="383">
        <v>1011</v>
      </c>
      <c r="E9" s="827" t="s">
        <v>278</v>
      </c>
      <c r="F9" s="302"/>
      <c r="G9" s="302"/>
      <c r="I9" s="416"/>
    </row>
    <row r="10" spans="1:21" ht="16.5" thickBot="1">
      <c r="A10" s="6"/>
      <c r="B10" s="308" t="str">
        <f>VLOOKUP(D9,Maschinenliste!$A$17:$AE$944,3,0)</f>
        <v>Tracteur 105–124 kW (143–169 ch)</v>
      </c>
      <c r="C10" s="309"/>
      <c r="D10" s="310"/>
      <c r="E10" s="311"/>
      <c r="F10" s="312"/>
      <c r="G10" s="312"/>
      <c r="I10" s="416"/>
    </row>
    <row r="11" spans="1:21">
      <c r="A11" s="6"/>
      <c r="B11" s="314" t="str">
        <f>IF(ISERROR(VLOOKUP($D9,Spez!$A$4:$A$30,1,0)),"","Stop: la machine sélectionnée ne peut pas être calculée avec ce programme!")</f>
        <v/>
      </c>
      <c r="C11" s="302"/>
      <c r="D11" s="302"/>
      <c r="E11" s="302"/>
      <c r="F11" s="302"/>
      <c r="G11" s="302"/>
      <c r="I11" s="416"/>
    </row>
    <row r="12" spans="1:21">
      <c r="A12" s="6"/>
      <c r="B12" s="832" t="s">
        <v>1443</v>
      </c>
      <c r="C12" s="315" t="str">
        <f>VLOOKUP($D9,Maschinenliste!$A$17:$AE$944,30,0)</f>
        <v>heures (h)</v>
      </c>
      <c r="D12" s="832" t="str">
        <f>VLOOKUP(E19,$R$5:$S$8,2,0)</f>
        <v xml:space="preserve">       Diesel</v>
      </c>
      <c r="E12" s="316" t="str">
        <f>IF(E19=3,$T$8,"")</f>
        <v/>
      </c>
      <c r="F12" s="302"/>
      <c r="G12" s="302"/>
      <c r="I12" s="416"/>
    </row>
    <row r="13" spans="1:21">
      <c r="A13" s="6"/>
      <c r="B13" s="302"/>
      <c r="C13" s="319" t="str">
        <f>IF(ISERROR(VLOOKUP($D9,Spez!$D$4:$D$46,1,0)),"aucune saisie nécessaire","Veuillez insérer la puissance en kW")</f>
        <v>aucune saisie nécessaire</v>
      </c>
      <c r="D13" s="835"/>
      <c r="E13" s="836" t="str">
        <f>IF(ISERROR(VLOOKUP($D9,Spez!$D$4:$D$45,1,0)),"","voir désignation de la machine")</f>
        <v/>
      </c>
      <c r="F13" s="302"/>
      <c r="G13" s="302"/>
      <c r="I13" s="416"/>
    </row>
    <row r="14" spans="1:21">
      <c r="A14" s="6"/>
      <c r="B14" s="321"/>
      <c r="C14" s="302"/>
      <c r="D14" s="302"/>
      <c r="E14" s="827"/>
      <c r="F14" s="302"/>
      <c r="G14" s="302"/>
      <c r="I14" s="416"/>
    </row>
    <row r="15" spans="1:21">
      <c r="A15" s="6"/>
      <c r="B15" s="302"/>
      <c r="C15" s="832" t="s">
        <v>512</v>
      </c>
      <c r="D15" s="323" t="str">
        <f>IF(ISERROR(VLOOKUP($D9,Spez!$D$48:$D$54,1,0)),IF(C12="heures (h)","",IF(ISERROR(VLOOKUP($D9,Spez!$N$4:$N$27,1,0)),VLOOKUP($D9,Maschinenliste!$A$17:$Y$944,4,0)/E21,VLOOKUP($D9,Maschinenliste!$A$17:$Y$944,4,0))),VLOOKUP($D9,Maschinenliste!$A$17:$Y$944,4,0))</f>
        <v/>
      </c>
      <c r="E15" s="324" t="str">
        <f>IF(ISERROR(VLOOKUP($D9,Spez!$O$4:$O$56,1,0)),IF(C12="hectares","ares",IF(C12="heures (h)","",C12)),"charretées")</f>
        <v/>
      </c>
      <c r="F15" s="325" t="str">
        <f>IF(D19=0,"par heure","")</f>
        <v/>
      </c>
      <c r="G15" s="302"/>
      <c r="I15" s="416"/>
    </row>
    <row r="16" spans="1:21">
      <c r="A16" s="6"/>
      <c r="B16" s="6"/>
      <c r="C16" s="187"/>
      <c r="D16" s="326"/>
      <c r="E16" s="327"/>
      <c r="F16" s="294"/>
      <c r="G16" s="6"/>
      <c r="I16" s="416"/>
    </row>
    <row r="17" spans="1:9">
      <c r="A17" s="6"/>
      <c r="B17" s="6"/>
      <c r="C17" s="328" t="s">
        <v>279</v>
      </c>
      <c r="D17" s="329">
        <f>VLOOKUP($D9,Maschinenliste!$A$17:$AE$944,4,0)</f>
        <v>115</v>
      </c>
      <c r="E17" s="330" t="e">
        <f>IF(VLOOKUP($D9,Spez!$G$4:$G$15,1,0),"Umrechnung",0)</f>
        <v>#N/A</v>
      </c>
      <c r="F17" s="6"/>
      <c r="G17" s="6"/>
      <c r="I17" s="416"/>
    </row>
    <row r="18" spans="1:9">
      <c r="A18" s="6"/>
      <c r="B18" s="6"/>
      <c r="C18" s="328" t="s">
        <v>132</v>
      </c>
      <c r="D18" s="839">
        <f>IF(ISERROR(VLOOKUP($D9,Spez!$D$4:$D$46,1,0)),D17*E21,D13)</f>
        <v>115</v>
      </c>
      <c r="E18" s="331" t="s">
        <v>147</v>
      </c>
      <c r="F18" s="6"/>
      <c r="G18" s="6"/>
      <c r="I18" s="416"/>
    </row>
    <row r="19" spans="1:9">
      <c r="A19" s="6"/>
      <c r="B19" s="6"/>
      <c r="C19" s="187"/>
      <c r="D19" s="332">
        <f>IF(ISERROR(VLOOKUP($D9,Spez!$D$48:$D$60,1,0)),IF(C12="heures (h)",1,0),0)</f>
        <v>1</v>
      </c>
      <c r="E19" s="332">
        <f>VLOOKUP(D9,Maschinenliste!$A$17:$AE$944,31,0)</f>
        <v>1</v>
      </c>
      <c r="G19" s="6"/>
      <c r="I19" s="416"/>
    </row>
    <row r="20" spans="1:9">
      <c r="A20" s="6"/>
      <c r="B20" s="6"/>
      <c r="C20" s="6"/>
      <c r="D20" s="10"/>
      <c r="E20" s="6"/>
      <c r="F20" s="6"/>
      <c r="G20" s="6"/>
      <c r="I20" s="416"/>
    </row>
    <row r="21" spans="1:9" ht="15.75">
      <c r="A21" s="467"/>
      <c r="B21" s="6"/>
      <c r="C21" s="6"/>
      <c r="D21" s="6"/>
      <c r="E21" s="942">
        <f>IF(ISERROR(VLOOKUP($D9,Spez!$O$4:$O$45,1,0)),1,VLOOKUP($D9,Maschinenliste!$A$17:$AE$944,28,0))</f>
        <v>1</v>
      </c>
      <c r="F21" s="334" t="s">
        <v>1444</v>
      </c>
      <c r="G21" s="335"/>
      <c r="I21" s="416"/>
    </row>
    <row r="22" spans="1:9" ht="13.5" thickBot="1">
      <c r="A22" s="6"/>
      <c r="B22" s="6"/>
      <c r="C22" s="6"/>
      <c r="D22" s="6"/>
      <c r="E22" s="6"/>
      <c r="F22" s="10"/>
      <c r="G22" s="6"/>
      <c r="I22" s="416"/>
    </row>
    <row r="23" spans="1:9">
      <c r="A23" s="6"/>
      <c r="B23" s="6"/>
      <c r="C23" s="6"/>
      <c r="D23" s="187" t="s">
        <v>514</v>
      </c>
      <c r="E23" s="337" t="str">
        <f>IF(E19=1,"Saisie","")</f>
        <v>Saisie</v>
      </c>
      <c r="F23" s="856">
        <f>Hypothèses!C22</f>
        <v>1.83</v>
      </c>
      <c r="G23" s="191" t="s">
        <v>156</v>
      </c>
      <c r="I23" s="416"/>
    </row>
    <row r="24" spans="1:9" ht="13.5" thickBot="1">
      <c r="A24" s="6"/>
      <c r="B24" s="6"/>
      <c r="C24" s="6"/>
      <c r="D24" s="187" t="s">
        <v>455</v>
      </c>
      <c r="E24" s="337" t="str">
        <f>IF(E19=2,"Eingabe","")</f>
        <v/>
      </c>
      <c r="F24" s="842">
        <f>Hypothèses!C23</f>
        <v>1.75</v>
      </c>
      <c r="G24" s="189" t="s">
        <v>156</v>
      </c>
      <c r="I24" s="416"/>
    </row>
    <row r="25" spans="1:9">
      <c r="A25" s="6"/>
      <c r="B25" s="181" t="s">
        <v>515</v>
      </c>
      <c r="C25" s="188" t="s">
        <v>516</v>
      </c>
      <c r="D25" s="338" t="s">
        <v>517</v>
      </c>
      <c r="E25" s="339"/>
      <c r="F25" s="190"/>
      <c r="G25" s="189"/>
      <c r="I25" s="416"/>
    </row>
    <row r="26" spans="1:9">
      <c r="A26" s="6"/>
      <c r="B26" s="462" t="s">
        <v>1445</v>
      </c>
      <c r="C26" s="6" t="s">
        <v>380</v>
      </c>
      <c r="D26" s="340">
        <f>VLOOKUP($D9,Maschinenliste!$A$17:$AE$944,5,0)</f>
        <v>191000</v>
      </c>
      <c r="E26" s="6"/>
      <c r="F26" s="943">
        <f>SUM(F27:F32)</f>
        <v>164000</v>
      </c>
      <c r="G26" s="189"/>
      <c r="I26" s="416"/>
    </row>
    <row r="27" spans="1:9">
      <c r="A27" s="6"/>
      <c r="B27" s="944" t="s">
        <v>1446</v>
      </c>
      <c r="C27" s="6"/>
      <c r="D27" s="340"/>
      <c r="E27" s="6"/>
      <c r="F27" s="234">
        <v>100000</v>
      </c>
      <c r="G27" s="189"/>
      <c r="I27" s="416"/>
    </row>
    <row r="28" spans="1:9">
      <c r="A28" s="6"/>
      <c r="B28" s="944" t="s">
        <v>1447</v>
      </c>
      <c r="C28" s="6"/>
      <c r="D28" s="340"/>
      <c r="E28" s="6"/>
      <c r="F28" s="234">
        <v>64000</v>
      </c>
      <c r="G28" s="189"/>
      <c r="I28" s="416"/>
    </row>
    <row r="29" spans="1:9">
      <c r="A29" s="6"/>
      <c r="B29" s="944" t="s">
        <v>1448</v>
      </c>
      <c r="C29" s="6"/>
      <c r="D29" s="340"/>
      <c r="E29" s="6"/>
      <c r="F29" s="234"/>
      <c r="G29" s="189"/>
      <c r="I29" s="416"/>
    </row>
    <row r="30" spans="1:9">
      <c r="A30" s="6"/>
      <c r="B30" s="944" t="s">
        <v>1449</v>
      </c>
      <c r="C30" s="6"/>
      <c r="D30" s="340"/>
      <c r="E30" s="6"/>
      <c r="F30" s="234"/>
      <c r="G30" s="189"/>
      <c r="I30" s="416"/>
    </row>
    <row r="31" spans="1:9">
      <c r="A31" s="6"/>
      <c r="B31" s="944" t="s">
        <v>1450</v>
      </c>
      <c r="C31" s="6"/>
      <c r="D31" s="340"/>
      <c r="E31" s="6"/>
      <c r="F31" s="234"/>
      <c r="G31" s="189"/>
      <c r="I31" s="416"/>
    </row>
    <row r="32" spans="1:9">
      <c r="A32" s="6"/>
      <c r="B32" s="944" t="s">
        <v>1451</v>
      </c>
      <c r="C32" s="6"/>
      <c r="D32" s="340"/>
      <c r="E32" s="6"/>
      <c r="F32" s="234"/>
      <c r="G32" s="189"/>
      <c r="I32" s="416"/>
    </row>
    <row r="33" spans="1:9">
      <c r="A33" s="6"/>
      <c r="B33" s="6" t="s">
        <v>519</v>
      </c>
      <c r="C33" s="6"/>
      <c r="D33" s="340"/>
      <c r="E33" s="6"/>
      <c r="F33" s="240" t="s">
        <v>123</v>
      </c>
      <c r="G33" s="189"/>
      <c r="I33" s="416"/>
    </row>
    <row r="34" spans="1:9">
      <c r="A34" s="6"/>
      <c r="B34" s="6" t="s">
        <v>521</v>
      </c>
      <c r="C34" s="6" t="s">
        <v>522</v>
      </c>
      <c r="D34" s="340">
        <f>VLOOKUP($D9,Maschinenliste!$A$17:$AE$944,10,0)</f>
        <v>550</v>
      </c>
      <c r="E34" s="294" t="str">
        <f>$C12</f>
        <v>heures (h)</v>
      </c>
      <c r="F34" s="945">
        <f>SUM(F35:F40)</f>
        <v>750</v>
      </c>
      <c r="G34" s="189" t="str">
        <f>E34</f>
        <v>heures (h)</v>
      </c>
      <c r="I34" s="416"/>
    </row>
    <row r="35" spans="1:9">
      <c r="A35" s="6"/>
      <c r="B35" s="930" t="str">
        <f t="shared" ref="B35:B40" si="0">B27</f>
        <v xml:space="preserve">   Associé1=gérant de la machine, avec emplacement</v>
      </c>
      <c r="C35" s="6"/>
      <c r="D35" s="340"/>
      <c r="E35" s="294" t="str">
        <f t="shared" ref="E35:E40" si="1">E$34</f>
        <v>heures (h)</v>
      </c>
      <c r="F35" s="234">
        <f>D34</f>
        <v>550</v>
      </c>
      <c r="G35" s="189" t="str">
        <f t="shared" ref="G35:G40" si="2">G$34</f>
        <v>heures (h)</v>
      </c>
      <c r="I35" s="416"/>
    </row>
    <row r="36" spans="1:9">
      <c r="A36" s="6"/>
      <c r="B36" s="930" t="str">
        <f t="shared" si="0"/>
        <v xml:space="preserve">   Associé2</v>
      </c>
      <c r="C36" s="6"/>
      <c r="D36" s="340"/>
      <c r="E36" s="294" t="str">
        <f t="shared" si="1"/>
        <v>heures (h)</v>
      </c>
      <c r="F36" s="234">
        <v>200</v>
      </c>
      <c r="G36" s="189" t="str">
        <f t="shared" si="2"/>
        <v>heures (h)</v>
      </c>
      <c r="I36" s="416"/>
    </row>
    <row r="37" spans="1:9">
      <c r="A37" s="6"/>
      <c r="B37" s="930" t="str">
        <f t="shared" si="0"/>
        <v xml:space="preserve">   Associé3</v>
      </c>
      <c r="C37" s="6"/>
      <c r="D37" s="340"/>
      <c r="E37" s="294" t="str">
        <f t="shared" si="1"/>
        <v>heures (h)</v>
      </c>
      <c r="F37" s="234">
        <v>0</v>
      </c>
      <c r="G37" s="189" t="str">
        <f t="shared" si="2"/>
        <v>heures (h)</v>
      </c>
      <c r="I37" s="416"/>
    </row>
    <row r="38" spans="1:9">
      <c r="A38" s="6"/>
      <c r="B38" s="930" t="str">
        <f t="shared" si="0"/>
        <v xml:space="preserve">   Associé4</v>
      </c>
      <c r="C38" s="6"/>
      <c r="D38" s="340"/>
      <c r="E38" s="294" t="str">
        <f t="shared" si="1"/>
        <v>heures (h)</v>
      </c>
      <c r="F38" s="234">
        <v>0</v>
      </c>
      <c r="G38" s="189" t="str">
        <f t="shared" si="2"/>
        <v>heures (h)</v>
      </c>
      <c r="I38" s="416"/>
    </row>
    <row r="39" spans="1:9">
      <c r="A39" s="6"/>
      <c r="B39" s="930" t="str">
        <f t="shared" si="0"/>
        <v xml:space="preserve">   Associé5</v>
      </c>
      <c r="C39" s="6"/>
      <c r="D39" s="340"/>
      <c r="E39" s="294" t="str">
        <f t="shared" si="1"/>
        <v>heures (h)</v>
      </c>
      <c r="F39" s="234">
        <v>0</v>
      </c>
      <c r="G39" s="189" t="str">
        <f t="shared" si="2"/>
        <v>heures (h)</v>
      </c>
      <c r="I39" s="416"/>
    </row>
    <row r="40" spans="1:9">
      <c r="A40" s="6"/>
      <c r="B40" s="930" t="str">
        <f t="shared" si="0"/>
        <v xml:space="preserve">   Associé6</v>
      </c>
      <c r="C40" s="6"/>
      <c r="D40" s="340"/>
      <c r="E40" s="294" t="str">
        <f t="shared" si="1"/>
        <v>heures (h)</v>
      </c>
      <c r="F40" s="234">
        <v>0</v>
      </c>
      <c r="G40" s="189" t="str">
        <f t="shared" si="2"/>
        <v>heures (h)</v>
      </c>
      <c r="I40" s="416"/>
    </row>
    <row r="41" spans="1:9">
      <c r="A41" s="6"/>
      <c r="B41" s="6" t="s">
        <v>523</v>
      </c>
      <c r="C41" s="6" t="s">
        <v>524</v>
      </c>
      <c r="D41" s="340">
        <f>VLOOKUP($D9,Maschinenliste!$A$17:$AE$944,12,0)</f>
        <v>15</v>
      </c>
      <c r="E41" s="6"/>
      <c r="F41" s="234">
        <f>D41</f>
        <v>15</v>
      </c>
      <c r="G41" s="189"/>
      <c r="I41" s="416"/>
    </row>
    <row r="42" spans="1:9">
      <c r="A42" s="6"/>
      <c r="B42" s="6" t="s">
        <v>525</v>
      </c>
      <c r="C42" s="6" t="s">
        <v>522</v>
      </c>
      <c r="D42" s="340">
        <f>VLOOKUP($D9,Maschinenliste!$A$17:$AE$944,13,0)</f>
        <v>10000</v>
      </c>
      <c r="E42" s="294" t="str">
        <f>C12</f>
        <v>heures (h)</v>
      </c>
      <c r="F42" s="234">
        <f>D42</f>
        <v>10000</v>
      </c>
      <c r="G42" s="189" t="str">
        <f>E42</f>
        <v>heures (h)</v>
      </c>
      <c r="I42" s="416"/>
    </row>
    <row r="43" spans="1:9">
      <c r="A43" s="6"/>
      <c r="B43" s="6" t="s">
        <v>526</v>
      </c>
      <c r="C43" s="6" t="s">
        <v>382</v>
      </c>
      <c r="D43" s="341">
        <f>D34*D41/D42</f>
        <v>0.82499999999999996</v>
      </c>
      <c r="E43" s="342"/>
      <c r="F43" s="343">
        <f>IF(LEN(F45)&gt;0,"",F34*F41/F42)</f>
        <v>1.125</v>
      </c>
      <c r="G43" s="189"/>
      <c r="I43" s="416"/>
    </row>
    <row r="44" spans="1:9">
      <c r="A44" s="6"/>
      <c r="B44" s="6" t="s">
        <v>501</v>
      </c>
      <c r="C44" s="6" t="s">
        <v>527</v>
      </c>
      <c r="D44" s="340">
        <f>VLOOKUP($D9,Maschinenliste!$A$17:$AE$944,14,0)</f>
        <v>0.1</v>
      </c>
      <c r="E44" s="342"/>
      <c r="F44" s="344">
        <f>IF(LEN(F45)&gt;0,"",IF(F43&gt;0,IF(F43&lt;Hypothèses!$C$82,Hypothèses!$B$82,IF(AND(F43&gt;=Hypothèses!$C$82,F43&lt;Hypothèses!$C$81),Hypothèses!$B$81,IF(AND(F43&gt;=Hypothèses!$C$81,F43&lt;Hypothèses!$C$80),Hypothèses!$B$80,IF(AND(F43&gt;=Hypothèses!$C$80,F43&lt;Hypothèses!$C$79),Hypothèses!$B$79,IF(AND(F43&gt;=Hypothèses!$C$79,F43&lt;Hypothèses!$C$78),Hypothèses!$B$78,0))))),""))</f>
        <v>0</v>
      </c>
      <c r="G44" s="189"/>
      <c r="I44" s="416"/>
    </row>
    <row r="45" spans="1:9" ht="15">
      <c r="A45" s="6"/>
      <c r="B45" s="6" t="s">
        <v>528</v>
      </c>
      <c r="C45" s="6" t="s">
        <v>380</v>
      </c>
      <c r="D45" s="200"/>
      <c r="E45" s="345"/>
      <c r="F45" s="234"/>
      <c r="G45" s="189"/>
      <c r="I45" s="416"/>
    </row>
    <row r="46" spans="1:9">
      <c r="A46" s="6"/>
      <c r="B46" s="6" t="s">
        <v>529</v>
      </c>
      <c r="C46" s="6" t="s">
        <v>382</v>
      </c>
      <c r="D46" s="340">
        <f>VLOOKUP($D9,Maschinenliste!$A$17:$AE$944,11,0)</f>
        <v>40</v>
      </c>
      <c r="E46" s="6"/>
      <c r="F46" s="945">
        <f t="shared" ref="F46:F51" si="3">D46</f>
        <v>40</v>
      </c>
      <c r="G46" s="346">
        <f>IF(E19=0,"",$D18*F46*Hypothèses!$C$25)</f>
        <v>13.8</v>
      </c>
      <c r="I46" s="416"/>
    </row>
    <row r="47" spans="1:9">
      <c r="A47" s="6"/>
      <c r="B47" s="6" t="s">
        <v>1452</v>
      </c>
      <c r="C47" s="6" t="s">
        <v>527</v>
      </c>
      <c r="D47" s="340">
        <f>VLOOKUP($D9,Maschinenliste!$A$17:$AE$944,15,0)</f>
        <v>0.45</v>
      </c>
      <c r="E47" s="6"/>
      <c r="F47" s="945">
        <f t="shared" si="3"/>
        <v>0.45</v>
      </c>
      <c r="G47" s="189"/>
      <c r="I47" s="416"/>
    </row>
    <row r="48" spans="1:9">
      <c r="A48" s="6"/>
      <c r="B48" s="6" t="s">
        <v>531</v>
      </c>
      <c r="C48" s="6" t="s">
        <v>383</v>
      </c>
      <c r="D48" s="340">
        <f>VLOOKUP($D9,Maschinenliste!$A$17:$AE$944,16,0)</f>
        <v>87</v>
      </c>
      <c r="E48" s="6"/>
      <c r="F48" s="234">
        <f t="shared" si="3"/>
        <v>87</v>
      </c>
      <c r="G48" s="189"/>
      <c r="I48" s="416"/>
    </row>
    <row r="49" spans="1:9">
      <c r="A49" s="6"/>
      <c r="B49" s="6" t="s">
        <v>1453</v>
      </c>
      <c r="C49" s="6" t="s">
        <v>1454</v>
      </c>
      <c r="D49" s="946">
        <f>VLOOKUP($D9,Maschinenliste!$A$17:$AE$944,17,0)</f>
        <v>0.05</v>
      </c>
      <c r="E49" s="6"/>
      <c r="F49" s="947">
        <f t="shared" si="3"/>
        <v>0.05</v>
      </c>
      <c r="G49" s="189"/>
      <c r="I49" s="416"/>
    </row>
    <row r="50" spans="1:9">
      <c r="A50" s="6"/>
      <c r="B50" s="6" t="s">
        <v>532</v>
      </c>
      <c r="C50" s="6" t="s">
        <v>382</v>
      </c>
      <c r="D50" s="341">
        <v>0.1</v>
      </c>
      <c r="E50" s="6"/>
      <c r="F50" s="235">
        <f t="shared" si="3"/>
        <v>0.1</v>
      </c>
      <c r="G50" s="189"/>
      <c r="I50" s="416"/>
    </row>
    <row r="51" spans="1:9">
      <c r="A51" s="6"/>
      <c r="B51" s="6" t="s">
        <v>533</v>
      </c>
      <c r="C51" s="6"/>
      <c r="D51" s="341">
        <v>0</v>
      </c>
      <c r="E51" s="6"/>
      <c r="F51" s="235">
        <f t="shared" si="3"/>
        <v>0</v>
      </c>
      <c r="G51" s="189"/>
      <c r="I51" s="415"/>
    </row>
    <row r="52" spans="1:9">
      <c r="A52" s="6"/>
      <c r="B52" s="6"/>
      <c r="C52" s="6"/>
      <c r="D52" s="190"/>
      <c r="E52" s="6"/>
      <c r="F52" s="190"/>
      <c r="G52" s="348"/>
      <c r="I52" s="415"/>
    </row>
    <row r="53" spans="1:9">
      <c r="A53" s="6"/>
      <c r="B53" s="188" t="s">
        <v>534</v>
      </c>
      <c r="C53" s="349"/>
      <c r="D53" s="350" t="s">
        <v>535</v>
      </c>
      <c r="E53" s="351" t="s">
        <v>536</v>
      </c>
      <c r="F53" s="350" t="s">
        <v>535</v>
      </c>
      <c r="G53" s="352" t="s">
        <v>1455</v>
      </c>
      <c r="I53" s="415"/>
    </row>
    <row r="54" spans="1:9">
      <c r="A54" s="6"/>
      <c r="B54" s="6" t="s">
        <v>537</v>
      </c>
      <c r="C54" s="6"/>
      <c r="D54" s="847">
        <f>(D26-(D26*D44))/D41</f>
        <v>11460</v>
      </c>
      <c r="E54" s="6"/>
      <c r="F54" s="847">
        <f>IF(LEN(F45)&gt;0,(F26-F45)/F41,(F26-(F26*F44))/F41)</f>
        <v>10933.333333333334</v>
      </c>
      <c r="G54" s="189"/>
      <c r="I54" s="415"/>
    </row>
    <row r="55" spans="1:9">
      <c r="A55" s="6"/>
      <c r="B55" s="6" t="s">
        <v>538</v>
      </c>
      <c r="C55" s="6"/>
      <c r="D55" s="847">
        <f>(D26-(D44*D26))*Hypothèses!$C$13/100*0.6+(D44*D26*Hypothèses!$C$13/100)</f>
        <v>1833.6</v>
      </c>
      <c r="E55" s="6"/>
      <c r="F55" s="847">
        <f>IF(LEN(F45)&gt;0,(F26-F45)*G117*0.6+(F45*G117),(F26-(F44*F26))*G117*0.6+(F44*F26*G117))</f>
        <v>3444.0000000000005</v>
      </c>
      <c r="G55" s="948" t="s">
        <v>1456</v>
      </c>
      <c r="I55" s="415"/>
    </row>
    <row r="56" spans="1:9">
      <c r="A56" s="6"/>
      <c r="B56" s="6" t="s">
        <v>539</v>
      </c>
      <c r="C56" s="6"/>
      <c r="D56" s="847">
        <f>IF(ISERROR(VLOOKUP($D9,Spez!$K$4:$K$36,1,0)),IF((VLOOKUP($D9,Maschinenliste!$A$17:$AE$944,23,0)&gt;0),D48*Hypothèses!$C$17,D48*Hypothèses!$C$18),D48*Hypothèses!$C$18)</f>
        <v>1305</v>
      </c>
      <c r="E56" s="6"/>
      <c r="F56" s="847">
        <f>IF(ISERROR(VLOOKUP($D9,Spez!$K$4:$K$36,1,0)),IF((VLOOKUP($D9,Maschinenliste!$A$17:$AE$944,23,0)&gt;0),F48*Hypothèses!$C$17,F48*Hypothèses!$C$18),F48*Hypothèses!$C$18)</f>
        <v>1305</v>
      </c>
      <c r="G56" s="948" t="s">
        <v>1456</v>
      </c>
      <c r="I56" s="415"/>
    </row>
    <row r="57" spans="1:9">
      <c r="A57" s="6"/>
      <c r="B57" s="186" t="s">
        <v>540</v>
      </c>
      <c r="C57" s="186"/>
      <c r="D57" s="847">
        <f>VLOOKUP($D9,Maschinenliste!$A$17:$AE$944,29,0)</f>
        <v>832</v>
      </c>
      <c r="E57" s="6"/>
      <c r="F57" s="847">
        <f>VLOOKUP($D9,Maschinenliste!$A$17:$AE$944,29,0)</f>
        <v>832</v>
      </c>
      <c r="G57" s="948" t="s">
        <v>1456</v>
      </c>
      <c r="I57" s="415"/>
    </row>
    <row r="58" spans="1:9" ht="12.75" customHeight="1" thickBot="1">
      <c r="A58" s="6"/>
      <c r="B58" s="353" t="s">
        <v>541</v>
      </c>
      <c r="C58" s="6"/>
      <c r="D58" s="354">
        <f>SUM(D54:D57)</f>
        <v>15430.6</v>
      </c>
      <c r="E58" s="355">
        <f>D58/D34</f>
        <v>28.055636363636363</v>
      </c>
      <c r="F58" s="354">
        <f>SUM(F54:F57)</f>
        <v>16514.333333333336</v>
      </c>
      <c r="G58" s="356">
        <f>F58/F34</f>
        <v>22.019111111111116</v>
      </c>
      <c r="I58" s="415"/>
    </row>
    <row r="59" spans="1:9" ht="12.75" customHeight="1" thickTop="1">
      <c r="A59" s="6"/>
      <c r="B59" s="6"/>
      <c r="C59" s="6"/>
      <c r="D59" s="357"/>
      <c r="E59" s="358"/>
      <c r="F59" s="357"/>
      <c r="G59" s="359"/>
      <c r="I59" s="415"/>
    </row>
    <row r="60" spans="1:9" ht="12.75" customHeight="1">
      <c r="A60" s="6"/>
      <c r="B60" s="849" t="s">
        <v>1457</v>
      </c>
      <c r="C60" s="6"/>
      <c r="D60" s="190"/>
      <c r="E60" s="358">
        <f>$D26/$D42*D47</f>
        <v>8.5950000000000006</v>
      </c>
      <c r="F60" s="190"/>
      <c r="G60" s="359">
        <f>IF(F33="Occasion",$D26/$D42*F47,F26/F42*F47)</f>
        <v>8.5950000000000006</v>
      </c>
      <c r="I60" s="415"/>
    </row>
    <row r="61" spans="1:9" ht="12.75" customHeight="1">
      <c r="A61" s="6"/>
      <c r="B61" s="849" t="s">
        <v>543</v>
      </c>
      <c r="C61" s="6"/>
      <c r="D61" s="190"/>
      <c r="E61" s="358">
        <f>IF(ISERROR(VLOOKUP($D9,Spez!$H$4:$H$36,1,0)),IF(ISERROR(VLOOKUP($D9,Spez!$G$4:$G$36,1,0)),IF($E19=0,0,IF($E19=1,$D18*Hypothèses!$C$25*D46*Hypothèses!$C$22,IF($E19=2,$D18*Hypothèses!$C$26*D46*Hypothèses!$C$23,IF($E19=3,$D18*Hypothèses!$C$26*D46*Hypothèses!$C$24,"?")))),IF($E19=1,$D18*Hypothèses!$C$25*D46*Hypothèses!$C$22/$D17*100,IF($E19=2,$D18*Hypothèses!$C$26*D46*Hypothèses!$C$23/$D17*100))),$D18*Hypothèses!$C$25*D46*Hypothèses!$C$22/$D17)</f>
        <v>25.254000000000001</v>
      </c>
      <c r="F61" s="190"/>
      <c r="G61" s="359">
        <f>IF(ISERROR(VLOOKUP($D9,Spez!$H$4:$H$36,1,0)),IF(ISERROR(VLOOKUP($D9,Spez!$G$4:$G$36,1,0)),IF($E19=0,0,IF($E19=1,$D18*Hypothèses!$C$25*F46*F$23,IF($E19=2,$D18*Hypothèses!$C$26*F46*F$24,IF($E19=3,$D18*Hypothèses!$C$26*F46*Hypothèses!$C$24,"?")))),IF($E19=1,$D18*Hypothèses!$C$25*F46*F$23/$D17*100,IF($E19=2,$D18*Hypothèses!$C$26*F46*F$24/$D17*100))),$D18*Hypothèses!$C$25*F46*F$23/$D17)</f>
        <v>25.254000000000001</v>
      </c>
      <c r="I61" s="415"/>
    </row>
    <row r="62" spans="1:9" ht="12.75" customHeight="1">
      <c r="A62" s="6"/>
      <c r="B62" s="849" t="s">
        <v>544</v>
      </c>
      <c r="C62" s="6"/>
      <c r="D62" s="190"/>
      <c r="E62" s="358">
        <f>IF(ISERROR(VLOOKUP($D9,Spez!$M$4:$M$19,1,0)),IF(VLOOKUP($D9,Maschinenliste!$A$17:$AE$944,31,0)=0,VLOOKUP($D9,Maschinenliste!$A$17:$AE$944,23,0),0),VLOOKUP($D9,Hypothèses!$B$31:$C$35,2,0))</f>
        <v>0</v>
      </c>
      <c r="F62" s="190"/>
      <c r="G62" s="851">
        <f>E62</f>
        <v>0</v>
      </c>
      <c r="I62" s="415"/>
    </row>
    <row r="63" spans="1:9" ht="13.5" thickBot="1">
      <c r="A63" s="6"/>
      <c r="B63" s="360" t="s">
        <v>545</v>
      </c>
      <c r="C63" s="6"/>
      <c r="D63" s="190"/>
      <c r="E63" s="355">
        <f>SUM(E60:E62)</f>
        <v>33.849000000000004</v>
      </c>
      <c r="F63" s="190"/>
      <c r="G63" s="356">
        <f>SUM(G60:G62)</f>
        <v>33.849000000000004</v>
      </c>
      <c r="I63" s="415"/>
    </row>
    <row r="64" spans="1:9" ht="13.5" thickTop="1">
      <c r="A64" s="6"/>
      <c r="B64" s="6"/>
      <c r="C64" s="6"/>
      <c r="D64" s="190"/>
      <c r="E64" s="6"/>
      <c r="F64" s="190"/>
      <c r="G64" s="189"/>
      <c r="I64" s="415"/>
    </row>
    <row r="65" spans="1:9">
      <c r="A65" s="6"/>
      <c r="B65" s="6" t="s">
        <v>546</v>
      </c>
      <c r="C65" s="6"/>
      <c r="D65" s="852" t="str">
        <f>IF(ISERROR(VLOOKUP($D17,Spez!$I$4:$I$14,1,0)),"","par charretée")</f>
        <v/>
      </c>
      <c r="E65" s="362">
        <f>IF(ISERROR(VLOOKUP($D9,Spez!$I$4:$I$14,1,0)),E58+E63,(E58+E63)*VLOOKUP($D9,Maschinenliste!$A$17:$AE$944,28,0))</f>
        <v>61.904636363636371</v>
      </c>
      <c r="F65" s="852" t="str">
        <f>IF(ISERROR(VLOOKUP($D17,Spez!$I$4:$I$14,1,0)),"","par charretée")</f>
        <v/>
      </c>
      <c r="G65" s="363">
        <f>IF(ISERROR(VLOOKUP($D9,Spez!$I$4:$I$14,1,0)),G58+G63,(G58+G63)*VLOOKUP($D9,Maschinenliste!$A$17:$AE$944,28,0))</f>
        <v>55.868111111111119</v>
      </c>
      <c r="I65" s="415"/>
    </row>
    <row r="66" spans="1:9" ht="13.5" thickBot="1">
      <c r="A66" s="6"/>
      <c r="B66" s="6" t="s">
        <v>547</v>
      </c>
      <c r="C66" s="6"/>
      <c r="D66" s="949" t="str">
        <f>IF(ISERROR(VLOOKUP($D17,Spez!$I$4:$I$14,1,0)),"","par charretée")</f>
        <v/>
      </c>
      <c r="E66" s="364">
        <f>E65*(1+D50+D51)</f>
        <v>68.095100000000016</v>
      </c>
      <c r="F66" s="949" t="str">
        <f>IF(ISERROR(VLOOKUP($D17,Spez!$I$4:$I$14,1,0)),"","par charretée")</f>
        <v/>
      </c>
      <c r="G66" s="365">
        <f>G65*(1+F50+F51)</f>
        <v>61.454922222222237</v>
      </c>
      <c r="I66" s="415"/>
    </row>
    <row r="67" spans="1:9" hidden="1">
      <c r="A67" s="6"/>
      <c r="B67" s="6"/>
      <c r="C67" s="6"/>
      <c r="D67" s="327" t="str">
        <f>IF(ISERROR(VLOOKUP($D17,Spez!$P$4:$P$30,1,0)),"","Fr. par charretée")</f>
        <v/>
      </c>
      <c r="E67" s="366" t="str">
        <f>IF(ISERROR(VLOOKUP($D9,Spez!$P$4:$P$30,1,0)),"",E66*VLOOKUP($D9,Maschinenliste!$A$17:$AE$944,28,0))</f>
        <v/>
      </c>
      <c r="F67" s="367" t="str">
        <f>IF(ISERROR(VLOOKUP($D17,Spez!$P$4:$P$30,1,0)),"","Fr. par charretée")</f>
        <v/>
      </c>
      <c r="G67" s="366" t="str">
        <f>IF(ISERROR(VLOOKUP($D9,Spez!$P$4:$P$30,1,0)),"",G66*VLOOKUP($D9,Maschinenliste!$A$17:$AE$944,28,0))</f>
        <v/>
      </c>
      <c r="I67" s="415"/>
    </row>
    <row r="68" spans="1:9" ht="13.5" hidden="1" thickBot="1">
      <c r="A68" s="467"/>
      <c r="B68" s="6" t="str">
        <f>IF(C20="heures (h)","","Tarif d'indemnisation (supp. compris) par heure")</f>
        <v>Tarif d'indemnisation (supp. compris) par heure</v>
      </c>
      <c r="C68" s="6"/>
      <c r="D68" s="327" t="str">
        <f>IF(E40="heures (h)","","Fr. par heure")</f>
        <v/>
      </c>
      <c r="E68" s="368" t="str">
        <f>IF(E40="heures (h)","",IF(ISERROR(VLOOKUP($D17,Spez!$P$4:$P$44,1,0)),IF($C20="heures (h)","",IF($C20="hectares",E66*$D23/100,E66*$D23)),E66*VLOOKUP($D17,Maschinenliste!$A$17:$AE$944,28,0)*$D23))</f>
        <v/>
      </c>
      <c r="F68" s="361" t="str">
        <f>IF(G40="heures (h)","","Fr. je heure")</f>
        <v/>
      </c>
      <c r="G68" s="368" t="str">
        <f>IF(G40="heures (h)","",IF(ISERROR(VLOOKUP($D17,Spez!$P$4:$P$44,1,0)),IF($C20="heures (h)","",IF($C20="hectares",G66*$D23/100,G66*$D23)),G66*VLOOKUP($D17,Maschinenliste!$A$17:$AE$944,28,0)*$D23))</f>
        <v/>
      </c>
      <c r="I68" s="415"/>
    </row>
    <row r="69" spans="1:9" hidden="1">
      <c r="A69" s="6"/>
      <c r="B69" s="187" t="s">
        <v>139</v>
      </c>
      <c r="C69" s="6"/>
      <c r="D69" s="6"/>
      <c r="E69" s="369">
        <f>IF(ISERROR(VLOOKUP($D9,Spez!$F$4:$F$87,1,0)),VLOOKUP($D9,Maschinenliste!$A$17:$AE$944,6,0)-E66,VLOOKUP($D9,Maschinenliste!$A$17:$AE$944,26,0)-E66)</f>
        <v>0.90489999999998361</v>
      </c>
      <c r="F69" s="854"/>
      <c r="G69" s="370">
        <f>IF(ISERROR(VLOOKUP($D9,Spez!$F$5:$F$87,1,0)),VLOOKUP($D9,Maschinenliste!$A$17:$AE$944,6,0)-G66,VLOOKUP($D9,Maschinenliste!$A$17:$AE$944,28,0)-G66)</f>
        <v>7.5450777777777631</v>
      </c>
      <c r="I69" s="415"/>
    </row>
    <row r="70" spans="1:9" hidden="1">
      <c r="A70" s="6"/>
      <c r="B70" s="187" t="s">
        <v>140</v>
      </c>
      <c r="C70" s="6"/>
      <c r="D70" s="6"/>
      <c r="E70" s="372" t="e">
        <f>IF(ISERROR(VLOOKUP($D9,Spez!$F$4:$F$87,1,0)),VLOOKUP($D9,Maschinenliste!$A$17:$AE$944,7,0)-E66,VLOOKUP($D9,Maschinenliste!$A$17:$AE$944,27,0)-E66)</f>
        <v>#VALUE!</v>
      </c>
      <c r="F70" s="854"/>
      <c r="G70" s="370" t="e">
        <f>IF(ISERROR(VLOOKUP($D9,Spez!$F$5:$F$87,1,0)),VLOOKUP($D9,Maschinenliste!$A$17:$AE$944,7,0)-G66,VLOOKUP($D9,Maschinenliste!$A$17:$AE$944,29,0)-G66)</f>
        <v>#VALUE!</v>
      </c>
      <c r="I70" s="415"/>
    </row>
    <row r="71" spans="1:9" ht="15">
      <c r="A71" s="6"/>
      <c r="B71" s="187"/>
      <c r="C71" s="6"/>
      <c r="D71" s="6"/>
      <c r="E71" s="373"/>
      <c r="F71" s="374" t="str">
        <f>IF(F41*F40&gt;F42,"le degré d'utilisation dépasse 100% - veuillez corriger l'utilisation annuelle ou durée d'amortissement!","")</f>
        <v/>
      </c>
      <c r="I71" s="415"/>
    </row>
    <row r="72" spans="1:9" ht="15.75">
      <c r="A72" s="6"/>
      <c r="B72" s="983" t="e">
        <f>IF(Hypothèses!F11&gt;0,"Les hypothèses générales ont été modifiées - le résultat (valeur par défaut) ne correspond pas à la valeur indicative officielle d’Agroscope.",IF(AND((OR(E69&gt;1,E69&lt;-1)),(OR(E70&gt;1,E70&lt;-1))),"ATTENTION - Vos données ne sont pas correctes","ok"))</f>
        <v>#VALUE!</v>
      </c>
      <c r="C72" s="6"/>
      <c r="D72" s="6"/>
      <c r="E72" s="462"/>
      <c r="F72" s="462"/>
      <c r="I72" s="415"/>
    </row>
    <row r="73" spans="1:9">
      <c r="A73" s="6"/>
      <c r="B73" s="984" t="e">
        <f>IF(Hypothèses!F11&gt;0,"",IF(B72="ok","",IF(OR(E69&gt;1,E69&lt;-1),"Veuillez vérifier la puissance en kW","ok")))</f>
        <v>#VALUE!</v>
      </c>
      <c r="C73" s="377"/>
      <c r="D73" s="6"/>
      <c r="E73" s="462"/>
      <c r="F73" s="462"/>
      <c r="G73" s="6"/>
      <c r="I73" s="415"/>
    </row>
    <row r="74" spans="1:9">
      <c r="A74" s="6"/>
      <c r="B74" s="6" t="s">
        <v>548</v>
      </c>
      <c r="C74" s="6"/>
      <c r="D74" s="6"/>
      <c r="E74" s="6"/>
      <c r="F74" s="6"/>
      <c r="G74" s="378">
        <f>(G66/E66)-1</f>
        <v>-9.7513297987340875E-2</v>
      </c>
      <c r="I74" s="415"/>
    </row>
    <row r="75" spans="1:9">
      <c r="A75" s="6"/>
      <c r="B75" s="6"/>
      <c r="C75" s="6"/>
      <c r="D75" s="6"/>
      <c r="E75" s="6"/>
      <c r="F75" s="6"/>
      <c r="G75" s="6"/>
      <c r="I75" s="415"/>
    </row>
    <row r="76" spans="1:9" ht="24.75">
      <c r="A76" s="950" t="str">
        <f>A1</f>
        <v>TracSharing (Programme de calcul pour communauté de machines)</v>
      </c>
      <c r="I76" s="415"/>
    </row>
    <row r="77" spans="1:9">
      <c r="A77" s="467"/>
      <c r="B77" s="467"/>
      <c r="C77" s="467"/>
      <c r="D77" s="467"/>
      <c r="E77" s="467"/>
      <c r="F77" s="467"/>
      <c r="G77" s="467"/>
      <c r="I77" s="415"/>
    </row>
    <row r="78" spans="1:9" ht="18" hidden="1">
      <c r="A78" s="951" t="s">
        <v>534</v>
      </c>
      <c r="B78" s="467"/>
      <c r="C78" s="467"/>
      <c r="D78" s="467"/>
      <c r="E78" s="467"/>
      <c r="F78" s="187" t="s">
        <v>331</v>
      </c>
      <c r="G78" s="206">
        <f ca="1">NOW()</f>
        <v>45911.373451157408</v>
      </c>
      <c r="I78" s="415"/>
    </row>
    <row r="79" spans="1:9" hidden="1">
      <c r="A79" s="467"/>
      <c r="B79" s="467"/>
      <c r="C79" s="6"/>
      <c r="D79" s="6"/>
      <c r="E79" s="952" t="s">
        <v>1458</v>
      </c>
      <c r="F79" s="952" t="s">
        <v>536</v>
      </c>
      <c r="G79" s="467"/>
      <c r="I79" s="415"/>
    </row>
    <row r="80" spans="1:9" hidden="1">
      <c r="A80" s="467"/>
      <c r="B80" s="467"/>
      <c r="C80" s="6"/>
      <c r="D80" s="953" t="s">
        <v>1459</v>
      </c>
      <c r="E80" s="954">
        <f>F80*F34</f>
        <v>41901.083333333343</v>
      </c>
      <c r="F80" s="955">
        <f>G65</f>
        <v>55.868111111111119</v>
      </c>
      <c r="G80" s="467"/>
      <c r="I80" s="415"/>
    </row>
    <row r="81" spans="1:9" hidden="1">
      <c r="A81" s="467"/>
      <c r="B81" s="467"/>
      <c r="C81" s="6"/>
      <c r="D81" s="6"/>
      <c r="E81" s="6"/>
      <c r="F81" s="358"/>
      <c r="G81" s="467"/>
      <c r="I81" s="415"/>
    </row>
    <row r="82" spans="1:9" hidden="1">
      <c r="A82" s="956" t="s">
        <v>1460</v>
      </c>
      <c r="B82" s="467"/>
      <c r="C82" s="6"/>
      <c r="D82" s="6"/>
      <c r="E82" s="952" t="s">
        <v>535</v>
      </c>
      <c r="F82" s="952" t="str">
        <f>G34</f>
        <v>heures (h)</v>
      </c>
      <c r="G82" s="467"/>
      <c r="I82" s="415"/>
    </row>
    <row r="83" spans="1:9" hidden="1">
      <c r="A83" s="10" t="s">
        <v>50</v>
      </c>
      <c r="B83" s="956" t="s">
        <v>1461</v>
      </c>
      <c r="C83" s="6"/>
      <c r="D83" s="6"/>
      <c r="E83" s="412">
        <f>F$80*F35</f>
        <v>30727.461111111115</v>
      </c>
      <c r="F83" s="204">
        <f>F35</f>
        <v>550</v>
      </c>
      <c r="G83" s="467"/>
      <c r="I83" s="415"/>
    </row>
    <row r="84" spans="1:9" hidden="1">
      <c r="A84" s="10" t="s">
        <v>57</v>
      </c>
      <c r="B84" s="956" t="s">
        <v>1447</v>
      </c>
      <c r="C84" s="6"/>
      <c r="D84" s="6"/>
      <c r="E84" s="413">
        <f>F$80*F36</f>
        <v>11173.622222222224</v>
      </c>
      <c r="F84" s="115">
        <f>F36</f>
        <v>200</v>
      </c>
      <c r="G84" s="467"/>
      <c r="I84" s="415"/>
    </row>
    <row r="85" spans="1:9" hidden="1">
      <c r="A85" s="10" t="s">
        <v>58</v>
      </c>
      <c r="B85" s="956" t="s">
        <v>1448</v>
      </c>
      <c r="C85" s="6"/>
      <c r="D85" s="6"/>
      <c r="E85" s="413">
        <f>F$80*F37</f>
        <v>0</v>
      </c>
      <c r="F85" s="115">
        <f>F37</f>
        <v>0</v>
      </c>
      <c r="G85" s="467"/>
      <c r="I85" s="415"/>
    </row>
    <row r="86" spans="1:9">
      <c r="A86" s="10" t="s">
        <v>16</v>
      </c>
      <c r="B86" s="956" t="s">
        <v>1451</v>
      </c>
      <c r="C86" s="6"/>
      <c r="D86" s="6"/>
      <c r="E86" s="414">
        <f>F$80*F40</f>
        <v>0</v>
      </c>
      <c r="F86" s="118">
        <f>F40</f>
        <v>0</v>
      </c>
      <c r="G86" s="467"/>
      <c r="I86" s="415"/>
    </row>
    <row r="87" spans="1:9">
      <c r="A87" s="10"/>
      <c r="B87" s="6"/>
      <c r="C87" s="6"/>
      <c r="D87" s="6"/>
      <c r="E87" s="6"/>
      <c r="F87" s="6"/>
      <c r="G87" s="467"/>
      <c r="I87" s="415"/>
    </row>
    <row r="88" spans="1:9">
      <c r="A88" s="957" t="s">
        <v>1462</v>
      </c>
      <c r="B88" s="467"/>
      <c r="C88" s="6"/>
      <c r="D88" s="6"/>
      <c r="E88" s="6"/>
      <c r="F88" s="6"/>
      <c r="G88" s="467"/>
      <c r="I88" s="415"/>
    </row>
    <row r="89" spans="1:9">
      <c r="A89" s="956" t="s">
        <v>50</v>
      </c>
      <c r="B89" s="956" t="str">
        <f t="shared" ref="B89:B94" si="4">B27</f>
        <v xml:space="preserve">   Associé1=gérant de la machine, avec emplacement</v>
      </c>
      <c r="C89" s="6"/>
      <c r="D89" s="6"/>
      <c r="E89" s="404">
        <f t="shared" ref="E89:E94" si="5">IF(LEN(F$45)&gt;0,F$45/F$26*F27,F$44*F27)</f>
        <v>0</v>
      </c>
      <c r="F89" s="462" t="s">
        <v>380</v>
      </c>
      <c r="G89" s="467"/>
      <c r="I89" s="415"/>
    </row>
    <row r="90" spans="1:9">
      <c r="A90" s="10" t="s">
        <v>57</v>
      </c>
      <c r="B90" s="956" t="str">
        <f t="shared" si="4"/>
        <v xml:space="preserve">   Associé2</v>
      </c>
      <c r="C90" s="6"/>
      <c r="D90" s="6"/>
      <c r="E90" s="404">
        <f t="shared" si="5"/>
        <v>0</v>
      </c>
      <c r="F90" s="462" t="s">
        <v>380</v>
      </c>
      <c r="G90" s="467"/>
      <c r="I90" s="415"/>
    </row>
    <row r="91" spans="1:9">
      <c r="A91" s="10" t="s">
        <v>58</v>
      </c>
      <c r="B91" s="956" t="str">
        <f t="shared" si="4"/>
        <v xml:space="preserve">   Associé3</v>
      </c>
      <c r="C91" s="6"/>
      <c r="D91" s="6"/>
      <c r="E91" s="404">
        <f t="shared" si="5"/>
        <v>0</v>
      </c>
      <c r="F91" s="462" t="s">
        <v>380</v>
      </c>
      <c r="G91" s="467"/>
      <c r="I91" s="415"/>
    </row>
    <row r="92" spans="1:9">
      <c r="A92" s="10" t="s">
        <v>59</v>
      </c>
      <c r="B92" s="956" t="str">
        <f t="shared" si="4"/>
        <v xml:space="preserve">   Associé4</v>
      </c>
      <c r="C92" s="6"/>
      <c r="D92" s="6"/>
      <c r="E92" s="404">
        <f t="shared" si="5"/>
        <v>0</v>
      </c>
      <c r="F92" s="462" t="s">
        <v>380</v>
      </c>
      <c r="G92" s="467"/>
      <c r="I92" s="415"/>
    </row>
    <row r="93" spans="1:9">
      <c r="A93" s="10" t="s">
        <v>15</v>
      </c>
      <c r="B93" s="956" t="str">
        <f t="shared" si="4"/>
        <v xml:space="preserve">   Associé5</v>
      </c>
      <c r="C93" s="6"/>
      <c r="D93" s="6"/>
      <c r="E93" s="404">
        <f t="shared" si="5"/>
        <v>0</v>
      </c>
      <c r="F93" s="462" t="s">
        <v>380</v>
      </c>
      <c r="G93" s="467"/>
      <c r="I93" s="415"/>
    </row>
    <row r="94" spans="1:9">
      <c r="A94" s="10" t="s">
        <v>16</v>
      </c>
      <c r="B94" s="956" t="str">
        <f t="shared" si="4"/>
        <v xml:space="preserve">   Associé6</v>
      </c>
      <c r="C94" s="6"/>
      <c r="D94" s="6"/>
      <c r="E94" s="404">
        <f t="shared" si="5"/>
        <v>0</v>
      </c>
      <c r="F94" s="462" t="s">
        <v>380</v>
      </c>
      <c r="G94" s="467"/>
      <c r="I94" s="415"/>
    </row>
    <row r="95" spans="1:9">
      <c r="A95" s="10"/>
      <c r="B95" s="6"/>
      <c r="C95" s="6"/>
      <c r="D95" s="6"/>
      <c r="E95" s="6"/>
      <c r="F95" s="6"/>
      <c r="G95" s="467"/>
      <c r="I95" s="415"/>
    </row>
    <row r="96" spans="1:9" ht="15">
      <c r="A96" s="10" t="s">
        <v>1463</v>
      </c>
      <c r="B96" s="6"/>
      <c r="C96" s="6"/>
      <c r="D96" s="6"/>
      <c r="E96" s="952" t="s">
        <v>1458</v>
      </c>
      <c r="F96" s="424" t="s">
        <v>1464</v>
      </c>
      <c r="G96" s="958"/>
      <c r="I96" s="415"/>
    </row>
    <row r="97" spans="1:9">
      <c r="B97" s="6" t="s">
        <v>539</v>
      </c>
      <c r="C97" s="6"/>
      <c r="D97" s="6"/>
      <c r="E97" s="404">
        <f>D56</f>
        <v>1305</v>
      </c>
      <c r="F97" s="944"/>
      <c r="G97" s="462" t="s">
        <v>1465</v>
      </c>
      <c r="I97" s="415"/>
    </row>
    <row r="98" spans="1:9">
      <c r="A98" s="6"/>
      <c r="B98" s="6" t="s">
        <v>540</v>
      </c>
      <c r="C98" s="6"/>
      <c r="D98" s="6"/>
      <c r="E98" s="404">
        <f>D57</f>
        <v>832</v>
      </c>
      <c r="F98" s="944"/>
      <c r="G98" s="462" t="s">
        <v>1465</v>
      </c>
      <c r="I98" s="415"/>
    </row>
    <row r="99" spans="1:9">
      <c r="A99" s="6"/>
      <c r="B99" s="849" t="s">
        <v>1466</v>
      </c>
      <c r="C99" s="6"/>
      <c r="D99" s="6"/>
      <c r="E99" s="404">
        <f>G60*F34</f>
        <v>6446.2500000000009</v>
      </c>
      <c r="F99" s="944"/>
      <c r="G99" s="462" t="s">
        <v>1467</v>
      </c>
      <c r="I99" s="415"/>
    </row>
    <row r="100" spans="1:9">
      <c r="A100" s="930"/>
      <c r="B100" s="849" t="s">
        <v>1468</v>
      </c>
      <c r="C100" s="6"/>
      <c r="D100" s="6"/>
      <c r="E100" s="404">
        <f>(G61+G62)*F34</f>
        <v>18940.5</v>
      </c>
      <c r="F100" s="959"/>
      <c r="G100" s="462" t="s">
        <v>1467</v>
      </c>
      <c r="I100" s="415"/>
    </row>
    <row r="101" spans="1:9">
      <c r="A101" s="467"/>
      <c r="B101" s="930" t="s">
        <v>1469</v>
      </c>
      <c r="C101" s="467"/>
      <c r="D101" s="467"/>
      <c r="E101" s="422">
        <v>0</v>
      </c>
      <c r="F101" s="6" t="s">
        <v>380</v>
      </c>
      <c r="G101" s="467"/>
      <c r="I101" s="415"/>
    </row>
    <row r="102" spans="1:9">
      <c r="A102" s="467"/>
      <c r="B102" s="930" t="s">
        <v>1470</v>
      </c>
      <c r="D102" s="467"/>
      <c r="E102" s="422">
        <v>0</v>
      </c>
      <c r="F102" s="6" t="s">
        <v>380</v>
      </c>
      <c r="G102" s="467"/>
      <c r="I102" s="415"/>
    </row>
    <row r="103" spans="1:9" ht="13.5" thickBot="1">
      <c r="A103" s="930" t="s">
        <v>1471</v>
      </c>
      <c r="B103" s="467"/>
      <c r="C103" s="467"/>
      <c r="D103" s="467"/>
      <c r="E103" s="405">
        <f>(IF(LEN(F97)&gt;0,F97,E97))+(IF(LEN(F98)&gt;0,F98,E98))+(IF(LEN(F99)&gt;0,F99,E99))+(IF(LEN(F100)&gt;0,F100,E100))+E101-E102</f>
        <v>27523.75</v>
      </c>
      <c r="F103" s="6"/>
      <c r="G103" s="467"/>
      <c r="I103" s="415"/>
    </row>
    <row r="104" spans="1:9" ht="13.5" thickTop="1">
      <c r="A104" s="467"/>
      <c r="B104" s="930" t="s">
        <v>1472</v>
      </c>
      <c r="C104" s="467"/>
      <c r="D104" s="467"/>
      <c r="E104" s="6"/>
      <c r="F104" s="6"/>
      <c r="G104" s="467"/>
      <c r="I104" s="415"/>
    </row>
    <row r="105" spans="1:9" ht="13.5" thickBot="1">
      <c r="A105" s="467"/>
      <c r="B105" s="930" t="s">
        <v>1473</v>
      </c>
      <c r="C105" s="467"/>
      <c r="D105" s="467"/>
      <c r="E105" s="960">
        <f>F54+F55</f>
        <v>14377.333333333334</v>
      </c>
      <c r="F105" s="6"/>
      <c r="G105" s="467"/>
      <c r="I105" s="415"/>
    </row>
    <row r="106" spans="1:9" ht="13.5" thickTop="1">
      <c r="A106" s="930" t="s">
        <v>1474</v>
      </c>
      <c r="B106" s="467"/>
      <c r="C106" s="467"/>
      <c r="D106" s="467"/>
      <c r="E106" s="961">
        <f>(E103+E105)/F34</f>
        <v>55.868111111111112</v>
      </c>
      <c r="F106" s="962"/>
      <c r="G106" s="963"/>
      <c r="I106" s="415"/>
    </row>
    <row r="107" spans="1:9">
      <c r="A107" s="930"/>
      <c r="B107" s="467"/>
      <c r="C107" s="467"/>
      <c r="D107" s="467"/>
      <c r="E107" s="425"/>
      <c r="F107" s="962"/>
      <c r="G107" s="963"/>
      <c r="I107" s="415"/>
    </row>
    <row r="108" spans="1:9">
      <c r="A108" s="956" t="s">
        <v>1475</v>
      </c>
      <c r="B108" s="6"/>
      <c r="C108" s="6"/>
      <c r="D108" s="6"/>
      <c r="E108" s="952" t="s">
        <v>1458</v>
      </c>
      <c r="F108" s="962"/>
      <c r="G108" s="963"/>
      <c r="I108" s="415"/>
    </row>
    <row r="109" spans="1:9">
      <c r="A109" s="10" t="s">
        <v>50</v>
      </c>
      <c r="B109" s="956" t="str">
        <f t="shared" ref="B109:B114" si="6">B27</f>
        <v xml:space="preserve">   Associé1=gérant de la machine, avec emplacement</v>
      </c>
      <c r="C109" s="6"/>
      <c r="D109" s="6"/>
      <c r="E109" s="964">
        <f t="shared" ref="E109:E114" si="7">E$106*F35</f>
        <v>30727.461111111112</v>
      </c>
      <c r="F109" s="962"/>
      <c r="G109" s="963"/>
      <c r="I109" s="415"/>
    </row>
    <row r="110" spans="1:9">
      <c r="A110" s="10" t="s">
        <v>57</v>
      </c>
      <c r="B110" s="956" t="str">
        <f t="shared" si="6"/>
        <v xml:space="preserve">   Associé2</v>
      </c>
      <c r="C110" s="6"/>
      <c r="D110" s="6"/>
      <c r="E110" s="964">
        <f t="shared" si="7"/>
        <v>11173.622222222222</v>
      </c>
      <c r="F110" s="962"/>
      <c r="G110" s="963"/>
      <c r="I110" s="415"/>
    </row>
    <row r="111" spans="1:9">
      <c r="A111" s="10" t="s">
        <v>58</v>
      </c>
      <c r="B111" s="956" t="str">
        <f t="shared" si="6"/>
        <v xml:space="preserve">   Associé3</v>
      </c>
      <c r="C111" s="6"/>
      <c r="D111" s="6"/>
      <c r="E111" s="964">
        <f t="shared" si="7"/>
        <v>0</v>
      </c>
      <c r="F111" s="962"/>
      <c r="G111" s="963"/>
      <c r="I111" s="415"/>
    </row>
    <row r="112" spans="1:9">
      <c r="A112" s="10" t="s">
        <v>59</v>
      </c>
      <c r="B112" s="956" t="str">
        <f t="shared" si="6"/>
        <v xml:space="preserve">   Associé4</v>
      </c>
      <c r="C112" s="6"/>
      <c r="D112" s="6"/>
      <c r="E112" s="964">
        <f t="shared" si="7"/>
        <v>0</v>
      </c>
      <c r="F112" s="962"/>
      <c r="G112" s="963"/>
      <c r="I112" s="415"/>
    </row>
    <row r="113" spans="1:9">
      <c r="A113" s="10" t="s">
        <v>15</v>
      </c>
      <c r="B113" s="956" t="str">
        <f t="shared" si="6"/>
        <v xml:space="preserve">   Associé5</v>
      </c>
      <c r="C113" s="6"/>
      <c r="D113" s="6"/>
      <c r="E113" s="964">
        <f t="shared" si="7"/>
        <v>0</v>
      </c>
      <c r="F113" s="962"/>
      <c r="G113" s="963"/>
      <c r="I113" s="415"/>
    </row>
    <row r="114" spans="1:9">
      <c r="A114" s="10" t="s">
        <v>16</v>
      </c>
      <c r="B114" s="956" t="str">
        <f t="shared" si="6"/>
        <v xml:space="preserve">   Associé6</v>
      </c>
      <c r="C114" s="6"/>
      <c r="D114" s="6"/>
      <c r="E114" s="964">
        <f t="shared" si="7"/>
        <v>0</v>
      </c>
      <c r="F114" s="962"/>
      <c r="G114" s="963"/>
      <c r="I114" s="415"/>
    </row>
    <row r="115" spans="1:9">
      <c r="A115" s="462"/>
      <c r="B115" s="6"/>
      <c r="C115" s="6"/>
      <c r="D115" s="6"/>
      <c r="E115" s="965"/>
      <c r="F115" s="962"/>
      <c r="G115" s="963"/>
      <c r="I115" s="415"/>
    </row>
    <row r="116" spans="1:9">
      <c r="A116" s="10"/>
      <c r="B116" s="6"/>
      <c r="C116" s="6"/>
      <c r="D116" s="6"/>
      <c r="E116" s="462" t="s">
        <v>1476</v>
      </c>
      <c r="F116" s="930" t="s">
        <v>1477</v>
      </c>
      <c r="G116" s="467"/>
      <c r="I116" s="415"/>
    </row>
    <row r="117" spans="1:9">
      <c r="A117" s="10"/>
      <c r="B117" s="467"/>
      <c r="C117" s="966" t="s">
        <v>1478</v>
      </c>
      <c r="D117" s="935" t="s">
        <v>382</v>
      </c>
      <c r="E117" s="967">
        <v>3.5000000000000003E-2</v>
      </c>
      <c r="F117" s="423"/>
      <c r="G117" s="968">
        <f>IF(LEN(F117)&gt;0,F117,E117)</f>
        <v>3.5000000000000003E-2</v>
      </c>
      <c r="I117" s="415"/>
    </row>
    <row r="118" spans="1:9">
      <c r="A118" s="10"/>
      <c r="B118" s="462"/>
      <c r="C118" s="6"/>
      <c r="D118" s="6"/>
      <c r="E118" s="6"/>
      <c r="F118" s="6"/>
      <c r="G118" s="467"/>
      <c r="I118" s="415"/>
    </row>
    <row r="119" spans="1:9">
      <c r="A119" s="956" t="s">
        <v>1479</v>
      </c>
      <c r="B119" s="467"/>
      <c r="D119" s="467"/>
      <c r="E119" s="952" t="s">
        <v>1458</v>
      </c>
      <c r="F119" s="969" t="s">
        <v>51</v>
      </c>
      <c r="G119" s="970"/>
      <c r="I119" s="415"/>
    </row>
    <row r="120" spans="1:9">
      <c r="A120" s="10" t="s">
        <v>50</v>
      </c>
      <c r="B120" s="971" t="str">
        <f t="shared" ref="B120:B125" si="8">B27</f>
        <v xml:space="preserve">   Associé1=gérant de la machine, avec emplacement</v>
      </c>
      <c r="C120" s="418"/>
      <c r="D120" s="418"/>
      <c r="E120" s="972">
        <f t="shared" ref="E120:E125" si="9">((F27-E89)/F$41)+((F27-E89)*G$117*0.6)+(E89*G$117)</f>
        <v>8766.6666666666679</v>
      </c>
      <c r="F120" s="418">
        <f t="shared" ref="F120:F125" si="10">F27</f>
        <v>100000</v>
      </c>
      <c r="G120" s="973">
        <f t="shared" ref="G120:G125" si="11">F120/F$26</f>
        <v>0.6097560975609756</v>
      </c>
      <c r="I120" s="415"/>
    </row>
    <row r="121" spans="1:9">
      <c r="A121" s="10" t="s">
        <v>57</v>
      </c>
      <c r="B121" s="971" t="str">
        <f t="shared" si="8"/>
        <v xml:space="preserve">   Associé2</v>
      </c>
      <c r="C121" s="420"/>
      <c r="D121" s="420"/>
      <c r="E121" s="972">
        <f t="shared" si="9"/>
        <v>5610.666666666667</v>
      </c>
      <c r="F121" s="420">
        <f t="shared" si="10"/>
        <v>64000</v>
      </c>
      <c r="G121" s="974">
        <f t="shared" si="11"/>
        <v>0.3902439024390244</v>
      </c>
      <c r="I121" s="415"/>
    </row>
    <row r="122" spans="1:9">
      <c r="A122" s="10" t="s">
        <v>58</v>
      </c>
      <c r="B122" s="971" t="str">
        <f t="shared" si="8"/>
        <v xml:space="preserve">   Associé3</v>
      </c>
      <c r="C122" s="420"/>
      <c r="D122" s="420"/>
      <c r="E122" s="972">
        <f t="shared" si="9"/>
        <v>0</v>
      </c>
      <c r="F122" s="420">
        <f t="shared" si="10"/>
        <v>0</v>
      </c>
      <c r="G122" s="974">
        <f t="shared" si="11"/>
        <v>0</v>
      </c>
      <c r="I122" s="415"/>
    </row>
    <row r="123" spans="1:9">
      <c r="A123" s="10" t="s">
        <v>59</v>
      </c>
      <c r="B123" s="971" t="str">
        <f t="shared" si="8"/>
        <v xml:space="preserve">   Associé4</v>
      </c>
      <c r="C123" s="420"/>
      <c r="D123" s="420"/>
      <c r="E123" s="972">
        <f t="shared" si="9"/>
        <v>0</v>
      </c>
      <c r="F123" s="420">
        <f t="shared" si="10"/>
        <v>0</v>
      </c>
      <c r="G123" s="974">
        <f t="shared" si="11"/>
        <v>0</v>
      </c>
      <c r="I123" s="415"/>
    </row>
    <row r="124" spans="1:9">
      <c r="A124" s="10" t="s">
        <v>15</v>
      </c>
      <c r="B124" s="971" t="str">
        <f t="shared" si="8"/>
        <v xml:space="preserve">   Associé5</v>
      </c>
      <c r="C124" s="420"/>
      <c r="D124" s="420"/>
      <c r="E124" s="972">
        <f t="shared" si="9"/>
        <v>0</v>
      </c>
      <c r="F124" s="420">
        <f t="shared" si="10"/>
        <v>0</v>
      </c>
      <c r="G124" s="974">
        <f t="shared" si="11"/>
        <v>0</v>
      </c>
      <c r="I124" s="415"/>
    </row>
    <row r="125" spans="1:9">
      <c r="A125" s="10" t="s">
        <v>16</v>
      </c>
      <c r="B125" s="971" t="str">
        <f t="shared" si="8"/>
        <v xml:space="preserve">   Associé6</v>
      </c>
      <c r="C125" s="420"/>
      <c r="D125" s="420"/>
      <c r="E125" s="972">
        <f t="shared" si="9"/>
        <v>0</v>
      </c>
      <c r="F125" s="420">
        <f t="shared" si="10"/>
        <v>0</v>
      </c>
      <c r="G125" s="974">
        <f t="shared" si="11"/>
        <v>0</v>
      </c>
      <c r="I125" s="415"/>
    </row>
    <row r="126" spans="1:9" ht="13.5" thickBot="1">
      <c r="A126" s="6"/>
      <c r="B126" s="6"/>
      <c r="C126" s="467"/>
      <c r="D126" s="953" t="s">
        <v>1480</v>
      </c>
      <c r="E126" s="419">
        <f>SUM(E120:E125)</f>
        <v>14377.333333333336</v>
      </c>
      <c r="F126" s="975">
        <f>E126/F26</f>
        <v>8.7666666666666684E-2</v>
      </c>
      <c r="G126" s="417" t="s">
        <v>1481</v>
      </c>
      <c r="I126" s="415"/>
    </row>
    <row r="127" spans="1:9" ht="13.5" thickTop="1">
      <c r="A127" s="6"/>
      <c r="B127" s="6"/>
      <c r="C127" s="6"/>
      <c r="D127" s="6"/>
      <c r="E127" s="6"/>
      <c r="F127" s="421" t="s">
        <v>1482</v>
      </c>
      <c r="G127" s="467"/>
      <c r="I127" s="415"/>
    </row>
    <row r="128" spans="1:9">
      <c r="A128" s="6"/>
      <c r="B128" s="6"/>
      <c r="C128" s="6"/>
      <c r="D128" s="6"/>
      <c r="E128" s="6"/>
      <c r="F128" s="421"/>
      <c r="G128" s="467"/>
      <c r="I128" s="415"/>
    </row>
    <row r="129" spans="1:9">
      <c r="A129" s="10" t="s">
        <v>1483</v>
      </c>
      <c r="B129" s="6"/>
      <c r="C129" s="6"/>
      <c r="D129" s="6"/>
      <c r="E129" s="6"/>
      <c r="F129" s="421"/>
      <c r="G129" s="467"/>
      <c r="I129" s="415"/>
    </row>
    <row r="130" spans="1:9">
      <c r="A130" s="467"/>
      <c r="B130" s="930" t="s">
        <v>1484</v>
      </c>
      <c r="C130" s="467"/>
      <c r="D130" s="930"/>
      <c r="E130" s="976"/>
      <c r="F130" s="537" t="s">
        <v>1485</v>
      </c>
      <c r="I130" s="415"/>
    </row>
    <row r="131" spans="1:9">
      <c r="A131" s="10" t="s">
        <v>50</v>
      </c>
      <c r="B131" s="977" t="s">
        <v>1486</v>
      </c>
      <c r="C131" s="418"/>
      <c r="D131" s="978" t="e">
        <f t="shared" ref="D131:D136" si="12">E131/$E$137</f>
        <v>#DIV/0!</v>
      </c>
      <c r="E131" s="959"/>
      <c r="F131" s="421" t="str">
        <f t="shared" ref="F131:F137" si="13">E$34</f>
        <v>heures (h)</v>
      </c>
      <c r="G131" s="979" t="s">
        <v>1487</v>
      </c>
      <c r="I131" s="415"/>
    </row>
    <row r="132" spans="1:9">
      <c r="A132" s="10" t="s">
        <v>57</v>
      </c>
      <c r="B132" s="980" t="s">
        <v>1488</v>
      </c>
      <c r="C132" s="981" t="str">
        <f>B28</f>
        <v xml:space="preserve">   Associé2</v>
      </c>
      <c r="D132" s="978" t="e">
        <f t="shared" si="12"/>
        <v>#DIV/0!</v>
      </c>
      <c r="E132" s="959"/>
      <c r="F132" s="421" t="str">
        <f t="shared" si="13"/>
        <v>heures (h)</v>
      </c>
      <c r="G132" s="979" t="s">
        <v>1487</v>
      </c>
      <c r="I132" s="415"/>
    </row>
    <row r="133" spans="1:9">
      <c r="A133" s="10" t="s">
        <v>58</v>
      </c>
      <c r="B133" s="980" t="s">
        <v>1488</v>
      </c>
      <c r="C133" s="981" t="str">
        <f>B29</f>
        <v xml:space="preserve">   Associé3</v>
      </c>
      <c r="D133" s="978" t="e">
        <f t="shared" si="12"/>
        <v>#DIV/0!</v>
      </c>
      <c r="E133" s="959"/>
      <c r="F133" s="421" t="str">
        <f t="shared" si="13"/>
        <v>heures (h)</v>
      </c>
      <c r="G133" s="979" t="s">
        <v>1487</v>
      </c>
      <c r="I133" s="415"/>
    </row>
    <row r="134" spans="1:9">
      <c r="A134" s="10" t="s">
        <v>59</v>
      </c>
      <c r="B134" s="980" t="s">
        <v>1488</v>
      </c>
      <c r="C134" s="981" t="str">
        <f>B30</f>
        <v xml:space="preserve">   Associé4</v>
      </c>
      <c r="D134" s="978" t="e">
        <f t="shared" si="12"/>
        <v>#DIV/0!</v>
      </c>
      <c r="E134" s="959"/>
      <c r="F134" s="421" t="str">
        <f t="shared" si="13"/>
        <v>heures (h)</v>
      </c>
      <c r="G134" s="979" t="s">
        <v>1487</v>
      </c>
      <c r="I134" s="415"/>
    </row>
    <row r="135" spans="1:9">
      <c r="A135" s="10" t="s">
        <v>15</v>
      </c>
      <c r="B135" s="980" t="s">
        <v>1488</v>
      </c>
      <c r="C135" s="981" t="str">
        <f>B31</f>
        <v xml:space="preserve">   Associé5</v>
      </c>
      <c r="D135" s="978" t="e">
        <f t="shared" si="12"/>
        <v>#DIV/0!</v>
      </c>
      <c r="E135" s="959"/>
      <c r="F135" s="421" t="str">
        <f t="shared" si="13"/>
        <v>heures (h)</v>
      </c>
      <c r="G135" s="979" t="s">
        <v>1487</v>
      </c>
      <c r="I135" s="415"/>
    </row>
    <row r="136" spans="1:9">
      <c r="A136" s="10" t="s">
        <v>16</v>
      </c>
      <c r="B136" s="980" t="s">
        <v>1488</v>
      </c>
      <c r="C136" s="981" t="str">
        <f>B32</f>
        <v xml:space="preserve">   Associé6</v>
      </c>
      <c r="D136" s="978" t="e">
        <f t="shared" si="12"/>
        <v>#DIV/0!</v>
      </c>
      <c r="E136" s="959"/>
      <c r="F136" s="421" t="str">
        <f t="shared" si="13"/>
        <v>heures (h)</v>
      </c>
      <c r="G136" s="979" t="s">
        <v>1487</v>
      </c>
      <c r="I136" s="415"/>
    </row>
    <row r="137" spans="1:9">
      <c r="A137" s="6"/>
      <c r="B137" s="6"/>
      <c r="C137" s="6"/>
      <c r="D137" s="462" t="s">
        <v>375</v>
      </c>
      <c r="E137" s="938">
        <f>SUM(E131:E136)</f>
        <v>0</v>
      </c>
      <c r="F137" s="421" t="str">
        <f t="shared" si="13"/>
        <v>heures (h)</v>
      </c>
      <c r="G137" s="979" t="s">
        <v>1487</v>
      </c>
      <c r="I137" s="415"/>
    </row>
    <row r="138" spans="1:9">
      <c r="A138" s="6"/>
      <c r="B138" s="6"/>
      <c r="C138" s="6"/>
      <c r="D138" s="6"/>
      <c r="E138" s="6"/>
      <c r="F138" s="421"/>
      <c r="G138" s="467"/>
      <c r="I138" s="415"/>
    </row>
    <row r="139" spans="1:9">
      <c r="A139" s="956" t="s">
        <v>1489</v>
      </c>
      <c r="B139" s="467"/>
      <c r="C139" s="6"/>
      <c r="D139" s="6"/>
      <c r="E139" s="952" t="s">
        <v>1458</v>
      </c>
      <c r="F139" s="6"/>
      <c r="G139" s="467"/>
      <c r="I139" s="415"/>
    </row>
    <row r="140" spans="1:9">
      <c r="A140" s="10" t="s">
        <v>50</v>
      </c>
      <c r="B140" s="971" t="str">
        <f t="shared" ref="B140:B145" si="14">B27</f>
        <v xml:space="preserve">   Associé1=gérant de la machine, avec emplacement</v>
      </c>
      <c r="C140" s="418"/>
      <c r="D140" s="418"/>
      <c r="E140" s="982">
        <f t="shared" ref="E140:E145" si="15">IF($E$137=0,(E$106*F35)-E120,(E$106*F35)-E120+(D131*$E$130))</f>
        <v>21960.794444444444</v>
      </c>
      <c r="F140" s="353" t="s">
        <v>1490</v>
      </c>
      <c r="G140" s="467"/>
      <c r="I140" s="415"/>
    </row>
    <row r="141" spans="1:9">
      <c r="A141" s="10" t="s">
        <v>57</v>
      </c>
      <c r="B141" s="971" t="str">
        <f t="shared" si="14"/>
        <v xml:space="preserve">   Associé2</v>
      </c>
      <c r="C141" s="420"/>
      <c r="D141" s="420"/>
      <c r="E141" s="982">
        <f t="shared" si="15"/>
        <v>5562.9555555555553</v>
      </c>
      <c r="F141" s="353" t="s">
        <v>1491</v>
      </c>
      <c r="G141" s="467"/>
      <c r="I141" s="415"/>
    </row>
    <row r="142" spans="1:9">
      <c r="A142" s="10" t="s">
        <v>58</v>
      </c>
      <c r="B142" s="971" t="str">
        <f t="shared" si="14"/>
        <v xml:space="preserve">   Associé3</v>
      </c>
      <c r="C142" s="420"/>
      <c r="D142" s="420"/>
      <c r="E142" s="982">
        <f t="shared" si="15"/>
        <v>0</v>
      </c>
      <c r="F142" s="462"/>
      <c r="G142" s="467"/>
      <c r="I142" s="415"/>
    </row>
    <row r="143" spans="1:9">
      <c r="A143" s="10" t="s">
        <v>59</v>
      </c>
      <c r="B143" s="971" t="str">
        <f t="shared" si="14"/>
        <v xml:space="preserve">   Associé4</v>
      </c>
      <c r="C143" s="420"/>
      <c r="D143" s="420"/>
      <c r="E143" s="982">
        <f t="shared" si="15"/>
        <v>0</v>
      </c>
      <c r="F143" s="462"/>
      <c r="G143" s="467"/>
      <c r="I143" s="415"/>
    </row>
    <row r="144" spans="1:9">
      <c r="A144" s="10" t="s">
        <v>15</v>
      </c>
      <c r="B144" s="971" t="str">
        <f t="shared" si="14"/>
        <v xml:space="preserve">   Associé5</v>
      </c>
      <c r="C144" s="420"/>
      <c r="D144" s="420"/>
      <c r="E144" s="982">
        <f t="shared" si="15"/>
        <v>0</v>
      </c>
      <c r="F144" s="462"/>
      <c r="G144" s="467"/>
      <c r="I144" s="415"/>
    </row>
    <row r="145" spans="1:9">
      <c r="A145" s="10" t="s">
        <v>16</v>
      </c>
      <c r="B145" s="971" t="str">
        <f t="shared" si="14"/>
        <v xml:space="preserve">   Associé6</v>
      </c>
      <c r="C145" s="420"/>
      <c r="D145" s="420"/>
      <c r="E145" s="982">
        <f t="shared" si="15"/>
        <v>0</v>
      </c>
      <c r="F145" s="462"/>
      <c r="G145" s="467"/>
      <c r="I145" s="415"/>
    </row>
    <row r="146" spans="1:9" ht="13.5" thickBot="1">
      <c r="A146" s="6"/>
      <c r="B146" s="467"/>
      <c r="C146" s="467"/>
      <c r="D146" s="953" t="s">
        <v>1471</v>
      </c>
      <c r="E146" s="419">
        <f>SUM(E140:E145)</f>
        <v>27523.75</v>
      </c>
      <c r="F146" s="6"/>
      <c r="G146" s="467"/>
      <c r="I146" s="415"/>
    </row>
    <row r="147" spans="1:9" ht="13.5" thickTop="1">
      <c r="A147" s="467"/>
      <c r="B147" s="467"/>
      <c r="C147" s="467"/>
      <c r="D147" s="467"/>
      <c r="E147" s="467"/>
      <c r="F147" s="467"/>
      <c r="G147" s="467"/>
      <c r="I147" s="415"/>
    </row>
    <row r="148" spans="1:9">
      <c r="A148" s="467"/>
      <c r="B148" s="467"/>
      <c r="C148" s="467"/>
      <c r="D148" s="467"/>
      <c r="E148" s="467"/>
      <c r="F148" s="467"/>
      <c r="G148" s="467"/>
      <c r="I148" s="415"/>
    </row>
    <row r="149" spans="1:9">
      <c r="A149" s="467"/>
      <c r="B149" s="467"/>
      <c r="C149" s="467"/>
      <c r="D149" s="467"/>
      <c r="E149" s="467"/>
      <c r="F149" s="467"/>
      <c r="G149" s="467"/>
    </row>
    <row r="150" spans="1:9">
      <c r="A150" s="467"/>
      <c r="B150" s="467"/>
      <c r="C150" s="467"/>
      <c r="D150" s="467"/>
      <c r="E150" s="467"/>
      <c r="F150" s="467"/>
      <c r="G150" s="467"/>
    </row>
    <row r="151" spans="1:9">
      <c r="A151" s="467"/>
      <c r="B151" s="467"/>
      <c r="C151" s="467"/>
      <c r="D151" s="467"/>
      <c r="E151" s="467"/>
      <c r="F151" s="467"/>
      <c r="G151" s="467"/>
    </row>
    <row r="152" spans="1:9">
      <c r="A152" s="467"/>
      <c r="B152" s="467"/>
      <c r="C152" s="467"/>
      <c r="D152" s="467"/>
      <c r="E152" s="467"/>
      <c r="F152" s="467"/>
      <c r="G152" s="467"/>
    </row>
    <row r="153" spans="1:9">
      <c r="A153" s="467"/>
      <c r="B153" s="467"/>
      <c r="C153" s="467"/>
      <c r="D153" s="467"/>
      <c r="E153" s="467"/>
      <c r="F153" s="467"/>
      <c r="G153" s="467"/>
    </row>
    <row r="154" spans="1:9">
      <c r="A154" s="467"/>
      <c r="B154" s="467"/>
      <c r="C154" s="467"/>
      <c r="D154" s="467"/>
      <c r="E154" s="467"/>
      <c r="F154" s="467"/>
      <c r="G154" s="467"/>
    </row>
    <row r="155" spans="1:9">
      <c r="A155" s="467"/>
      <c r="B155" s="467"/>
      <c r="C155" s="467"/>
      <c r="D155" s="467"/>
      <c r="E155" s="467"/>
      <c r="F155" s="467"/>
      <c r="G155" s="467"/>
    </row>
    <row r="156" spans="1:9">
      <c r="A156" s="467"/>
      <c r="B156" s="467"/>
      <c r="C156" s="467"/>
      <c r="D156" s="467"/>
      <c r="E156" s="467"/>
      <c r="F156" s="467"/>
      <c r="G156" s="467"/>
    </row>
    <row r="157" spans="1:9">
      <c r="A157" s="467"/>
      <c r="B157" s="467"/>
      <c r="C157" s="467"/>
      <c r="D157" s="467"/>
      <c r="E157" s="467"/>
      <c r="F157" s="467"/>
      <c r="G157" s="467"/>
    </row>
    <row r="158" spans="1:9">
      <c r="A158" s="467"/>
      <c r="B158" s="467"/>
      <c r="C158" s="467"/>
      <c r="D158" s="467"/>
      <c r="E158" s="467"/>
      <c r="F158" s="467"/>
      <c r="G158" s="467"/>
    </row>
    <row r="159" spans="1:9">
      <c r="A159" s="467"/>
      <c r="B159" s="467"/>
      <c r="C159" s="467"/>
      <c r="D159" s="467"/>
      <c r="E159" s="467"/>
      <c r="F159" s="467"/>
      <c r="G159" s="467"/>
    </row>
    <row r="160" spans="1:9">
      <c r="A160" s="467"/>
      <c r="B160" s="467"/>
      <c r="C160" s="467"/>
      <c r="D160" s="467"/>
      <c r="E160" s="467"/>
      <c r="F160" s="467"/>
      <c r="G160" s="467"/>
    </row>
    <row r="161" spans="1:7">
      <c r="A161" s="467"/>
      <c r="B161" s="467"/>
      <c r="C161" s="467"/>
      <c r="D161" s="467"/>
      <c r="E161" s="467"/>
      <c r="F161" s="467"/>
      <c r="G161" s="467"/>
    </row>
    <row r="162" spans="1:7">
      <c r="A162" s="467"/>
      <c r="B162" s="467"/>
      <c r="C162" s="467"/>
      <c r="D162" s="467"/>
      <c r="E162" s="467"/>
      <c r="F162" s="467"/>
      <c r="G162" s="467"/>
    </row>
    <row r="173" spans="1:7">
      <c r="A173" s="6"/>
      <c r="B173" s="6"/>
      <c r="C173" s="6"/>
      <c r="D173" s="6"/>
      <c r="E173" s="6"/>
      <c r="F173" s="6"/>
      <c r="G173" s="6"/>
    </row>
    <row r="174" spans="1:7">
      <c r="A174" s="6"/>
      <c r="B174" s="6"/>
      <c r="C174" s="6"/>
      <c r="D174" s="6"/>
      <c r="E174" s="6"/>
      <c r="F174" s="6"/>
      <c r="G174" s="6"/>
    </row>
    <row r="175" spans="1:7">
      <c r="A175" s="6"/>
      <c r="B175" s="6"/>
      <c r="C175" s="6"/>
      <c r="D175" s="6"/>
      <c r="E175" s="6"/>
      <c r="F175" s="6"/>
      <c r="G175" s="6"/>
    </row>
    <row r="176" spans="1:7">
      <c r="A176" s="6"/>
      <c r="B176" s="6"/>
      <c r="C176" s="6"/>
      <c r="D176" s="6"/>
      <c r="E176" s="6"/>
      <c r="F176" s="6"/>
      <c r="G176" s="6"/>
    </row>
    <row r="177" spans="1:7">
      <c r="A177" s="6"/>
      <c r="B177" s="6"/>
      <c r="C177" s="6"/>
      <c r="D177" s="6"/>
      <c r="E177" s="6"/>
      <c r="F177" s="6"/>
      <c r="G177" s="6"/>
    </row>
    <row r="178" spans="1:7">
      <c r="A178" s="6"/>
      <c r="B178" s="6"/>
      <c r="C178" s="6"/>
      <c r="D178" s="6"/>
      <c r="E178" s="6"/>
      <c r="F178" s="6"/>
      <c r="G178" s="6"/>
    </row>
  </sheetData>
  <sheetProtection algorithmName="SHA-512" hashValue="Jbi2ZUw3N39fyPmosb/0FRyyLcwnMcUOq04TGajIF7/urUnu1riyVOmhM+5YjQGRHd0p6W5lYLOXNQo5bWZN7g==" saltValue="IkvEWhuP+Y8b3061kLjBew==" spinCount="100000" sheet="1" formatColumns="0"/>
  <phoneticPr fontId="67" type="noConversion"/>
  <dataValidations xWindow="772" yWindow="599" count="10">
    <dataValidation type="list" allowBlank="1" showInputMessage="1" showErrorMessage="1" prompt="Wählen Sie den Code aus dem Maschinenkostenbericht_x000a_oder der Maschinenliste (Datenblatt &quot;Maschinenliste&quot;)" sqref="D9" xr:uid="{3B6D4BE1-BBE7-453D-99FD-D8841984947B}">
      <formula1>Code</formula1>
    </dataValidation>
    <dataValidation allowBlank="1" showInputMessage="1" showErrorMessage="1" prompt="Welche Arbeit führe ich aus? Arbeiten mit sehr hoher Belastung sind z.B. Pflügen, Grubbern &gt; Motorbelastung = 60%; Arbeiten mit eher tiefer Belastung sind z.B. Säen, Walzen, Kreislern, Schwaden, leichtere Transportfahrten &gt; Motorbelastung = 20%. " sqref="F46" xr:uid="{54AA16D1-0ED2-4732-891E-CEC81CA2739F}"/>
    <dataValidation type="list" allowBlank="1" showInputMessage="1" showErrorMessage="1" sqref="F33" xr:uid="{5933AA08-D0F1-4D62-8230-3341A69FA86D}">
      <formula1>$U$5:$U$6</formula1>
    </dataValidation>
    <dataValidation allowBlank="1" showInputMessage="1" showErrorMessage="1" prompt="Wie häufig wird die Maschine jährlich genutzt? (evtl. Schätzung)_x000a_Eingabe in AE (Stunden, Hektaren, m3, Fuder etc.)" sqref="F34" xr:uid="{5AB5EDD2-DFC8-4C89-AC65-7748FF37FED4}"/>
    <dataValidation allowBlank="1" showInputMessage="1" showErrorMessage="1" prompt="Dieser Wert muss bei Occasionsmaschinen oder abgeschriebenen Maschinen erhöht werden!" sqref="F47" xr:uid="{25429524-9C83-43E8-9792-D5AFF51FB00B}"/>
    <dataValidation allowBlank="1" showInputMessage="1" showErrorMessage="1" prompt="Darunter zählen zum Beispiel:_x000a_Wegpauschaulen für längere Anfahrtszeiten; Rüstpauschalen für längere Rüstzeiten auf Hof und Feld." sqref="F51" xr:uid="{4A64CE91-C2AB-4B93-8250-0D2D15848F9F}"/>
    <dataValidation allowBlank="1" showErrorMessage="1" prompt="Wie hoch kann der Eintauschpreis nach Ablauf der Abschreibungszeit geschätzt werden?" sqref="F27" xr:uid="{E915EF09-608D-41C8-A1DB-0EA99F59D6CD}"/>
    <dataValidation allowBlank="1" showInputMessage="1" showErrorMessage="1" prompt="Saisie seulement, si on connaît la valeur résiduelle à l'avance. " sqref="F45" xr:uid="{1F6795D7-E32D-4E4E-9176-E5268FC0FB20}"/>
    <dataValidation allowBlank="1" showInputMessage="1" showErrorMessage="1" prompt="Après combien d'unités de travail (h, ha, ch, bal etc.) la machine est abîmée? (durée d'utilisation technique à partir de laquelle les coûts de réparation sont disproportionnés). " sqref="F42" xr:uid="{18A72D73-8483-49FD-A1C0-0E1070112349}"/>
    <dataValidation allowBlank="1" showInputMessage="1" showErrorMessage="1" promptTitle="Répart. des coûts de réparations" prompt="Si un associé utilise la machine de facon irrégulière d'une année sur l'autre, les coûts de réparation majeurs doivent être répartis séparément. Pour cela saisissez &quot;0&quot; dans ce champ. Fixez ensuite la clef de répartition (voir ci-dessous)." sqref="F99" xr:uid="{7FC4D47F-7DBB-4199-AD54-9B8D8D6701C3}"/>
  </dataValidations>
  <hyperlinks>
    <hyperlink ref="A88" location="TracSharing!F41" display="Mutmasslicher Restwert pro Teilhaber (bei Eintausch / Verkauf der Maschine)" xr:uid="{07F43064-60BD-44AA-8245-75CC9689E308}"/>
  </hyperlinks>
  <pageMargins left="0.44" right="0.28999999999999998" top="0.55118110236220474" bottom="0.19685039370078741" header="0.35433070866141736" footer="0.19685039370078741"/>
  <pageSetup paperSize="9" scale="80" orientation="portrait"/>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9</vt:i4>
      </vt:variant>
    </vt:vector>
  </HeadingPairs>
  <TitlesOfParts>
    <vt:vector size="22" baseType="lpstr">
      <vt:lpstr>Hypothèses</vt:lpstr>
      <vt:lpstr>lire</vt:lpstr>
      <vt:lpstr>Calcul des machines</vt:lpstr>
      <vt:lpstr>résumé</vt:lpstr>
      <vt:lpstr>Maschinenliste</vt:lpstr>
      <vt:lpstr>Acheter ou louer</vt:lpstr>
      <vt:lpstr>Preise_allg</vt:lpstr>
      <vt:lpstr>Grafik</vt:lpstr>
      <vt:lpstr>TracSharing</vt:lpstr>
      <vt:lpstr>Calc_valeur_res</vt:lpstr>
      <vt:lpstr>Spez</vt:lpstr>
      <vt:lpstr>Bemerkungen</vt:lpstr>
      <vt:lpstr>INTERNA</vt:lpstr>
      <vt:lpstr>Code</vt:lpstr>
      <vt:lpstr>'Acheter ou louer'!Druckbereich</vt:lpstr>
      <vt:lpstr>'Calcul des machines'!Druckbereich</vt:lpstr>
      <vt:lpstr>lire!Druckbereich</vt:lpstr>
      <vt:lpstr>Maschinenliste!Druckbereich</vt:lpstr>
      <vt:lpstr>TracSharing!Druckbereich</vt:lpstr>
      <vt:lpstr>Maschinenliste!Drucktitel</vt:lpstr>
      <vt:lpstr>M_Name</vt:lpstr>
      <vt:lpstr>m_SpalteG</vt:lpstr>
    </vt:vector>
  </TitlesOfParts>
  <Company>Eidg. FA f. Agrarwirtschaft &amp; Landtechnik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Gazzarin</dc:creator>
  <cp:lastModifiedBy>Gazzarin Christian AGROSCOPE</cp:lastModifiedBy>
  <cp:lastPrinted>2018-09-03T12:55:47Z</cp:lastPrinted>
  <dcterms:created xsi:type="dcterms:W3CDTF">2008-10-02T06:58:36Z</dcterms:created>
  <dcterms:modified xsi:type="dcterms:W3CDTF">2025-09-11T06:59:35Z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2025-06-08T14:13:20Z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02b2ede4-d808-4aba-a6c1-dc6b537fd322</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