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Data-Work\22_Plant_Production-CH\226.14_Ökonomie\01_Projekte\012_Internationale_Projekte\Interreg V\Unkrautregulierung\Herbocost\"/>
    </mc:Choice>
  </mc:AlternateContent>
  <bookViews>
    <workbookView xWindow="0" yWindow="0" windowWidth="19200" windowHeight="7050" tabRatio="725"/>
  </bookViews>
  <sheets>
    <sheet name="Introduction" sheetId="17" r:id="rId1"/>
    <sheet name="Entree_resultats" sheetId="13" r:id="rId2"/>
    <sheet name="Input_exploitation" sheetId="1" r:id="rId3"/>
    <sheet name="Input_machines" sheetId="12" r:id="rId4"/>
    <sheet name="Input_herbicides" sheetId="15" r:id="rId5"/>
    <sheet name="Input_pre- et post-traitements" sheetId="2" r:id="rId6"/>
    <sheet name="Input_masch_couts_herbicides" sheetId="6" r:id="rId7"/>
    <sheet name="Input_Masch_couts__meche1" sheetId="8" r:id="rId8"/>
    <sheet name="Input_Masch_couts_mech2" sheetId="16" r:id="rId9"/>
    <sheet name="Input_Masch_cosHer+Fad" sheetId="18" r:id="rId10"/>
    <sheet name="listes" sheetId="7" r:id="rId11"/>
    <sheet name="calculs" sheetId="11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5" l="1"/>
  <c r="J39" i="15"/>
  <c r="I10" i="15"/>
  <c r="J10" i="15"/>
  <c r="D33" i="15" l="1"/>
  <c r="D32" i="15"/>
  <c r="D4" i="15"/>
  <c r="D3" i="15"/>
  <c r="D2" i="15"/>
  <c r="G22" i="13" l="1"/>
  <c r="R18" i="12"/>
  <c r="R17" i="12"/>
  <c r="R16" i="12"/>
  <c r="R10" i="12"/>
  <c r="R9" i="12"/>
  <c r="R8" i="12"/>
  <c r="R6" i="12"/>
  <c r="Q18" i="12"/>
  <c r="Q17" i="12"/>
  <c r="Q16" i="12"/>
  <c r="Q10" i="12"/>
  <c r="Q9" i="12"/>
  <c r="Q8" i="12"/>
  <c r="Q6" i="12"/>
  <c r="E28" i="13" l="1"/>
  <c r="C2" i="7"/>
  <c r="B2" i="7"/>
  <c r="E2" i="11" l="1"/>
  <c r="D2" i="11"/>
  <c r="B40" i="11"/>
  <c r="B39" i="11"/>
  <c r="B37" i="11"/>
  <c r="B36" i="11"/>
  <c r="B33" i="11"/>
  <c r="B31" i="11"/>
  <c r="B30" i="11"/>
  <c r="B29" i="11"/>
  <c r="B28" i="11"/>
  <c r="B25" i="11"/>
  <c r="B24" i="11"/>
  <c r="B23" i="11"/>
  <c r="B15" i="11"/>
  <c r="B10" i="11"/>
  <c r="B9" i="11"/>
  <c r="B22" i="11" s="1"/>
  <c r="B8" i="11"/>
  <c r="B13" i="11" s="1"/>
  <c r="B26" i="11" s="1"/>
  <c r="B7" i="11"/>
  <c r="I1" i="16"/>
  <c r="I1" i="8"/>
  <c r="G1" i="8"/>
  <c r="E1" i="8"/>
  <c r="A32" i="18"/>
  <c r="A32" i="16"/>
  <c r="A32" i="8"/>
  <c r="A29" i="18"/>
  <c r="A28" i="18"/>
  <c r="A29" i="16"/>
  <c r="A28" i="16"/>
  <c r="A29" i="8"/>
  <c r="A28" i="8"/>
  <c r="A24" i="18"/>
  <c r="A25" i="18"/>
  <c r="A26" i="18"/>
  <c r="A23" i="18"/>
  <c r="A24" i="16"/>
  <c r="A25" i="16"/>
  <c r="A26" i="16"/>
  <c r="A23" i="16"/>
  <c r="A24" i="8"/>
  <c r="A25" i="8"/>
  <c r="A26" i="8"/>
  <c r="A23" i="8"/>
  <c r="A21" i="18"/>
  <c r="A21" i="16"/>
  <c r="A21" i="8"/>
  <c r="A18" i="8"/>
  <c r="A19" i="8"/>
  <c r="A20" i="8"/>
  <c r="A18" i="16"/>
  <c r="A19" i="16"/>
  <c r="A20" i="16"/>
  <c r="A18" i="18"/>
  <c r="A19" i="18"/>
  <c r="A20" i="18"/>
  <c r="A17" i="18"/>
  <c r="A17" i="16"/>
  <c r="A17" i="8"/>
  <c r="A16" i="18"/>
  <c r="A16" i="16"/>
  <c r="A16" i="8"/>
  <c r="A4" i="18"/>
  <c r="A5" i="18"/>
  <c r="A6" i="18"/>
  <c r="A7" i="18"/>
  <c r="A8" i="18"/>
  <c r="A9" i="18"/>
  <c r="A10" i="18"/>
  <c r="A11" i="18"/>
  <c r="A12" i="18"/>
  <c r="A13" i="18"/>
  <c r="A14" i="18"/>
  <c r="A4" i="16"/>
  <c r="A5" i="16"/>
  <c r="A6" i="16"/>
  <c r="A7" i="16"/>
  <c r="A8" i="16"/>
  <c r="A9" i="16"/>
  <c r="A10" i="16"/>
  <c r="A11" i="16"/>
  <c r="A12" i="16"/>
  <c r="A13" i="16"/>
  <c r="A14" i="16"/>
  <c r="A4" i="8"/>
  <c r="A5" i="8"/>
  <c r="A6" i="8"/>
  <c r="A7" i="8"/>
  <c r="A8" i="8"/>
  <c r="A9" i="8"/>
  <c r="A10" i="8"/>
  <c r="A11" i="8"/>
  <c r="A12" i="8"/>
  <c r="A13" i="8"/>
  <c r="A14" i="8"/>
  <c r="A4" i="6"/>
  <c r="A3" i="18"/>
  <c r="A3" i="16"/>
  <c r="A3" i="8"/>
  <c r="A2" i="8"/>
  <c r="A2" i="18"/>
  <c r="A2" i="16"/>
  <c r="A1" i="18"/>
  <c r="A1" i="16"/>
  <c r="A1" i="8"/>
  <c r="J3" i="2"/>
  <c r="G25" i="2"/>
  <c r="G24" i="2"/>
  <c r="G23" i="2"/>
  <c r="G20" i="2"/>
  <c r="G17" i="2"/>
  <c r="G14" i="2"/>
  <c r="G13" i="2"/>
  <c r="G12" i="2"/>
  <c r="G11" i="2"/>
  <c r="G6" i="2"/>
  <c r="G5" i="2"/>
  <c r="G4" i="2"/>
  <c r="G3" i="2"/>
  <c r="G22" i="2"/>
  <c r="H22" i="2"/>
  <c r="H16" i="2"/>
  <c r="H10" i="2"/>
  <c r="A29" i="2"/>
  <c r="A28" i="2"/>
  <c r="A27" i="2"/>
  <c r="A26" i="2"/>
  <c r="A25" i="2"/>
  <c r="A24" i="2"/>
  <c r="A23" i="2"/>
  <c r="A19" i="2"/>
  <c r="A18" i="2"/>
  <c r="A17" i="2"/>
  <c r="A12" i="2"/>
  <c r="D22" i="2"/>
  <c r="D16" i="2"/>
  <c r="D10" i="2"/>
  <c r="B22" i="2"/>
  <c r="B16" i="2"/>
  <c r="A22" i="2"/>
  <c r="A16" i="2"/>
  <c r="A10" i="2"/>
  <c r="G1" i="2"/>
  <c r="E34" i="15"/>
  <c r="C57" i="15"/>
  <c r="C56" i="15"/>
  <c r="B37" i="15"/>
  <c r="K37" i="15"/>
  <c r="J37" i="15"/>
  <c r="I37" i="15"/>
  <c r="H37" i="15"/>
  <c r="F37" i="15"/>
  <c r="E37" i="15"/>
  <c r="D37" i="15"/>
  <c r="C37" i="15"/>
  <c r="B35" i="15"/>
  <c r="B30" i="15"/>
  <c r="E30" i="15"/>
  <c r="D30" i="15"/>
  <c r="C1" i="15"/>
  <c r="C30" i="15" s="1"/>
  <c r="H17" i="12"/>
  <c r="H18" i="12"/>
  <c r="H16" i="12"/>
  <c r="H13" i="12"/>
  <c r="H14" i="12"/>
  <c r="H12" i="12"/>
  <c r="H9" i="12"/>
  <c r="H10" i="12"/>
  <c r="H8" i="12"/>
  <c r="H6" i="12"/>
  <c r="H5" i="12"/>
  <c r="B2" i="12"/>
  <c r="B3" i="13"/>
  <c r="A1" i="12" s="1"/>
  <c r="D28" i="13"/>
  <c r="D27" i="13"/>
  <c r="D12" i="13"/>
  <c r="D24" i="13" s="1"/>
  <c r="E24" i="13"/>
  <c r="C18" i="13"/>
  <c r="D18" i="13"/>
  <c r="E12" i="13"/>
  <c r="E18" i="13" s="1"/>
  <c r="B21" i="13"/>
  <c r="B15" i="13"/>
  <c r="A18" i="12"/>
  <c r="I1" i="18" s="1"/>
  <c r="A14" i="12"/>
  <c r="A17" i="12"/>
  <c r="A16" i="12"/>
  <c r="A13" i="12"/>
  <c r="G1" i="16" s="1"/>
  <c r="A12" i="12"/>
  <c r="E1" i="16" s="1"/>
  <c r="A15" i="12"/>
  <c r="B21" i="11" l="1"/>
  <c r="G18" i="2"/>
  <c r="G19" i="2"/>
  <c r="B14" i="11"/>
  <c r="B27" i="11" s="1"/>
  <c r="B35" i="11" s="1"/>
  <c r="B38" i="11" s="1"/>
  <c r="G26" i="2"/>
  <c r="D31" i="15"/>
  <c r="I51" i="15"/>
  <c r="J51" i="15" s="1"/>
  <c r="I52" i="15"/>
  <c r="J52" i="15" s="1"/>
  <c r="I53" i="15"/>
  <c r="J53" i="15" s="1"/>
  <c r="I54" i="15"/>
  <c r="J54" i="15" s="1"/>
  <c r="I55" i="15"/>
  <c r="J55" i="15" s="1"/>
  <c r="I22" i="15"/>
  <c r="J22" i="15" s="1"/>
  <c r="I23" i="15"/>
  <c r="J23" i="15" s="1"/>
  <c r="I24" i="15"/>
  <c r="J24" i="15" s="1"/>
  <c r="I25" i="15"/>
  <c r="J25" i="15" s="1"/>
  <c r="I26" i="15"/>
  <c r="J26" i="15" s="1"/>
  <c r="B16" i="12" l="1"/>
  <c r="C16" i="12" s="1"/>
  <c r="B5" i="12"/>
  <c r="C5" i="12" l="1"/>
  <c r="R5" i="12"/>
  <c r="Q5" i="12"/>
  <c r="C1" i="6"/>
  <c r="G1" i="6"/>
  <c r="I6" i="12" l="1"/>
  <c r="B2" i="1" l="1"/>
  <c r="J28" i="15" l="1"/>
  <c r="J19" i="2" l="1"/>
  <c r="D22" i="11" s="1"/>
  <c r="J18" i="2"/>
  <c r="D21" i="11" s="1"/>
  <c r="J26" i="2"/>
  <c r="J25" i="2"/>
  <c r="J24" i="2"/>
  <c r="D37" i="11" s="1"/>
  <c r="J20" i="2"/>
  <c r="J14" i="2"/>
  <c r="J13" i="2"/>
  <c r="J12" i="2"/>
  <c r="J6" i="2"/>
  <c r="J5" i="2"/>
  <c r="J22" i="2"/>
  <c r="J16" i="2"/>
  <c r="J10" i="2"/>
  <c r="I16" i="2"/>
  <c r="I10" i="2"/>
  <c r="E4" i="11" l="1"/>
  <c r="E3" i="11"/>
  <c r="D35" i="11"/>
  <c r="E38" i="11"/>
  <c r="E35" i="11"/>
  <c r="E28" i="11"/>
  <c r="E23" i="11"/>
  <c r="E21" i="11"/>
  <c r="E26" i="11"/>
  <c r="E9" i="11"/>
  <c r="E14" i="11"/>
  <c r="E10" i="11"/>
  <c r="E15" i="11"/>
  <c r="E13" i="11"/>
  <c r="E8" i="11"/>
  <c r="D34" i="11"/>
  <c r="E34" i="11"/>
  <c r="E37" i="11"/>
  <c r="E22" i="11"/>
  <c r="E27" i="11"/>
  <c r="D9" i="11"/>
  <c r="D38" i="11"/>
  <c r="D23" i="11"/>
  <c r="D10" i="11"/>
  <c r="D3" i="11"/>
  <c r="D8" i="11"/>
  <c r="I40" i="15"/>
  <c r="I41" i="15"/>
  <c r="I42" i="15"/>
  <c r="I43" i="15"/>
  <c r="I44" i="15"/>
  <c r="I45" i="15"/>
  <c r="I46" i="15"/>
  <c r="I47" i="15"/>
  <c r="I48" i="15"/>
  <c r="I49" i="15"/>
  <c r="I50" i="15"/>
  <c r="I38" i="15"/>
  <c r="I11" i="15"/>
  <c r="I12" i="15"/>
  <c r="I13" i="15"/>
  <c r="I14" i="15"/>
  <c r="I15" i="15"/>
  <c r="I16" i="15"/>
  <c r="I17" i="15"/>
  <c r="I18" i="15"/>
  <c r="I19" i="15"/>
  <c r="I20" i="15"/>
  <c r="I21" i="15"/>
  <c r="I9" i="15"/>
  <c r="J57" i="15" l="1"/>
  <c r="J49" i="15" l="1"/>
  <c r="J48" i="15"/>
  <c r="J47" i="15"/>
  <c r="J45" i="15"/>
  <c r="J44" i="15"/>
  <c r="J43" i="15"/>
  <c r="J42" i="15"/>
  <c r="J40" i="15"/>
  <c r="J38" i="15"/>
  <c r="J41" i="15" l="1"/>
  <c r="J46" i="15"/>
  <c r="J50" i="15"/>
  <c r="J11" i="15"/>
  <c r="J13" i="15"/>
  <c r="J14" i="15"/>
  <c r="J15" i="15"/>
  <c r="J16" i="15"/>
  <c r="J18" i="15"/>
  <c r="J20" i="15"/>
  <c r="J9" i="15"/>
  <c r="G20" i="18"/>
  <c r="G20" i="6"/>
  <c r="J56" i="15" l="1"/>
  <c r="D35" i="15"/>
  <c r="E27" i="13" s="1"/>
  <c r="H20" i="2"/>
  <c r="J25" i="18" l="1"/>
  <c r="I20" i="18"/>
  <c r="I6" i="18"/>
  <c r="I35" i="11" l="1"/>
  <c r="I34" i="11"/>
  <c r="P17" i="12"/>
  <c r="P16" i="12"/>
  <c r="H26" i="2"/>
  <c r="C35" i="11" l="1"/>
  <c r="C38" i="11"/>
  <c r="J39" i="11" s="1"/>
  <c r="J21" i="15"/>
  <c r="J19" i="15"/>
  <c r="J17" i="15"/>
  <c r="J12" i="15"/>
  <c r="J27" i="15" l="1"/>
  <c r="G4" i="18"/>
  <c r="G18" i="18" s="1"/>
  <c r="G6" i="18"/>
  <c r="E6" i="18"/>
  <c r="H24" i="2"/>
  <c r="C39" i="11" s="1"/>
  <c r="D26" i="2"/>
  <c r="I23" i="2"/>
  <c r="I19" i="18"/>
  <c r="E20" i="18"/>
  <c r="C20" i="18"/>
  <c r="G19" i="18"/>
  <c r="E19" i="18"/>
  <c r="C19" i="18"/>
  <c r="C6" i="18"/>
  <c r="C4" i="18"/>
  <c r="C18" i="18" s="1"/>
  <c r="C3" i="18"/>
  <c r="D24" i="18" s="1"/>
  <c r="G1" i="18"/>
  <c r="E1" i="18"/>
  <c r="C1" i="18"/>
  <c r="D6" i="15" l="1"/>
  <c r="C34" i="11"/>
  <c r="H25" i="2"/>
  <c r="G17" i="18"/>
  <c r="D23" i="18"/>
  <c r="C17" i="18"/>
  <c r="C21" i="18" s="1"/>
  <c r="H23" i="18"/>
  <c r="E4" i="18"/>
  <c r="E17" i="18" s="1"/>
  <c r="B18" i="12"/>
  <c r="C18" i="12" s="1"/>
  <c r="B29" i="13"/>
  <c r="I3" i="11"/>
  <c r="E9" i="13" l="1"/>
  <c r="J5" i="11"/>
  <c r="I4" i="18"/>
  <c r="P18" i="12"/>
  <c r="K39" i="11"/>
  <c r="H23" i="2"/>
  <c r="C37" i="11"/>
  <c r="E18" i="18"/>
  <c r="E21" i="18" s="1"/>
  <c r="F23" i="18"/>
  <c r="F26" i="18" s="1"/>
  <c r="D26" i="18"/>
  <c r="H26" i="18"/>
  <c r="M9" i="12"/>
  <c r="B10" i="1" l="1"/>
  <c r="J23" i="18"/>
  <c r="J26" i="18" s="1"/>
  <c r="I17" i="18"/>
  <c r="I18" i="18"/>
  <c r="J22" i="13"/>
  <c r="H5" i="2"/>
  <c r="I21" i="11"/>
  <c r="I8" i="11"/>
  <c r="H25" i="16"/>
  <c r="G21" i="13"/>
  <c r="G20" i="13"/>
  <c r="G19" i="13"/>
  <c r="I6" i="16"/>
  <c r="G19" i="8"/>
  <c r="E19" i="8"/>
  <c r="I19" i="8"/>
  <c r="I6" i="8"/>
  <c r="G6" i="16"/>
  <c r="E6" i="16"/>
  <c r="C3" i="16"/>
  <c r="D24" i="16" s="1"/>
  <c r="I20" i="16"/>
  <c r="G20" i="16"/>
  <c r="E20" i="16"/>
  <c r="C20" i="16"/>
  <c r="I19" i="16"/>
  <c r="G19" i="16"/>
  <c r="E19" i="16"/>
  <c r="C19" i="16"/>
  <c r="C6" i="16"/>
  <c r="C4" i="16"/>
  <c r="D23" i="16" s="1"/>
  <c r="C1" i="16"/>
  <c r="I17" i="2"/>
  <c r="H19" i="2"/>
  <c r="C23" i="11"/>
  <c r="H18" i="2"/>
  <c r="C26" i="11" s="1"/>
  <c r="G16" i="2"/>
  <c r="G10" i="2"/>
  <c r="A11" i="12"/>
  <c r="A7" i="12"/>
  <c r="D18" i="2"/>
  <c r="D28" i="11" l="1"/>
  <c r="D26" i="11"/>
  <c r="D27" i="11"/>
  <c r="C5" i="11"/>
  <c r="K5" i="11" s="1"/>
  <c r="I21" i="18"/>
  <c r="C27" i="11"/>
  <c r="C17" i="16"/>
  <c r="H17" i="2"/>
  <c r="C21" i="11"/>
  <c r="C30" i="11"/>
  <c r="J30" i="11" s="1"/>
  <c r="C22" i="11"/>
  <c r="C28" i="11"/>
  <c r="D26" i="16"/>
  <c r="C18" i="16"/>
  <c r="P5" i="12"/>
  <c r="P6" i="12"/>
  <c r="B10" i="12"/>
  <c r="B14" i="12"/>
  <c r="B13" i="12"/>
  <c r="B12" i="12"/>
  <c r="I23" i="11"/>
  <c r="I22" i="11"/>
  <c r="I10" i="11"/>
  <c r="I9" i="11"/>
  <c r="R14" i="12" l="1"/>
  <c r="Q14" i="12"/>
  <c r="R13" i="12"/>
  <c r="Q13" i="12"/>
  <c r="Q12" i="12"/>
  <c r="R12" i="12"/>
  <c r="P14" i="12"/>
  <c r="C14" i="12"/>
  <c r="C13" i="12"/>
  <c r="G4" i="16" s="1"/>
  <c r="C10" i="12"/>
  <c r="I4" i="16" s="1"/>
  <c r="P12" i="12"/>
  <c r="C12" i="12"/>
  <c r="E4" i="16" s="1"/>
  <c r="E17" i="16" s="1"/>
  <c r="C29" i="11"/>
  <c r="J21" i="13"/>
  <c r="K30" i="11"/>
  <c r="C21" i="16"/>
  <c r="C24" i="11"/>
  <c r="P13" i="12"/>
  <c r="P10" i="12"/>
  <c r="B20" i="13"/>
  <c r="B19" i="13"/>
  <c r="E18" i="16" l="1"/>
  <c r="E21" i="16" s="1"/>
  <c r="F23" i="16"/>
  <c r="G17" i="16"/>
  <c r="H23" i="16"/>
  <c r="G18" i="16"/>
  <c r="J23" i="16"/>
  <c r="I18" i="16"/>
  <c r="I17" i="16"/>
  <c r="H26" i="16" l="1"/>
  <c r="J26" i="16"/>
  <c r="F26" i="16"/>
  <c r="I21" i="16"/>
  <c r="G21" i="16"/>
  <c r="I20" i="8" l="1"/>
  <c r="I4" i="8" l="1"/>
  <c r="J23" i="8" l="1"/>
  <c r="I17" i="8"/>
  <c r="I18" i="8"/>
  <c r="G21" i="18"/>
  <c r="H14" i="2"/>
  <c r="D12" i="2"/>
  <c r="D7" i="2"/>
  <c r="D4" i="11" s="1"/>
  <c r="D14" i="11" l="1"/>
  <c r="D13" i="11"/>
  <c r="D15" i="11"/>
  <c r="C15" i="11"/>
  <c r="C10" i="11"/>
  <c r="C20" i="6"/>
  <c r="J26" i="8" l="1"/>
  <c r="I21" i="8" l="1"/>
  <c r="B14" i="13"/>
  <c r="B13" i="13"/>
  <c r="H13" i="2" l="1"/>
  <c r="C14" i="11" s="1"/>
  <c r="H12" i="2"/>
  <c r="C17" i="11" s="1"/>
  <c r="J17" i="11" s="1"/>
  <c r="B9" i="12"/>
  <c r="C9" i="12" s="1"/>
  <c r="B8" i="12"/>
  <c r="C8" i="12" s="1"/>
  <c r="P8" i="12" l="1"/>
  <c r="P9" i="12"/>
  <c r="C8" i="11"/>
  <c r="C13" i="11"/>
  <c r="C16" i="11" s="1"/>
  <c r="H11" i="2"/>
  <c r="J20" i="13" l="1"/>
  <c r="K17" i="11"/>
  <c r="G6" i="8"/>
  <c r="E6" i="8"/>
  <c r="H6" i="2" l="1"/>
  <c r="H4" i="2"/>
  <c r="C4" i="11" s="1"/>
  <c r="I11" i="2" l="1"/>
  <c r="I4" i="2"/>
  <c r="C5" i="6" l="1"/>
  <c r="C5" i="18"/>
  <c r="C5" i="8"/>
  <c r="C5" i="16"/>
  <c r="J19" i="13"/>
  <c r="E20" i="8"/>
  <c r="C8" i="18" l="1"/>
  <c r="D32" i="18"/>
  <c r="D21" i="18"/>
  <c r="D28" i="18" s="1"/>
  <c r="D29" i="18" s="1"/>
  <c r="D32" i="16"/>
  <c r="C8" i="16"/>
  <c r="D21" i="16"/>
  <c r="D28" i="16" s="1"/>
  <c r="D29" i="16" s="1"/>
  <c r="G20" i="8"/>
  <c r="C20" i="8"/>
  <c r="C6" i="8"/>
  <c r="C9" i="11"/>
  <c r="C11" i="11" s="1"/>
  <c r="G4" i="6"/>
  <c r="C4" i="6"/>
  <c r="G6" i="6" l="1"/>
  <c r="G17" i="6" s="1"/>
  <c r="E20" i="6"/>
  <c r="E6" i="6"/>
  <c r="C4" i="8" l="1"/>
  <c r="C6" i="6"/>
  <c r="C17" i="6" s="1"/>
  <c r="E1" i="6"/>
  <c r="F8" i="11" l="1"/>
  <c r="F34" i="11"/>
  <c r="F35" i="11"/>
  <c r="F37" i="11"/>
  <c r="F38" i="11"/>
  <c r="F21" i="11"/>
  <c r="F26" i="11"/>
  <c r="F27" i="11"/>
  <c r="F10" i="11"/>
  <c r="F28" i="11"/>
  <c r="F22" i="11"/>
  <c r="F23" i="11"/>
  <c r="F14" i="11"/>
  <c r="F9" i="11"/>
  <c r="F13" i="11"/>
  <c r="F15" i="11"/>
  <c r="D23" i="8"/>
  <c r="D32" i="8" s="1"/>
  <c r="C8" i="6"/>
  <c r="F4" i="11"/>
  <c r="F3" i="11"/>
  <c r="E4" i="6"/>
  <c r="H25" i="8" l="1"/>
  <c r="E4" i="8"/>
  <c r="E18" i="8" s="1"/>
  <c r="F23" i="8" l="1"/>
  <c r="E17" i="8"/>
  <c r="G4" i="8"/>
  <c r="H23" i="8" s="1"/>
  <c r="B1" i="12"/>
  <c r="H26" i="8" l="1"/>
  <c r="E21" i="8"/>
  <c r="C18" i="8" l="1"/>
  <c r="C19" i="8"/>
  <c r="C3" i="8"/>
  <c r="D24" i="8" s="1"/>
  <c r="C1" i="8"/>
  <c r="C3" i="11" l="1"/>
  <c r="G17" i="8"/>
  <c r="F26" i="8"/>
  <c r="D26" i="8"/>
  <c r="C8" i="8"/>
  <c r="C17" i="8"/>
  <c r="G18" i="8"/>
  <c r="C21" i="8" l="1"/>
  <c r="G21" i="8"/>
  <c r="D21" i="8" l="1"/>
  <c r="D28" i="8" s="1"/>
  <c r="H23" i="6"/>
  <c r="H26" i="6" s="1"/>
  <c r="G19" i="6"/>
  <c r="F23" i="6"/>
  <c r="F26" i="6" s="1"/>
  <c r="E19" i="6"/>
  <c r="D29" i="8" l="1"/>
  <c r="G18" i="6"/>
  <c r="G21" i="6" s="1"/>
  <c r="E17" i="6"/>
  <c r="E18" i="6"/>
  <c r="E21" i="6" l="1"/>
  <c r="C19" i="6"/>
  <c r="C3" i="6"/>
  <c r="D24" i="6" s="1"/>
  <c r="H1" i="2" l="1"/>
  <c r="I5" i="2" l="1"/>
  <c r="I26" i="2"/>
  <c r="I5" i="18" s="1"/>
  <c r="I19" i="2"/>
  <c r="G5" i="16" s="1"/>
  <c r="H32" i="16" s="1"/>
  <c r="G37" i="11"/>
  <c r="H37" i="11" s="1"/>
  <c r="G35" i="11"/>
  <c r="H35" i="11" s="1"/>
  <c r="K35" i="11" s="1"/>
  <c r="G34" i="11"/>
  <c r="H34" i="11" s="1"/>
  <c r="K34" i="11" s="1"/>
  <c r="G38" i="11"/>
  <c r="H38" i="11" s="1"/>
  <c r="I25" i="2"/>
  <c r="G5" i="18" s="1"/>
  <c r="I24" i="2"/>
  <c r="E5" i="18" s="1"/>
  <c r="F21" i="18" s="1"/>
  <c r="I20" i="2"/>
  <c r="I5" i="16" s="1"/>
  <c r="J32" i="16" s="1"/>
  <c r="I18" i="2"/>
  <c r="E5" i="16" s="1"/>
  <c r="F32" i="16" s="1"/>
  <c r="I14" i="2"/>
  <c r="I5" i="8" s="1"/>
  <c r="G9" i="11"/>
  <c r="H9" i="11" s="1"/>
  <c r="I13" i="2"/>
  <c r="G5" i="8" s="1"/>
  <c r="I12" i="2"/>
  <c r="E5" i="8" s="1"/>
  <c r="I6" i="2"/>
  <c r="D23" i="6"/>
  <c r="C18" i="6"/>
  <c r="H22" i="13" l="1"/>
  <c r="I8" i="18"/>
  <c r="J21" i="18"/>
  <c r="J28" i="18" s="1"/>
  <c r="J29" i="18" s="1"/>
  <c r="E5" i="6"/>
  <c r="F32" i="6" s="1"/>
  <c r="G5" i="6"/>
  <c r="D26" i="6"/>
  <c r="D32" i="6"/>
  <c r="G8" i="8"/>
  <c r="H32" i="8"/>
  <c r="I8" i="8"/>
  <c r="J32" i="8"/>
  <c r="G8" i="16"/>
  <c r="H21" i="16"/>
  <c r="H28" i="16" s="1"/>
  <c r="H29" i="16" s="1"/>
  <c r="J21" i="16"/>
  <c r="J28" i="16" s="1"/>
  <c r="I8" i="16"/>
  <c r="E8" i="16"/>
  <c r="F21" i="16"/>
  <c r="F28" i="16" s="1"/>
  <c r="F21" i="8"/>
  <c r="F28" i="8" s="1"/>
  <c r="E8" i="8"/>
  <c r="G23" i="11"/>
  <c r="H23" i="11" s="1"/>
  <c r="K23" i="11" s="1"/>
  <c r="G10" i="11"/>
  <c r="H10" i="11" s="1"/>
  <c r="K10" i="11" s="1"/>
  <c r="G26" i="11"/>
  <c r="H26" i="11" s="1"/>
  <c r="G27" i="11"/>
  <c r="H27" i="11" s="1"/>
  <c r="G15" i="11"/>
  <c r="H15" i="11" s="1"/>
  <c r="I15" i="11" s="1"/>
  <c r="J21" i="8"/>
  <c r="J28" i="8" s="1"/>
  <c r="J29" i="8" s="1"/>
  <c r="G22" i="11"/>
  <c r="H22" i="11" s="1"/>
  <c r="K22" i="11" s="1"/>
  <c r="G28" i="11"/>
  <c r="H28" i="11" s="1"/>
  <c r="G21" i="11"/>
  <c r="F32" i="8"/>
  <c r="G3" i="11"/>
  <c r="H3" i="11" s="1"/>
  <c r="K3" i="11" s="1"/>
  <c r="H21" i="8"/>
  <c r="H28" i="8" s="1"/>
  <c r="G4" i="11"/>
  <c r="G14" i="11"/>
  <c r="G13" i="11"/>
  <c r="G8" i="11"/>
  <c r="H8" i="11" s="1"/>
  <c r="K8" i="11" s="1"/>
  <c r="C21" i="6"/>
  <c r="D21" i="6" s="1"/>
  <c r="J29" i="16" l="1"/>
  <c r="I28" i="11"/>
  <c r="K28" i="11" s="1"/>
  <c r="I38" i="11"/>
  <c r="K38" i="11" s="1"/>
  <c r="H32" i="6"/>
  <c r="H21" i="6"/>
  <c r="H28" i="6" s="1"/>
  <c r="H29" i="6" s="1"/>
  <c r="D28" i="6"/>
  <c r="D29" i="6" s="1"/>
  <c r="I26" i="11"/>
  <c r="K26" i="11" s="1"/>
  <c r="I27" i="11"/>
  <c r="K27" i="11" s="1"/>
  <c r="F21" i="6"/>
  <c r="F28" i="6" s="1"/>
  <c r="F29" i="6" s="1"/>
  <c r="E8" i="6"/>
  <c r="G8" i="6"/>
  <c r="G8" i="18"/>
  <c r="H32" i="18"/>
  <c r="H21" i="18"/>
  <c r="H28" i="18" s="1"/>
  <c r="E8" i="18"/>
  <c r="F32" i="18"/>
  <c r="F28" i="18"/>
  <c r="H19" i="13"/>
  <c r="F29" i="16"/>
  <c r="K15" i="11"/>
  <c r="H21" i="11"/>
  <c r="K21" i="11" s="1"/>
  <c r="K24" i="11" s="1"/>
  <c r="K9" i="11"/>
  <c r="H29" i="8"/>
  <c r="F29" i="8"/>
  <c r="H4" i="11"/>
  <c r="H13" i="11"/>
  <c r="I13" i="11" s="1"/>
  <c r="H14" i="11"/>
  <c r="K29" i="11" l="1"/>
  <c r="K31" i="11" s="1"/>
  <c r="I37" i="11"/>
  <c r="K37" i="11" s="1"/>
  <c r="H29" i="18"/>
  <c r="I4" i="11"/>
  <c r="K11" i="11"/>
  <c r="F29" i="18"/>
  <c r="H21" i="13"/>
  <c r="I14" i="11"/>
  <c r="K14" i="11" s="1"/>
  <c r="K13" i="11"/>
  <c r="K4" i="11" l="1"/>
  <c r="K6" i="11" s="1"/>
  <c r="K16" i="11"/>
  <c r="K18" i="11" s="1"/>
  <c r="I22" i="13"/>
  <c r="K22" i="13" s="1"/>
  <c r="K40" i="11"/>
  <c r="I21" i="13"/>
  <c r="K21" i="13" s="1"/>
  <c r="H20" i="13"/>
  <c r="I19" i="13" l="1"/>
  <c r="K19" i="13" s="1"/>
  <c r="I20" i="13"/>
  <c r="K20" i="13" s="1"/>
</calcChain>
</file>

<file path=xl/comments1.xml><?xml version="1.0" encoding="utf-8"?>
<comments xmlns="http://schemas.openxmlformats.org/spreadsheetml/2006/main">
  <authors>
    <author>Esther Bravin</author>
    <author>Chris</author>
    <author>Bravin Esther Agroscope</author>
  </authors>
  <commentList>
    <comment ref="C2" authorId="0" shapeId="0">
      <text>
        <r>
          <rPr>
            <b/>
            <sz val="9"/>
            <color indexed="81"/>
            <rFont val="Segoe UI"/>
            <family val="2"/>
          </rPr>
          <t>Esther Bravin:</t>
        </r>
        <r>
          <rPr>
            <sz val="9"/>
            <color indexed="81"/>
            <rFont val="Segoe UI"/>
            <family val="2"/>
          </rPr>
          <t xml:space="preserve">
Maschinenkostenkatalog und Firmenangaben 2020</t>
        </r>
      </text>
    </comment>
    <comment ref="M8" authorId="1" shapeId="0">
      <text>
        <r>
          <rPr>
            <sz val="9"/>
            <color indexed="81"/>
            <rFont val="Segoe UI"/>
            <family val="2"/>
          </rPr>
          <t xml:space="preserve">1 Baum pro Jahr und ha 
</t>
        </r>
      </text>
    </comment>
    <comment ref="M9" authorId="2" shapeId="0">
      <text>
        <r>
          <rPr>
            <b/>
            <sz val="9"/>
            <color indexed="81"/>
            <rFont val="Segoe UI"/>
            <family val="2"/>
          </rPr>
          <t>Bravin Esther Agroscope:</t>
        </r>
        <r>
          <rPr>
            <sz val="9"/>
            <color indexed="81"/>
            <rFont val="Segoe UI"/>
            <family val="2"/>
          </rPr>
          <t xml:space="preserve">
1 Fadenspule à ca. 280 Fr./120 ha (Herstellerangabe)
</t>
        </r>
      </text>
    </comment>
    <comment ref="M12" authorId="1" shapeId="0">
      <text>
        <r>
          <rPr>
            <sz val="9"/>
            <color indexed="81"/>
            <rFont val="Segoe UI"/>
            <family val="2"/>
          </rPr>
          <t xml:space="preserve">1 Baum pro Jahr und ha
</t>
        </r>
      </text>
    </comment>
    <comment ref="M13" authorId="2" shapeId="0">
      <text>
        <r>
          <rPr>
            <b/>
            <sz val="9"/>
            <color indexed="81"/>
            <rFont val="Segoe UI"/>
            <family val="2"/>
          </rPr>
          <t>Bravin Esther Agroscope:</t>
        </r>
        <r>
          <rPr>
            <sz val="9"/>
            <color indexed="81"/>
            <rFont val="Segoe UI"/>
            <family val="2"/>
          </rPr>
          <t xml:space="preserve">
1 Fadenspule à ca. 280 Fr./120 ha (Herstellerangabe)
</t>
        </r>
      </text>
    </comment>
    <comment ref="M18" authorId="2" shapeId="0">
      <text>
        <r>
          <rPr>
            <b/>
            <sz val="9"/>
            <color indexed="81"/>
            <rFont val="Segoe UI"/>
            <family val="2"/>
          </rPr>
          <t>Bravin Esther Agroscope:</t>
        </r>
        <r>
          <rPr>
            <sz val="9"/>
            <color indexed="81"/>
            <rFont val="Segoe UI"/>
            <family val="2"/>
          </rPr>
          <t xml:space="preserve">
1 Fadenspule à ca. 280 Fr./120 ha (Herstellerangabe)
</t>
        </r>
      </text>
    </comment>
  </commentList>
</comments>
</file>

<file path=xl/comments2.xml><?xml version="1.0" encoding="utf-8"?>
<comments xmlns="http://schemas.openxmlformats.org/spreadsheetml/2006/main">
  <authors>
    <author>Esther Bravin</author>
  </authors>
  <commentList>
    <comment ref="F8" authorId="0" shapeId="0">
      <text>
        <r>
          <rPr>
            <sz val="9"/>
            <color indexed="81"/>
            <rFont val="Segoe UI"/>
            <family val="2"/>
          </rPr>
          <t>Landi Pflanzenschutzpreisliste 2020</t>
        </r>
      </text>
    </comment>
    <comment ref="D9" authorId="0" shapeId="0">
      <text>
        <r>
          <rPr>
            <b/>
            <sz val="9"/>
            <color indexed="81"/>
            <rFont val="Segoe UI"/>
            <family val="2"/>
          </rPr>
          <t>Esther Bravin:</t>
        </r>
        <r>
          <rPr>
            <sz val="9"/>
            <color indexed="81"/>
            <rFont val="Segoe UI"/>
            <family val="2"/>
          </rPr>
          <t xml:space="preserve">
Bei mehreren Anwendungen pro Jahr Mittelwert eingeben</t>
        </r>
      </text>
    </comment>
    <comment ref="D38" authorId="0" shapeId="0">
      <text>
        <r>
          <rPr>
            <b/>
            <sz val="9"/>
            <color indexed="81"/>
            <rFont val="Segoe UI"/>
            <family val="2"/>
          </rPr>
          <t>Esther Bravin:</t>
        </r>
        <r>
          <rPr>
            <sz val="9"/>
            <color indexed="81"/>
            <rFont val="Segoe UI"/>
            <family val="2"/>
          </rPr>
          <t xml:space="preserve">
Bei mehreren Anwendungen pro Jahr Mittelwert eingeben</t>
        </r>
      </text>
    </comment>
  </commentList>
</comments>
</file>

<file path=xl/comments3.xml><?xml version="1.0" encoding="utf-8"?>
<comments xmlns="http://schemas.openxmlformats.org/spreadsheetml/2006/main">
  <authors>
    <author>Bravin Esther Agroscope</author>
  </authors>
  <commentList>
    <comment ref="H25" authorId="0" shapeId="0">
      <text>
        <r>
          <rPr>
            <b/>
            <sz val="9"/>
            <color indexed="81"/>
            <rFont val="Segoe UI"/>
            <family val="2"/>
          </rPr>
          <t>Bravin Esther Agroscope:</t>
        </r>
        <r>
          <rPr>
            <sz val="9"/>
            <color indexed="81"/>
            <rFont val="Segoe UI"/>
            <family val="2"/>
          </rPr>
          <t xml:space="preserve">
200 Fr./Fadenspuler. 1 Spuler hält 6 ha</t>
        </r>
      </text>
    </comment>
  </commentList>
</comments>
</file>

<file path=xl/comments4.xml><?xml version="1.0" encoding="utf-8"?>
<comments xmlns="http://schemas.openxmlformats.org/spreadsheetml/2006/main">
  <authors>
    <author>Bravin Esther Agroscope</author>
  </authors>
  <commentList>
    <comment ref="J25" authorId="0" shapeId="0">
      <text>
        <r>
          <rPr>
            <b/>
            <sz val="9"/>
            <color indexed="81"/>
            <rFont val="Segoe UI"/>
            <family val="2"/>
          </rPr>
          <t>Bravin Esther Agroscope:</t>
        </r>
        <r>
          <rPr>
            <sz val="9"/>
            <color indexed="81"/>
            <rFont val="Segoe UI"/>
            <family val="2"/>
          </rPr>
          <t xml:space="preserve">
200 Fr./Fadenspuler. 1 Spuler hält 6 ha</t>
        </r>
      </text>
    </comment>
  </commentList>
</comments>
</file>

<file path=xl/comments5.xml><?xml version="1.0" encoding="utf-8"?>
<comments xmlns="http://schemas.openxmlformats.org/spreadsheetml/2006/main">
  <authors>
    <author>Bravin Esther</author>
  </authors>
  <commentList>
    <comment ref="B3" authorId="0" shapeId="0">
      <text>
        <r>
          <rPr>
            <b/>
            <sz val="9"/>
            <color indexed="81"/>
            <rFont val="Segoe UI"/>
            <charset val="1"/>
          </rPr>
          <t>Bravin Esther:</t>
        </r>
        <r>
          <rPr>
            <sz val="9"/>
            <color indexed="81"/>
            <rFont val="Segoe UI"/>
            <charset val="1"/>
          </rPr>
          <t xml:space="preserve">
Tractoscope</t>
        </r>
      </text>
    </comment>
    <comment ref="C3" authorId="0" shapeId="0">
      <text>
        <r>
          <rPr>
            <b/>
            <sz val="9"/>
            <color indexed="81"/>
            <rFont val="Segoe UI"/>
            <charset val="1"/>
          </rPr>
          <t>Bravin Esther:</t>
        </r>
        <r>
          <rPr>
            <sz val="9"/>
            <color indexed="81"/>
            <rFont val="Segoe UI"/>
            <charset val="1"/>
          </rPr>
          <t xml:space="preserve">
Tractoscope</t>
        </r>
      </text>
    </comment>
    <comment ref="D3" authorId="0" shapeId="0">
      <text>
        <r>
          <rPr>
            <b/>
            <sz val="9"/>
            <color indexed="81"/>
            <rFont val="Segoe UI"/>
            <family val="2"/>
          </rPr>
          <t>Bravin Esther:</t>
        </r>
        <r>
          <rPr>
            <sz val="9"/>
            <color indexed="81"/>
            <rFont val="Segoe UI"/>
            <family val="2"/>
          </rPr>
          <t xml:space="preserve">
Tractoscope</t>
        </r>
      </text>
    </comment>
    <comment ref="E3" authorId="0" shapeId="0">
      <text>
        <r>
          <rPr>
            <b/>
            <sz val="9"/>
            <color indexed="81"/>
            <rFont val="Segoe UI"/>
            <family val="2"/>
          </rPr>
          <t>Bravin Esther:</t>
        </r>
        <r>
          <rPr>
            <sz val="9"/>
            <color indexed="81"/>
            <rFont val="Segoe UI"/>
            <family val="2"/>
          </rPr>
          <t xml:space="preserve">
Tractoscope</t>
        </r>
      </text>
    </comment>
    <comment ref="B4" authorId="0" shapeId="0">
      <text>
        <r>
          <rPr>
            <b/>
            <sz val="9"/>
            <color indexed="81"/>
            <rFont val="Segoe UI"/>
            <charset val="1"/>
          </rPr>
          <t>Bravin Esther:</t>
        </r>
        <r>
          <rPr>
            <sz val="9"/>
            <color indexed="81"/>
            <rFont val="Segoe UI"/>
            <charset val="1"/>
          </rPr>
          <t xml:space="preserve">
Tractoscope</t>
        </r>
      </text>
    </comment>
    <comment ref="C4" authorId="0" shapeId="0">
      <text>
        <r>
          <rPr>
            <b/>
            <sz val="9"/>
            <color indexed="81"/>
            <rFont val="Segoe UI"/>
            <charset val="1"/>
          </rPr>
          <t>Bravin Esther:</t>
        </r>
        <r>
          <rPr>
            <sz val="9"/>
            <color indexed="81"/>
            <rFont val="Segoe UI"/>
            <charset val="1"/>
          </rPr>
          <t xml:space="preserve">
Tractoscope</t>
        </r>
      </text>
    </comment>
    <comment ref="D4" authorId="0" shapeId="0">
      <text>
        <r>
          <rPr>
            <b/>
            <sz val="9"/>
            <color indexed="81"/>
            <rFont val="Segoe UI"/>
            <family val="2"/>
          </rPr>
          <t>Bravin Esther:</t>
        </r>
        <r>
          <rPr>
            <sz val="9"/>
            <color indexed="81"/>
            <rFont val="Segoe UI"/>
            <family val="2"/>
          </rPr>
          <t xml:space="preserve">
Tractoscope</t>
        </r>
      </text>
    </comment>
    <comment ref="E4" authorId="0" shapeId="0">
      <text>
        <r>
          <rPr>
            <b/>
            <sz val="9"/>
            <color indexed="81"/>
            <rFont val="Segoe UI"/>
            <family val="2"/>
          </rPr>
          <t>Bravin Esther:</t>
        </r>
        <r>
          <rPr>
            <sz val="9"/>
            <color indexed="81"/>
            <rFont val="Segoe UI"/>
            <family val="2"/>
          </rPr>
          <t xml:space="preserve">
Tractoscope</t>
        </r>
      </text>
    </comment>
  </commentList>
</comments>
</file>

<file path=xl/comments6.xml><?xml version="1.0" encoding="utf-8"?>
<comments xmlns="http://schemas.openxmlformats.org/spreadsheetml/2006/main">
  <authors>
    <author>Bravin Esther Agroscope</author>
  </authors>
  <commentList>
    <comment ref="I4" authorId="0" shapeId="0">
      <text>
        <r>
          <rPr>
            <b/>
            <sz val="9"/>
            <color indexed="81"/>
            <rFont val="Segoe UI"/>
            <family val="2"/>
          </rPr>
          <t>Bravin Esther Agroscope:</t>
        </r>
        <r>
          <rPr>
            <sz val="9"/>
            <color indexed="81"/>
            <rFont val="Segoe UI"/>
            <family val="2"/>
          </rPr>
          <t xml:space="preserve">
Kosten von Herbizidbalken und Herbizidfass werden durch die Anzahl Stunden pro ha die verwendet werden dividiert.</t>
        </r>
      </text>
    </comment>
  </commentList>
</comments>
</file>

<file path=xl/sharedStrings.xml><?xml version="1.0" encoding="utf-8"?>
<sst xmlns="http://schemas.openxmlformats.org/spreadsheetml/2006/main" count="527" uniqueCount="213">
  <si>
    <t>Einheit</t>
  </si>
  <si>
    <t>ha</t>
  </si>
  <si>
    <t>km</t>
  </si>
  <si>
    <t>km/h</t>
  </si>
  <si>
    <t>%</t>
  </si>
  <si>
    <t>Jahre</t>
  </si>
  <si>
    <t>m</t>
  </si>
  <si>
    <t>Herbizidbalken</t>
  </si>
  <si>
    <t/>
  </si>
  <si>
    <t>Anschaffungspreis</t>
  </si>
  <si>
    <t>Fr.</t>
  </si>
  <si>
    <t>AE</t>
  </si>
  <si>
    <t>Faktor</t>
  </si>
  <si>
    <t>m3</t>
  </si>
  <si>
    <t>pro Jahr</t>
  </si>
  <si>
    <t>pro AE</t>
  </si>
  <si>
    <t>Fr./l</t>
  </si>
  <si>
    <t>h</t>
  </si>
  <si>
    <t>min</t>
  </si>
  <si>
    <t>Strategie</t>
  </si>
  <si>
    <t>Fr./h</t>
  </si>
  <si>
    <t>Fr./kg</t>
  </si>
  <si>
    <t>Fr./m3</t>
  </si>
  <si>
    <t>Fr./ha</t>
  </si>
  <si>
    <t>*Annahme: pro Durchfahrt wird jeweils die ganze Obstanlage behandelt</t>
  </si>
  <si>
    <t>Jährliche Auslastung (ha)</t>
  </si>
  <si>
    <t>Formel "+ 1, x 2, - 1"</t>
  </si>
  <si>
    <t>Chemische Unkrautregulierung</t>
  </si>
  <si>
    <t>▼</t>
  </si>
  <si>
    <t>pro Hektar</t>
  </si>
  <si>
    <t>Mechanische Unkrautregulierung Var 1</t>
  </si>
  <si>
    <t>Mechanische Unkrautregulierung Var 2</t>
  </si>
  <si>
    <t>Glyphosate</t>
  </si>
  <si>
    <t>Chemische und mechanische Unkrautregulierung</t>
  </si>
  <si>
    <t>Pelargonsäure</t>
  </si>
  <si>
    <t>Glyphosate +2,4 D</t>
  </si>
  <si>
    <t>MCCP-P + 2,4 D</t>
  </si>
  <si>
    <t>Clethodium</t>
  </si>
  <si>
    <t>Cyloxydium</t>
  </si>
  <si>
    <t>Fluazifop-P-butyl</t>
  </si>
  <si>
    <t>Haloxyfop-®-methylster</t>
  </si>
  <si>
    <t>Propaquizafop</t>
  </si>
  <si>
    <t>Quizalofop-P-ethyl</t>
  </si>
  <si>
    <t>Natrel</t>
  </si>
  <si>
    <t>Duplosan KV Combi</t>
  </si>
  <si>
    <t>Agil</t>
  </si>
  <si>
    <t>Fusilade Max</t>
  </si>
  <si>
    <t>Focus Ultra</t>
  </si>
  <si>
    <t>Select</t>
  </si>
  <si>
    <t>Anzahl Fahrten Herbizid und mechanisch (nur Herbizidfahrten)</t>
  </si>
  <si>
    <t>Targa Super</t>
  </si>
  <si>
    <t>ab 4</t>
  </si>
  <si>
    <t>l/ha</t>
  </si>
  <si>
    <t>kg/ha</t>
  </si>
  <si>
    <t>Formeln</t>
  </si>
  <si>
    <t>((∑Arbeitzeit vor- nachbereitung)/60)/bewirtschaftete Fläche</t>
  </si>
  <si>
    <t>((Distanz vom Hof/Fahrgeschwindigkei)/bewirtschaftete Fläche)*2</t>
  </si>
  <si>
    <t>(Anzahl Reihen +1o0)*1o2*Reihenlänge/1000))/Fahrgeschwindigkeit+Wendezeit*(Anzahl Reihen)/3600/Nettofläche</t>
  </si>
  <si>
    <t>l/h</t>
  </si>
  <si>
    <t>HERBOCOST</t>
  </si>
  <si>
    <t>6 l Glyphosate (360 g/l)</t>
  </si>
  <si>
    <t>© Copyright, Transmission des calculs uniquement avec l'autorisation d'Agroscope</t>
  </si>
  <si>
    <t>Exploitation</t>
  </si>
  <si>
    <t>Comparer les stratégies</t>
  </si>
  <si>
    <t>Désherbage chimique</t>
  </si>
  <si>
    <t>Rampe de pulvérisation d’herbicides</t>
  </si>
  <si>
    <t>Tracteur fruitier</t>
  </si>
  <si>
    <t>Citerne à herbicides, pulvérisateur semi-porté  400 l</t>
  </si>
  <si>
    <t>Lutte mécanique contre les mauvaises herbes 1</t>
  </si>
  <si>
    <t>Lutte mécanique contre les mauvaises herbes 2</t>
  </si>
  <si>
    <t>Lutte mécanique et chimique contre les mauvaises herbes</t>
  </si>
  <si>
    <t xml:space="preserve">Disque émotteur avec étoile bineuse </t>
  </si>
  <si>
    <t>Coûts du travail (CHF/ha)</t>
  </si>
  <si>
    <t>Coûts des maschines (CHF/ha)</t>
  </si>
  <si>
    <t>differents coûts (CHF/ha)**</t>
  </si>
  <si>
    <t>Coûts lutte mauvaises herbes (CHF/ha)</t>
  </si>
  <si>
    <t>plus de 3 voyages/ stratégie herbicide propre</t>
  </si>
  <si>
    <t>Coûts herbicides</t>
  </si>
  <si>
    <t>unilatérale/bilatérale</t>
  </si>
  <si>
    <t>* Herbocost prévoit un maximum de 30 hectares, avec plus de 30 hectares, le parc de machines devrait être agrandi.</t>
  </si>
  <si>
    <t>**Herbicides pour le contrôle chimique des mauvaises herbes, perte d'arbres pendant le déchiquetage.</t>
  </si>
  <si>
    <t>Résultats</t>
  </si>
  <si>
    <t xml:space="preserve">Distance de la ferme à la parcelle*  </t>
  </si>
  <si>
    <t>Coût de la main d'œuvre par heure employé</t>
  </si>
  <si>
    <t>Coût de la main-d'œuvre par heure responsable de l'exploitation</t>
  </si>
  <si>
    <t>Vitesse de déplacement vers/depuis la ferme</t>
  </si>
  <si>
    <t>Nombre de lignes du graphique</t>
  </si>
  <si>
    <t>Longueur nette des rangs (sans zone de retournement) de la parcelle</t>
  </si>
  <si>
    <t>Superficie nette de la parcelle (ha)</t>
  </si>
  <si>
    <t>Estimation du temps de tournage avec le tracteur et la machine</t>
  </si>
  <si>
    <t xml:space="preserve">Largeur de la bande d'arbres </t>
  </si>
  <si>
    <t>Taux d'intérêt</t>
  </si>
  <si>
    <t>Coût du hangar</t>
  </si>
  <si>
    <t>Prix du carburant</t>
  </si>
  <si>
    <t>Utilisation annuelle du tracteur fruitier</t>
  </si>
  <si>
    <t>largeur de rang</t>
  </si>
  <si>
    <t>Les cellules avec cette couleur de fond peuvent être personnalisées</t>
  </si>
  <si>
    <t>Unité</t>
  </si>
  <si>
    <t xml:space="preserve">Distance moyenne de conduite de la ferme aux parcelles et retour / entre les parcelles ; excluant la distance de conduite pour le contrôle des mauvaises herbes.
</t>
  </si>
  <si>
    <t>secondes</t>
  </si>
  <si>
    <t>Surface fruitière de l'exploitation</t>
  </si>
  <si>
    <t>Prix d'acquisition</t>
  </si>
  <si>
    <t>Prix d'achat propre</t>
  </si>
  <si>
    <t>Durée d'amortissement</t>
  </si>
  <si>
    <t>Assurance et frais par an</t>
  </si>
  <si>
    <t>Coûts supplémentaires : remplacement des arbres (déchiqueteuse), dispositif de fil (bobine de fil)</t>
  </si>
  <si>
    <t>années</t>
  </si>
  <si>
    <t>Stratégie standard herbicides</t>
  </si>
  <si>
    <t>Prix Fr./ha par année</t>
  </si>
  <si>
    <t>Produits phytosanitaires dans la stratégie standard</t>
  </si>
  <si>
    <t>stratégies propres définis</t>
  </si>
  <si>
    <t>de 4</t>
  </si>
  <si>
    <t>Substance active</t>
  </si>
  <si>
    <t xml:space="preserve">Quantité appliquée par ha  </t>
  </si>
  <si>
    <t>Prix</t>
  </si>
  <si>
    <t>Nombre d'applications</t>
  </si>
  <si>
    <t>Proportion de bandes d'arbres</t>
  </si>
  <si>
    <t>Coûts Fr./ha</t>
  </si>
  <si>
    <t>Produits phytosanitaire pour le prix cible</t>
  </si>
  <si>
    <t>propre stratégie/
pour plus de trois trajèts</t>
  </si>
  <si>
    <t>coûts herbicides</t>
  </si>
  <si>
    <t>Numero de trajets effectives</t>
  </si>
  <si>
    <t xml:space="preserve">Coûts </t>
  </si>
  <si>
    <t>strategie herbicides</t>
  </si>
  <si>
    <t>Stratégies avec herbicides</t>
  </si>
  <si>
    <t>Stratégies méchaniques et avec herbicides</t>
  </si>
  <si>
    <t>Pré et post-traitement</t>
  </si>
  <si>
    <t>temps de travail</t>
  </si>
  <si>
    <t>temps machines</t>
  </si>
  <si>
    <t>Mélanger le produit</t>
  </si>
  <si>
    <t>Remplir le réservoir d'eau</t>
  </si>
  <si>
    <t>Preparer le pulvérisateur</t>
  </si>
  <si>
    <t>Accrocher et decrocher la machine</t>
  </si>
  <si>
    <t>Laver le pulvérisateur</t>
  </si>
  <si>
    <t>Remplacer la bobine</t>
  </si>
  <si>
    <t>laver l' émotteuse</t>
  </si>
  <si>
    <t>Numero de trajets</t>
  </si>
  <si>
    <t>Utilisation annuelle (ha)</t>
  </si>
  <si>
    <t>Variante</t>
  </si>
  <si>
    <t>bilatérale</t>
  </si>
  <si>
    <t>unilatérale</t>
  </si>
  <si>
    <t>Surface</t>
  </si>
  <si>
    <t>choisissez</t>
  </si>
  <si>
    <t>Nombre de rangées</t>
  </si>
  <si>
    <t>Longueur de rangées nette (sans zone de retournement)</t>
  </si>
  <si>
    <t>Largeur de la rangée</t>
  </si>
  <si>
    <t>Bande d'arbre</t>
  </si>
  <si>
    <t>Nombre trajets</t>
  </si>
  <si>
    <t>Nombre trajets herbicides</t>
  </si>
  <si>
    <t>Quantité produits phytosanitaires</t>
  </si>
  <si>
    <t>mélanges du reservoirs</t>
  </si>
  <si>
    <t>calcul coûts de machines</t>
  </si>
  <si>
    <t>Position d'entrée</t>
  </si>
  <si>
    <t>prix du carburant</t>
  </si>
  <si>
    <t>vitesse</t>
  </si>
  <si>
    <t>Utilisation par an</t>
  </si>
  <si>
    <t>Durée d'amortisation</t>
  </si>
  <si>
    <t>durée d'utilisation technique</t>
  </si>
  <si>
    <t>Taux d'utilisation</t>
  </si>
  <si>
    <t>Valeurs reste</t>
  </si>
  <si>
    <t>Consommation de carburant</t>
  </si>
  <si>
    <t>Facteur de reparation</t>
  </si>
  <si>
    <t>Exigences en matière de construction</t>
  </si>
  <si>
    <t>Gestion et prime de risque</t>
  </si>
  <si>
    <t>Autres surcharges</t>
  </si>
  <si>
    <t>Calcul des coûts in Fr.</t>
  </si>
  <si>
    <t>Amortissement</t>
  </si>
  <si>
    <t>Frais d'intérêt</t>
  </si>
  <si>
    <t>Coûts de construction</t>
  </si>
  <si>
    <t>Assurances et frais</t>
  </si>
  <si>
    <t>Coûts fixes</t>
  </si>
  <si>
    <t>Réparations et entretien</t>
  </si>
  <si>
    <t>Carburant</t>
  </si>
  <si>
    <t>Matériaux auxiliaires</t>
  </si>
  <si>
    <t>Total des coûts variables</t>
  </si>
  <si>
    <t>Compensation nette (sans surcharges)</t>
  </si>
  <si>
    <t>Compensation avec</t>
  </si>
  <si>
    <t>Réparation et entretien par entreprise et par an</t>
  </si>
  <si>
    <t>Coûts du travail</t>
  </si>
  <si>
    <t>Coûts machines</t>
  </si>
  <si>
    <t>Produits phytosanitaires</t>
  </si>
  <si>
    <t>Coûts totals par hectare</t>
  </si>
  <si>
    <t>Coûts des machines</t>
  </si>
  <si>
    <t>Total coûts des machines</t>
  </si>
  <si>
    <t>Total coûts du travail</t>
  </si>
  <si>
    <t>Coûts divers</t>
  </si>
  <si>
    <t>Coûts total par hectar</t>
  </si>
  <si>
    <t>Herbicide</t>
  </si>
  <si>
    <t>Temps par procédure (h/ha)</t>
  </si>
  <si>
    <t xml:space="preserve">Entretien des bandes </t>
  </si>
  <si>
    <t>Total par temps et ha</t>
  </si>
  <si>
    <t>Total temps par année</t>
  </si>
  <si>
    <t>Coûts par h</t>
  </si>
  <si>
    <t>divers</t>
  </si>
  <si>
    <t>Coûts par ha et année</t>
  </si>
  <si>
    <t>nombre de passages</t>
  </si>
  <si>
    <t>Les cellules avec cette couleur de fond peuvent être adaptées</t>
  </si>
  <si>
    <t>surface traité par passage (ha)</t>
  </si>
  <si>
    <t>Herse rotative</t>
  </si>
  <si>
    <t>temps de travail par passage</t>
  </si>
  <si>
    <t>Faucheuse à fils</t>
  </si>
  <si>
    <t>Toutes les données sans garantie</t>
  </si>
  <si>
    <t>Voir Vidéo</t>
  </si>
  <si>
    <t>Disque émotteur avec bineuse</t>
  </si>
  <si>
    <t>Fettsäuren</t>
  </si>
  <si>
    <t>Siplant</t>
  </si>
  <si>
    <t>6 l Glyphosate (360 g/l)  + 4 L Glyphosate (360 g/l)</t>
  </si>
  <si>
    <t>6 l Glyphosate (360 g/l)  + 4 l Glyphosate (360 g/l) + 3.25 L Duplosan KV Combi + 1 L Select</t>
  </si>
  <si>
    <t>Acide pélargonique</t>
  </si>
  <si>
    <t>Acide gras</t>
  </si>
  <si>
    <t>Sarcleuse pour rangée d'arbres</t>
  </si>
  <si>
    <t>Kyleo</t>
  </si>
  <si>
    <t>Version 1.3 (20 Septembre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</si>
</sst>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\ &quot;ha&quot;"/>
    <numFmt numFmtId="165" formatCode="0.00&quot;l/h&quot;"/>
    <numFmt numFmtId="166" formatCode="&quot;Fr.&quot;\ #,##0\ &quot;/Jr.&quot;"/>
    <numFmt numFmtId="167" formatCode="0.0"/>
    <numFmt numFmtId="168" formatCode="0\ &quot;ha&quot;"/>
    <numFmt numFmtId="169" formatCode="&quot;CHF&quot;\ #,##0.00"/>
  </numFmts>
  <fonts count="2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indexed="5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0"/>
      <name val="Arial"/>
      <family val="2"/>
    </font>
    <font>
      <b/>
      <i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22"/>
      <name val="Arial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4" fillId="0" borderId="0"/>
  </cellStyleXfs>
  <cellXfs count="348">
    <xf numFmtId="0" fontId="0" fillId="0" borderId="0" xfId="0"/>
    <xf numFmtId="0" fontId="1" fillId="0" borderId="1" xfId="0" applyFont="1" applyBorder="1"/>
    <xf numFmtId="0" fontId="0" fillId="4" borderId="5" xfId="0" applyFill="1" applyBorder="1" applyProtection="1"/>
    <xf numFmtId="0" fontId="0" fillId="4" borderId="7" xfId="0" applyFill="1" applyBorder="1" applyProtection="1"/>
    <xf numFmtId="0" fontId="5" fillId="4" borderId="2" xfId="0" applyFont="1" applyFill="1" applyBorder="1" applyProtection="1"/>
    <xf numFmtId="0" fontId="0" fillId="4" borderId="8" xfId="0" applyFill="1" applyBorder="1" applyProtection="1"/>
    <xf numFmtId="0" fontId="6" fillId="4" borderId="7" xfId="0" applyFont="1" applyFill="1" applyBorder="1" applyProtection="1"/>
    <xf numFmtId="165" fontId="0" fillId="4" borderId="7" xfId="0" applyNumberFormat="1" applyFill="1" applyBorder="1" applyProtection="1"/>
    <xf numFmtId="166" fontId="4" fillId="4" borderId="7" xfId="0" applyNumberFormat="1" applyFont="1" applyFill="1" applyBorder="1" applyProtection="1"/>
    <xf numFmtId="0" fontId="0" fillId="0" borderId="7" xfId="0" applyBorder="1" applyProtection="1"/>
    <xf numFmtId="0" fontId="0" fillId="4" borderId="11" xfId="0" applyFill="1" applyBorder="1" applyProtection="1"/>
    <xf numFmtId="0" fontId="0" fillId="4" borderId="6" xfId="0" applyFill="1" applyBorder="1" applyProtection="1"/>
    <xf numFmtId="0" fontId="0" fillId="4" borderId="12" xfId="0" applyFill="1" applyBorder="1" applyProtection="1"/>
    <xf numFmtId="0" fontId="0" fillId="4" borderId="13" xfId="0" applyFill="1" applyBorder="1" applyProtection="1"/>
    <xf numFmtId="1" fontId="0" fillId="4" borderId="8" xfId="0" applyNumberFormat="1" applyFill="1" applyBorder="1" applyProtection="1"/>
    <xf numFmtId="2" fontId="0" fillId="4" borderId="7" xfId="0" applyNumberFormat="1" applyFill="1" applyBorder="1" applyProtection="1"/>
    <xf numFmtId="0" fontId="8" fillId="4" borderId="8" xfId="0" applyFont="1" applyFill="1" applyBorder="1" applyAlignment="1" applyProtection="1">
      <alignment horizontal="right"/>
    </xf>
    <xf numFmtId="0" fontId="8" fillId="4" borderId="17" xfId="0" applyFont="1" applyFill="1" applyBorder="1" applyAlignment="1" applyProtection="1">
      <alignment horizontal="right"/>
    </xf>
    <xf numFmtId="0" fontId="0" fillId="4" borderId="19" xfId="0" applyFill="1" applyBorder="1" applyProtection="1"/>
    <xf numFmtId="0" fontId="1" fillId="0" borderId="0" xfId="0" applyFont="1"/>
    <xf numFmtId="167" fontId="0" fillId="0" borderId="0" xfId="0" applyNumberFormat="1"/>
    <xf numFmtId="2" fontId="0" fillId="0" borderId="0" xfId="0" applyNumberFormat="1"/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20" xfId="0" applyBorder="1"/>
    <xf numFmtId="0" fontId="0" fillId="2" borderId="1" xfId="0" applyFill="1" applyBorder="1"/>
    <xf numFmtId="0" fontId="1" fillId="2" borderId="1" xfId="0" applyFont="1" applyFill="1" applyBorder="1"/>
    <xf numFmtId="0" fontId="0" fillId="2" borderId="1" xfId="0" applyFont="1" applyFill="1" applyBorder="1"/>
    <xf numFmtId="0" fontId="1" fillId="5" borderId="1" xfId="0" applyFont="1" applyFill="1" applyBorder="1"/>
    <xf numFmtId="0" fontId="0" fillId="5" borderId="1" xfId="0" applyFont="1" applyFill="1" applyBorder="1"/>
    <xf numFmtId="0" fontId="0" fillId="2" borderId="1" xfId="0" applyFill="1" applyBorder="1" applyAlignment="1">
      <alignment horizontal="left"/>
    </xf>
    <xf numFmtId="2" fontId="0" fillId="2" borderId="1" xfId="0" applyNumberFormat="1" applyFill="1" applyBorder="1" applyAlignment="1"/>
    <xf numFmtId="2" fontId="1" fillId="2" borderId="1" xfId="0" applyNumberFormat="1" applyFont="1" applyFill="1" applyBorder="1" applyAlignment="1"/>
    <xf numFmtId="2" fontId="0" fillId="5" borderId="1" xfId="0" applyNumberFormat="1" applyFill="1" applyBorder="1" applyAlignment="1"/>
    <xf numFmtId="2" fontId="1" fillId="5" borderId="1" xfId="0" applyNumberFormat="1" applyFont="1" applyFill="1" applyBorder="1" applyAlignment="1"/>
    <xf numFmtId="0" fontId="0" fillId="0" borderId="0" xfId="0" applyAlignment="1">
      <alignment wrapText="1"/>
    </xf>
    <xf numFmtId="0" fontId="11" fillId="7" borderId="1" xfId="0" applyFont="1" applyFill="1" applyBorder="1" applyAlignment="1">
      <alignment horizontal="center"/>
    </xf>
    <xf numFmtId="0" fontId="11" fillId="10" borderId="0" xfId="0" applyFont="1" applyFill="1" applyBorder="1"/>
    <xf numFmtId="0" fontId="0" fillId="10" borderId="0" xfId="0" applyFill="1"/>
    <xf numFmtId="0" fontId="0" fillId="10" borderId="0" xfId="0" applyFill="1" applyAlignment="1">
      <alignment horizontal="center"/>
    </xf>
    <xf numFmtId="0" fontId="5" fillId="4" borderId="6" xfId="0" applyFont="1" applyFill="1" applyBorder="1" applyProtection="1"/>
    <xf numFmtId="0" fontId="0" fillId="4" borderId="0" xfId="0" applyFill="1" applyBorder="1" applyProtection="1"/>
    <xf numFmtId="0" fontId="5" fillId="4" borderId="28" xfId="0" applyFont="1" applyFill="1" applyBorder="1" applyProtection="1"/>
    <xf numFmtId="0" fontId="0" fillId="4" borderId="29" xfId="0" applyFill="1" applyBorder="1" applyProtection="1"/>
    <xf numFmtId="0" fontId="7" fillId="4" borderId="8" xfId="0" applyFont="1" applyFill="1" applyBorder="1" applyProtection="1"/>
    <xf numFmtId="0" fontId="4" fillId="4" borderId="8" xfId="0" applyFont="1" applyFill="1" applyBorder="1" applyAlignment="1" applyProtection="1">
      <alignment vertical="top" wrapText="1"/>
    </xf>
    <xf numFmtId="0" fontId="0" fillId="4" borderId="31" xfId="0" applyFill="1" applyBorder="1" applyProtection="1"/>
    <xf numFmtId="0" fontId="0" fillId="4" borderId="17" xfId="0" applyFill="1" applyBorder="1" applyProtection="1"/>
    <xf numFmtId="0" fontId="0" fillId="4" borderId="22" xfId="0" applyFill="1" applyBorder="1" applyProtection="1"/>
    <xf numFmtId="0" fontId="0" fillId="4" borderId="21" xfId="0" applyFill="1" applyBorder="1" applyProtection="1"/>
    <xf numFmtId="0" fontId="6" fillId="4" borderId="0" xfId="0" applyFont="1" applyFill="1" applyBorder="1" applyProtection="1"/>
    <xf numFmtId="165" fontId="0" fillId="4" borderId="0" xfId="0" applyNumberFormat="1" applyFill="1" applyBorder="1" applyProtection="1"/>
    <xf numFmtId="166" fontId="4" fillId="4" borderId="0" xfId="0" applyNumberFormat="1" applyFont="1" applyFill="1" applyBorder="1" applyProtection="1"/>
    <xf numFmtId="0" fontId="0" fillId="0" borderId="0" xfId="0" applyBorder="1" applyProtection="1"/>
    <xf numFmtId="0" fontId="0" fillId="4" borderId="2" xfId="0" applyFill="1" applyBorder="1" applyProtection="1"/>
    <xf numFmtId="2" fontId="0" fillId="4" borderId="0" xfId="0" applyNumberFormat="1" applyFill="1" applyBorder="1" applyProtection="1"/>
    <xf numFmtId="0" fontId="0" fillId="4" borderId="3" xfId="0" applyFill="1" applyBorder="1" applyProtection="1"/>
    <xf numFmtId="1" fontId="0" fillId="4" borderId="0" xfId="0" applyNumberFormat="1" applyFill="1" applyBorder="1" applyProtection="1"/>
    <xf numFmtId="0" fontId="8" fillId="4" borderId="0" xfId="0" applyFont="1" applyFill="1" applyBorder="1" applyAlignment="1" applyProtection="1">
      <alignment horizontal="right"/>
    </xf>
    <xf numFmtId="0" fontId="5" fillId="4" borderId="39" xfId="0" applyFont="1" applyFill="1" applyBorder="1" applyProtection="1"/>
    <xf numFmtId="0" fontId="5" fillId="4" borderId="40" xfId="0" applyFont="1" applyFill="1" applyBorder="1" applyProtection="1"/>
    <xf numFmtId="0" fontId="7" fillId="4" borderId="14" xfId="0" applyFont="1" applyFill="1" applyBorder="1" applyAlignment="1" applyProtection="1">
      <alignment vertical="top" wrapText="1"/>
    </xf>
    <xf numFmtId="0" fontId="0" fillId="0" borderId="0" xfId="0" applyAlignment="1">
      <alignment horizontal="center"/>
    </xf>
    <xf numFmtId="0" fontId="1" fillId="10" borderId="1" xfId="0" applyFont="1" applyFill="1" applyBorder="1"/>
    <xf numFmtId="0" fontId="2" fillId="10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/>
    </xf>
    <xf numFmtId="3" fontId="0" fillId="0" borderId="0" xfId="0" applyNumberFormat="1"/>
    <xf numFmtId="0" fontId="0" fillId="0" borderId="20" xfId="0" applyFill="1" applyBorder="1"/>
    <xf numFmtId="0" fontId="0" fillId="0" borderId="42" xfId="0" applyBorder="1"/>
    <xf numFmtId="0" fontId="0" fillId="0" borderId="42" xfId="0" applyFill="1" applyBorder="1"/>
    <xf numFmtId="0" fontId="1" fillId="0" borderId="20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1" fillId="7" borderId="10" xfId="0" applyFont="1" applyFill="1" applyBorder="1" applyProtection="1">
      <protection locked="0"/>
    </xf>
    <xf numFmtId="9" fontId="11" fillId="7" borderId="10" xfId="0" applyNumberFormat="1" applyFont="1" applyFill="1" applyBorder="1" applyProtection="1">
      <protection locked="0"/>
    </xf>
    <xf numFmtId="0" fontId="11" fillId="7" borderId="38" xfId="0" applyFont="1" applyFill="1" applyBorder="1" applyProtection="1">
      <protection locked="0"/>
    </xf>
    <xf numFmtId="9" fontId="11" fillId="7" borderId="38" xfId="0" applyNumberFormat="1" applyFont="1" applyFill="1" applyBorder="1" applyProtection="1">
      <protection locked="0"/>
    </xf>
    <xf numFmtId="1" fontId="0" fillId="10" borderId="14" xfId="0" applyNumberFormat="1" applyFill="1" applyBorder="1" applyProtection="1"/>
    <xf numFmtId="2" fontId="0" fillId="10" borderId="16" xfId="0" applyNumberFormat="1" applyFill="1" applyBorder="1" applyProtection="1"/>
    <xf numFmtId="1" fontId="0" fillId="10" borderId="15" xfId="0" applyNumberFormat="1" applyFill="1" applyBorder="1" applyProtection="1"/>
    <xf numFmtId="2" fontId="0" fillId="10" borderId="15" xfId="0" applyNumberFormat="1" applyFill="1" applyBorder="1" applyProtection="1"/>
    <xf numFmtId="2" fontId="0" fillId="10" borderId="19" xfId="0" applyNumberFormat="1" applyFill="1" applyBorder="1" applyProtection="1"/>
    <xf numFmtId="0" fontId="0" fillId="10" borderId="19" xfId="0" applyFill="1" applyBorder="1" applyProtection="1"/>
    <xf numFmtId="2" fontId="0" fillId="10" borderId="32" xfId="0" applyNumberFormat="1" applyFill="1" applyBorder="1" applyProtection="1"/>
    <xf numFmtId="2" fontId="0" fillId="10" borderId="35" xfId="0" applyNumberFormat="1" applyFill="1" applyBorder="1" applyProtection="1"/>
    <xf numFmtId="0" fontId="0" fillId="10" borderId="35" xfId="0" applyFill="1" applyBorder="1" applyProtection="1"/>
    <xf numFmtId="2" fontId="0" fillId="10" borderId="36" xfId="0" applyNumberFormat="1" applyFill="1" applyBorder="1" applyProtection="1"/>
    <xf numFmtId="2" fontId="0" fillId="10" borderId="31" xfId="0" applyNumberFormat="1" applyFill="1" applyBorder="1" applyProtection="1"/>
    <xf numFmtId="0" fontId="0" fillId="10" borderId="31" xfId="0" applyFill="1" applyBorder="1" applyProtection="1"/>
    <xf numFmtId="2" fontId="0" fillId="10" borderId="33" xfId="0" applyNumberFormat="1" applyFill="1" applyBorder="1" applyProtection="1"/>
    <xf numFmtId="2" fontId="11" fillId="7" borderId="19" xfId="0" applyNumberFormat="1" applyFont="1" applyFill="1" applyBorder="1" applyProtection="1">
      <protection locked="0"/>
    </xf>
    <xf numFmtId="2" fontId="11" fillId="7" borderId="35" xfId="0" applyNumberFormat="1" applyFont="1" applyFill="1" applyBorder="1" applyProtection="1">
      <protection locked="0"/>
    </xf>
    <xf numFmtId="2" fontId="11" fillId="7" borderId="31" xfId="0" applyNumberFormat="1" applyFont="1" applyFill="1" applyBorder="1" applyProtection="1">
      <protection locked="0"/>
    </xf>
    <xf numFmtId="0" fontId="11" fillId="10" borderId="0" xfId="0" applyFont="1" applyFill="1"/>
    <xf numFmtId="0" fontId="0" fillId="10" borderId="42" xfId="0" applyNumberFormat="1" applyFont="1" applyFill="1" applyBorder="1"/>
    <xf numFmtId="3" fontId="0" fillId="10" borderId="20" xfId="0" applyNumberFormat="1" applyFont="1" applyFill="1" applyBorder="1" applyAlignment="1">
      <alignment horizontal="center"/>
    </xf>
    <xf numFmtId="3" fontId="0" fillId="10" borderId="42" xfId="0" applyNumberFormat="1" applyFont="1" applyFill="1" applyBorder="1" applyAlignment="1">
      <alignment horizontal="center"/>
    </xf>
    <xf numFmtId="3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2" fontId="0" fillId="10" borderId="1" xfId="0" applyNumberFormat="1" applyFill="1" applyBorder="1" applyAlignment="1">
      <alignment horizontal="center"/>
    </xf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1" fillId="7" borderId="1" xfId="0" applyFont="1" applyFill="1" applyBorder="1" applyAlignment="1">
      <alignment horizontal="right"/>
    </xf>
    <xf numFmtId="0" fontId="14" fillId="0" borderId="1" xfId="0" applyFont="1" applyFill="1" applyBorder="1"/>
    <xf numFmtId="2" fontId="1" fillId="0" borderId="1" xfId="0" applyNumberFormat="1" applyFont="1" applyBorder="1"/>
    <xf numFmtId="0" fontId="0" fillId="0" borderId="1" xfId="0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0" fillId="0" borderId="1" xfId="0" applyFont="1" applyBorder="1"/>
    <xf numFmtId="167" fontId="0" fillId="0" borderId="0" xfId="0" applyNumberFormat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2" fontId="0" fillId="0" borderId="1" xfId="0" applyNumberFormat="1" applyFill="1" applyBorder="1" applyAlignment="1">
      <alignment horizontal="right" vertical="center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9" fontId="2" fillId="0" borderId="1" xfId="2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10" borderId="0" xfId="0" applyNumberFormat="1" applyFill="1"/>
    <xf numFmtId="3" fontId="0" fillId="10" borderId="0" xfId="0" applyNumberFormat="1" applyFill="1"/>
    <xf numFmtId="0" fontId="0" fillId="10" borderId="0" xfId="0" applyFill="1" applyBorder="1"/>
    <xf numFmtId="2" fontId="1" fillId="10" borderId="0" xfId="0" applyNumberFormat="1" applyFont="1" applyFill="1"/>
    <xf numFmtId="49" fontId="0" fillId="10" borderId="0" xfId="0" applyNumberFormat="1" applyFill="1"/>
    <xf numFmtId="2" fontId="2" fillId="0" borderId="1" xfId="0" applyNumberFormat="1" applyFont="1" applyFill="1" applyBorder="1" applyAlignment="1">
      <alignment horizontal="right"/>
    </xf>
    <xf numFmtId="0" fontId="0" fillId="10" borderId="1" xfId="0" applyFill="1" applyBorder="1"/>
    <xf numFmtId="167" fontId="0" fillId="10" borderId="1" xfId="0" applyNumberFormat="1" applyFill="1" applyBorder="1"/>
    <xf numFmtId="3" fontId="0" fillId="10" borderId="1" xfId="0" applyNumberFormat="1" applyFill="1" applyBorder="1"/>
    <xf numFmtId="164" fontId="0" fillId="10" borderId="1" xfId="0" applyNumberFormat="1" applyFill="1" applyBorder="1"/>
    <xf numFmtId="0" fontId="0" fillId="10" borderId="1" xfId="0" applyFill="1" applyBorder="1" applyAlignment="1">
      <alignment horizontal="center"/>
    </xf>
    <xf numFmtId="0" fontId="1" fillId="0" borderId="1" xfId="0" applyFont="1" applyFill="1" applyBorder="1"/>
    <xf numFmtId="0" fontId="0" fillId="0" borderId="2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15" borderId="2" xfId="0" applyFill="1" applyBorder="1"/>
    <xf numFmtId="0" fontId="0" fillId="15" borderId="11" xfId="0" applyFill="1" applyBorder="1"/>
    <xf numFmtId="3" fontId="0" fillId="15" borderId="11" xfId="0" applyNumberFormat="1" applyFill="1" applyBorder="1" applyAlignment="1">
      <alignment horizontal="center"/>
    </xf>
    <xf numFmtId="0" fontId="0" fillId="15" borderId="11" xfId="0" applyFill="1" applyBorder="1" applyAlignment="1">
      <alignment horizontal="center"/>
    </xf>
    <xf numFmtId="0" fontId="0" fillId="15" borderId="3" xfId="0" applyFill="1" applyBorder="1"/>
    <xf numFmtId="3" fontId="0" fillId="12" borderId="11" xfId="0" applyNumberFormat="1" applyFill="1" applyBorder="1" applyAlignment="1">
      <alignment horizontal="center"/>
    </xf>
    <xf numFmtId="0" fontId="0" fillId="12" borderId="11" xfId="0" applyFill="1" applyBorder="1"/>
    <xf numFmtId="0" fontId="0" fillId="12" borderId="11" xfId="0" applyFill="1" applyBorder="1" applyAlignment="1">
      <alignment horizontal="center"/>
    </xf>
    <xf numFmtId="0" fontId="0" fillId="12" borderId="3" xfId="0" applyFill="1" applyBorder="1"/>
    <xf numFmtId="3" fontId="0" fillId="11" borderId="11" xfId="0" applyNumberFormat="1" applyFill="1" applyBorder="1" applyAlignment="1">
      <alignment horizontal="center"/>
    </xf>
    <xf numFmtId="0" fontId="0" fillId="11" borderId="11" xfId="0" applyFill="1" applyBorder="1"/>
    <xf numFmtId="0" fontId="0" fillId="11" borderId="11" xfId="0" applyFill="1" applyBorder="1" applyAlignment="1">
      <alignment horizontal="center"/>
    </xf>
    <xf numFmtId="0" fontId="0" fillId="11" borderId="3" xfId="0" applyFill="1" applyBorder="1"/>
    <xf numFmtId="0" fontId="0" fillId="13" borderId="2" xfId="0" applyFill="1" applyBorder="1"/>
    <xf numFmtId="0" fontId="0" fillId="13" borderId="11" xfId="0" applyFill="1" applyBorder="1"/>
    <xf numFmtId="3" fontId="0" fillId="13" borderId="11" xfId="0" applyNumberFormat="1" applyFill="1" applyBorder="1"/>
    <xf numFmtId="0" fontId="0" fillId="13" borderId="11" xfId="0" applyFill="1" applyBorder="1" applyAlignment="1">
      <alignment horizontal="center"/>
    </xf>
    <xf numFmtId="0" fontId="0" fillId="13" borderId="3" xfId="0" applyFill="1" applyBorder="1"/>
    <xf numFmtId="0" fontId="14" fillId="10" borderId="0" xfId="0" applyFont="1" applyFill="1" applyBorder="1"/>
    <xf numFmtId="0" fontId="1" fillId="1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0" fillId="10" borderId="0" xfId="0" applyFill="1" applyAlignment="1">
      <alignment vertical="center" textRotation="90"/>
    </xf>
    <xf numFmtId="0" fontId="0" fillId="0" borderId="3" xfId="0" applyBorder="1" applyAlignment="1">
      <alignment vertical="center" wrapText="1"/>
    </xf>
    <xf numFmtId="0" fontId="2" fillId="1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0" fillId="10" borderId="0" xfId="0" applyFill="1" applyBorder="1" applyAlignment="1">
      <alignment horizontal="right"/>
    </xf>
    <xf numFmtId="167" fontId="0" fillId="10" borderId="0" xfId="0" applyNumberFormat="1" applyFill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0" fontId="11" fillId="15" borderId="11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/>
    </xf>
    <xf numFmtId="0" fontId="11" fillId="11" borderId="11" xfId="0" applyFont="1" applyFill="1" applyBorder="1" applyAlignment="1">
      <alignment horizontal="center"/>
    </xf>
    <xf numFmtId="0" fontId="11" fillId="13" borderId="11" xfId="0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2" fillId="10" borderId="1" xfId="0" applyFont="1" applyFill="1" applyBorder="1" applyAlignment="1" applyProtection="1">
      <alignment horizontal="center" vertical="center"/>
    </xf>
    <xf numFmtId="0" fontId="11" fillId="7" borderId="1" xfId="0" applyFont="1" applyFill="1" applyBorder="1" applyAlignment="1" applyProtection="1">
      <alignment horizontal="center"/>
      <protection locked="0"/>
    </xf>
    <xf numFmtId="0" fontId="11" fillId="10" borderId="0" xfId="0" applyFont="1" applyFill="1" applyProtection="1"/>
    <xf numFmtId="0" fontId="0" fillId="10" borderId="0" xfId="0" applyFill="1" applyProtection="1"/>
    <xf numFmtId="0" fontId="0" fillId="0" borderId="0" xfId="0" applyProtection="1"/>
    <xf numFmtId="0" fontId="0" fillId="10" borderId="0" xfId="0" applyFill="1" applyAlignment="1" applyProtection="1"/>
    <xf numFmtId="0" fontId="0" fillId="10" borderId="0" xfId="0" applyFill="1" applyAlignment="1" applyProtection="1">
      <alignment horizontal="left"/>
    </xf>
    <xf numFmtId="168" fontId="11" fillId="7" borderId="1" xfId="0" applyNumberFormat="1" applyFont="1" applyFill="1" applyBorder="1" applyAlignment="1" applyProtection="1">
      <alignment horizontal="center" vertical="center"/>
      <protection locked="0"/>
    </xf>
    <xf numFmtId="2" fontId="11" fillId="7" borderId="1" xfId="0" applyNumberFormat="1" applyFont="1" applyFill="1" applyBorder="1" applyAlignment="1" applyProtection="1">
      <alignment horizontal="center"/>
      <protection locked="0"/>
    </xf>
    <xf numFmtId="0" fontId="11" fillId="7" borderId="20" xfId="0" applyFont="1" applyFill="1" applyBorder="1" applyAlignment="1" applyProtection="1">
      <alignment horizontal="center"/>
      <protection locked="0"/>
    </xf>
    <xf numFmtId="0" fontId="11" fillId="7" borderId="42" xfId="0" applyFont="1" applyFill="1" applyBorder="1" applyAlignment="1" applyProtection="1">
      <alignment horizontal="center"/>
      <protection locked="0"/>
    </xf>
    <xf numFmtId="167" fontId="11" fillId="7" borderId="1" xfId="0" applyNumberFormat="1" applyFont="1" applyFill="1" applyBorder="1" applyAlignment="1" applyProtection="1">
      <alignment horizontal="center"/>
      <protection locked="0"/>
    </xf>
    <xf numFmtId="0" fontId="11" fillId="7" borderId="1" xfId="0" applyFont="1" applyFill="1" applyBorder="1" applyAlignment="1" applyProtection="1">
      <alignment horizontal="right"/>
      <protection locked="0"/>
    </xf>
    <xf numFmtId="2" fontId="11" fillId="7" borderId="1" xfId="0" applyNumberFormat="1" applyFont="1" applyFill="1" applyBorder="1" applyAlignment="1" applyProtection="1">
      <alignment horizontal="right"/>
      <protection locked="0"/>
    </xf>
    <xf numFmtId="0" fontId="11" fillId="7" borderId="1" xfId="0" applyFont="1" applyFill="1" applyBorder="1" applyAlignment="1" applyProtection="1">
      <alignment horizontal="left"/>
      <protection locked="0"/>
    </xf>
    <xf numFmtId="1" fontId="11" fillId="7" borderId="1" xfId="0" applyNumberFormat="1" applyFont="1" applyFill="1" applyBorder="1" applyAlignment="1" applyProtection="1">
      <alignment horizontal="center"/>
      <protection locked="0"/>
    </xf>
    <xf numFmtId="2" fontId="11" fillId="7" borderId="10" xfId="0" applyNumberFormat="1" applyFont="1" applyFill="1" applyBorder="1" applyProtection="1">
      <protection locked="0"/>
    </xf>
    <xf numFmtId="2" fontId="11" fillId="7" borderId="38" xfId="0" applyNumberFormat="1" applyFont="1" applyFill="1" applyBorder="1" applyProtection="1">
      <protection locked="0"/>
    </xf>
    <xf numFmtId="0" fontId="0" fillId="0" borderId="0" xfId="0" applyFill="1"/>
    <xf numFmtId="2" fontId="4" fillId="10" borderId="4" xfId="0" applyNumberFormat="1" applyFont="1" applyFill="1" applyBorder="1" applyAlignment="1" applyProtection="1">
      <alignment horizontal="right"/>
    </xf>
    <xf numFmtId="0" fontId="0" fillId="10" borderId="9" xfId="0" applyFill="1" applyBorder="1" applyProtection="1"/>
    <xf numFmtId="0" fontId="0" fillId="10" borderId="10" xfId="0" applyFill="1" applyBorder="1" applyProtection="1"/>
    <xf numFmtId="2" fontId="4" fillId="10" borderId="18" xfId="0" applyNumberFormat="1" applyFont="1" applyFill="1" applyBorder="1" applyAlignment="1" applyProtection="1">
      <alignment horizontal="right" vertical="center"/>
    </xf>
    <xf numFmtId="2" fontId="4" fillId="10" borderId="30" xfId="0" applyNumberFormat="1" applyFont="1" applyFill="1" applyBorder="1" applyAlignment="1" applyProtection="1">
      <alignment horizontal="right" vertical="center"/>
    </xf>
    <xf numFmtId="2" fontId="4" fillId="10" borderId="19" xfId="0" applyNumberFormat="1" applyFont="1" applyFill="1" applyBorder="1" applyAlignment="1" applyProtection="1">
      <alignment horizontal="right"/>
    </xf>
    <xf numFmtId="2" fontId="4" fillId="10" borderId="31" xfId="0" applyNumberFormat="1" applyFont="1" applyFill="1" applyBorder="1" applyAlignment="1" applyProtection="1">
      <alignment horizontal="right"/>
    </xf>
    <xf numFmtId="0" fontId="0" fillId="0" borderId="1" xfId="0" applyBorder="1" applyProtection="1"/>
    <xf numFmtId="0" fontId="0" fillId="0" borderId="0" xfId="0" applyAlignment="1" applyProtection="1">
      <alignment horizontal="left"/>
    </xf>
    <xf numFmtId="2" fontId="4" fillId="10" borderId="27" xfId="0" applyNumberFormat="1" applyFont="1" applyFill="1" applyBorder="1" applyAlignment="1" applyProtection="1">
      <alignment horizontal="right"/>
    </xf>
    <xf numFmtId="0" fontId="0" fillId="10" borderId="37" xfId="0" applyFill="1" applyBorder="1" applyProtection="1"/>
    <xf numFmtId="0" fontId="0" fillId="10" borderId="38" xfId="0" applyFill="1" applyBorder="1" applyProtection="1"/>
    <xf numFmtId="2" fontId="4" fillId="10" borderId="34" xfId="0" applyNumberFormat="1" applyFont="1" applyFill="1" applyBorder="1" applyAlignment="1" applyProtection="1">
      <alignment horizontal="right" vertical="center"/>
    </xf>
    <xf numFmtId="2" fontId="4" fillId="10" borderId="35" xfId="0" applyNumberFormat="1" applyFont="1" applyFill="1" applyBorder="1" applyAlignment="1" applyProtection="1">
      <alignment horizontal="right"/>
    </xf>
    <xf numFmtId="0" fontId="0" fillId="0" borderId="22" xfId="0" applyBorder="1" applyProtection="1"/>
    <xf numFmtId="0" fontId="0" fillId="4" borderId="0" xfId="0" applyFill="1" applyBorder="1" applyProtection="1">
      <protection locked="0"/>
    </xf>
    <xf numFmtId="0" fontId="0" fillId="0" borderId="0" xfId="0" applyFill="1" applyBorder="1"/>
    <xf numFmtId="0" fontId="0" fillId="0" borderId="0" xfId="0" applyFill="1" applyAlignment="1">
      <alignment vertical="center" wrapText="1"/>
    </xf>
    <xf numFmtId="0" fontId="11" fillId="10" borderId="48" xfId="0" applyFont="1" applyFill="1" applyBorder="1" applyProtection="1"/>
    <xf numFmtId="167" fontId="11" fillId="7" borderId="0" xfId="0" applyNumberFormat="1" applyFont="1" applyFill="1" applyBorder="1" applyAlignment="1" applyProtection="1">
      <alignment horizontal="center"/>
      <protection locked="0"/>
    </xf>
    <xf numFmtId="0" fontId="11" fillId="10" borderId="38" xfId="0" applyFont="1" applyFill="1" applyBorder="1" applyProtection="1">
      <protection locked="0"/>
    </xf>
    <xf numFmtId="0" fontId="11" fillId="10" borderId="10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2" fillId="10" borderId="20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15" fillId="0" borderId="0" xfId="0" applyFont="1" applyProtection="1"/>
    <xf numFmtId="0" fontId="11" fillId="7" borderId="1" xfId="0" applyFont="1" applyFill="1" applyBorder="1" applyAlignment="1" applyProtection="1">
      <alignment horizontal="center" vertical="center"/>
      <protection locked="0"/>
    </xf>
    <xf numFmtId="0" fontId="12" fillId="10" borderId="0" xfId="0" applyFont="1" applyFill="1" applyProtection="1"/>
    <xf numFmtId="0" fontId="0" fillId="10" borderId="0" xfId="0" applyFill="1" applyAlignment="1" applyProtection="1">
      <alignment horizontal="center"/>
    </xf>
    <xf numFmtId="169" fontId="0" fillId="0" borderId="0" xfId="0" applyNumberFormat="1" applyFill="1" applyAlignment="1" applyProtection="1">
      <alignment horizontal="center" vertical="center"/>
    </xf>
    <xf numFmtId="0" fontId="13" fillId="10" borderId="0" xfId="1" applyFill="1" applyProtection="1"/>
    <xf numFmtId="0" fontId="11" fillId="10" borderId="0" xfId="0" applyNumberFormat="1" applyFont="1" applyFill="1" applyBorder="1" applyAlignment="1" applyProtection="1">
      <alignment horizontal="center"/>
    </xf>
    <xf numFmtId="0" fontId="11" fillId="10" borderId="0" xfId="0" applyFont="1" applyFill="1" applyBorder="1" applyAlignment="1" applyProtection="1">
      <alignment horizontal="center"/>
    </xf>
    <xf numFmtId="0" fontId="13" fillId="10" borderId="0" xfId="1" applyFill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 wrapText="1"/>
    </xf>
    <xf numFmtId="0" fontId="0" fillId="15" borderId="1" xfId="0" applyFill="1" applyBorder="1" applyProtection="1"/>
    <xf numFmtId="3" fontId="0" fillId="15" borderId="1" xfId="0" applyNumberFormat="1" applyFill="1" applyBorder="1" applyAlignment="1" applyProtection="1">
      <alignment horizontal="center"/>
    </xf>
    <xf numFmtId="1" fontId="0" fillId="15" borderId="1" xfId="0" applyNumberFormat="1" applyFill="1" applyBorder="1" applyAlignment="1" applyProtection="1">
      <alignment horizontal="center"/>
    </xf>
    <xf numFmtId="3" fontId="1" fillId="15" borderId="1" xfId="0" applyNumberFormat="1" applyFont="1" applyFill="1" applyBorder="1" applyAlignment="1" applyProtection="1">
      <alignment horizontal="center"/>
    </xf>
    <xf numFmtId="0" fontId="0" fillId="14" borderId="1" xfId="0" applyFill="1" applyBorder="1" applyProtection="1"/>
    <xf numFmtId="1" fontId="0" fillId="14" borderId="1" xfId="0" applyNumberFormat="1" applyFill="1" applyBorder="1" applyAlignment="1" applyProtection="1">
      <alignment horizontal="center"/>
    </xf>
    <xf numFmtId="3" fontId="1" fillId="14" borderId="1" xfId="0" applyNumberFormat="1" applyFont="1" applyFill="1" applyBorder="1" applyAlignment="1" applyProtection="1">
      <alignment horizontal="center"/>
    </xf>
    <xf numFmtId="0" fontId="17" fillId="10" borderId="0" xfId="0" applyFont="1" applyFill="1" applyProtection="1"/>
    <xf numFmtId="3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0" fillId="0" borderId="0" xfId="0" applyAlignment="1"/>
    <xf numFmtId="0" fontId="0" fillId="10" borderId="0" xfId="0" applyFill="1" applyAlignment="1"/>
    <xf numFmtId="0" fontId="14" fillId="10" borderId="1" xfId="0" applyFont="1" applyFill="1" applyBorder="1" applyAlignment="1">
      <alignment horizontal="left" vertical="center"/>
    </xf>
    <xf numFmtId="0" fontId="0" fillId="1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left" wrapText="1"/>
    </xf>
    <xf numFmtId="0" fontId="0" fillId="0" borderId="0" xfId="0" applyFill="1" applyAlignment="1" applyProtection="1">
      <alignment horizontal="center" wrapText="1"/>
    </xf>
    <xf numFmtId="0" fontId="11" fillId="7" borderId="20" xfId="0" applyFont="1" applyFill="1" applyBorder="1" applyAlignment="1" applyProtection="1">
      <alignment horizontal="center" vertical="center"/>
      <protection locked="0"/>
    </xf>
    <xf numFmtId="169" fontId="0" fillId="10" borderId="0" xfId="0" applyNumberFormat="1" applyFill="1" applyBorder="1" applyAlignment="1">
      <alignment horizontal="center" vertical="center"/>
    </xf>
    <xf numFmtId="0" fontId="0" fillId="0" borderId="0" xfId="0" applyAlignment="1" applyProtection="1">
      <alignment vertical="center"/>
    </xf>
    <xf numFmtId="0" fontId="11" fillId="7" borderId="20" xfId="0" applyNumberFormat="1" applyFont="1" applyFill="1" applyBorder="1" applyAlignment="1" applyProtection="1">
      <alignment horizontal="center" vertical="center"/>
      <protection locked="0"/>
    </xf>
    <xf numFmtId="0" fontId="11" fillId="7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</xf>
    <xf numFmtId="0" fontId="2" fillId="10" borderId="1" xfId="0" applyNumberFormat="1" applyFont="1" applyFill="1" applyBorder="1" applyProtection="1">
      <protection locked="0"/>
    </xf>
    <xf numFmtId="0" fontId="0" fillId="0" borderId="0" xfId="0" applyBorder="1"/>
    <xf numFmtId="0" fontId="11" fillId="7" borderId="45" xfId="0" applyNumberFormat="1" applyFont="1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vertical="center"/>
    </xf>
    <xf numFmtId="3" fontId="0" fillId="12" borderId="1" xfId="0" applyNumberFormat="1" applyFill="1" applyBorder="1" applyAlignment="1" applyProtection="1">
      <alignment horizontal="center" vertical="center"/>
    </xf>
    <xf numFmtId="1" fontId="0" fillId="12" borderId="1" xfId="0" applyNumberFormat="1" applyFill="1" applyBorder="1" applyAlignment="1" applyProtection="1">
      <alignment horizontal="center" vertical="center"/>
    </xf>
    <xf numFmtId="3" fontId="1" fillId="12" borderId="1" xfId="0" applyNumberFormat="1" applyFont="1" applyFill="1" applyBorder="1" applyAlignment="1" applyProtection="1">
      <alignment horizontal="center" vertical="center"/>
    </xf>
    <xf numFmtId="0" fontId="0" fillId="9" borderId="1" xfId="0" applyFill="1" applyBorder="1" applyAlignment="1" applyProtection="1">
      <alignment vertical="center"/>
    </xf>
    <xf numFmtId="3" fontId="0" fillId="9" borderId="1" xfId="0" applyNumberFormat="1" applyFill="1" applyBorder="1" applyAlignment="1" applyProtection="1">
      <alignment horizontal="center" vertical="center"/>
    </xf>
    <xf numFmtId="1" fontId="0" fillId="9" borderId="1" xfId="0" applyNumberFormat="1" applyFill="1" applyBorder="1" applyAlignment="1" applyProtection="1">
      <alignment horizontal="center" vertical="center"/>
    </xf>
    <xf numFmtId="3" fontId="1" fillId="9" borderId="1" xfId="0" applyNumberFormat="1" applyFont="1" applyFill="1" applyBorder="1" applyAlignment="1" applyProtection="1">
      <alignment horizontal="center" vertical="center"/>
    </xf>
    <xf numFmtId="0" fontId="0" fillId="10" borderId="0" xfId="0" applyFill="1" applyAlignment="1" applyProtection="1">
      <alignment horizontal="center" vertical="center"/>
    </xf>
    <xf numFmtId="0" fontId="0" fillId="10" borderId="0" xfId="0" applyFill="1" applyAlignment="1" applyProtection="1">
      <alignment horizontal="center" vertical="center" wrapText="1"/>
    </xf>
    <xf numFmtId="0" fontId="13" fillId="10" borderId="0" xfId="1" applyFill="1" applyAlignment="1" applyProtection="1">
      <alignment horizontal="center" vertical="center"/>
    </xf>
    <xf numFmtId="0" fontId="11" fillId="7" borderId="42" xfId="0" applyFont="1" applyFill="1" applyBorder="1" applyAlignment="1" applyProtection="1">
      <alignment horizontal="center" vertical="center"/>
      <protection locked="0"/>
    </xf>
    <xf numFmtId="0" fontId="0" fillId="1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0" fillId="4" borderId="8" xfId="0" applyNumberFormat="1" applyFill="1" applyBorder="1" applyProtection="1"/>
    <xf numFmtId="0" fontId="4" fillId="4" borderId="29" xfId="0" applyFont="1" applyFill="1" applyBorder="1" applyAlignment="1" applyProtection="1">
      <alignment vertical="top" wrapText="1"/>
    </xf>
    <xf numFmtId="0" fontId="13" fillId="0" borderId="0" xfId="1"/>
    <xf numFmtId="0" fontId="13" fillId="0" borderId="0" xfId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10" borderId="0" xfId="0" applyFill="1" applyBorder="1" applyAlignment="1" applyProtection="1">
      <alignment horizontal="center" wrapText="1"/>
    </xf>
    <xf numFmtId="0" fontId="13" fillId="0" borderId="42" xfId="1" applyBorder="1"/>
    <xf numFmtId="0" fontId="13" fillId="0" borderId="1" xfId="1" applyBorder="1"/>
    <xf numFmtId="0" fontId="13" fillId="10" borderId="0" xfId="1" applyFill="1"/>
    <xf numFmtId="0" fontId="0" fillId="0" borderId="0" xfId="0"/>
    <xf numFmtId="0" fontId="2" fillId="10" borderId="1" xfId="0" applyFont="1" applyFill="1" applyBorder="1"/>
    <xf numFmtId="0" fontId="11" fillId="7" borderId="1" xfId="0" applyFont="1" applyFill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0" fontId="11" fillId="7" borderId="1" xfId="0" applyFont="1" applyFill="1" applyBorder="1" applyAlignment="1" applyProtection="1">
      <alignment horizontal="right"/>
      <protection locked="0"/>
    </xf>
    <xf numFmtId="2" fontId="11" fillId="7" borderId="1" xfId="0" applyNumberFormat="1" applyFont="1" applyFill="1" applyBorder="1" applyAlignment="1" applyProtection="1">
      <alignment horizontal="right"/>
      <protection locked="0"/>
    </xf>
    <xf numFmtId="0" fontId="0" fillId="10" borderId="0" xfId="0" applyFill="1" applyAlignment="1" applyProtection="1"/>
    <xf numFmtId="0" fontId="2" fillId="0" borderId="0" xfId="3" applyFont="1" applyBorder="1" applyAlignment="1">
      <alignment horizontal="left"/>
    </xf>
    <xf numFmtId="0" fontId="0" fillId="10" borderId="0" xfId="0" applyFill="1" applyAlignment="1" applyProtection="1">
      <alignment horizontal="left"/>
    </xf>
    <xf numFmtId="0" fontId="11" fillId="7" borderId="0" xfId="0" applyFont="1" applyFill="1" applyAlignment="1" applyProtection="1">
      <alignment horizontal="center" vertical="center"/>
    </xf>
    <xf numFmtId="0" fontId="1" fillId="16" borderId="0" xfId="0" applyFont="1" applyFill="1" applyBorder="1" applyAlignment="1" applyProtection="1">
      <alignment horizontal="center"/>
    </xf>
    <xf numFmtId="0" fontId="11" fillId="7" borderId="0" xfId="0" applyFont="1" applyFill="1" applyAlignment="1" applyProtection="1">
      <alignment horizontal="center" vertical="center"/>
      <protection locked="0"/>
    </xf>
    <xf numFmtId="0" fontId="0" fillId="10" borderId="0" xfId="0" applyFill="1" applyAlignment="1" applyProtection="1">
      <alignment horizontal="left" wrapText="1"/>
    </xf>
    <xf numFmtId="0" fontId="13" fillId="0" borderId="0" xfId="1" applyAlignment="1">
      <alignment horizontal="center"/>
    </xf>
    <xf numFmtId="0" fontId="0" fillId="10" borderId="0" xfId="0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0" fillId="11" borderId="2" xfId="0" applyFill="1" applyBorder="1" applyAlignment="1">
      <alignment horizontal="left"/>
    </xf>
    <xf numFmtId="0" fontId="0" fillId="11" borderId="11" xfId="0" applyFill="1" applyBorder="1" applyAlignment="1">
      <alignment horizontal="left"/>
    </xf>
    <xf numFmtId="0" fontId="0" fillId="12" borderId="2" xfId="0" applyFill="1" applyBorder="1" applyAlignment="1">
      <alignment horizontal="left"/>
    </xf>
    <xf numFmtId="0" fontId="0" fillId="12" borderId="11" xfId="0" applyFill="1" applyBorder="1" applyAlignment="1">
      <alignment horizontal="left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2" fillId="10" borderId="1" xfId="0" applyFont="1" applyFill="1" applyBorder="1" applyAlignment="1"/>
    <xf numFmtId="0" fontId="0" fillId="3" borderId="1" xfId="0" applyFill="1" applyBorder="1" applyAlignment="1">
      <alignment horizontal="center" vertical="center" textRotation="90"/>
    </xf>
    <xf numFmtId="0" fontId="0" fillId="6" borderId="1" xfId="0" applyFill="1" applyBorder="1" applyAlignment="1">
      <alignment horizontal="center" vertical="center" textRotation="90"/>
    </xf>
    <xf numFmtId="0" fontId="2" fillId="1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3" xfId="0" applyBorder="1" applyAlignment="1">
      <alignment vertical="center" wrapText="1"/>
    </xf>
    <xf numFmtId="0" fontId="0" fillId="0" borderId="2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3" fillId="15" borderId="26" xfId="0" applyFont="1" applyFill="1" applyBorder="1" applyAlignment="1" applyProtection="1">
      <alignment horizontal="left" vertical="center" wrapText="1"/>
    </xf>
    <xf numFmtId="0" fontId="3" fillId="15" borderId="27" xfId="0" applyFont="1" applyFill="1" applyBorder="1" applyAlignment="1" applyProtection="1">
      <alignment horizontal="left" vertical="center" wrapText="1"/>
    </xf>
    <xf numFmtId="0" fontId="3" fillId="15" borderId="26" xfId="0" applyFont="1" applyFill="1" applyBorder="1" applyAlignment="1" applyProtection="1">
      <alignment horizontal="left" vertical="center"/>
    </xf>
    <xf numFmtId="0" fontId="3" fillId="15" borderId="27" xfId="0" applyFont="1" applyFill="1" applyBorder="1" applyAlignment="1" applyProtection="1">
      <alignment horizontal="left" vertical="center"/>
    </xf>
    <xf numFmtId="0" fontId="0" fillId="4" borderId="2" xfId="0" applyFill="1" applyBorder="1" applyAlignment="1" applyProtection="1">
      <alignment horizontal="left" wrapText="1"/>
    </xf>
    <xf numFmtId="0" fontId="0" fillId="4" borderId="11" xfId="0" applyFill="1" applyBorder="1" applyAlignment="1" applyProtection="1">
      <alignment horizontal="left" wrapText="1"/>
    </xf>
    <xf numFmtId="0" fontId="0" fillId="4" borderId="3" xfId="0" applyFill="1" applyBorder="1" applyAlignment="1" applyProtection="1">
      <alignment horizontal="left" wrapText="1"/>
    </xf>
    <xf numFmtId="0" fontId="16" fillId="4" borderId="47" xfId="0" applyFont="1" applyFill="1" applyBorder="1" applyAlignment="1" applyProtection="1">
      <alignment horizontal="left" vertical="center"/>
    </xf>
    <xf numFmtId="0" fontId="16" fillId="4" borderId="27" xfId="0" applyFont="1" applyFill="1" applyBorder="1" applyAlignment="1" applyProtection="1">
      <alignment horizontal="left" vertical="center"/>
    </xf>
    <xf numFmtId="0" fontId="3" fillId="6" borderId="26" xfId="0" applyFont="1" applyFill="1" applyBorder="1" applyAlignment="1" applyProtection="1">
      <alignment horizontal="left" vertical="center" wrapText="1"/>
    </xf>
    <xf numFmtId="0" fontId="3" fillId="6" borderId="27" xfId="0" applyFont="1" applyFill="1" applyBorder="1" applyAlignment="1" applyProtection="1">
      <alignment horizontal="left" vertical="center" wrapText="1"/>
    </xf>
    <xf numFmtId="0" fontId="3" fillId="6" borderId="26" xfId="0" applyFont="1" applyFill="1" applyBorder="1" applyAlignment="1" applyProtection="1">
      <alignment horizontal="left" vertical="center"/>
    </xf>
    <xf numFmtId="0" fontId="3" fillId="6" borderId="27" xfId="0" applyFont="1" applyFill="1" applyBorder="1" applyAlignment="1" applyProtection="1">
      <alignment horizontal="left" vertical="center"/>
    </xf>
    <xf numFmtId="0" fontId="0" fillId="4" borderId="1" xfId="0" applyFill="1" applyBorder="1" applyAlignment="1" applyProtection="1">
      <alignment horizontal="left" wrapText="1"/>
    </xf>
    <xf numFmtId="0" fontId="3" fillId="8" borderId="41" xfId="0" applyFont="1" applyFill="1" applyBorder="1" applyAlignment="1" applyProtection="1">
      <alignment horizontal="left" vertical="center" wrapText="1"/>
    </xf>
    <xf numFmtId="0" fontId="3" fillId="8" borderId="23" xfId="0" applyFont="1" applyFill="1" applyBorder="1" applyAlignment="1" applyProtection="1">
      <alignment horizontal="left" vertical="center" wrapText="1"/>
    </xf>
    <xf numFmtId="0" fontId="3" fillId="8" borderId="25" xfId="0" applyFont="1" applyFill="1" applyBorder="1" applyAlignment="1" applyProtection="1">
      <alignment horizontal="left" vertical="center"/>
    </xf>
    <xf numFmtId="0" fontId="3" fillId="8" borderId="24" xfId="0" applyFont="1" applyFill="1" applyBorder="1" applyAlignment="1" applyProtection="1">
      <alignment horizontal="left" vertical="center"/>
    </xf>
    <xf numFmtId="0" fontId="3" fillId="8" borderId="23" xfId="0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</cellXfs>
  <cellStyles count="4">
    <cellStyle name="Link" xfId="1" builtinId="8"/>
    <cellStyle name="Prozent" xfId="2" builtinId="5"/>
    <cellStyle name="Standard" xfId="0" builtinId="0"/>
    <cellStyle name="Standard 3" xfId="3"/>
  </cellStyles>
  <dxfs count="2"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333333"/>
      <color rgb="FFCC66FF"/>
      <color rgb="FFFF9999"/>
      <color rgb="FF888888"/>
      <color rgb="FF6D84A3"/>
      <color rgb="FF495B73"/>
      <color rgb="FF44546A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26835742105902E-2"/>
          <c:y val="2.687824419723996E-2"/>
          <c:w val="0.89193271108407168"/>
          <c:h val="0.671665933976908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Entree_resultats!$H$18</c:f>
              <c:strCache>
                <c:ptCount val="1"/>
                <c:pt idx="0">
                  <c:v>Coûts du travail (CHF/ha)</c:v>
                </c:pt>
              </c:strCache>
            </c:strRef>
          </c:tx>
          <c:spPr>
            <a:solidFill>
              <a:srgbClr val="888888"/>
            </a:solidFill>
            <a:ln>
              <a:noFill/>
            </a:ln>
            <a:effectLst/>
          </c:spPr>
          <c:invertIfNegative val="0"/>
          <c:cat>
            <c:strRef>
              <c:f>Entree_resultats!$G$19:$G$22</c:f>
              <c:strCache>
                <c:ptCount val="4"/>
                <c:pt idx="0">
                  <c:v>Désherbage chimique</c:v>
                </c:pt>
                <c:pt idx="1">
                  <c:v>Lutte mécanique contre les mauvaises herbes 1</c:v>
                </c:pt>
                <c:pt idx="2">
                  <c:v>Lutte mécanique contre les mauvaises herbes 2</c:v>
                </c:pt>
                <c:pt idx="3">
                  <c:v>Lutte mécanique et chimique contre les mauvaises herbes</c:v>
                </c:pt>
              </c:strCache>
            </c:strRef>
          </c:cat>
          <c:val>
            <c:numRef>
              <c:f>Entree_resultats!$H$19:$H$22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A-40B9-9031-90DFF27039E7}"/>
            </c:ext>
          </c:extLst>
        </c:ser>
        <c:ser>
          <c:idx val="1"/>
          <c:order val="1"/>
          <c:tx>
            <c:strRef>
              <c:f>Entree_resultats!$I$18</c:f>
              <c:strCache>
                <c:ptCount val="1"/>
                <c:pt idx="0">
                  <c:v>Coûts des maschines (CHF/ha)</c:v>
                </c:pt>
              </c:strCache>
            </c:strRef>
          </c:tx>
          <c:spPr>
            <a:solidFill>
              <a:srgbClr val="6D84A3"/>
            </a:solidFill>
            <a:ln>
              <a:noFill/>
            </a:ln>
            <a:effectLst/>
          </c:spPr>
          <c:invertIfNegative val="0"/>
          <c:cat>
            <c:strRef>
              <c:f>Entree_resultats!$G$19:$G$22</c:f>
              <c:strCache>
                <c:ptCount val="4"/>
                <c:pt idx="0">
                  <c:v>Désherbage chimique</c:v>
                </c:pt>
                <c:pt idx="1">
                  <c:v>Lutte mécanique contre les mauvaises herbes 1</c:v>
                </c:pt>
                <c:pt idx="2">
                  <c:v>Lutte mécanique contre les mauvaises herbes 2</c:v>
                </c:pt>
                <c:pt idx="3">
                  <c:v>Lutte mécanique et chimique contre les mauvaises herbes</c:v>
                </c:pt>
              </c:strCache>
            </c:strRef>
          </c:cat>
          <c:val>
            <c:numRef>
              <c:f>Entree_resultats!$I$19:$I$22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9A-40B9-9031-90DFF27039E7}"/>
            </c:ext>
          </c:extLst>
        </c:ser>
        <c:ser>
          <c:idx val="2"/>
          <c:order val="2"/>
          <c:tx>
            <c:strRef>
              <c:f>Entree_resultats!$J$18</c:f>
              <c:strCache>
                <c:ptCount val="1"/>
                <c:pt idx="0">
                  <c:v>differents coûts (CHF/ha)**</c:v>
                </c:pt>
              </c:strCache>
            </c:strRef>
          </c:tx>
          <c:spPr>
            <a:solidFill>
              <a:srgbClr val="44546A"/>
            </a:solidFill>
            <a:ln>
              <a:noFill/>
            </a:ln>
            <a:effectLst/>
          </c:spPr>
          <c:invertIfNegative val="0"/>
          <c:cat>
            <c:strRef>
              <c:f>Entree_resultats!$G$19:$G$22</c:f>
              <c:strCache>
                <c:ptCount val="4"/>
                <c:pt idx="0">
                  <c:v>Désherbage chimique</c:v>
                </c:pt>
                <c:pt idx="1">
                  <c:v>Lutte mécanique contre les mauvaises herbes 1</c:v>
                </c:pt>
                <c:pt idx="2">
                  <c:v>Lutte mécanique contre les mauvaises herbes 2</c:v>
                </c:pt>
                <c:pt idx="3">
                  <c:v>Lutte mécanique et chimique contre les mauvaises herbes</c:v>
                </c:pt>
              </c:strCache>
            </c:strRef>
          </c:cat>
          <c:val>
            <c:numRef>
              <c:f>Entree_resultats!$J$19:$J$22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9A-40B9-9031-90DFF2703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4486128"/>
        <c:axId val="414482192"/>
      </c:barChart>
      <c:catAx>
        <c:axId val="4144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14482192"/>
        <c:crosses val="autoZero"/>
        <c:auto val="1"/>
        <c:lblAlgn val="ctr"/>
        <c:lblOffset val="100"/>
        <c:noMultiLvlLbl val="0"/>
      </c:catAx>
      <c:valAx>
        <c:axId val="41448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CH">
                    <a:solidFill>
                      <a:sysClr val="windowText" lastClr="000000"/>
                    </a:solidFill>
                  </a:rPr>
                  <a:t>Coûts Fr./ha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1448612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5963104038381434"/>
          <c:y val="0.89031660963845483"/>
          <c:w val="0.79634834364633666"/>
          <c:h val="8.3505379890340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602734104934577E-2"/>
          <c:y val="2.687824419723996E-2"/>
          <c:w val="0.88928359417815361"/>
          <c:h val="0.661513396159228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Entree_resultats!$H$18</c:f>
              <c:strCache>
                <c:ptCount val="1"/>
                <c:pt idx="0">
                  <c:v>Coûts du travail (CHF/ha)</c:v>
                </c:pt>
              </c:strCache>
            </c:strRef>
          </c:tx>
          <c:spPr>
            <a:solidFill>
              <a:srgbClr val="888888"/>
            </a:solidFill>
            <a:ln>
              <a:noFill/>
            </a:ln>
            <a:effectLst/>
          </c:spPr>
          <c:invertIfNegative val="0"/>
          <c:cat>
            <c:strRef>
              <c:f>Entree_resultats!$G$19:$G$22</c:f>
              <c:strCache>
                <c:ptCount val="4"/>
                <c:pt idx="0">
                  <c:v>Désherbage chimique</c:v>
                </c:pt>
                <c:pt idx="1">
                  <c:v>Lutte mécanique contre les mauvaises herbes 1</c:v>
                </c:pt>
                <c:pt idx="2">
                  <c:v>Lutte mécanique contre les mauvaises herbes 2</c:v>
                </c:pt>
                <c:pt idx="3">
                  <c:v>Lutte mécanique et chimique contre les mauvaises herbes</c:v>
                </c:pt>
              </c:strCache>
            </c:strRef>
          </c:cat>
          <c:val>
            <c:numRef>
              <c:f>Entree_resultats!$H$19:$H$22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C-4E1A-8AC9-35DD39987CAA}"/>
            </c:ext>
          </c:extLst>
        </c:ser>
        <c:ser>
          <c:idx val="1"/>
          <c:order val="1"/>
          <c:tx>
            <c:strRef>
              <c:f>Entree_resultats!$I$18</c:f>
              <c:strCache>
                <c:ptCount val="1"/>
                <c:pt idx="0">
                  <c:v>Coûts des maschines (CHF/ha)</c:v>
                </c:pt>
              </c:strCache>
            </c:strRef>
          </c:tx>
          <c:spPr>
            <a:solidFill>
              <a:srgbClr val="6D84A3"/>
            </a:solidFill>
            <a:ln>
              <a:noFill/>
            </a:ln>
            <a:effectLst/>
          </c:spPr>
          <c:invertIfNegative val="0"/>
          <c:cat>
            <c:strRef>
              <c:f>Entree_resultats!$G$19:$G$22</c:f>
              <c:strCache>
                <c:ptCount val="4"/>
                <c:pt idx="0">
                  <c:v>Désherbage chimique</c:v>
                </c:pt>
                <c:pt idx="1">
                  <c:v>Lutte mécanique contre les mauvaises herbes 1</c:v>
                </c:pt>
                <c:pt idx="2">
                  <c:v>Lutte mécanique contre les mauvaises herbes 2</c:v>
                </c:pt>
                <c:pt idx="3">
                  <c:v>Lutte mécanique et chimique contre les mauvaises herbes</c:v>
                </c:pt>
              </c:strCache>
            </c:strRef>
          </c:cat>
          <c:val>
            <c:numRef>
              <c:f>Entree_resultats!$I$19:$I$22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C-4E1A-8AC9-35DD39987CAA}"/>
            </c:ext>
          </c:extLst>
        </c:ser>
        <c:ser>
          <c:idx val="2"/>
          <c:order val="2"/>
          <c:tx>
            <c:strRef>
              <c:f>Entree_resultats!$J$18</c:f>
              <c:strCache>
                <c:ptCount val="1"/>
                <c:pt idx="0">
                  <c:v>differents coûts (CHF/ha)**</c:v>
                </c:pt>
              </c:strCache>
            </c:strRef>
          </c:tx>
          <c:spPr>
            <a:solidFill>
              <a:srgbClr val="44546A"/>
            </a:solidFill>
            <a:ln>
              <a:noFill/>
            </a:ln>
            <a:effectLst/>
          </c:spPr>
          <c:invertIfNegative val="0"/>
          <c:cat>
            <c:strRef>
              <c:f>Entree_resultats!$G$19:$G$22</c:f>
              <c:strCache>
                <c:ptCount val="4"/>
                <c:pt idx="0">
                  <c:v>Désherbage chimique</c:v>
                </c:pt>
                <c:pt idx="1">
                  <c:v>Lutte mécanique contre les mauvaises herbes 1</c:v>
                </c:pt>
                <c:pt idx="2">
                  <c:v>Lutte mécanique contre les mauvaises herbes 2</c:v>
                </c:pt>
                <c:pt idx="3">
                  <c:v>Lutte mécanique et chimique contre les mauvaises herbes</c:v>
                </c:pt>
              </c:strCache>
            </c:strRef>
          </c:cat>
          <c:val>
            <c:numRef>
              <c:f>Entree_resultats!$J$19:$J$22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8C-4E1A-8AC9-35DD39987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4486128"/>
        <c:axId val="414482192"/>
      </c:barChart>
      <c:catAx>
        <c:axId val="4144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14482192"/>
        <c:crosses val="autoZero"/>
        <c:auto val="1"/>
        <c:lblAlgn val="ctr"/>
        <c:lblOffset val="100"/>
        <c:noMultiLvlLbl val="0"/>
      </c:catAx>
      <c:valAx>
        <c:axId val="41448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CH">
                    <a:solidFill>
                      <a:sysClr val="windowText" lastClr="000000"/>
                    </a:solidFill>
                  </a:rPr>
                  <a:t>Coûts CHF/ha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1448612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5963104038381434"/>
          <c:y val="0.89031660963845483"/>
          <c:w val="0.79634834364633666"/>
          <c:h val="8.3505379890340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#Input_herbicides!A1"/><Relationship Id="rId7" Type="http://schemas.openxmlformats.org/officeDocument/2006/relationships/image" Target="../media/image1.png"/><Relationship Id="rId2" Type="http://schemas.openxmlformats.org/officeDocument/2006/relationships/hyperlink" Target="#Input_machines!A1"/><Relationship Id="rId1" Type="http://schemas.openxmlformats.org/officeDocument/2006/relationships/hyperlink" Target="#Input_exploitation!A1"/><Relationship Id="rId6" Type="http://schemas.openxmlformats.org/officeDocument/2006/relationships/hyperlink" Target="#'Input_pre- et post-traitements'!A1"/><Relationship Id="rId5" Type="http://schemas.openxmlformats.org/officeDocument/2006/relationships/hyperlink" Target="#Entree_resultats!A1"/><Relationship Id="rId4" Type="http://schemas.openxmlformats.org/officeDocument/2006/relationships/hyperlink" Target="#Input_masch_couts_herbicide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136525</xdr:rowOff>
    </xdr:from>
    <xdr:ext cx="7683500" cy="251619"/>
    <xdr:sp macro="" textlink="">
      <xdr:nvSpPr>
        <xdr:cNvPr id="2" name="Textfeld 1"/>
        <xdr:cNvSpPr txBox="1"/>
      </xdr:nvSpPr>
      <xdr:spPr>
        <a:xfrm>
          <a:off x="0" y="2092325"/>
          <a:ext cx="7683500" cy="251619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1100">
              <a:latin typeface="Arial" panose="020B0604020202020204" pitchFamily="34" charset="0"/>
              <a:cs typeface="Arial" panose="020B0604020202020204" pitchFamily="34" charset="0"/>
            </a:rPr>
            <a:t>En outre, les variables d'entrée suivantes peuvent être ajustées dans les feuilles de calcul spécifiées :</a:t>
          </a:r>
          <a:endParaRPr lang="de-CH" sz="1100"/>
        </a:p>
      </xdr:txBody>
    </xdr:sp>
    <xdr:clientData/>
  </xdr:oneCellAnchor>
  <xdr:oneCellAnchor>
    <xdr:from>
      <xdr:col>0</xdr:col>
      <xdr:colOff>11907</xdr:colOff>
      <xdr:row>13</xdr:row>
      <xdr:rowOff>139696</xdr:rowOff>
    </xdr:from>
    <xdr:ext cx="2448000" cy="2557784"/>
    <xdr:sp macro="" textlink="">
      <xdr:nvSpPr>
        <xdr:cNvPr id="3" name="Textfeld 2">
          <a:hlinkClick xmlns:r="http://schemas.openxmlformats.org/officeDocument/2006/relationships" r:id="rId1"/>
        </xdr:cNvPr>
        <xdr:cNvSpPr txBox="1"/>
      </xdr:nvSpPr>
      <xdr:spPr>
        <a:xfrm>
          <a:off x="11907" y="2600956"/>
          <a:ext cx="2448000" cy="2557784"/>
        </a:xfrm>
        <a:prstGeom prst="rect">
          <a:avLst/>
        </a:prstGeom>
        <a:solidFill>
          <a:schemeClr val="accent2">
            <a:lumMod val="5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rIns="36000" rtlCol="0" anchor="t">
          <a:noAutofit/>
        </a:bodyPr>
        <a:lstStyle/>
        <a:p>
          <a:r>
            <a:rPr lang="de-CH" sz="1100" b="1" u="sng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Input_Exploitation</a:t>
          </a:r>
          <a:endParaRPr lang="de-CH" sz="1100" b="1" u="sng">
            <a:solidFill>
              <a:schemeClr val="bg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Distance de l'exploitation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Coût de la main-d'œuvre par heure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Vitesse de déplacement vers/depuis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ferme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Nombre de lignes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Longueur des rangs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Filet de largeur de rang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Largeur des bandes d'arbres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Le temps du tournage dans le verger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Taux d'intérêt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Utilisation annuelle du tracteur de verger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Coût remise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Prix du carburant</a:t>
          </a:r>
          <a:endParaRPr lang="de-CH" sz="11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714375</xdr:colOff>
      <xdr:row>13</xdr:row>
      <xdr:rowOff>142874</xdr:rowOff>
    </xdr:from>
    <xdr:ext cx="2448000" cy="2546985"/>
    <xdr:sp macro="" textlink="">
      <xdr:nvSpPr>
        <xdr:cNvPr id="4" name="Textfeld 3">
          <a:hlinkClick xmlns:r="http://schemas.openxmlformats.org/officeDocument/2006/relationships" r:id="rId2"/>
        </xdr:cNvPr>
        <xdr:cNvSpPr txBox="1"/>
      </xdr:nvSpPr>
      <xdr:spPr>
        <a:xfrm>
          <a:off x="2451735" y="2604134"/>
          <a:ext cx="2448000" cy="2546985"/>
        </a:xfrm>
        <a:prstGeom prst="rect">
          <a:avLst/>
        </a:prstGeom>
        <a:solidFill>
          <a:schemeClr val="accent3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rIns="36000" rtlCol="0" anchor="t">
          <a:noAutofit/>
        </a:bodyPr>
        <a:lstStyle/>
        <a:p>
          <a:r>
            <a:rPr lang="de-CH" sz="1100" b="1" u="sng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Input_Machines</a:t>
          </a:r>
          <a:endParaRPr lang="de-CH" sz="1100" b="1" u="sng">
            <a:solidFill>
              <a:schemeClr val="bg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Unilatérale/Bilatérale</a:t>
          </a:r>
        </a:p>
        <a:p>
          <a:r>
            <a:rPr lang="de-CH" sz="110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Prix d'acquisition effectif</a:t>
          </a:r>
        </a:p>
        <a:p>
          <a:r>
            <a:rPr lang="de-CH" sz="110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période de dépréciation</a:t>
          </a:r>
        </a:p>
        <a:p>
          <a:r>
            <a:rPr lang="de-CH" sz="110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vitesse de conduite</a:t>
          </a:r>
        </a:p>
        <a:p>
          <a:r>
            <a:rPr lang="de-CH" sz="110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les frais d'assurance effectifs</a:t>
          </a:r>
        </a:p>
        <a:p>
          <a:r>
            <a:rPr lang="de-CH" sz="110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coûts supplémentaires (remplacement des arbres,  </a:t>
          </a:r>
        </a:p>
        <a:p>
          <a:r>
            <a:rPr lang="de-CH" sz="110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cordes)</a:t>
          </a:r>
          <a:endParaRPr lang="de-CH" sz="11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650875</xdr:colOff>
      <xdr:row>13</xdr:row>
      <xdr:rowOff>144458</xdr:rowOff>
    </xdr:from>
    <xdr:ext cx="2448000" cy="2545401"/>
    <xdr:sp macro="" textlink="">
      <xdr:nvSpPr>
        <xdr:cNvPr id="5" name="Textfeld 4">
          <a:hlinkClick xmlns:r="http://schemas.openxmlformats.org/officeDocument/2006/relationships" r:id="rId3"/>
        </xdr:cNvPr>
        <xdr:cNvSpPr txBox="1"/>
      </xdr:nvSpPr>
      <xdr:spPr>
        <a:xfrm>
          <a:off x="4902835" y="2605718"/>
          <a:ext cx="2448000" cy="2545401"/>
        </a:xfrm>
        <a:prstGeom prst="rect">
          <a:avLst/>
        </a:prstGeom>
        <a:solidFill>
          <a:schemeClr val="accent4">
            <a:lumMod val="5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rIns="36000" rtlCol="0" anchor="t">
          <a:noAutofit/>
        </a:bodyPr>
        <a:lstStyle/>
        <a:p>
          <a:r>
            <a:rPr lang="de-CH" sz="1100" b="1" u="sng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Input_Herbicides</a:t>
          </a:r>
          <a:endParaRPr lang="de-CH" sz="1100" b="1" u="sng">
            <a:solidFill>
              <a:schemeClr val="bg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Stratégie standard ou données propres</a:t>
          </a:r>
        </a:p>
        <a:p>
          <a:r>
            <a:rPr lang="de-CH" sz="11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Produits phytosanitaires</a:t>
          </a:r>
        </a:p>
        <a:p>
          <a:r>
            <a:rPr lang="de-CH" sz="11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Nombre de voyages</a:t>
          </a:r>
        </a:p>
        <a:p>
          <a:r>
            <a:rPr lang="de-CH" sz="11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Quantité</a:t>
          </a:r>
        </a:p>
        <a:p>
          <a:r>
            <a:rPr lang="de-CH" sz="11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Prix</a:t>
          </a:r>
        </a:p>
        <a:p>
          <a:endParaRPr lang="de-CH" sz="1100" baseline="0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Une stratégie personnelle en matière d'herbicides peut être sélectionnée dans la feuille de calcul Input_Herbicides.</a:t>
          </a:r>
        </a:p>
        <a:p>
          <a:endParaRPr lang="de-CH" sz="1100" baseline="0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8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11</xdr:col>
      <xdr:colOff>518794</xdr:colOff>
      <xdr:row>13</xdr:row>
      <xdr:rowOff>142874</xdr:rowOff>
    </xdr:from>
    <xdr:ext cx="2448000" cy="2569845"/>
    <xdr:sp macro="" textlink="">
      <xdr:nvSpPr>
        <xdr:cNvPr id="6" name="Textfeld 5">
          <a:hlinkClick xmlns:r="http://schemas.openxmlformats.org/officeDocument/2006/relationships" r:id="rId4"/>
        </xdr:cNvPr>
        <xdr:cNvSpPr txBox="1"/>
      </xdr:nvSpPr>
      <xdr:spPr>
        <a:xfrm>
          <a:off x="9799954" y="2604134"/>
          <a:ext cx="2448000" cy="2569845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rIns="36000" rtlCol="0" anchor="t">
          <a:noAutofit/>
        </a:bodyPr>
        <a:lstStyle/>
        <a:p>
          <a:r>
            <a:rPr lang="de-CH" sz="1100" b="1" u="sng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Input_Maschine et coûts*</a:t>
          </a:r>
        </a:p>
        <a:p>
          <a:r>
            <a:rPr lang="de-CH" sz="1100" b="0" u="none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durée d'utilisation technique</a:t>
          </a:r>
        </a:p>
        <a:p>
          <a:r>
            <a:rPr lang="de-CH" sz="1100" b="0" u="none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facteur de valeur résiduelle</a:t>
          </a:r>
        </a:p>
        <a:p>
          <a:r>
            <a:rPr lang="de-CH" sz="1100" b="0" u="none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Facteur de charge du moteur</a:t>
          </a:r>
        </a:p>
        <a:p>
          <a:r>
            <a:rPr lang="de-CH" sz="1100" b="0" u="none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Facteur de réparation et d'entretien RUF</a:t>
          </a:r>
        </a:p>
        <a:p>
          <a:r>
            <a:rPr lang="de-CH" sz="1100" b="0" u="none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coûts de construction</a:t>
          </a:r>
          <a:endParaRPr lang="de-CH" sz="800" b="1" u="sng" baseline="0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28</xdr:row>
      <xdr:rowOff>68262</xdr:rowOff>
    </xdr:from>
    <xdr:ext cx="8161020" cy="2051050"/>
    <xdr:sp macro="" textlink="">
      <xdr:nvSpPr>
        <xdr:cNvPr id="7" name="Textfeld 6"/>
        <xdr:cNvSpPr txBox="1"/>
      </xdr:nvSpPr>
      <xdr:spPr>
        <a:xfrm>
          <a:off x="0" y="5158422"/>
          <a:ext cx="8161020" cy="205105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1100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Définitions des machines intrantes </a:t>
          </a:r>
          <a:r>
            <a:rPr lang="de-CH" sz="1100">
              <a:latin typeface="Arial" panose="020B0604020202020204" pitchFamily="34" charset="0"/>
              <a:cs typeface="Arial" panose="020B0604020202020204" pitchFamily="34" charset="0"/>
            </a:rPr>
            <a:t>(définitions selon le catalogue des coûts des machines d'Agroscope 2023).</a:t>
          </a:r>
        </a:p>
        <a:p>
          <a:r>
            <a:rPr lang="de-CH" sz="1100">
              <a:latin typeface="Arial" panose="020B0604020202020204" pitchFamily="34" charset="0"/>
              <a:cs typeface="Arial" panose="020B0604020202020204" pitchFamily="34" charset="0"/>
            </a:rPr>
            <a:t>  - Durée de vie technique : Durée de vie à partir de laquelle il n'y a plus de valeur de reprise ou de valeur excessive. </a:t>
          </a:r>
        </a:p>
        <a:p>
          <a:r>
            <a:rPr lang="de-CH" sz="1100">
              <a:latin typeface="Arial" panose="020B0604020202020204" pitchFamily="34" charset="0"/>
              <a:cs typeface="Arial" panose="020B0604020202020204" pitchFamily="34" charset="0"/>
            </a:rPr>
            <a:t>     la valeur n'est plus disponible ou des coûts de réparation et d'entretien excessifs sont encourus.</a:t>
          </a:r>
        </a:p>
        <a:p>
          <a:r>
            <a:rPr lang="de-CH" sz="1100">
              <a:latin typeface="Arial" panose="020B0604020202020204" pitchFamily="34" charset="0"/>
              <a:cs typeface="Arial" panose="020B0604020202020204" pitchFamily="34" charset="0"/>
            </a:rPr>
            <a:t>   - Facteur de valeur résiduelle : Le facteur de valeur résiduelle multiplié par le nouveau prix correspond à</a:t>
          </a:r>
        </a:p>
        <a:p>
          <a:r>
            <a:rPr lang="de-CH" sz="1100">
              <a:latin typeface="Arial" panose="020B0604020202020204" pitchFamily="34" charset="0"/>
              <a:cs typeface="Arial" panose="020B0604020202020204" pitchFamily="34" charset="0"/>
            </a:rPr>
            <a:t>     un prix de reprise ou une valeur de reprise. Le montant de l'amortissement basé sur le</a:t>
          </a:r>
        </a:p>
        <a:p>
          <a:r>
            <a:rPr lang="de-CH" sz="1100">
              <a:latin typeface="Arial" panose="020B0604020202020204" pitchFamily="34" charset="0"/>
              <a:cs typeface="Arial" panose="020B0604020202020204" pitchFamily="34" charset="0"/>
            </a:rPr>
            <a:t>     du prix d'achat est donc corrigé en conséquence.</a:t>
          </a:r>
        </a:p>
        <a:p>
          <a:r>
            <a:rPr lang="de-CH" sz="1100">
              <a:latin typeface="Arial" panose="020B0604020202020204" pitchFamily="34" charset="0"/>
              <a:cs typeface="Arial" panose="020B0604020202020204" pitchFamily="34" charset="0"/>
            </a:rPr>
            <a:t>   - Facteur de charge du moteur : la proportion de la puissance maximale du moteur utilisée pour le fonctionnement de l'appareil.</a:t>
          </a:r>
        </a:p>
        <a:p>
          <a:r>
            <a:rPr lang="de-CH" sz="1100">
              <a:latin typeface="Arial" panose="020B0604020202020204" pitchFamily="34" charset="0"/>
              <a:cs typeface="Arial" panose="020B0604020202020204" pitchFamily="34" charset="0"/>
            </a:rPr>
            <a:t>     le calcul de la consommation de carburant.</a:t>
          </a:r>
        </a:p>
        <a:p>
          <a:r>
            <a:rPr lang="de-CH" sz="1100">
              <a:latin typeface="Arial" panose="020B0604020202020204" pitchFamily="34" charset="0"/>
              <a:cs typeface="Arial" panose="020B0604020202020204" pitchFamily="34" charset="0"/>
            </a:rPr>
            <a:t>   - Facteur de réparation et d'entretien RUF : Facteur utilisé pour calculer les frais de réparation et d'entretien.</a:t>
          </a:r>
        </a:p>
        <a:p>
          <a:r>
            <a:rPr lang="de-CH" sz="1100">
              <a:latin typeface="Arial" panose="020B0604020202020204" pitchFamily="34" charset="0"/>
              <a:cs typeface="Arial" panose="020B0604020202020204" pitchFamily="34" charset="0"/>
            </a:rPr>
            <a:t>     les coûts de maintenance sur toute la durée de vie utile par unités de travail. Le RUF</a:t>
          </a:r>
        </a:p>
        <a:p>
          <a:r>
            <a:rPr lang="de-CH" sz="1100">
              <a:latin typeface="Arial" panose="020B0604020202020204" pitchFamily="34" charset="0"/>
              <a:cs typeface="Arial" panose="020B0604020202020204" pitchFamily="34" charset="0"/>
            </a:rPr>
            <a:t>     fait référence au prix d'achat.</a:t>
          </a:r>
          <a:r>
            <a:rPr lang="de-CH" sz="11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</a:t>
          </a:r>
          <a:endParaRPr lang="de-CH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7</xdr:row>
      <xdr:rowOff>52388</xdr:rowOff>
    </xdr:from>
    <xdr:ext cx="6619874" cy="812800"/>
    <xdr:sp macro="" textlink="">
      <xdr:nvSpPr>
        <xdr:cNvPr id="8" name="Textfeld 7"/>
        <xdr:cNvSpPr txBox="1"/>
      </xdr:nvSpPr>
      <xdr:spPr>
        <a:xfrm>
          <a:off x="0" y="1296988"/>
          <a:ext cx="6619874" cy="8128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1100" b="1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Bibliographie</a:t>
          </a:r>
        </a:p>
        <a:p>
          <a:r>
            <a:rPr lang="de-CH" sz="1100" b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Gazzarin C., Catalogue des coûts, Agroscope Transfer, 291, 2023, 1-27. </a:t>
          </a:r>
        </a:p>
        <a:p>
          <a:r>
            <a:rPr lang="de-CH" sz="1100" b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Informations de diverses firmes concernant le prix d'achat.</a:t>
          </a:r>
        </a:p>
        <a:p>
          <a:r>
            <a:rPr lang="de-CH" sz="1100" b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Prix des phytosaintaires Landi Pflanzenschutz Preisliste 2023</a:t>
          </a:r>
          <a:r>
            <a:rPr lang="de-CH" sz="11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</a:t>
          </a:r>
          <a:endParaRPr lang="de-CH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1</xdr:row>
      <xdr:rowOff>50800</xdr:rowOff>
    </xdr:from>
    <xdr:ext cx="13114020" cy="495300"/>
    <xdr:sp macro="" textlink="">
      <xdr:nvSpPr>
        <xdr:cNvPr id="9" name="Textfeld 8">
          <a:hlinkClick xmlns:r="http://schemas.openxmlformats.org/officeDocument/2006/relationships" r:id="rId5"/>
        </xdr:cNvPr>
        <xdr:cNvSpPr txBox="1"/>
      </xdr:nvSpPr>
      <xdr:spPr>
        <a:xfrm>
          <a:off x="0" y="408940"/>
          <a:ext cx="13114020" cy="4953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rIns="36000" rtlCol="0" anchor="t">
          <a:noAutofit/>
        </a:bodyPr>
        <a:lstStyle/>
        <a:p>
          <a:r>
            <a:rPr lang="de-CH" sz="1100" b="1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Entree_Résultats</a:t>
          </a:r>
        </a:p>
        <a:p>
          <a:r>
            <a:rPr lang="de-CH" sz="110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informations les plus importantes peuvent être introduites dans la feuille de calcul </a:t>
          </a:r>
          <a:r>
            <a:rPr lang="de-CH" sz="1100" b="1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Entree_Resultats</a:t>
          </a:r>
          <a:r>
            <a:rPr lang="de-CH" sz="110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Les résultats (comparaison des coûts) sont également affichés dans cette feuille de calcul..</a:t>
          </a:r>
        </a:p>
        <a:p>
          <a:endParaRPr lang="de-CH" sz="1100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4</xdr:row>
      <xdr:rowOff>796</xdr:rowOff>
    </xdr:from>
    <xdr:ext cx="10191750" cy="630236"/>
    <xdr:sp macro="" textlink="">
      <xdr:nvSpPr>
        <xdr:cNvPr id="12" name="Textfeld 11"/>
        <xdr:cNvSpPr txBox="1"/>
      </xdr:nvSpPr>
      <xdr:spPr>
        <a:xfrm>
          <a:off x="0" y="711996"/>
          <a:ext cx="10191750" cy="63023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Commentaire</a:t>
          </a:r>
        </a:p>
        <a:p>
          <a:r>
            <a:rPr lang="de-CH" sz="11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 sont pas inclus dans ces calculs la lutte contre les rejets de souches ainsi que les interventions sélectives dans la zone du tronc, au niveau du filet latéral ou à d'autres endroits avec des herbicides, la tondeuse à fil ou la houe manuelle. L'utilisation d'herbicides est calculée sur la base des directives du SAIO (ÖLN/IP).    </a:t>
          </a:r>
          <a:endParaRPr lang="de-CH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8</xdr:col>
      <xdr:colOff>583404</xdr:colOff>
      <xdr:row>13</xdr:row>
      <xdr:rowOff>141287</xdr:rowOff>
    </xdr:from>
    <xdr:ext cx="2448000" cy="2556194"/>
    <xdr:sp macro="" textlink="">
      <xdr:nvSpPr>
        <xdr:cNvPr id="13" name="Textfeld 12">
          <a:hlinkClick xmlns:r="http://schemas.openxmlformats.org/officeDocument/2006/relationships" r:id="rId6"/>
        </xdr:cNvPr>
        <xdr:cNvSpPr txBox="1"/>
      </xdr:nvSpPr>
      <xdr:spPr>
        <a:xfrm>
          <a:off x="7349964" y="2602547"/>
          <a:ext cx="2448000" cy="2556194"/>
        </a:xfrm>
        <a:prstGeom prst="rect">
          <a:avLst/>
        </a:prstGeom>
        <a:solidFill>
          <a:schemeClr val="accent4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rIns="36000" rtlCol="0" anchor="t">
          <a:noAutofit/>
        </a:bodyPr>
        <a:lstStyle/>
        <a:p>
          <a:r>
            <a:rPr lang="de-CH" sz="1100" b="1" u="sng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Input_pré- et post- traitements</a:t>
          </a:r>
        </a:p>
        <a:p>
          <a:r>
            <a:rPr lang="de-CH" sz="1100" b="0" u="none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Temps de travail pour le mélange des herbicides</a:t>
          </a:r>
        </a:p>
        <a:p>
          <a:r>
            <a:rPr lang="de-CH" sz="1100" b="0" u="none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Temps de travail pour la preparation</a:t>
          </a:r>
        </a:p>
        <a:p>
          <a:r>
            <a:rPr lang="de-CH" sz="1100" b="0" u="none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des réservoirs          </a:t>
          </a:r>
        </a:p>
        <a:p>
          <a:r>
            <a:rPr lang="de-CH" sz="1100" b="0" u="none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Temps de travail pour la préparation</a:t>
          </a:r>
        </a:p>
        <a:p>
          <a:r>
            <a:rPr lang="de-CH" sz="1100" b="0" u="none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du pulvérisateur</a:t>
          </a:r>
        </a:p>
        <a:p>
          <a:r>
            <a:rPr lang="de-CH" sz="1100" b="0" u="none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Préparation du temps de travail de </a:t>
          </a:r>
        </a:p>
        <a:p>
          <a:r>
            <a:rPr lang="de-CH" sz="1100" b="0" u="none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machines</a:t>
          </a:r>
        </a:p>
        <a:p>
          <a:r>
            <a:rPr lang="de-CH" sz="1100" b="0" u="none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Temps de travail pour accrocher et decrocher les machines</a:t>
          </a:r>
          <a:endParaRPr lang="de-CH" sz="800" b="1" u="sng" baseline="0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40</xdr:row>
      <xdr:rowOff>0</xdr:rowOff>
    </xdr:from>
    <xdr:to>
      <xdr:col>6</xdr:col>
      <xdr:colOff>822960</xdr:colOff>
      <xdr:row>43</xdr:row>
      <xdr:rowOff>108687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010400"/>
          <a:ext cx="5913120" cy="634467"/>
        </a:xfrm>
        <a:prstGeom prst="rect">
          <a:avLst/>
        </a:prstGeom>
      </xdr:spPr>
    </xdr:pic>
    <xdr:clientData/>
  </xdr:twoCellAnchor>
  <xdr:twoCellAnchor editAs="oneCell">
    <xdr:from>
      <xdr:col>7</xdr:col>
      <xdr:colOff>396240</xdr:colOff>
      <xdr:row>39</xdr:row>
      <xdr:rowOff>97791</xdr:rowOff>
    </xdr:from>
    <xdr:to>
      <xdr:col>9</xdr:col>
      <xdr:colOff>262890</xdr:colOff>
      <xdr:row>43</xdr:row>
      <xdr:rowOff>124515</xdr:rowOff>
    </xdr:to>
    <xdr:pic>
      <xdr:nvPicPr>
        <xdr:cNvPr id="15" name="Grafik 14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9"/>
        <a:stretch/>
      </xdr:blipFill>
      <xdr:spPr>
        <a:xfrm>
          <a:off x="6324600" y="6932931"/>
          <a:ext cx="1543050" cy="7277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139435</xdr:colOff>
      <xdr:row>0</xdr:row>
      <xdr:rowOff>88900</xdr:rowOff>
    </xdr:from>
    <xdr:to>
      <xdr:col>11</xdr:col>
      <xdr:colOff>193262</xdr:colOff>
      <xdr:row>16</xdr:row>
      <xdr:rowOff>138043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88900</xdr:colOff>
      <xdr:row>1</xdr:row>
      <xdr:rowOff>52916</xdr:rowOff>
    </xdr:from>
    <xdr:to>
      <xdr:col>6</xdr:col>
      <xdr:colOff>920749</xdr:colOff>
      <xdr:row>17</xdr:row>
      <xdr:rowOff>336550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nkrautregulierung_HERBOCOST_1.2_ohne_Blattschut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leitung"/>
      <sheetName val="Eingaben_Resultate"/>
      <sheetName val="Input_Betrieb"/>
      <sheetName val="Input_Geräte"/>
      <sheetName val="Input_Herbizide"/>
      <sheetName val="Input_Vor_Nachbereitung"/>
      <sheetName val="Input_Masch_Kos_Herbizid"/>
      <sheetName val="Input_Masch_Kos_Mech1"/>
      <sheetName val="Input_Masch_Kos_Mech2"/>
      <sheetName val="Input_Masch_Kos_Herb+Fad"/>
      <sheetName val="Listen"/>
      <sheetName val="Berechnungen"/>
    </sheetNames>
    <sheetDataSet>
      <sheetData sheetId="0"/>
      <sheetData sheetId="1"/>
      <sheetData sheetId="2">
        <row r="9">
          <cell r="B9">
            <v>3.5</v>
          </cell>
        </row>
        <row r="12">
          <cell r="B12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kumlrYTgZlU" TargetMode="External"/><Relationship Id="rId2" Type="http://schemas.openxmlformats.org/officeDocument/2006/relationships/hyperlink" Target="https://www.youtube.com/watch?v=VwZrWxp7Hek" TargetMode="External"/><Relationship Id="rId1" Type="http://schemas.openxmlformats.org/officeDocument/2006/relationships/hyperlink" Target="https://youtu.be/eLiY37zaMrc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youtube.com/watch?v=VwZrWxp7Hek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youtube.com/watch?v=eLiY37zaMrc" TargetMode="External"/><Relationship Id="rId1" Type="http://schemas.openxmlformats.org/officeDocument/2006/relationships/hyperlink" Target="https://www.youtube.com/watch?v=VwZrWxp7Hek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ww.youtube.com/watch?v=kumlrYTgZlU" TargetMode="External"/><Relationship Id="rId4" Type="http://schemas.openxmlformats.org/officeDocument/2006/relationships/hyperlink" Target="https://www.youtube.com/watch?v=kumlrYTgZl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33"/>
  </sheetPr>
  <dimension ref="A1:AA48"/>
  <sheetViews>
    <sheetView showGridLines="0" tabSelected="1" zoomScaleNormal="100" workbookViewId="0">
      <selection activeCell="A45" sqref="A45"/>
    </sheetView>
  </sheetViews>
  <sheetFormatPr baseColWidth="10" defaultColWidth="11" defaultRowHeight="14" x14ac:dyDescent="0.3"/>
  <cols>
    <col min="1" max="1" width="10.58203125" style="176" customWidth="1"/>
    <col min="2" max="2" width="12.25" style="176" customWidth="1"/>
    <col min="3" max="16384" width="11" style="176"/>
  </cols>
  <sheetData>
    <row r="1" spans="1:27" ht="28" x14ac:dyDescent="0.6">
      <c r="A1" s="234" t="s">
        <v>59</v>
      </c>
      <c r="B1" s="174"/>
      <c r="C1" s="174"/>
      <c r="D1" s="174"/>
      <c r="E1" s="174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</row>
    <row r="2" spans="1:27" x14ac:dyDescent="0.3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</row>
    <row r="3" spans="1:27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</row>
    <row r="4" spans="1:27" x14ac:dyDescent="0.3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</row>
    <row r="5" spans="1:27" x14ac:dyDescent="0.3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</row>
    <row r="6" spans="1:27" x14ac:dyDescent="0.3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</row>
    <row r="7" spans="1:27" x14ac:dyDescent="0.3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</row>
    <row r="8" spans="1:27" x14ac:dyDescent="0.3">
      <c r="A8" s="175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</row>
    <row r="9" spans="1:27" x14ac:dyDescent="0.3">
      <c r="A9" s="175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</row>
    <row r="10" spans="1:27" x14ac:dyDescent="0.3">
      <c r="A10" s="175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</row>
    <row r="11" spans="1:27" x14ac:dyDescent="0.3">
      <c r="A11" s="175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</row>
    <row r="12" spans="1:27" x14ac:dyDescent="0.3">
      <c r="A12" s="175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</row>
    <row r="13" spans="1:27" x14ac:dyDescent="0.3">
      <c r="A13" s="175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</row>
    <row r="14" spans="1:27" x14ac:dyDescent="0.3">
      <c r="A14" s="175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</row>
    <row r="15" spans="1:27" x14ac:dyDescent="0.3">
      <c r="A15" s="175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</row>
    <row r="16" spans="1:27" x14ac:dyDescent="0.3">
      <c r="A16" s="175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</row>
    <row r="17" spans="1:27" x14ac:dyDescent="0.3">
      <c r="A17" s="175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</row>
    <row r="18" spans="1:27" x14ac:dyDescent="0.3">
      <c r="A18" s="175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</row>
    <row r="19" spans="1:27" x14ac:dyDescent="0.3">
      <c r="A19" s="175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</row>
    <row r="20" spans="1:27" x14ac:dyDescent="0.3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</row>
    <row r="21" spans="1:27" x14ac:dyDescent="0.3">
      <c r="A21" s="295"/>
      <c r="B21" s="29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</row>
    <row r="22" spans="1:27" x14ac:dyDescent="0.3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</row>
    <row r="23" spans="1:27" x14ac:dyDescent="0.3">
      <c r="A23" s="177"/>
      <c r="B23" s="177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</row>
    <row r="24" spans="1:27" x14ac:dyDescent="0.3">
      <c r="A24" s="178"/>
      <c r="B24" s="178"/>
      <c r="C24" s="178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</row>
    <row r="25" spans="1:27" x14ac:dyDescent="0.3">
      <c r="A25" s="177"/>
      <c r="B25" s="177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</row>
    <row r="26" spans="1:27" x14ac:dyDescent="0.3">
      <c r="A26" s="177"/>
      <c r="B26" s="177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</row>
    <row r="27" spans="1:27" x14ac:dyDescent="0.3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</row>
    <row r="28" spans="1:27" x14ac:dyDescent="0.3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</row>
    <row r="29" spans="1:27" x14ac:dyDescent="0.3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</row>
    <row r="30" spans="1:27" x14ac:dyDescent="0.3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</row>
    <row r="31" spans="1:27" x14ac:dyDescent="0.3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</row>
    <row r="32" spans="1:27" x14ac:dyDescent="0.3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</row>
    <row r="33" spans="1:27" x14ac:dyDescent="0.3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</row>
    <row r="34" spans="1:27" x14ac:dyDescent="0.3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</row>
    <row r="35" spans="1:27" x14ac:dyDescent="0.3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</row>
    <row r="36" spans="1:27" x14ac:dyDescent="0.3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</row>
    <row r="37" spans="1:27" x14ac:dyDescent="0.3">
      <c r="A37" s="175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</row>
    <row r="38" spans="1:27" x14ac:dyDescent="0.3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</row>
    <row r="39" spans="1:27" x14ac:dyDescent="0.3">
      <c r="A39" s="175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</row>
    <row r="40" spans="1:27" x14ac:dyDescent="0.3">
      <c r="A40" s="175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</row>
    <row r="41" spans="1:27" x14ac:dyDescent="0.3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</row>
    <row r="42" spans="1:27" x14ac:dyDescent="0.3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</row>
    <row r="45" spans="1:27" x14ac:dyDescent="0.3">
      <c r="A45" s="176" t="s">
        <v>212</v>
      </c>
    </row>
    <row r="47" spans="1:27" x14ac:dyDescent="0.3">
      <c r="A47" s="296" t="s">
        <v>61</v>
      </c>
      <c r="B47" s="296"/>
      <c r="C47" s="296"/>
      <c r="D47" s="296"/>
      <c r="E47" s="296"/>
      <c r="F47" s="296"/>
    </row>
    <row r="48" spans="1:27" x14ac:dyDescent="0.3">
      <c r="A48" s="296" t="s">
        <v>201</v>
      </c>
      <c r="B48" s="296"/>
      <c r="C48" s="296"/>
      <c r="D48" s="296"/>
      <c r="E48" s="217"/>
      <c r="F48" s="217"/>
    </row>
  </sheetData>
  <sheetProtection selectLockedCells="1"/>
  <mergeCells count="3">
    <mergeCell ref="A21:B21"/>
    <mergeCell ref="A48:D48"/>
    <mergeCell ref="A47:F47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Y51"/>
  <sheetViews>
    <sheetView showGridLines="0" workbookViewId="0">
      <selection activeCell="G11" sqref="G11"/>
    </sheetView>
  </sheetViews>
  <sheetFormatPr baseColWidth="10" defaultColWidth="11" defaultRowHeight="14" x14ac:dyDescent="0.3"/>
  <cols>
    <col min="1" max="1" width="39.25" style="176" bestFit="1" customWidth="1"/>
    <col min="2" max="2" width="6.25" style="176" bestFit="1" customWidth="1"/>
    <col min="3" max="3" width="11" style="176"/>
    <col min="4" max="4" width="10" style="176" customWidth="1"/>
    <col min="5" max="5" width="11" style="176"/>
    <col min="6" max="6" width="8" style="176" customWidth="1"/>
    <col min="7" max="7" width="11" style="176"/>
    <col min="8" max="8" width="11" style="176" customWidth="1"/>
    <col min="9" max="9" width="11" style="176"/>
    <col min="10" max="10" width="8.75" style="176" customWidth="1"/>
    <col min="11" max="25" width="10.58203125" style="175"/>
    <col min="26" max="16384" width="11" style="176"/>
  </cols>
  <sheetData>
    <row r="1" spans="1:10" ht="45" customHeight="1" thickBot="1" x14ac:dyDescent="0.35">
      <c r="A1" s="329" t="str">
        <f>Input_masch_couts_herbicides!A1</f>
        <v>calcul coûts de machines</v>
      </c>
      <c r="B1" s="330"/>
      <c r="C1" s="322" t="str">
        <f>'Input_pre- et post-traitements'!G4</f>
        <v>Tracteur fruitier</v>
      </c>
      <c r="D1" s="323"/>
      <c r="E1" s="322" t="str">
        <f>'Input_pre- et post-traitements'!G5</f>
        <v>Rampe de pulvérisation d’herbicides</v>
      </c>
      <c r="F1" s="323"/>
      <c r="G1" s="322" t="str">
        <f>'Input_pre- et post-traitements'!G6</f>
        <v>Citerne à herbicides, pulvérisateur semi-porté  400 l</v>
      </c>
      <c r="H1" s="323"/>
      <c r="I1" s="338" t="str">
        <f>Input_machines!A18</f>
        <v>Faucheuse à fils</v>
      </c>
      <c r="J1" s="339"/>
    </row>
    <row r="2" spans="1:10" ht="14.5" thickBot="1" x14ac:dyDescent="0.35">
      <c r="A2" s="41" t="str">
        <f>Input_masch_couts_herbicides!A2</f>
        <v>Position d'entrée</v>
      </c>
      <c r="B2" s="4" t="s">
        <v>0</v>
      </c>
      <c r="C2" s="5"/>
      <c r="D2" s="3"/>
      <c r="E2" s="5"/>
      <c r="F2" s="3"/>
      <c r="G2" s="5"/>
      <c r="H2" s="3"/>
      <c r="I2" s="5"/>
      <c r="J2" s="3"/>
    </row>
    <row r="3" spans="1:10" x14ac:dyDescent="0.3">
      <c r="A3" s="5" t="str">
        <f>Input_masch_couts_herbicides!A3</f>
        <v>prix du carburant</v>
      </c>
      <c r="B3" s="42" t="s">
        <v>16</v>
      </c>
      <c r="C3" s="191">
        <f>Input_exploitation!B16</f>
        <v>1.43</v>
      </c>
      <c r="D3" s="2"/>
      <c r="E3" s="191"/>
      <c r="F3" s="2"/>
      <c r="G3" s="191"/>
      <c r="H3" s="2"/>
      <c r="I3" s="191"/>
      <c r="J3" s="2"/>
    </row>
    <row r="4" spans="1:10" x14ac:dyDescent="0.3">
      <c r="A4" s="5" t="str">
        <f>Input_masch_couts_herbicides!A4</f>
        <v>Prix d'acquisition</v>
      </c>
      <c r="B4" s="42" t="s">
        <v>10</v>
      </c>
      <c r="C4" s="192">
        <f>IF(Input_machines!E3="",Input_machines!C3,Input_machines!E3)</f>
        <v>62000</v>
      </c>
      <c r="D4" s="3"/>
      <c r="E4" s="192">
        <f>IF(Input_machines!E16="",Input_machines!C16,Input_machines!E16)</f>
        <v>7000</v>
      </c>
      <c r="F4" s="3"/>
      <c r="G4" s="192">
        <f>IF(Input_machines!E17="",Input_machines!C17,Input_machines!E17)</f>
        <v>3400</v>
      </c>
      <c r="H4" s="3"/>
      <c r="I4" s="192">
        <f>IF(Input_machines!E18="",Input_machines!C18,Input_machines!E18)</f>
        <v>26000</v>
      </c>
      <c r="J4" s="3"/>
    </row>
    <row r="5" spans="1:10" x14ac:dyDescent="0.3">
      <c r="A5" s="5" t="str">
        <f>Input_masch_couts_herbicides!A5</f>
        <v>Utilisation par an</v>
      </c>
      <c r="B5" s="42" t="s">
        <v>11</v>
      </c>
      <c r="C5" s="193">
        <f>'Input_pre- et post-traitements'!I4</f>
        <v>350</v>
      </c>
      <c r="D5" s="3" t="s">
        <v>17</v>
      </c>
      <c r="E5" s="193">
        <f>'Input_pre- et post-traitements'!I24</f>
        <v>0</v>
      </c>
      <c r="F5" s="3" t="s">
        <v>1</v>
      </c>
      <c r="G5" s="193">
        <f>'Input_pre- et post-traitements'!I25</f>
        <v>0</v>
      </c>
      <c r="H5" s="3" t="s">
        <v>1</v>
      </c>
      <c r="I5" s="193">
        <f>'Input_pre- et post-traitements'!I26</f>
        <v>0</v>
      </c>
      <c r="J5" s="3" t="s">
        <v>1</v>
      </c>
    </row>
    <row r="6" spans="1:10" x14ac:dyDescent="0.3">
      <c r="A6" s="5" t="str">
        <f>Input_masch_couts_herbicides!A6</f>
        <v>Durée d'amortisation</v>
      </c>
      <c r="B6" s="42" t="s">
        <v>5</v>
      </c>
      <c r="C6" s="193">
        <f>Input_machines!G3</f>
        <v>15</v>
      </c>
      <c r="D6" s="6"/>
      <c r="E6" s="193">
        <f>Input_machines!G16</f>
        <v>10</v>
      </c>
      <c r="F6" s="6"/>
      <c r="G6" s="193">
        <f>Input_machines!G17</f>
        <v>10</v>
      </c>
      <c r="H6" s="6"/>
      <c r="I6" s="193">
        <f>Input_machines!G18</f>
        <v>10</v>
      </c>
      <c r="J6" s="6"/>
    </row>
    <row r="7" spans="1:10" x14ac:dyDescent="0.3">
      <c r="A7" s="5" t="str">
        <f>Input_masch_couts_herbicides!A7</f>
        <v>durée d'utilisation technique</v>
      </c>
      <c r="B7" s="42" t="s">
        <v>11</v>
      </c>
      <c r="C7" s="75">
        <v>10000</v>
      </c>
      <c r="D7" s="3" t="s">
        <v>17</v>
      </c>
      <c r="E7" s="75">
        <v>1500</v>
      </c>
      <c r="F7" s="3" t="s">
        <v>1</v>
      </c>
      <c r="G7" s="75">
        <v>1500</v>
      </c>
      <c r="H7" s="3" t="s">
        <v>1</v>
      </c>
      <c r="I7" s="75">
        <v>1000</v>
      </c>
      <c r="J7" s="3" t="s">
        <v>1</v>
      </c>
    </row>
    <row r="8" spans="1:10" x14ac:dyDescent="0.3">
      <c r="A8" s="5" t="str">
        <f>Input_masch_couts_herbicides!A8</f>
        <v>Taux d'utilisation</v>
      </c>
      <c r="B8" s="42" t="s">
        <v>4</v>
      </c>
      <c r="C8" s="193">
        <f>C5*C6/C7</f>
        <v>0.52500000000000002</v>
      </c>
      <c r="D8" s="3"/>
      <c r="E8" s="193">
        <f>E5*E6/E7</f>
        <v>0</v>
      </c>
      <c r="F8" s="3"/>
      <c r="G8" s="193">
        <f>G5*G6/G7</f>
        <v>0</v>
      </c>
      <c r="H8" s="3"/>
      <c r="I8" s="193">
        <f>I5*I6/I7</f>
        <v>0</v>
      </c>
      <c r="J8" s="3"/>
    </row>
    <row r="9" spans="1:10" x14ac:dyDescent="0.3">
      <c r="A9" s="5" t="str">
        <f>Input_masch_couts_herbicides!A9</f>
        <v>Valeurs reste</v>
      </c>
      <c r="B9" s="42" t="s">
        <v>12</v>
      </c>
      <c r="C9" s="188">
        <v>0.25</v>
      </c>
      <c r="D9" s="3"/>
      <c r="E9" s="188">
        <v>0.25</v>
      </c>
      <c r="F9" s="3"/>
      <c r="G9" s="188">
        <v>0.25</v>
      </c>
      <c r="H9" s="3"/>
      <c r="I9" s="188">
        <v>0.25</v>
      </c>
      <c r="J9" s="3"/>
    </row>
    <row r="10" spans="1:10" x14ac:dyDescent="0.3">
      <c r="A10" s="5" t="str">
        <f>Input_masch_couts_herbicides!A10</f>
        <v>Consommation de carburant</v>
      </c>
      <c r="B10" s="42" t="s">
        <v>58</v>
      </c>
      <c r="C10" s="209"/>
      <c r="D10" s="210">
        <v>5.4</v>
      </c>
      <c r="E10" s="209"/>
      <c r="F10" s="7"/>
      <c r="G10" s="209"/>
      <c r="H10" s="7"/>
      <c r="I10" s="209"/>
      <c r="J10" s="7"/>
    </row>
    <row r="11" spans="1:10" x14ac:dyDescent="0.3">
      <c r="A11" s="5" t="str">
        <f>Input_masch_couts_herbicides!A11</f>
        <v>Facteur de reparation</v>
      </c>
      <c r="B11" s="42" t="s">
        <v>12</v>
      </c>
      <c r="C11" s="75">
        <v>1</v>
      </c>
      <c r="D11" s="8"/>
      <c r="E11" s="75">
        <v>1.45</v>
      </c>
      <c r="F11" s="8"/>
      <c r="G11" s="75">
        <v>2</v>
      </c>
      <c r="H11" s="8"/>
      <c r="I11" s="75">
        <v>0.8</v>
      </c>
      <c r="J11" s="8"/>
    </row>
    <row r="12" spans="1:10" x14ac:dyDescent="0.3">
      <c r="A12" s="5" t="str">
        <f>Input_masch_couts_herbicides!A12</f>
        <v>Exigences en matière de construction</v>
      </c>
      <c r="B12" s="42" t="s">
        <v>13</v>
      </c>
      <c r="C12" s="75">
        <v>29</v>
      </c>
      <c r="D12" s="3"/>
      <c r="E12" s="75">
        <v>9</v>
      </c>
      <c r="F12" s="3"/>
      <c r="G12" s="75">
        <v>11</v>
      </c>
      <c r="H12" s="3"/>
      <c r="I12" s="75">
        <v>29</v>
      </c>
      <c r="J12" s="3"/>
    </row>
    <row r="13" spans="1:10" x14ac:dyDescent="0.3">
      <c r="A13" s="5" t="str">
        <f>Input_masch_couts_herbicides!A13</f>
        <v>Gestion et prime de risque</v>
      </c>
      <c r="B13" s="42" t="s">
        <v>4</v>
      </c>
      <c r="C13" s="76">
        <v>0.1</v>
      </c>
      <c r="D13" s="3"/>
      <c r="E13" s="76">
        <v>0.1</v>
      </c>
      <c r="F13" s="3"/>
      <c r="G13" s="76">
        <v>0.1</v>
      </c>
      <c r="H13" s="3"/>
      <c r="I13" s="76">
        <v>0.1</v>
      </c>
      <c r="J13" s="3"/>
    </row>
    <row r="14" spans="1:10" x14ac:dyDescent="0.3">
      <c r="A14" s="5" t="str">
        <f>Input_masch_couts_herbicides!A14</f>
        <v>Autres surcharges</v>
      </c>
      <c r="B14" s="42"/>
      <c r="C14" s="76">
        <v>0</v>
      </c>
      <c r="D14" s="3"/>
      <c r="E14" s="76">
        <v>0</v>
      </c>
      <c r="F14" s="3"/>
      <c r="G14" s="76">
        <v>0</v>
      </c>
      <c r="H14" s="3"/>
      <c r="I14" s="76">
        <v>0</v>
      </c>
      <c r="J14" s="3"/>
    </row>
    <row r="15" spans="1:10" x14ac:dyDescent="0.3">
      <c r="A15" s="5"/>
      <c r="B15" s="42"/>
      <c r="C15" s="5"/>
      <c r="D15" s="9"/>
      <c r="E15" s="5"/>
      <c r="F15" s="9"/>
      <c r="G15" s="5"/>
      <c r="H15" s="9"/>
      <c r="I15" s="5"/>
      <c r="J15" s="9"/>
    </row>
    <row r="16" spans="1:10" x14ac:dyDescent="0.3">
      <c r="A16" s="43" t="str">
        <f>Input_masch_couts_herbicides!A16</f>
        <v>Calcul des coûts in Fr.</v>
      </c>
      <c r="B16" s="10"/>
      <c r="C16" s="11" t="s">
        <v>14</v>
      </c>
      <c r="D16" s="12" t="s">
        <v>15</v>
      </c>
      <c r="E16" s="11" t="s">
        <v>14</v>
      </c>
      <c r="F16" s="12" t="s">
        <v>15</v>
      </c>
      <c r="G16" s="11" t="s">
        <v>14</v>
      </c>
      <c r="H16" s="12" t="s">
        <v>15</v>
      </c>
      <c r="I16" s="11" t="s">
        <v>14</v>
      </c>
      <c r="J16" s="12" t="s">
        <v>15</v>
      </c>
    </row>
    <row r="17" spans="1:10" x14ac:dyDescent="0.3">
      <c r="A17" s="5" t="str">
        <f>Input_masch_couts_herbicides!A17</f>
        <v>Amortissement</v>
      </c>
      <c r="B17" s="42"/>
      <c r="C17" s="193">
        <f>(C4-(C4*C9))/C6</f>
        <v>3100</v>
      </c>
      <c r="D17" s="3"/>
      <c r="E17" s="193">
        <f>(E4-(E4*E9))/E6</f>
        <v>525</v>
      </c>
      <c r="F17" s="3"/>
      <c r="G17" s="193">
        <f>(G4-(G4*G9))/G6</f>
        <v>255</v>
      </c>
      <c r="H17" s="3"/>
      <c r="I17" s="193">
        <f>(I4-(I4*I9))/I6</f>
        <v>1950</v>
      </c>
      <c r="J17" s="3"/>
    </row>
    <row r="18" spans="1:10" x14ac:dyDescent="0.3">
      <c r="A18" s="5" t="str">
        <f>Input_masch_couts_herbicides!A18</f>
        <v>Frais d'intérêt</v>
      </c>
      <c r="B18" s="42"/>
      <c r="C18" s="193">
        <f>(C4-(C9*C4))*Input_exploitation!$B$13/100*0.6+(C9*C4*Input_exploitation!$B$13/100)</f>
        <v>651</v>
      </c>
      <c r="D18" s="3"/>
      <c r="E18" s="193">
        <f>(E4-(E9*E4))*Input_exploitation!$B$13/100*0.6+(E9*E4*Input_exploitation!$B$13/100)</f>
        <v>73.5</v>
      </c>
      <c r="F18" s="3"/>
      <c r="G18" s="193">
        <f>(G4-(G9*G4))*Input_exploitation!$B$13/100*0.6+(G9*G4*Input_exploitation!$B$13/100)</f>
        <v>35.700000000000003</v>
      </c>
      <c r="H18" s="3"/>
      <c r="I18" s="193">
        <f>(I4-(I9*I4))*Input_exploitation!$B$13/100*0.6+(I9*I4*Input_exploitation!$B$13/100)</f>
        <v>273</v>
      </c>
      <c r="J18" s="3"/>
    </row>
    <row r="19" spans="1:10" x14ac:dyDescent="0.3">
      <c r="A19" s="5" t="str">
        <f>Input_masch_couts_herbicides!A19</f>
        <v>Coûts de construction</v>
      </c>
      <c r="B19" s="42"/>
      <c r="C19" s="193">
        <f>C12*Input_exploitation!$B$15</f>
        <v>174</v>
      </c>
      <c r="D19" s="3"/>
      <c r="E19" s="193">
        <f>E12*Input_exploitation!$B$15</f>
        <v>54</v>
      </c>
      <c r="F19" s="3"/>
      <c r="G19" s="193">
        <f>G12*Input_exploitation!$B$15</f>
        <v>66</v>
      </c>
      <c r="H19" s="3"/>
      <c r="I19" s="193">
        <f>I12*Input_exploitation!$B$15</f>
        <v>174</v>
      </c>
      <c r="J19" s="3"/>
    </row>
    <row r="20" spans="1:10" x14ac:dyDescent="0.3">
      <c r="A20" s="44" t="str">
        <f>Input_masch_couts_herbicides!A20</f>
        <v>Assurances et frais</v>
      </c>
      <c r="B20" s="13"/>
      <c r="C20" s="193">
        <f>Input_machines!K3</f>
        <v>574</v>
      </c>
      <c r="D20" s="3"/>
      <c r="E20" s="193">
        <f>Input_machines!K5</f>
        <v>8</v>
      </c>
      <c r="F20" s="3"/>
      <c r="G20" s="193">
        <f>'Input_pre- et post-traitements'!S7</f>
        <v>0</v>
      </c>
      <c r="H20" s="3"/>
      <c r="I20" s="193">
        <f>Input_machines!K18</f>
        <v>30</v>
      </c>
      <c r="J20" s="3"/>
    </row>
    <row r="21" spans="1:10" ht="14.5" thickBot="1" x14ac:dyDescent="0.35">
      <c r="A21" s="45" t="str">
        <f>Input_masch_couts_herbicides!A21</f>
        <v>Coûts fixes</v>
      </c>
      <c r="B21" s="42"/>
      <c r="C21" s="79">
        <f>SUM(C17:C20)</f>
        <v>4499</v>
      </c>
      <c r="D21" s="80">
        <f>C21/C5</f>
        <v>12.854285714285714</v>
      </c>
      <c r="E21" s="79">
        <f>SUM(E17:E20)</f>
        <v>660.5</v>
      </c>
      <c r="F21" s="80" t="e">
        <f>E21/E5</f>
        <v>#DIV/0!</v>
      </c>
      <c r="G21" s="79">
        <f>SUM(G17:G20)</f>
        <v>356.7</v>
      </c>
      <c r="H21" s="80" t="e">
        <f>G21/G5</f>
        <v>#DIV/0!</v>
      </c>
      <c r="I21" s="79">
        <f>SUM(I17:I20)</f>
        <v>2427</v>
      </c>
      <c r="J21" s="80" t="e">
        <f>I21/I5</f>
        <v>#DIV/0!</v>
      </c>
    </row>
    <row r="22" spans="1:10" ht="14.5" thickTop="1" x14ac:dyDescent="0.3">
      <c r="A22" s="5"/>
      <c r="B22" s="42"/>
      <c r="C22" s="14"/>
      <c r="D22" s="15"/>
      <c r="E22" s="14"/>
      <c r="F22" s="15"/>
      <c r="G22" s="14"/>
      <c r="H22" s="15"/>
      <c r="I22" s="14"/>
      <c r="J22" s="15"/>
    </row>
    <row r="23" spans="1:10" x14ac:dyDescent="0.3">
      <c r="A23" s="46" t="str">
        <f>Input_masch_couts_herbicides!A23</f>
        <v>Réparations et entretien</v>
      </c>
      <c r="B23" s="42"/>
      <c r="C23" s="5"/>
      <c r="D23" s="194">
        <f>C4/C7*C11</f>
        <v>6.2</v>
      </c>
      <c r="E23" s="5"/>
      <c r="F23" s="194">
        <f>E4/E7*E11</f>
        <v>6.7666666666666666</v>
      </c>
      <c r="G23" s="5"/>
      <c r="H23" s="195">
        <f>G4/G7*G11</f>
        <v>4.5333333333333332</v>
      </c>
      <c r="I23" s="5"/>
      <c r="J23" s="195">
        <f>I4/I7*I11</f>
        <v>20.8</v>
      </c>
    </row>
    <row r="24" spans="1:10" x14ac:dyDescent="0.3">
      <c r="A24" s="46" t="str">
        <f>Input_masch_couts_herbicides!A24</f>
        <v>Carburant</v>
      </c>
      <c r="B24" s="42"/>
      <c r="C24" s="5"/>
      <c r="D24" s="196">
        <f>C3*D10</f>
        <v>7.7220000000000004</v>
      </c>
      <c r="E24" s="5"/>
      <c r="F24" s="196"/>
      <c r="G24" s="5"/>
      <c r="H24" s="197"/>
      <c r="I24" s="5"/>
      <c r="J24" s="197"/>
    </row>
    <row r="25" spans="1:10" x14ac:dyDescent="0.3">
      <c r="A25" s="279" t="str">
        <f>Input_masch_couts_herbicides!A25</f>
        <v>Matériaux auxiliaires</v>
      </c>
      <c r="B25" s="42"/>
      <c r="C25" s="5"/>
      <c r="D25" s="92">
        <v>0</v>
      </c>
      <c r="E25" s="5"/>
      <c r="F25" s="92">
        <v>0</v>
      </c>
      <c r="G25" s="5"/>
      <c r="H25" s="94">
        <v>0</v>
      </c>
      <c r="I25" s="5"/>
      <c r="J25" s="89">
        <f>Input_machines!M18</f>
        <v>2.3333333333333335</v>
      </c>
    </row>
    <row r="26" spans="1:10" ht="21" customHeight="1" x14ac:dyDescent="0.3">
      <c r="A26" s="46" t="str">
        <f>Input_masch_couts_herbicides!A26</f>
        <v>Total des coûts variables</v>
      </c>
      <c r="B26" s="42"/>
      <c r="C26" s="5"/>
      <c r="D26" s="83">
        <f>SUM(D23:D25)</f>
        <v>13.922000000000001</v>
      </c>
      <c r="E26" s="5"/>
      <c r="F26" s="83">
        <f>SUM(F23:F25)</f>
        <v>6.7666666666666666</v>
      </c>
      <c r="G26" s="5"/>
      <c r="H26" s="89">
        <f>SUM(H23:H25)</f>
        <v>4.5333333333333332</v>
      </c>
      <c r="I26" s="5"/>
      <c r="J26" s="89">
        <f>SUM(J23:J25)</f>
        <v>23.133333333333333</v>
      </c>
    </row>
    <row r="27" spans="1:10" x14ac:dyDescent="0.3">
      <c r="A27" s="5"/>
      <c r="B27" s="42"/>
      <c r="C27" s="5"/>
      <c r="D27" s="18"/>
      <c r="E27" s="5"/>
      <c r="F27" s="18"/>
      <c r="G27" s="5"/>
      <c r="H27" s="47"/>
      <c r="I27" s="5"/>
      <c r="J27" s="90"/>
    </row>
    <row r="28" spans="1:10" x14ac:dyDescent="0.3">
      <c r="A28" s="5" t="str">
        <f>Input_masch_couts_herbicides!$A$28</f>
        <v>Compensation nette (sans surcharges)</v>
      </c>
      <c r="B28" s="42"/>
      <c r="C28" s="16" t="s">
        <v>8</v>
      </c>
      <c r="D28" s="83">
        <f>D21+D26</f>
        <v>26.776285714285713</v>
      </c>
      <c r="E28" s="16" t="s">
        <v>8</v>
      </c>
      <c r="F28" s="83" t="e">
        <f>F21+F26</f>
        <v>#DIV/0!</v>
      </c>
      <c r="G28" s="16" t="s">
        <v>8</v>
      </c>
      <c r="H28" s="89" t="e">
        <f>H21+H26</f>
        <v>#DIV/0!</v>
      </c>
      <c r="I28" s="16" t="s">
        <v>8</v>
      </c>
      <c r="J28" s="89" t="e">
        <f>J21+J26</f>
        <v>#DIV/0!</v>
      </c>
    </row>
    <row r="29" spans="1:10" ht="14.5" thickBot="1" x14ac:dyDescent="0.35">
      <c r="A29" s="48" t="str">
        <f>Input_masch_couts_herbicides!$A$29</f>
        <v>Compensation avec</v>
      </c>
      <c r="B29" s="49"/>
      <c r="C29" s="17" t="s">
        <v>8</v>
      </c>
      <c r="D29" s="85">
        <f>D28*(1+C13+C14)</f>
        <v>29.453914285714287</v>
      </c>
      <c r="E29" s="17" t="s">
        <v>8</v>
      </c>
      <c r="F29" s="85" t="e">
        <f>F28*(1+E13+E14)</f>
        <v>#DIV/0!</v>
      </c>
      <c r="G29" s="17" t="s">
        <v>8</v>
      </c>
      <c r="H29" s="91" t="e">
        <f>H28*(1+G13+G14)</f>
        <v>#DIV/0!</v>
      </c>
      <c r="I29" s="17" t="s">
        <v>8</v>
      </c>
      <c r="J29" s="91" t="e">
        <f>J28*(1+I13+I14)</f>
        <v>#DIV/0!</v>
      </c>
    </row>
    <row r="30" spans="1:10" s="175" customFormat="1" x14ac:dyDescent="0.3">
      <c r="C30" s="175" t="s">
        <v>8</v>
      </c>
      <c r="D30" s="175" t="s">
        <v>8</v>
      </c>
    </row>
    <row r="31" spans="1:10" s="175" customFormat="1" x14ac:dyDescent="0.3">
      <c r="A31" s="175" t="s">
        <v>8</v>
      </c>
      <c r="C31" s="175" t="s">
        <v>8</v>
      </c>
      <c r="D31" s="175" t="s">
        <v>8</v>
      </c>
    </row>
    <row r="32" spans="1:10" x14ac:dyDescent="0.3">
      <c r="A32" s="335" t="str">
        <f>Input_masch_couts_herbicides!A32</f>
        <v>Réparation et entretien par entreprise et par an</v>
      </c>
      <c r="B32" s="335"/>
      <c r="C32" s="335"/>
      <c r="D32" s="198">
        <f>D23*C5</f>
        <v>2170</v>
      </c>
      <c r="E32" s="198"/>
      <c r="F32" s="198">
        <f>F23*E5</f>
        <v>0</v>
      </c>
      <c r="G32" s="198"/>
      <c r="H32" s="198">
        <f>H23*G5</f>
        <v>0</v>
      </c>
      <c r="I32" s="198"/>
      <c r="J32" s="198"/>
    </row>
    <row r="33" s="175" customFormat="1" x14ac:dyDescent="0.3"/>
    <row r="34" s="175" customFormat="1" x14ac:dyDescent="0.3"/>
    <row r="35" s="175" customFormat="1" x14ac:dyDescent="0.3"/>
    <row r="36" s="175" customFormat="1" x14ac:dyDescent="0.3"/>
    <row r="37" s="175" customFormat="1" x14ac:dyDescent="0.3"/>
    <row r="38" s="175" customFormat="1" x14ac:dyDescent="0.3"/>
    <row r="39" s="175" customFormat="1" x14ac:dyDescent="0.3"/>
    <row r="40" s="175" customFormat="1" x14ac:dyDescent="0.3"/>
    <row r="41" s="175" customFormat="1" x14ac:dyDescent="0.3"/>
    <row r="42" s="175" customFormat="1" x14ac:dyDescent="0.3"/>
    <row r="43" s="175" customFormat="1" x14ac:dyDescent="0.3"/>
    <row r="44" s="175" customFormat="1" x14ac:dyDescent="0.3"/>
    <row r="45" s="175" customFormat="1" x14ac:dyDescent="0.3"/>
    <row r="46" s="175" customFormat="1" x14ac:dyDescent="0.3"/>
    <row r="47" s="175" customFormat="1" x14ac:dyDescent="0.3"/>
    <row r="48" s="175" customFormat="1" x14ac:dyDescent="0.3"/>
    <row r="49" s="175" customFormat="1" x14ac:dyDescent="0.3"/>
    <row r="50" s="175" customFormat="1" x14ac:dyDescent="0.3"/>
    <row r="51" s="175" customFormat="1" x14ac:dyDescent="0.3"/>
  </sheetData>
  <sheetProtection selectLockedCells="1"/>
  <mergeCells count="6">
    <mergeCell ref="C1:D1"/>
    <mergeCell ref="E1:F1"/>
    <mergeCell ref="G1:H1"/>
    <mergeCell ref="I1:J1"/>
    <mergeCell ref="A32:C32"/>
    <mergeCell ref="A1:B1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W494"/>
  <sheetViews>
    <sheetView showGridLines="0" workbookViewId="0">
      <selection activeCell="B3" sqref="B3"/>
    </sheetView>
  </sheetViews>
  <sheetFormatPr baseColWidth="10" defaultRowHeight="14" x14ac:dyDescent="0.3"/>
  <cols>
    <col min="1" max="1" width="15.75" customWidth="1"/>
    <col min="2" max="2" width="18.75" customWidth="1"/>
    <col min="3" max="3" width="15.9140625" customWidth="1"/>
    <col min="4" max="4" width="16.75" customWidth="1"/>
    <col min="5" max="5" width="12.75" customWidth="1"/>
    <col min="8" max="14" width="11" customWidth="1"/>
  </cols>
  <sheetData>
    <row r="1" spans="1:23" x14ac:dyDescent="0.3">
      <c r="B1" s="341" t="s">
        <v>9</v>
      </c>
      <c r="C1" s="341"/>
    </row>
    <row r="2" spans="1:23" ht="59.4" customHeight="1" x14ac:dyDescent="0.3">
      <c r="A2" s="282" t="s">
        <v>138</v>
      </c>
      <c r="B2" s="283" t="str">
        <f>Input_machines!A8</f>
        <v>Sarcleuse pour rangée d'arbres</v>
      </c>
      <c r="C2" s="284" t="str">
        <f>Input_machines!A9</f>
        <v>Faucheuse à fils</v>
      </c>
      <c r="D2" s="284" t="s">
        <v>65</v>
      </c>
      <c r="E2" s="284" t="s">
        <v>71</v>
      </c>
      <c r="F2" s="270"/>
      <c r="G2" s="270"/>
      <c r="H2" s="19"/>
      <c r="I2" s="19"/>
      <c r="J2" s="19"/>
      <c r="K2" s="19"/>
      <c r="L2" s="19"/>
      <c r="M2" s="19"/>
      <c r="N2" s="19"/>
    </row>
    <row r="3" spans="1:23" x14ac:dyDescent="0.3">
      <c r="A3" t="s">
        <v>140</v>
      </c>
      <c r="B3" s="289">
        <v>19500</v>
      </c>
      <c r="C3" s="190">
        <v>14500</v>
      </c>
      <c r="D3" s="289">
        <v>5400</v>
      </c>
      <c r="E3" s="289">
        <v>8100</v>
      </c>
    </row>
    <row r="4" spans="1:23" x14ac:dyDescent="0.3">
      <c r="A4" t="s">
        <v>139</v>
      </c>
      <c r="B4" s="289">
        <v>27000</v>
      </c>
      <c r="C4" s="289">
        <v>26000</v>
      </c>
      <c r="D4" s="289">
        <v>7000</v>
      </c>
      <c r="E4" s="289">
        <v>15000</v>
      </c>
    </row>
    <row r="8" spans="1:23" ht="112" x14ac:dyDescent="0.3">
      <c r="A8" t="s">
        <v>141</v>
      </c>
      <c r="B8" s="36" t="s">
        <v>143</v>
      </c>
      <c r="C8" s="36" t="s">
        <v>144</v>
      </c>
      <c r="D8" s="36" t="s">
        <v>145</v>
      </c>
      <c r="E8" s="36" t="s">
        <v>146</v>
      </c>
      <c r="F8" s="36" t="s">
        <v>147</v>
      </c>
      <c r="G8" s="36" t="s">
        <v>148</v>
      </c>
      <c r="H8" s="36" t="s">
        <v>149</v>
      </c>
      <c r="I8" s="36"/>
      <c r="J8" s="36" t="s">
        <v>32</v>
      </c>
      <c r="K8" s="36"/>
      <c r="L8" t="s">
        <v>35</v>
      </c>
      <c r="M8" t="s">
        <v>34</v>
      </c>
      <c r="N8" t="s">
        <v>36</v>
      </c>
      <c r="O8" t="s">
        <v>204</v>
      </c>
      <c r="P8" t="s">
        <v>37</v>
      </c>
      <c r="Q8" t="s">
        <v>38</v>
      </c>
      <c r="R8" t="s">
        <v>39</v>
      </c>
      <c r="S8" t="s">
        <v>40</v>
      </c>
      <c r="T8" t="s">
        <v>41</v>
      </c>
      <c r="U8" t="s">
        <v>42</v>
      </c>
      <c r="V8" s="36" t="s">
        <v>49</v>
      </c>
      <c r="W8" t="s">
        <v>150</v>
      </c>
    </row>
    <row r="9" spans="1:23" x14ac:dyDescent="0.3">
      <c r="A9" t="s">
        <v>142</v>
      </c>
      <c r="B9">
        <v>2</v>
      </c>
      <c r="C9">
        <v>20</v>
      </c>
      <c r="D9" s="21">
        <v>2.5</v>
      </c>
      <c r="E9" s="21">
        <v>0.5</v>
      </c>
      <c r="F9">
        <v>0</v>
      </c>
      <c r="G9">
        <v>0</v>
      </c>
      <c r="H9" s="102">
        <v>0</v>
      </c>
      <c r="I9" s="102">
        <v>0</v>
      </c>
      <c r="J9">
        <v>0</v>
      </c>
      <c r="K9">
        <v>0</v>
      </c>
      <c r="L9" s="20">
        <v>0</v>
      </c>
      <c r="M9">
        <v>0</v>
      </c>
      <c r="N9" s="102">
        <v>0</v>
      </c>
      <c r="O9">
        <v>0</v>
      </c>
      <c r="P9">
        <v>0</v>
      </c>
      <c r="Q9">
        <v>0</v>
      </c>
      <c r="R9">
        <v>0</v>
      </c>
      <c r="S9">
        <v>0</v>
      </c>
      <c r="T9" s="102">
        <v>0</v>
      </c>
      <c r="U9" s="102">
        <v>0</v>
      </c>
      <c r="V9">
        <v>0</v>
      </c>
      <c r="W9">
        <v>0</v>
      </c>
    </row>
    <row r="10" spans="1:23" x14ac:dyDescent="0.3">
      <c r="A10">
        <v>1</v>
      </c>
      <c r="B10">
        <v>3</v>
      </c>
      <c r="C10">
        <v>21</v>
      </c>
      <c r="D10" s="21">
        <v>2.6</v>
      </c>
      <c r="E10" s="21">
        <v>0.6</v>
      </c>
      <c r="F10">
        <v>1</v>
      </c>
      <c r="G10">
        <v>1</v>
      </c>
      <c r="H10" s="20">
        <v>0.5</v>
      </c>
      <c r="I10" s="21">
        <v>3</v>
      </c>
      <c r="J10" s="20">
        <v>1.5</v>
      </c>
      <c r="K10" s="20">
        <v>2.5</v>
      </c>
      <c r="L10" s="20">
        <v>2</v>
      </c>
      <c r="M10" s="20">
        <v>16</v>
      </c>
      <c r="N10" s="21">
        <v>1.5</v>
      </c>
      <c r="O10" s="20">
        <v>18</v>
      </c>
      <c r="P10" s="20">
        <v>0.5</v>
      </c>
      <c r="Q10" s="20">
        <v>1</v>
      </c>
      <c r="R10" s="20">
        <v>1</v>
      </c>
      <c r="S10">
        <v>0.3</v>
      </c>
      <c r="T10" s="21">
        <v>0.75</v>
      </c>
      <c r="U10" s="21">
        <v>0.75</v>
      </c>
      <c r="V10">
        <v>1</v>
      </c>
      <c r="W10">
        <v>1</v>
      </c>
    </row>
    <row r="11" spans="1:23" x14ac:dyDescent="0.3">
      <c r="A11">
        <v>2</v>
      </c>
      <c r="B11">
        <v>4</v>
      </c>
      <c r="C11">
        <v>22</v>
      </c>
      <c r="D11" s="21">
        <v>2.7</v>
      </c>
      <c r="E11" s="21">
        <v>0.8</v>
      </c>
      <c r="F11">
        <v>2</v>
      </c>
      <c r="G11">
        <v>2</v>
      </c>
      <c r="H11" s="20">
        <v>1</v>
      </c>
      <c r="I11" s="21">
        <v>3.25</v>
      </c>
      <c r="J11" s="20">
        <v>2</v>
      </c>
      <c r="K11" s="20"/>
      <c r="L11" s="20">
        <v>3</v>
      </c>
      <c r="M11" s="20"/>
      <c r="N11" s="21">
        <v>1.75</v>
      </c>
      <c r="P11" s="20">
        <v>1</v>
      </c>
      <c r="Q11">
        <v>1.5</v>
      </c>
      <c r="R11" s="20">
        <v>1.5</v>
      </c>
      <c r="S11">
        <v>0.4</v>
      </c>
      <c r="T11" s="21">
        <v>1</v>
      </c>
      <c r="U11" s="21">
        <v>1</v>
      </c>
      <c r="V11">
        <v>2</v>
      </c>
    </row>
    <row r="12" spans="1:23" x14ac:dyDescent="0.3">
      <c r="A12">
        <v>3</v>
      </c>
      <c r="B12">
        <v>5</v>
      </c>
      <c r="C12">
        <v>23</v>
      </c>
      <c r="D12" s="21">
        <v>2.8</v>
      </c>
      <c r="E12" s="21">
        <v>0.9</v>
      </c>
      <c r="F12">
        <v>3</v>
      </c>
      <c r="G12">
        <v>3</v>
      </c>
      <c r="H12" s="20">
        <v>1.5</v>
      </c>
      <c r="I12" s="21">
        <v>3.5</v>
      </c>
      <c r="J12" s="20">
        <v>2.5</v>
      </c>
      <c r="K12" s="20"/>
      <c r="L12" s="20">
        <v>4</v>
      </c>
      <c r="M12" s="20"/>
      <c r="N12" s="21">
        <v>2</v>
      </c>
      <c r="Q12" s="114">
        <v>2</v>
      </c>
      <c r="R12" s="20">
        <v>2</v>
      </c>
      <c r="S12">
        <v>0.9</v>
      </c>
      <c r="T12" s="21">
        <v>1.25</v>
      </c>
      <c r="U12" s="21">
        <v>1.25</v>
      </c>
      <c r="V12">
        <v>3</v>
      </c>
    </row>
    <row r="13" spans="1:23" x14ac:dyDescent="0.3">
      <c r="A13">
        <v>4</v>
      </c>
      <c r="B13">
        <v>6</v>
      </c>
      <c r="C13">
        <v>24</v>
      </c>
      <c r="D13" s="21">
        <v>2.9</v>
      </c>
      <c r="E13" s="21">
        <v>1</v>
      </c>
      <c r="F13">
        <v>4</v>
      </c>
      <c r="G13">
        <v>4</v>
      </c>
      <c r="H13" s="20">
        <v>2</v>
      </c>
      <c r="I13" s="21">
        <v>3.75</v>
      </c>
      <c r="J13" s="20">
        <v>3</v>
      </c>
      <c r="K13" s="20"/>
      <c r="L13" s="20">
        <v>5</v>
      </c>
      <c r="M13" s="20"/>
      <c r="N13" s="21">
        <v>2.25</v>
      </c>
      <c r="Q13" s="114">
        <v>3</v>
      </c>
      <c r="R13" s="20">
        <v>2.5</v>
      </c>
      <c r="S13">
        <v>1.2</v>
      </c>
      <c r="T13" s="21">
        <v>1.5</v>
      </c>
      <c r="U13" s="21">
        <v>1.5</v>
      </c>
      <c r="V13">
        <v>4</v>
      </c>
    </row>
    <row r="14" spans="1:23" x14ac:dyDescent="0.3">
      <c r="A14">
        <v>5</v>
      </c>
      <c r="B14">
        <v>7</v>
      </c>
      <c r="C14">
        <v>25</v>
      </c>
      <c r="D14" s="21">
        <v>3</v>
      </c>
      <c r="E14" s="21">
        <v>1.1000000000000001</v>
      </c>
      <c r="F14">
        <v>5</v>
      </c>
      <c r="G14">
        <v>5</v>
      </c>
      <c r="H14" s="20">
        <v>2.5</v>
      </c>
      <c r="I14" s="21">
        <v>4</v>
      </c>
      <c r="J14" s="20">
        <v>3.5</v>
      </c>
      <c r="K14" s="20"/>
      <c r="L14" s="20"/>
      <c r="M14" s="20"/>
      <c r="N14" s="21">
        <v>2.5</v>
      </c>
      <c r="Q14" s="114">
        <v>4</v>
      </c>
      <c r="R14" s="20">
        <v>3</v>
      </c>
      <c r="S14">
        <v>1.5</v>
      </c>
      <c r="T14" s="21">
        <v>2</v>
      </c>
      <c r="U14" s="21">
        <v>2</v>
      </c>
      <c r="V14">
        <v>5</v>
      </c>
    </row>
    <row r="15" spans="1:23" x14ac:dyDescent="0.3">
      <c r="A15">
        <v>6</v>
      </c>
      <c r="B15">
        <v>8</v>
      </c>
      <c r="C15">
        <v>26</v>
      </c>
      <c r="D15" s="21">
        <v>3.1</v>
      </c>
      <c r="E15" s="21">
        <v>1.2</v>
      </c>
      <c r="F15">
        <v>6</v>
      </c>
      <c r="G15">
        <v>6</v>
      </c>
      <c r="H15" s="20">
        <v>3</v>
      </c>
      <c r="I15" s="21">
        <v>4.25</v>
      </c>
      <c r="J15" s="20">
        <v>4</v>
      </c>
      <c r="K15" s="20"/>
      <c r="L15" s="20"/>
      <c r="M15" s="20"/>
      <c r="N15" s="21">
        <v>2.75</v>
      </c>
      <c r="Q15" s="114">
        <v>5</v>
      </c>
      <c r="T15" s="21">
        <v>2.5</v>
      </c>
      <c r="U15" s="21">
        <v>2.5</v>
      </c>
      <c r="V15">
        <v>6</v>
      </c>
    </row>
    <row r="16" spans="1:23" x14ac:dyDescent="0.3">
      <c r="A16">
        <v>7</v>
      </c>
      <c r="B16">
        <v>9</v>
      </c>
      <c r="C16">
        <v>27</v>
      </c>
      <c r="D16" s="21">
        <v>3.2</v>
      </c>
      <c r="E16" s="21">
        <v>1.3</v>
      </c>
      <c r="F16">
        <v>7</v>
      </c>
      <c r="G16">
        <v>7</v>
      </c>
      <c r="H16" s="20">
        <v>3.5</v>
      </c>
      <c r="I16" s="21">
        <v>4.5</v>
      </c>
      <c r="J16" s="20">
        <v>4.5</v>
      </c>
      <c r="K16" s="20"/>
      <c r="L16" s="20"/>
      <c r="M16" s="20"/>
      <c r="N16" s="21">
        <v>3</v>
      </c>
      <c r="Q16" s="114">
        <v>6</v>
      </c>
      <c r="V16">
        <v>7</v>
      </c>
    </row>
    <row r="17" spans="1:14" x14ac:dyDescent="0.3">
      <c r="A17">
        <v>8</v>
      </c>
      <c r="B17">
        <v>10</v>
      </c>
      <c r="C17">
        <v>28</v>
      </c>
      <c r="D17" s="21">
        <v>3.3</v>
      </c>
      <c r="E17" s="21">
        <v>1.4</v>
      </c>
      <c r="F17">
        <v>8</v>
      </c>
      <c r="G17">
        <v>8</v>
      </c>
      <c r="H17" s="20">
        <v>4</v>
      </c>
      <c r="I17" s="21">
        <v>4.75</v>
      </c>
      <c r="J17" s="20">
        <v>5</v>
      </c>
      <c r="K17" s="20"/>
      <c r="L17" s="20"/>
      <c r="M17" s="20"/>
      <c r="N17" s="21">
        <v>3.25</v>
      </c>
    </row>
    <row r="18" spans="1:14" x14ac:dyDescent="0.3">
      <c r="A18">
        <v>9</v>
      </c>
      <c r="B18">
        <v>11</v>
      </c>
      <c r="C18">
        <v>29</v>
      </c>
      <c r="D18" s="21">
        <v>3.4</v>
      </c>
      <c r="E18" s="21">
        <v>1.5</v>
      </c>
      <c r="F18">
        <v>9</v>
      </c>
      <c r="G18">
        <v>9</v>
      </c>
      <c r="H18" s="20">
        <v>4.5</v>
      </c>
      <c r="I18" s="21">
        <v>5</v>
      </c>
      <c r="J18" s="20">
        <v>5.5</v>
      </c>
      <c r="K18" s="20"/>
      <c r="L18" s="20"/>
      <c r="M18" s="20"/>
      <c r="N18" s="21"/>
    </row>
    <row r="19" spans="1:14" x14ac:dyDescent="0.3">
      <c r="A19">
        <v>10</v>
      </c>
      <c r="B19">
        <v>12</v>
      </c>
      <c r="C19">
        <v>30</v>
      </c>
      <c r="D19" s="21">
        <v>3.5</v>
      </c>
      <c r="E19" s="21">
        <v>1.6</v>
      </c>
      <c r="F19">
        <v>10</v>
      </c>
      <c r="G19">
        <v>10</v>
      </c>
      <c r="H19" s="20">
        <v>5</v>
      </c>
      <c r="I19" s="20"/>
      <c r="J19" s="20">
        <v>6</v>
      </c>
      <c r="K19" s="20"/>
      <c r="L19" s="20"/>
      <c r="M19" s="20"/>
      <c r="N19" s="20"/>
    </row>
    <row r="20" spans="1:14" x14ac:dyDescent="0.3">
      <c r="A20">
        <v>11</v>
      </c>
      <c r="B20">
        <v>13</v>
      </c>
      <c r="C20">
        <v>31</v>
      </c>
      <c r="D20" s="21">
        <v>3.6</v>
      </c>
      <c r="E20" s="21">
        <v>1.7</v>
      </c>
      <c r="F20">
        <v>11</v>
      </c>
      <c r="G20">
        <v>11</v>
      </c>
      <c r="H20" s="20">
        <v>5.5</v>
      </c>
      <c r="I20" s="20"/>
      <c r="J20" s="20">
        <v>6.5</v>
      </c>
      <c r="K20" s="20"/>
      <c r="L20" s="20"/>
      <c r="M20" s="20"/>
      <c r="N20" s="20"/>
    </row>
    <row r="21" spans="1:14" x14ac:dyDescent="0.3">
      <c r="A21">
        <v>12</v>
      </c>
      <c r="B21">
        <v>14</v>
      </c>
      <c r="C21">
        <v>32</v>
      </c>
      <c r="D21" s="21">
        <v>3.7</v>
      </c>
      <c r="E21" s="21">
        <v>1.8</v>
      </c>
      <c r="F21">
        <v>12</v>
      </c>
      <c r="G21">
        <v>12</v>
      </c>
      <c r="H21" s="20">
        <v>6</v>
      </c>
      <c r="I21" s="20"/>
      <c r="J21" s="20">
        <v>7</v>
      </c>
      <c r="K21" s="20"/>
      <c r="L21" s="20"/>
      <c r="M21" s="20"/>
      <c r="N21" s="20"/>
    </row>
    <row r="22" spans="1:14" x14ac:dyDescent="0.3">
      <c r="A22">
        <v>13</v>
      </c>
      <c r="B22">
        <v>15</v>
      </c>
      <c r="C22">
        <v>33</v>
      </c>
      <c r="D22" s="21">
        <v>3.8</v>
      </c>
      <c r="E22" s="21">
        <v>1.9</v>
      </c>
      <c r="H22" s="20">
        <v>6.5</v>
      </c>
      <c r="I22" s="20"/>
      <c r="J22" s="20">
        <v>7.5</v>
      </c>
      <c r="K22" s="20"/>
      <c r="L22" s="20"/>
      <c r="M22" s="20"/>
      <c r="N22" s="20"/>
    </row>
    <row r="23" spans="1:14" x14ac:dyDescent="0.3">
      <c r="A23">
        <v>14</v>
      </c>
      <c r="B23">
        <v>16</v>
      </c>
      <c r="C23">
        <v>34</v>
      </c>
      <c r="D23" s="21">
        <v>3.9</v>
      </c>
      <c r="E23" s="21">
        <v>2</v>
      </c>
      <c r="H23" s="20">
        <v>7</v>
      </c>
      <c r="I23" s="20"/>
      <c r="J23" s="20">
        <v>8</v>
      </c>
      <c r="K23" s="20"/>
      <c r="L23" s="20"/>
      <c r="M23" s="20"/>
      <c r="N23" s="20"/>
    </row>
    <row r="24" spans="1:14" x14ac:dyDescent="0.3">
      <c r="A24">
        <v>15</v>
      </c>
      <c r="B24">
        <v>17</v>
      </c>
      <c r="C24">
        <v>35</v>
      </c>
      <c r="D24" s="21">
        <v>4</v>
      </c>
      <c r="E24" s="21"/>
      <c r="H24" s="20">
        <v>7.5</v>
      </c>
      <c r="I24" s="20"/>
      <c r="J24" s="20">
        <v>8.5</v>
      </c>
      <c r="K24" s="20"/>
      <c r="L24" s="20"/>
      <c r="M24" s="20"/>
      <c r="N24" s="20"/>
    </row>
    <row r="25" spans="1:14" x14ac:dyDescent="0.3">
      <c r="A25">
        <v>16</v>
      </c>
      <c r="B25">
        <v>18</v>
      </c>
      <c r="C25">
        <v>36</v>
      </c>
      <c r="D25" s="21">
        <v>4.0999999999999996</v>
      </c>
      <c r="E25" s="21"/>
      <c r="H25" s="20">
        <v>8</v>
      </c>
      <c r="I25" s="20"/>
      <c r="J25" s="20">
        <v>9</v>
      </c>
      <c r="K25" s="20"/>
      <c r="L25" s="20"/>
      <c r="M25" s="20"/>
      <c r="N25" s="20"/>
    </row>
    <row r="26" spans="1:14" x14ac:dyDescent="0.3">
      <c r="A26">
        <v>17</v>
      </c>
      <c r="B26">
        <v>19</v>
      </c>
      <c r="C26">
        <v>37</v>
      </c>
      <c r="D26" s="21">
        <v>4.2</v>
      </c>
      <c r="E26" s="21"/>
      <c r="H26" s="20">
        <v>8.5</v>
      </c>
      <c r="I26" s="20"/>
      <c r="J26" s="20">
        <v>9.5</v>
      </c>
      <c r="K26" s="20"/>
      <c r="L26" s="20"/>
      <c r="M26" s="20"/>
      <c r="N26" s="20"/>
    </row>
    <row r="27" spans="1:14" x14ac:dyDescent="0.3">
      <c r="A27">
        <v>18</v>
      </c>
      <c r="B27">
        <v>20</v>
      </c>
      <c r="C27">
        <v>38</v>
      </c>
      <c r="D27" s="21">
        <v>4.3</v>
      </c>
      <c r="E27" s="21"/>
      <c r="H27" s="20">
        <v>9</v>
      </c>
      <c r="I27" s="20"/>
      <c r="J27" s="20">
        <v>10</v>
      </c>
      <c r="K27" s="20"/>
      <c r="L27" s="20"/>
      <c r="M27" s="20"/>
      <c r="N27" s="20"/>
    </row>
    <row r="28" spans="1:14" x14ac:dyDescent="0.3">
      <c r="A28">
        <v>19</v>
      </c>
      <c r="B28">
        <v>21</v>
      </c>
      <c r="C28">
        <v>39</v>
      </c>
      <c r="D28" s="21">
        <v>4.4000000000000004</v>
      </c>
      <c r="E28" s="21"/>
      <c r="H28" s="20">
        <v>9.5</v>
      </c>
      <c r="I28" s="20"/>
      <c r="J28" s="20"/>
      <c r="K28" s="20"/>
      <c r="L28" s="20"/>
      <c r="M28" s="20"/>
      <c r="N28" s="20"/>
    </row>
    <row r="29" spans="1:14" x14ac:dyDescent="0.3">
      <c r="A29">
        <v>20</v>
      </c>
      <c r="B29">
        <v>22</v>
      </c>
      <c r="C29">
        <v>40</v>
      </c>
      <c r="D29" s="21">
        <v>4.5</v>
      </c>
      <c r="E29" s="21"/>
      <c r="H29" s="20">
        <v>10</v>
      </c>
      <c r="I29" s="20"/>
      <c r="J29" s="20"/>
      <c r="K29" s="20"/>
      <c r="L29" s="20"/>
      <c r="M29" s="20"/>
      <c r="N29" s="20"/>
    </row>
    <row r="30" spans="1:14" x14ac:dyDescent="0.3">
      <c r="A30">
        <v>21</v>
      </c>
      <c r="B30">
        <v>23</v>
      </c>
      <c r="C30">
        <v>41</v>
      </c>
      <c r="D30" s="21">
        <v>4.5999999999999996</v>
      </c>
      <c r="E30" s="21"/>
      <c r="J30" s="20"/>
      <c r="K30" s="20"/>
    </row>
    <row r="31" spans="1:14" x14ac:dyDescent="0.3">
      <c r="A31">
        <v>22</v>
      </c>
      <c r="B31">
        <v>24</v>
      </c>
      <c r="C31">
        <v>42</v>
      </c>
      <c r="D31" s="21">
        <v>4.7</v>
      </c>
      <c r="E31" s="21"/>
    </row>
    <row r="32" spans="1:14" x14ac:dyDescent="0.3">
      <c r="A32">
        <v>23</v>
      </c>
      <c r="B32">
        <v>25</v>
      </c>
      <c r="C32">
        <v>43</v>
      </c>
      <c r="D32" s="21">
        <v>4.8</v>
      </c>
      <c r="E32" s="21"/>
    </row>
    <row r="33" spans="1:14" x14ac:dyDescent="0.3">
      <c r="A33">
        <v>24</v>
      </c>
      <c r="B33">
        <v>26</v>
      </c>
      <c r="C33">
        <v>44</v>
      </c>
      <c r="D33" s="21">
        <v>4.9000000000000004</v>
      </c>
      <c r="E33" s="21"/>
      <c r="H33" s="21"/>
      <c r="I33" s="21"/>
      <c r="J33" s="21"/>
      <c r="K33" s="21"/>
      <c r="L33" s="21"/>
      <c r="M33" s="21"/>
      <c r="N33" s="21"/>
    </row>
    <row r="34" spans="1:14" x14ac:dyDescent="0.3">
      <c r="A34">
        <v>25</v>
      </c>
      <c r="B34">
        <v>27</v>
      </c>
      <c r="C34">
        <v>45</v>
      </c>
      <c r="D34" s="21">
        <v>5</v>
      </c>
      <c r="E34" s="21"/>
    </row>
    <row r="35" spans="1:14" x14ac:dyDescent="0.3">
      <c r="A35">
        <v>26</v>
      </c>
      <c r="B35">
        <v>28</v>
      </c>
      <c r="C35">
        <v>46</v>
      </c>
      <c r="D35" s="21">
        <v>5.1000000000000103</v>
      </c>
      <c r="E35" s="21"/>
    </row>
    <row r="36" spans="1:14" x14ac:dyDescent="0.3">
      <c r="A36">
        <v>27</v>
      </c>
      <c r="B36">
        <v>29</v>
      </c>
      <c r="C36">
        <v>47</v>
      </c>
      <c r="D36" s="21">
        <v>5.2000000000000099</v>
      </c>
      <c r="E36" s="21"/>
    </row>
    <row r="37" spans="1:14" x14ac:dyDescent="0.3">
      <c r="A37">
        <v>28</v>
      </c>
      <c r="B37">
        <v>30</v>
      </c>
      <c r="C37">
        <v>48</v>
      </c>
      <c r="D37" s="21">
        <v>5.3000000000000096</v>
      </c>
      <c r="E37" s="21"/>
      <c r="H37" s="21"/>
      <c r="I37" s="21"/>
      <c r="J37" s="21"/>
      <c r="K37" s="21"/>
      <c r="L37" s="21"/>
      <c r="M37" s="21"/>
      <c r="N37" s="21"/>
    </row>
    <row r="38" spans="1:14" x14ac:dyDescent="0.3">
      <c r="A38">
        <v>29</v>
      </c>
      <c r="B38">
        <v>31</v>
      </c>
      <c r="C38">
        <v>49</v>
      </c>
      <c r="D38" s="21">
        <v>5.4000000000000101</v>
      </c>
      <c r="E38" s="21"/>
    </row>
    <row r="39" spans="1:14" x14ac:dyDescent="0.3">
      <c r="A39">
        <v>30</v>
      </c>
      <c r="B39">
        <v>32</v>
      </c>
      <c r="C39">
        <v>50</v>
      </c>
      <c r="D39" s="21">
        <v>5.5000000000000098</v>
      </c>
      <c r="E39" s="21"/>
    </row>
    <row r="40" spans="1:14" x14ac:dyDescent="0.3">
      <c r="B40">
        <v>33</v>
      </c>
      <c r="C40">
        <v>51</v>
      </c>
      <c r="D40" s="21">
        <v>5.6000000000000103</v>
      </c>
      <c r="E40" s="21"/>
    </row>
    <row r="41" spans="1:14" x14ac:dyDescent="0.3">
      <c r="B41">
        <v>34</v>
      </c>
      <c r="C41">
        <v>52</v>
      </c>
      <c r="D41" s="21">
        <v>5.7000000000000099</v>
      </c>
      <c r="E41" s="21"/>
      <c r="H41" s="21"/>
      <c r="I41" s="21"/>
      <c r="J41" s="21"/>
      <c r="K41" s="21"/>
      <c r="L41" s="21"/>
      <c r="M41" s="21"/>
      <c r="N41" s="21"/>
    </row>
    <row r="42" spans="1:14" x14ac:dyDescent="0.3">
      <c r="B42">
        <v>35</v>
      </c>
      <c r="C42">
        <v>53</v>
      </c>
      <c r="D42" s="21">
        <v>5.8000000000000096</v>
      </c>
      <c r="E42" s="21"/>
    </row>
    <row r="43" spans="1:14" x14ac:dyDescent="0.3">
      <c r="B43">
        <v>36</v>
      </c>
      <c r="C43">
        <v>54</v>
      </c>
      <c r="D43" s="21">
        <v>5.9000000000000101</v>
      </c>
      <c r="E43" s="21"/>
    </row>
    <row r="44" spans="1:14" x14ac:dyDescent="0.3">
      <c r="B44">
        <v>37</v>
      </c>
      <c r="C44">
        <v>55</v>
      </c>
      <c r="D44" s="21">
        <v>6.0000000000000098</v>
      </c>
      <c r="E44" s="21"/>
    </row>
    <row r="45" spans="1:14" x14ac:dyDescent="0.3">
      <c r="B45">
        <v>38</v>
      </c>
      <c r="C45">
        <v>56</v>
      </c>
      <c r="D45" s="21">
        <v>6.1000000000000103</v>
      </c>
      <c r="E45" s="21"/>
      <c r="H45" s="21"/>
      <c r="I45" s="21"/>
      <c r="J45" s="21"/>
      <c r="K45" s="21"/>
      <c r="L45" s="21"/>
      <c r="M45" s="21"/>
      <c r="N45" s="21"/>
    </row>
    <row r="46" spans="1:14" x14ac:dyDescent="0.3">
      <c r="B46">
        <v>39</v>
      </c>
      <c r="C46">
        <v>57</v>
      </c>
      <c r="D46" s="21">
        <v>6.2000000000000099</v>
      </c>
      <c r="E46" s="21"/>
    </row>
    <row r="47" spans="1:14" x14ac:dyDescent="0.3">
      <c r="B47">
        <v>40</v>
      </c>
      <c r="C47">
        <v>58</v>
      </c>
      <c r="D47" s="21">
        <v>6.3000000000000096</v>
      </c>
      <c r="E47" s="21"/>
    </row>
    <row r="48" spans="1:14" x14ac:dyDescent="0.3">
      <c r="B48">
        <v>41</v>
      </c>
      <c r="C48">
        <v>59</v>
      </c>
      <c r="D48" s="21">
        <v>6.4000000000000101</v>
      </c>
      <c r="E48" s="21"/>
    </row>
    <row r="49" spans="2:14" x14ac:dyDescent="0.3">
      <c r="B49">
        <v>42</v>
      </c>
      <c r="C49">
        <v>60</v>
      </c>
      <c r="D49" s="21">
        <v>6.5000000000000098</v>
      </c>
      <c r="E49" s="21"/>
      <c r="H49" s="21"/>
      <c r="I49" s="21"/>
      <c r="J49" s="21"/>
      <c r="K49" s="21"/>
      <c r="L49" s="21"/>
      <c r="M49" s="21"/>
      <c r="N49" s="21"/>
    </row>
    <row r="50" spans="2:14" x14ac:dyDescent="0.3">
      <c r="B50">
        <v>43</v>
      </c>
      <c r="C50">
        <v>61</v>
      </c>
      <c r="D50" s="21">
        <v>6.6000000000000103</v>
      </c>
      <c r="E50" s="21"/>
    </row>
    <row r="51" spans="2:14" x14ac:dyDescent="0.3">
      <c r="B51">
        <v>44</v>
      </c>
      <c r="C51">
        <v>62</v>
      </c>
      <c r="D51" s="21">
        <v>6.7000000000000099</v>
      </c>
      <c r="E51" s="21"/>
    </row>
    <row r="52" spans="2:14" x14ac:dyDescent="0.3">
      <c r="B52">
        <v>45</v>
      </c>
      <c r="C52">
        <v>63</v>
      </c>
      <c r="D52" s="21">
        <v>6.8000000000000096</v>
      </c>
      <c r="E52" s="21"/>
    </row>
    <row r="53" spans="2:14" x14ac:dyDescent="0.3">
      <c r="B53">
        <v>46</v>
      </c>
      <c r="C53">
        <v>64</v>
      </c>
      <c r="D53" s="21">
        <v>6.9000000000000101</v>
      </c>
      <c r="E53" s="21"/>
      <c r="H53" s="21"/>
      <c r="I53" s="21"/>
      <c r="J53" s="21"/>
      <c r="K53" s="21"/>
      <c r="L53" s="21"/>
      <c r="M53" s="21"/>
      <c r="N53" s="21"/>
    </row>
    <row r="54" spans="2:14" x14ac:dyDescent="0.3">
      <c r="B54">
        <v>47</v>
      </c>
      <c r="C54">
        <v>65</v>
      </c>
      <c r="D54" s="21">
        <v>7.0000000000000204</v>
      </c>
      <c r="E54" s="21"/>
    </row>
    <row r="55" spans="2:14" x14ac:dyDescent="0.3">
      <c r="B55">
        <v>48</v>
      </c>
      <c r="C55">
        <v>66</v>
      </c>
      <c r="D55" s="21">
        <v>7.1000000000000201</v>
      </c>
      <c r="E55" s="21"/>
    </row>
    <row r="56" spans="2:14" x14ac:dyDescent="0.3">
      <c r="B56">
        <v>49</v>
      </c>
      <c r="C56">
        <v>67</v>
      </c>
      <c r="D56" s="21">
        <v>7.2000000000000197</v>
      </c>
      <c r="E56" s="21"/>
    </row>
    <row r="57" spans="2:14" x14ac:dyDescent="0.3">
      <c r="B57">
        <v>50</v>
      </c>
      <c r="C57">
        <v>68</v>
      </c>
      <c r="D57" s="21">
        <v>7.3000000000000203</v>
      </c>
      <c r="E57" s="21"/>
      <c r="H57" s="21"/>
      <c r="I57" s="21"/>
      <c r="J57" s="21"/>
      <c r="K57" s="21"/>
      <c r="L57" s="21"/>
      <c r="M57" s="21"/>
      <c r="N57" s="21"/>
    </row>
    <row r="58" spans="2:14" x14ac:dyDescent="0.3">
      <c r="B58">
        <v>51</v>
      </c>
      <c r="C58">
        <v>69</v>
      </c>
      <c r="D58" s="21">
        <v>7.4000000000000199</v>
      </c>
      <c r="E58" s="21"/>
    </row>
    <row r="59" spans="2:14" x14ac:dyDescent="0.3">
      <c r="B59">
        <v>52</v>
      </c>
      <c r="C59">
        <v>70</v>
      </c>
      <c r="D59" s="21">
        <v>7.5000000000000204</v>
      </c>
      <c r="E59" s="21"/>
    </row>
    <row r="60" spans="2:14" x14ac:dyDescent="0.3">
      <c r="B60">
        <v>53</v>
      </c>
      <c r="C60">
        <v>71</v>
      </c>
      <c r="D60" s="21">
        <v>7.6000000000000201</v>
      </c>
      <c r="E60" s="21"/>
    </row>
    <row r="61" spans="2:14" x14ac:dyDescent="0.3">
      <c r="B61">
        <v>54</v>
      </c>
      <c r="C61">
        <v>72</v>
      </c>
      <c r="D61" s="21">
        <v>7.7000000000000197</v>
      </c>
      <c r="E61" s="21"/>
      <c r="H61" s="21"/>
      <c r="I61" s="21"/>
      <c r="J61" s="21"/>
      <c r="K61" s="21"/>
      <c r="L61" s="21"/>
      <c r="M61" s="21"/>
      <c r="N61" s="21"/>
    </row>
    <row r="62" spans="2:14" x14ac:dyDescent="0.3">
      <c r="B62">
        <v>55</v>
      </c>
      <c r="C62">
        <v>73</v>
      </c>
      <c r="D62" s="21">
        <v>7.8000000000000203</v>
      </c>
      <c r="E62" s="21"/>
    </row>
    <row r="63" spans="2:14" x14ac:dyDescent="0.3">
      <c r="B63">
        <v>56</v>
      </c>
      <c r="C63">
        <v>74</v>
      </c>
      <c r="D63" s="21">
        <v>7.9000000000000199</v>
      </c>
      <c r="E63" s="21"/>
    </row>
    <row r="64" spans="2:14" x14ac:dyDescent="0.3">
      <c r="B64">
        <v>57</v>
      </c>
      <c r="C64">
        <v>75</v>
      </c>
      <c r="D64" s="21">
        <v>8.0000000000000195</v>
      </c>
      <c r="E64" s="21"/>
    </row>
    <row r="65" spans="2:14" x14ac:dyDescent="0.3">
      <c r="B65">
        <v>58</v>
      </c>
      <c r="C65">
        <v>76</v>
      </c>
      <c r="D65" s="21">
        <v>8.1000000000000192</v>
      </c>
      <c r="E65" s="21"/>
      <c r="H65" s="21"/>
      <c r="I65" s="21"/>
      <c r="J65" s="21"/>
      <c r="K65" s="21"/>
      <c r="L65" s="21"/>
      <c r="M65" s="21"/>
      <c r="N65" s="21"/>
    </row>
    <row r="66" spans="2:14" x14ac:dyDescent="0.3">
      <c r="B66">
        <v>59</v>
      </c>
      <c r="C66">
        <v>77</v>
      </c>
      <c r="D66" s="21">
        <v>8.2000000000000206</v>
      </c>
      <c r="E66" s="21"/>
    </row>
    <row r="67" spans="2:14" x14ac:dyDescent="0.3">
      <c r="B67">
        <v>60</v>
      </c>
      <c r="C67">
        <v>78</v>
      </c>
      <c r="D67" s="21">
        <v>8.3000000000000203</v>
      </c>
      <c r="E67" s="21"/>
    </row>
    <row r="68" spans="2:14" x14ac:dyDescent="0.3">
      <c r="B68">
        <v>61</v>
      </c>
      <c r="C68">
        <v>79</v>
      </c>
      <c r="D68" s="21">
        <v>8.4000000000000199</v>
      </c>
      <c r="E68" s="21"/>
    </row>
    <row r="69" spans="2:14" x14ac:dyDescent="0.3">
      <c r="B69">
        <v>62</v>
      </c>
      <c r="C69">
        <v>80</v>
      </c>
      <c r="D69" s="21">
        <v>8.5000000000000195</v>
      </c>
      <c r="E69" s="21"/>
      <c r="H69" s="21"/>
      <c r="I69" s="21"/>
      <c r="J69" s="21"/>
      <c r="K69" s="21"/>
      <c r="L69" s="21"/>
      <c r="M69" s="21"/>
      <c r="N69" s="21"/>
    </row>
    <row r="70" spans="2:14" x14ac:dyDescent="0.3">
      <c r="B70">
        <v>63</v>
      </c>
      <c r="C70">
        <v>81</v>
      </c>
      <c r="D70" s="21">
        <v>8.6000000000000192</v>
      </c>
      <c r="E70" s="21"/>
    </row>
    <row r="71" spans="2:14" x14ac:dyDescent="0.3">
      <c r="B71">
        <v>64</v>
      </c>
      <c r="C71">
        <v>82</v>
      </c>
      <c r="D71" s="21">
        <v>8.7000000000000206</v>
      </c>
      <c r="E71" s="21"/>
    </row>
    <row r="72" spans="2:14" x14ac:dyDescent="0.3">
      <c r="B72">
        <v>65</v>
      </c>
      <c r="C72">
        <v>83</v>
      </c>
      <c r="D72" s="21">
        <v>8.8000000000000291</v>
      </c>
      <c r="E72" s="21"/>
    </row>
    <row r="73" spans="2:14" x14ac:dyDescent="0.3">
      <c r="B73">
        <v>66</v>
      </c>
      <c r="C73">
        <v>84</v>
      </c>
      <c r="D73" s="21">
        <v>8.9000000000000306</v>
      </c>
      <c r="E73" s="21"/>
      <c r="H73" s="21"/>
      <c r="I73" s="21"/>
      <c r="J73" s="21"/>
      <c r="K73" s="21"/>
      <c r="L73" s="21"/>
      <c r="M73" s="21"/>
      <c r="N73" s="21"/>
    </row>
    <row r="74" spans="2:14" x14ac:dyDescent="0.3">
      <c r="B74">
        <v>67</v>
      </c>
      <c r="C74">
        <v>85</v>
      </c>
      <c r="D74" s="21">
        <v>9.0000000000000302</v>
      </c>
      <c r="E74" s="21"/>
    </row>
    <row r="75" spans="2:14" x14ac:dyDescent="0.3">
      <c r="B75">
        <v>68</v>
      </c>
      <c r="C75">
        <v>86</v>
      </c>
      <c r="D75" s="21">
        <v>9.1000000000000298</v>
      </c>
      <c r="E75" s="21"/>
    </row>
    <row r="76" spans="2:14" x14ac:dyDescent="0.3">
      <c r="B76">
        <v>69</v>
      </c>
      <c r="C76">
        <v>87</v>
      </c>
      <c r="D76" s="21">
        <v>9.2000000000000295</v>
      </c>
      <c r="E76" s="21"/>
    </row>
    <row r="77" spans="2:14" x14ac:dyDescent="0.3">
      <c r="B77">
        <v>70</v>
      </c>
      <c r="C77">
        <v>88</v>
      </c>
      <c r="D77" s="21">
        <v>9.3000000000000291</v>
      </c>
      <c r="E77" s="21"/>
      <c r="H77" s="21"/>
      <c r="I77" s="21"/>
      <c r="J77" s="21"/>
      <c r="K77" s="21"/>
      <c r="L77" s="21"/>
      <c r="M77" s="21"/>
      <c r="N77" s="21"/>
    </row>
    <row r="78" spans="2:14" x14ac:dyDescent="0.3">
      <c r="B78">
        <v>71</v>
      </c>
      <c r="C78">
        <v>89</v>
      </c>
      <c r="D78" s="21">
        <v>9.4000000000000306</v>
      </c>
      <c r="E78" s="21"/>
    </row>
    <row r="79" spans="2:14" x14ac:dyDescent="0.3">
      <c r="B79">
        <v>72</v>
      </c>
      <c r="C79">
        <v>90</v>
      </c>
      <c r="D79" s="21">
        <v>9.5000000000000302</v>
      </c>
      <c r="E79" s="21"/>
    </row>
    <row r="80" spans="2:14" x14ac:dyDescent="0.3">
      <c r="B80">
        <v>73</v>
      </c>
      <c r="C80">
        <v>91</v>
      </c>
      <c r="D80" s="21">
        <v>9.6000000000000298</v>
      </c>
      <c r="E80" s="21"/>
    </row>
    <row r="81" spans="2:14" x14ac:dyDescent="0.3">
      <c r="B81">
        <v>74</v>
      </c>
      <c r="C81">
        <v>92</v>
      </c>
      <c r="D81" s="21">
        <v>9.7000000000000295</v>
      </c>
      <c r="E81" s="21"/>
      <c r="H81" s="21"/>
      <c r="I81" s="21"/>
      <c r="J81" s="21"/>
      <c r="K81" s="21"/>
      <c r="L81" s="21"/>
      <c r="M81" s="21"/>
      <c r="N81" s="21"/>
    </row>
    <row r="82" spans="2:14" x14ac:dyDescent="0.3">
      <c r="B82">
        <v>75</v>
      </c>
      <c r="C82">
        <v>93</v>
      </c>
      <c r="D82" s="21">
        <v>9.8000000000000291</v>
      </c>
      <c r="E82" s="21"/>
    </row>
    <row r="83" spans="2:14" x14ac:dyDescent="0.3">
      <c r="B83">
        <v>76</v>
      </c>
      <c r="C83">
        <v>94</v>
      </c>
      <c r="D83" s="21">
        <v>9.9000000000000306</v>
      </c>
      <c r="E83" s="21"/>
    </row>
    <row r="84" spans="2:14" x14ac:dyDescent="0.3">
      <c r="B84">
        <v>77</v>
      </c>
      <c r="C84">
        <v>95</v>
      </c>
      <c r="D84" s="21">
        <v>10</v>
      </c>
      <c r="E84" s="21"/>
    </row>
    <row r="85" spans="2:14" x14ac:dyDescent="0.3">
      <c r="B85">
        <v>78</v>
      </c>
      <c r="C85">
        <v>96</v>
      </c>
      <c r="D85" s="21"/>
      <c r="E85" s="21"/>
      <c r="H85" s="21"/>
      <c r="I85" s="21"/>
      <c r="J85" s="21"/>
      <c r="K85" s="21"/>
      <c r="L85" s="21"/>
      <c r="M85" s="21"/>
      <c r="N85" s="21"/>
    </row>
    <row r="86" spans="2:14" x14ac:dyDescent="0.3">
      <c r="B86">
        <v>79</v>
      </c>
      <c r="C86">
        <v>97</v>
      </c>
    </row>
    <row r="87" spans="2:14" x14ac:dyDescent="0.3">
      <c r="B87">
        <v>80</v>
      </c>
      <c r="C87">
        <v>98</v>
      </c>
    </row>
    <row r="88" spans="2:14" x14ac:dyDescent="0.3">
      <c r="B88">
        <v>81</v>
      </c>
      <c r="C88">
        <v>99</v>
      </c>
    </row>
    <row r="89" spans="2:14" x14ac:dyDescent="0.3">
      <c r="B89">
        <v>82</v>
      </c>
      <c r="C89">
        <v>100</v>
      </c>
      <c r="D89" s="21"/>
      <c r="E89" s="21"/>
      <c r="H89" s="21"/>
      <c r="I89" s="21"/>
      <c r="J89" s="21"/>
      <c r="K89" s="21"/>
      <c r="L89" s="21"/>
      <c r="M89" s="21"/>
      <c r="N89" s="21"/>
    </row>
    <row r="90" spans="2:14" x14ac:dyDescent="0.3">
      <c r="B90">
        <v>83</v>
      </c>
      <c r="C90">
        <v>101</v>
      </c>
    </row>
    <row r="91" spans="2:14" x14ac:dyDescent="0.3">
      <c r="B91">
        <v>84</v>
      </c>
      <c r="C91">
        <v>102</v>
      </c>
    </row>
    <row r="92" spans="2:14" x14ac:dyDescent="0.3">
      <c r="B92">
        <v>85</v>
      </c>
      <c r="C92">
        <v>103</v>
      </c>
    </row>
    <row r="93" spans="2:14" x14ac:dyDescent="0.3">
      <c r="B93">
        <v>86</v>
      </c>
      <c r="C93">
        <v>104</v>
      </c>
      <c r="D93" s="21"/>
      <c r="E93" s="21"/>
      <c r="H93" s="21"/>
      <c r="I93" s="21"/>
      <c r="J93" s="21"/>
      <c r="K93" s="21"/>
      <c r="L93" s="21"/>
      <c r="M93" s="21"/>
      <c r="N93" s="21"/>
    </row>
    <row r="94" spans="2:14" x14ac:dyDescent="0.3">
      <c r="B94">
        <v>87</v>
      </c>
      <c r="C94">
        <v>105</v>
      </c>
    </row>
    <row r="95" spans="2:14" x14ac:dyDescent="0.3">
      <c r="B95">
        <v>88</v>
      </c>
      <c r="C95">
        <v>106</v>
      </c>
    </row>
    <row r="96" spans="2:14" x14ac:dyDescent="0.3">
      <c r="B96">
        <v>89</v>
      </c>
      <c r="C96">
        <v>107</v>
      </c>
    </row>
    <row r="97" spans="2:14" x14ac:dyDescent="0.3">
      <c r="B97">
        <v>90</v>
      </c>
      <c r="C97">
        <v>108</v>
      </c>
      <c r="D97" s="21"/>
      <c r="E97" s="21"/>
      <c r="H97" s="21"/>
      <c r="I97" s="21"/>
      <c r="J97" s="21"/>
      <c r="K97" s="21"/>
      <c r="L97" s="21"/>
      <c r="M97" s="21"/>
      <c r="N97" s="21"/>
    </row>
    <row r="98" spans="2:14" x14ac:dyDescent="0.3">
      <c r="B98">
        <v>91</v>
      </c>
      <c r="C98">
        <v>109</v>
      </c>
    </row>
    <row r="99" spans="2:14" x14ac:dyDescent="0.3">
      <c r="B99">
        <v>92</v>
      </c>
      <c r="C99">
        <v>110</v>
      </c>
    </row>
    <row r="100" spans="2:14" x14ac:dyDescent="0.3">
      <c r="B100">
        <v>93</v>
      </c>
      <c r="C100">
        <v>111</v>
      </c>
    </row>
    <row r="101" spans="2:14" x14ac:dyDescent="0.3">
      <c r="B101">
        <v>94</v>
      </c>
      <c r="C101">
        <v>112</v>
      </c>
      <c r="D101" s="21"/>
      <c r="E101" s="21"/>
      <c r="H101" s="21"/>
      <c r="I101" s="21"/>
      <c r="J101" s="21"/>
      <c r="K101" s="21"/>
      <c r="L101" s="21"/>
      <c r="M101" s="21"/>
      <c r="N101" s="21"/>
    </row>
    <row r="102" spans="2:14" x14ac:dyDescent="0.3">
      <c r="B102">
        <v>95</v>
      </c>
      <c r="C102">
        <v>113</v>
      </c>
    </row>
    <row r="103" spans="2:14" x14ac:dyDescent="0.3">
      <c r="B103">
        <v>96</v>
      </c>
      <c r="C103">
        <v>114</v>
      </c>
    </row>
    <row r="104" spans="2:14" x14ac:dyDescent="0.3">
      <c r="B104">
        <v>97</v>
      </c>
      <c r="C104">
        <v>115</v>
      </c>
    </row>
    <row r="105" spans="2:14" x14ac:dyDescent="0.3">
      <c r="B105">
        <v>98</v>
      </c>
      <c r="C105">
        <v>116</v>
      </c>
      <c r="D105" s="21"/>
      <c r="E105" s="21"/>
      <c r="H105" s="21"/>
      <c r="I105" s="21"/>
      <c r="J105" s="21"/>
      <c r="K105" s="21"/>
      <c r="L105" s="21"/>
      <c r="M105" s="21"/>
      <c r="N105" s="21"/>
    </row>
    <row r="106" spans="2:14" x14ac:dyDescent="0.3">
      <c r="B106">
        <v>99</v>
      </c>
      <c r="C106">
        <v>117</v>
      </c>
    </row>
    <row r="107" spans="2:14" x14ac:dyDescent="0.3">
      <c r="B107">
        <v>100</v>
      </c>
      <c r="C107">
        <v>118</v>
      </c>
    </row>
    <row r="108" spans="2:14" x14ac:dyDescent="0.3">
      <c r="C108">
        <v>119</v>
      </c>
    </row>
    <row r="109" spans="2:14" x14ac:dyDescent="0.3">
      <c r="C109">
        <v>120</v>
      </c>
      <c r="D109" s="21"/>
      <c r="E109" s="21"/>
      <c r="H109" s="21"/>
      <c r="I109" s="21"/>
      <c r="J109" s="21"/>
      <c r="K109" s="21"/>
      <c r="L109" s="21"/>
      <c r="M109" s="21"/>
      <c r="N109" s="21"/>
    </row>
    <row r="110" spans="2:14" x14ac:dyDescent="0.3">
      <c r="C110">
        <v>121</v>
      </c>
    </row>
    <row r="111" spans="2:14" x14ac:dyDescent="0.3">
      <c r="C111">
        <v>122</v>
      </c>
    </row>
    <row r="112" spans="2:14" x14ac:dyDescent="0.3">
      <c r="C112">
        <v>123</v>
      </c>
    </row>
    <row r="113" spans="3:14" x14ac:dyDescent="0.3">
      <c r="C113">
        <v>124</v>
      </c>
      <c r="D113" s="21"/>
      <c r="E113" s="21"/>
      <c r="H113" s="21"/>
      <c r="I113" s="21"/>
      <c r="J113" s="21"/>
      <c r="K113" s="21"/>
      <c r="L113" s="21"/>
      <c r="M113" s="21"/>
      <c r="N113" s="21"/>
    </row>
    <row r="114" spans="3:14" x14ac:dyDescent="0.3">
      <c r="C114">
        <v>125</v>
      </c>
    </row>
    <row r="115" spans="3:14" x14ac:dyDescent="0.3">
      <c r="C115">
        <v>126</v>
      </c>
    </row>
    <row r="116" spans="3:14" x14ac:dyDescent="0.3">
      <c r="C116">
        <v>127</v>
      </c>
    </row>
    <row r="117" spans="3:14" x14ac:dyDescent="0.3">
      <c r="C117">
        <v>128</v>
      </c>
      <c r="D117" s="21"/>
      <c r="E117" s="21"/>
      <c r="H117" s="21"/>
      <c r="I117" s="21"/>
      <c r="J117" s="21"/>
      <c r="K117" s="21"/>
      <c r="L117" s="21"/>
      <c r="M117" s="21"/>
      <c r="N117" s="21"/>
    </row>
    <row r="118" spans="3:14" x14ac:dyDescent="0.3">
      <c r="C118">
        <v>129</v>
      </c>
    </row>
    <row r="119" spans="3:14" x14ac:dyDescent="0.3">
      <c r="C119">
        <v>130</v>
      </c>
    </row>
    <row r="120" spans="3:14" x14ac:dyDescent="0.3">
      <c r="C120">
        <v>131</v>
      </c>
    </row>
    <row r="121" spans="3:14" x14ac:dyDescent="0.3">
      <c r="C121">
        <v>132</v>
      </c>
      <c r="D121" s="21"/>
      <c r="E121" s="21"/>
      <c r="H121" s="21"/>
      <c r="I121" s="21"/>
      <c r="J121" s="21"/>
      <c r="K121" s="21"/>
      <c r="L121" s="21"/>
      <c r="M121" s="21"/>
      <c r="N121" s="21"/>
    </row>
    <row r="122" spans="3:14" x14ac:dyDescent="0.3">
      <c r="C122">
        <v>133</v>
      </c>
    </row>
    <row r="123" spans="3:14" x14ac:dyDescent="0.3">
      <c r="C123">
        <v>134</v>
      </c>
    </row>
    <row r="124" spans="3:14" x14ac:dyDescent="0.3">
      <c r="C124">
        <v>135</v>
      </c>
    </row>
    <row r="125" spans="3:14" x14ac:dyDescent="0.3">
      <c r="C125">
        <v>136</v>
      </c>
      <c r="D125" s="21"/>
      <c r="E125" s="21"/>
      <c r="H125" s="21"/>
      <c r="I125" s="21"/>
      <c r="J125" s="21"/>
      <c r="K125" s="21"/>
      <c r="L125" s="21"/>
      <c r="M125" s="21"/>
      <c r="N125" s="21"/>
    </row>
    <row r="126" spans="3:14" x14ac:dyDescent="0.3">
      <c r="C126">
        <v>137</v>
      </c>
    </row>
    <row r="127" spans="3:14" x14ac:dyDescent="0.3">
      <c r="C127">
        <v>138</v>
      </c>
    </row>
    <row r="128" spans="3:14" x14ac:dyDescent="0.3">
      <c r="C128">
        <v>139</v>
      </c>
    </row>
    <row r="129" spans="3:14" x14ac:dyDescent="0.3">
      <c r="C129">
        <v>140</v>
      </c>
      <c r="D129" s="21"/>
      <c r="E129" s="21"/>
      <c r="H129" s="21"/>
      <c r="I129" s="21"/>
      <c r="J129" s="21"/>
      <c r="K129" s="21"/>
      <c r="L129" s="21"/>
      <c r="M129" s="21"/>
      <c r="N129" s="21"/>
    </row>
    <row r="130" spans="3:14" x14ac:dyDescent="0.3">
      <c r="C130">
        <v>141</v>
      </c>
    </row>
    <row r="131" spans="3:14" x14ac:dyDescent="0.3">
      <c r="C131">
        <v>142</v>
      </c>
    </row>
    <row r="132" spans="3:14" x14ac:dyDescent="0.3">
      <c r="C132">
        <v>143</v>
      </c>
    </row>
    <row r="133" spans="3:14" x14ac:dyDescent="0.3">
      <c r="C133">
        <v>144</v>
      </c>
      <c r="D133" s="21"/>
      <c r="E133" s="21"/>
      <c r="H133" s="21"/>
      <c r="I133" s="21"/>
      <c r="J133" s="21"/>
      <c r="K133" s="21"/>
      <c r="L133" s="21"/>
      <c r="M133" s="21"/>
      <c r="N133" s="21"/>
    </row>
    <row r="134" spans="3:14" x14ac:dyDescent="0.3">
      <c r="C134">
        <v>145</v>
      </c>
    </row>
    <row r="135" spans="3:14" x14ac:dyDescent="0.3">
      <c r="C135">
        <v>146</v>
      </c>
    </row>
    <row r="136" spans="3:14" x14ac:dyDescent="0.3">
      <c r="C136">
        <v>147</v>
      </c>
    </row>
    <row r="137" spans="3:14" x14ac:dyDescent="0.3">
      <c r="C137">
        <v>148</v>
      </c>
      <c r="D137" s="21"/>
      <c r="E137" s="21"/>
      <c r="H137" s="21"/>
      <c r="I137" s="21"/>
      <c r="J137" s="21"/>
      <c r="K137" s="21"/>
      <c r="L137" s="21"/>
      <c r="M137" s="21"/>
      <c r="N137" s="21"/>
    </row>
    <row r="138" spans="3:14" x14ac:dyDescent="0.3">
      <c r="C138">
        <v>149</v>
      </c>
    </row>
    <row r="139" spans="3:14" x14ac:dyDescent="0.3">
      <c r="C139">
        <v>150</v>
      </c>
    </row>
    <row r="140" spans="3:14" x14ac:dyDescent="0.3">
      <c r="C140">
        <v>151</v>
      </c>
    </row>
    <row r="141" spans="3:14" x14ac:dyDescent="0.3">
      <c r="C141">
        <v>152</v>
      </c>
      <c r="D141" s="21"/>
      <c r="E141" s="21"/>
      <c r="H141" s="21"/>
      <c r="I141" s="21"/>
      <c r="J141" s="21"/>
      <c r="K141" s="21"/>
      <c r="L141" s="21"/>
      <c r="M141" s="21"/>
      <c r="N141" s="21"/>
    </row>
    <row r="142" spans="3:14" x14ac:dyDescent="0.3">
      <c r="C142">
        <v>153</v>
      </c>
    </row>
    <row r="143" spans="3:14" x14ac:dyDescent="0.3">
      <c r="C143">
        <v>154</v>
      </c>
    </row>
    <row r="144" spans="3:14" x14ac:dyDescent="0.3">
      <c r="C144">
        <v>155</v>
      </c>
    </row>
    <row r="145" spans="3:14" x14ac:dyDescent="0.3">
      <c r="C145">
        <v>156</v>
      </c>
      <c r="D145" s="21"/>
      <c r="E145" s="21"/>
      <c r="H145" s="21"/>
      <c r="I145" s="21"/>
      <c r="J145" s="21"/>
      <c r="K145" s="21"/>
      <c r="L145" s="21"/>
      <c r="M145" s="21"/>
      <c r="N145" s="21"/>
    </row>
    <row r="146" spans="3:14" x14ac:dyDescent="0.3">
      <c r="C146">
        <v>157</v>
      </c>
    </row>
    <row r="147" spans="3:14" x14ac:dyDescent="0.3">
      <c r="C147">
        <v>158</v>
      </c>
    </row>
    <row r="148" spans="3:14" x14ac:dyDescent="0.3">
      <c r="C148">
        <v>159</v>
      </c>
    </row>
    <row r="149" spans="3:14" x14ac:dyDescent="0.3">
      <c r="C149">
        <v>160</v>
      </c>
      <c r="D149" s="21"/>
      <c r="E149" s="21"/>
      <c r="H149" s="21"/>
      <c r="I149" s="21"/>
      <c r="J149" s="21"/>
      <c r="K149" s="21"/>
      <c r="L149" s="21"/>
      <c r="M149" s="21"/>
      <c r="N149" s="21"/>
    </row>
    <row r="150" spans="3:14" x14ac:dyDescent="0.3">
      <c r="C150">
        <v>161</v>
      </c>
    </row>
    <row r="151" spans="3:14" x14ac:dyDescent="0.3">
      <c r="C151">
        <v>162</v>
      </c>
    </row>
    <row r="152" spans="3:14" x14ac:dyDescent="0.3">
      <c r="C152">
        <v>163</v>
      </c>
    </row>
    <row r="153" spans="3:14" x14ac:dyDescent="0.3">
      <c r="C153">
        <v>164</v>
      </c>
      <c r="D153" s="21"/>
      <c r="E153" s="21"/>
      <c r="H153" s="21"/>
      <c r="I153" s="21"/>
      <c r="J153" s="21"/>
      <c r="K153" s="21"/>
      <c r="L153" s="21"/>
      <c r="M153" s="21"/>
      <c r="N153" s="21"/>
    </row>
    <row r="154" spans="3:14" x14ac:dyDescent="0.3">
      <c r="C154">
        <v>165</v>
      </c>
    </row>
    <row r="155" spans="3:14" x14ac:dyDescent="0.3">
      <c r="C155">
        <v>166</v>
      </c>
    </row>
    <row r="156" spans="3:14" x14ac:dyDescent="0.3">
      <c r="C156">
        <v>167</v>
      </c>
    </row>
    <row r="157" spans="3:14" x14ac:dyDescent="0.3">
      <c r="C157">
        <v>168</v>
      </c>
      <c r="D157" s="21"/>
      <c r="E157" s="21"/>
      <c r="H157" s="21"/>
      <c r="I157" s="21"/>
      <c r="J157" s="21"/>
      <c r="K157" s="21"/>
      <c r="L157" s="21"/>
      <c r="M157" s="21"/>
      <c r="N157" s="21"/>
    </row>
    <row r="158" spans="3:14" x14ac:dyDescent="0.3">
      <c r="C158">
        <v>169</v>
      </c>
    </row>
    <row r="159" spans="3:14" x14ac:dyDescent="0.3">
      <c r="C159">
        <v>170</v>
      </c>
    </row>
    <row r="160" spans="3:14" x14ac:dyDescent="0.3">
      <c r="C160">
        <v>171</v>
      </c>
    </row>
    <row r="161" spans="3:3" x14ac:dyDescent="0.3">
      <c r="C161">
        <v>172</v>
      </c>
    </row>
    <row r="162" spans="3:3" x14ac:dyDescent="0.3">
      <c r="C162">
        <v>173</v>
      </c>
    </row>
    <row r="163" spans="3:3" x14ac:dyDescent="0.3">
      <c r="C163">
        <v>174</v>
      </c>
    </row>
    <row r="164" spans="3:3" x14ac:dyDescent="0.3">
      <c r="C164">
        <v>175</v>
      </c>
    </row>
    <row r="165" spans="3:3" x14ac:dyDescent="0.3">
      <c r="C165">
        <v>176</v>
      </c>
    </row>
    <row r="166" spans="3:3" x14ac:dyDescent="0.3">
      <c r="C166">
        <v>177</v>
      </c>
    </row>
    <row r="167" spans="3:3" x14ac:dyDescent="0.3">
      <c r="C167">
        <v>178</v>
      </c>
    </row>
    <row r="168" spans="3:3" x14ac:dyDescent="0.3">
      <c r="C168">
        <v>179</v>
      </c>
    </row>
    <row r="169" spans="3:3" x14ac:dyDescent="0.3">
      <c r="C169">
        <v>180</v>
      </c>
    </row>
    <row r="170" spans="3:3" x14ac:dyDescent="0.3">
      <c r="C170">
        <v>181</v>
      </c>
    </row>
    <row r="171" spans="3:3" x14ac:dyDescent="0.3">
      <c r="C171">
        <v>182</v>
      </c>
    </row>
    <row r="172" spans="3:3" x14ac:dyDescent="0.3">
      <c r="C172">
        <v>183</v>
      </c>
    </row>
    <row r="173" spans="3:3" x14ac:dyDescent="0.3">
      <c r="C173">
        <v>184</v>
      </c>
    </row>
    <row r="174" spans="3:3" x14ac:dyDescent="0.3">
      <c r="C174">
        <v>185</v>
      </c>
    </row>
    <row r="175" spans="3:3" x14ac:dyDescent="0.3">
      <c r="C175">
        <v>186</v>
      </c>
    </row>
    <row r="176" spans="3:3" x14ac:dyDescent="0.3">
      <c r="C176">
        <v>187</v>
      </c>
    </row>
    <row r="177" spans="3:3" x14ac:dyDescent="0.3">
      <c r="C177">
        <v>188</v>
      </c>
    </row>
    <row r="178" spans="3:3" x14ac:dyDescent="0.3">
      <c r="C178">
        <v>189</v>
      </c>
    </row>
    <row r="179" spans="3:3" x14ac:dyDescent="0.3">
      <c r="C179">
        <v>190</v>
      </c>
    </row>
    <row r="180" spans="3:3" x14ac:dyDescent="0.3">
      <c r="C180">
        <v>191</v>
      </c>
    </row>
    <row r="181" spans="3:3" x14ac:dyDescent="0.3">
      <c r="C181">
        <v>192</v>
      </c>
    </row>
    <row r="182" spans="3:3" x14ac:dyDescent="0.3">
      <c r="C182">
        <v>193</v>
      </c>
    </row>
    <row r="183" spans="3:3" x14ac:dyDescent="0.3">
      <c r="C183">
        <v>194</v>
      </c>
    </row>
    <row r="184" spans="3:3" x14ac:dyDescent="0.3">
      <c r="C184">
        <v>195</v>
      </c>
    </row>
    <row r="185" spans="3:3" x14ac:dyDescent="0.3">
      <c r="C185">
        <v>196</v>
      </c>
    </row>
    <row r="186" spans="3:3" x14ac:dyDescent="0.3">
      <c r="C186">
        <v>197</v>
      </c>
    </row>
    <row r="187" spans="3:3" x14ac:dyDescent="0.3">
      <c r="C187">
        <v>198</v>
      </c>
    </row>
    <row r="188" spans="3:3" x14ac:dyDescent="0.3">
      <c r="C188">
        <v>199</v>
      </c>
    </row>
    <row r="189" spans="3:3" x14ac:dyDescent="0.3">
      <c r="C189">
        <v>200</v>
      </c>
    </row>
    <row r="190" spans="3:3" x14ac:dyDescent="0.3">
      <c r="C190">
        <v>201</v>
      </c>
    </row>
    <row r="191" spans="3:3" x14ac:dyDescent="0.3">
      <c r="C191">
        <v>202</v>
      </c>
    </row>
    <row r="192" spans="3:3" x14ac:dyDescent="0.3">
      <c r="C192">
        <v>203</v>
      </c>
    </row>
    <row r="193" spans="3:3" x14ac:dyDescent="0.3">
      <c r="C193">
        <v>204</v>
      </c>
    </row>
    <row r="194" spans="3:3" x14ac:dyDescent="0.3">
      <c r="C194">
        <v>205</v>
      </c>
    </row>
    <row r="195" spans="3:3" x14ac:dyDescent="0.3">
      <c r="C195">
        <v>206</v>
      </c>
    </row>
    <row r="196" spans="3:3" x14ac:dyDescent="0.3">
      <c r="C196">
        <v>207</v>
      </c>
    </row>
    <row r="197" spans="3:3" x14ac:dyDescent="0.3">
      <c r="C197">
        <v>208</v>
      </c>
    </row>
    <row r="198" spans="3:3" x14ac:dyDescent="0.3">
      <c r="C198">
        <v>209</v>
      </c>
    </row>
    <row r="199" spans="3:3" x14ac:dyDescent="0.3">
      <c r="C199">
        <v>210</v>
      </c>
    </row>
    <row r="200" spans="3:3" x14ac:dyDescent="0.3">
      <c r="C200">
        <v>211</v>
      </c>
    </row>
    <row r="201" spans="3:3" x14ac:dyDescent="0.3">
      <c r="C201">
        <v>212</v>
      </c>
    </row>
    <row r="202" spans="3:3" x14ac:dyDescent="0.3">
      <c r="C202">
        <v>213</v>
      </c>
    </row>
    <row r="203" spans="3:3" x14ac:dyDescent="0.3">
      <c r="C203">
        <v>214</v>
      </c>
    </row>
    <row r="204" spans="3:3" x14ac:dyDescent="0.3">
      <c r="C204">
        <v>215</v>
      </c>
    </row>
    <row r="205" spans="3:3" x14ac:dyDescent="0.3">
      <c r="C205">
        <v>216</v>
      </c>
    </row>
    <row r="206" spans="3:3" x14ac:dyDescent="0.3">
      <c r="C206">
        <v>217</v>
      </c>
    </row>
    <row r="207" spans="3:3" x14ac:dyDescent="0.3">
      <c r="C207">
        <v>218</v>
      </c>
    </row>
    <row r="208" spans="3:3" x14ac:dyDescent="0.3">
      <c r="C208">
        <v>219</v>
      </c>
    </row>
    <row r="209" spans="3:3" x14ac:dyDescent="0.3">
      <c r="C209">
        <v>220</v>
      </c>
    </row>
    <row r="210" spans="3:3" x14ac:dyDescent="0.3">
      <c r="C210">
        <v>221</v>
      </c>
    </row>
    <row r="211" spans="3:3" x14ac:dyDescent="0.3">
      <c r="C211">
        <v>222</v>
      </c>
    </row>
    <row r="212" spans="3:3" x14ac:dyDescent="0.3">
      <c r="C212">
        <v>223</v>
      </c>
    </row>
    <row r="213" spans="3:3" x14ac:dyDescent="0.3">
      <c r="C213">
        <v>224</v>
      </c>
    </row>
    <row r="214" spans="3:3" x14ac:dyDescent="0.3">
      <c r="C214">
        <v>225</v>
      </c>
    </row>
    <row r="215" spans="3:3" x14ac:dyDescent="0.3">
      <c r="C215">
        <v>226</v>
      </c>
    </row>
    <row r="216" spans="3:3" x14ac:dyDescent="0.3">
      <c r="C216">
        <v>227</v>
      </c>
    </row>
    <row r="217" spans="3:3" x14ac:dyDescent="0.3">
      <c r="C217">
        <v>228</v>
      </c>
    </row>
    <row r="218" spans="3:3" x14ac:dyDescent="0.3">
      <c r="C218">
        <v>229</v>
      </c>
    </row>
    <row r="219" spans="3:3" x14ac:dyDescent="0.3">
      <c r="C219">
        <v>230</v>
      </c>
    </row>
    <row r="220" spans="3:3" x14ac:dyDescent="0.3">
      <c r="C220">
        <v>231</v>
      </c>
    </row>
    <row r="221" spans="3:3" x14ac:dyDescent="0.3">
      <c r="C221">
        <v>232</v>
      </c>
    </row>
    <row r="222" spans="3:3" x14ac:dyDescent="0.3">
      <c r="C222">
        <v>233</v>
      </c>
    </row>
    <row r="223" spans="3:3" x14ac:dyDescent="0.3">
      <c r="C223">
        <v>234</v>
      </c>
    </row>
    <row r="224" spans="3:3" x14ac:dyDescent="0.3">
      <c r="C224">
        <v>235</v>
      </c>
    </row>
    <row r="225" spans="3:3" x14ac:dyDescent="0.3">
      <c r="C225">
        <v>236</v>
      </c>
    </row>
    <row r="226" spans="3:3" x14ac:dyDescent="0.3">
      <c r="C226">
        <v>237</v>
      </c>
    </row>
    <row r="227" spans="3:3" x14ac:dyDescent="0.3">
      <c r="C227">
        <v>238</v>
      </c>
    </row>
    <row r="228" spans="3:3" x14ac:dyDescent="0.3">
      <c r="C228">
        <v>239</v>
      </c>
    </row>
    <row r="229" spans="3:3" x14ac:dyDescent="0.3">
      <c r="C229">
        <v>240</v>
      </c>
    </row>
    <row r="230" spans="3:3" x14ac:dyDescent="0.3">
      <c r="C230">
        <v>241</v>
      </c>
    </row>
    <row r="231" spans="3:3" x14ac:dyDescent="0.3">
      <c r="C231">
        <v>242</v>
      </c>
    </row>
    <row r="232" spans="3:3" x14ac:dyDescent="0.3">
      <c r="C232">
        <v>243</v>
      </c>
    </row>
    <row r="233" spans="3:3" x14ac:dyDescent="0.3">
      <c r="C233">
        <v>244</v>
      </c>
    </row>
    <row r="234" spans="3:3" x14ac:dyDescent="0.3">
      <c r="C234">
        <v>245</v>
      </c>
    </row>
    <row r="235" spans="3:3" x14ac:dyDescent="0.3">
      <c r="C235">
        <v>246</v>
      </c>
    </row>
    <row r="236" spans="3:3" x14ac:dyDescent="0.3">
      <c r="C236">
        <v>247</v>
      </c>
    </row>
    <row r="237" spans="3:3" x14ac:dyDescent="0.3">
      <c r="C237">
        <v>248</v>
      </c>
    </row>
    <row r="238" spans="3:3" x14ac:dyDescent="0.3">
      <c r="C238">
        <v>249</v>
      </c>
    </row>
    <row r="239" spans="3:3" x14ac:dyDescent="0.3">
      <c r="C239">
        <v>250</v>
      </c>
    </row>
    <row r="240" spans="3:3" x14ac:dyDescent="0.3">
      <c r="C240">
        <v>251</v>
      </c>
    </row>
    <row r="241" spans="3:3" x14ac:dyDescent="0.3">
      <c r="C241">
        <v>252</v>
      </c>
    </row>
    <row r="242" spans="3:3" x14ac:dyDescent="0.3">
      <c r="C242">
        <v>253</v>
      </c>
    </row>
    <row r="243" spans="3:3" x14ac:dyDescent="0.3">
      <c r="C243">
        <v>254</v>
      </c>
    </row>
    <row r="244" spans="3:3" x14ac:dyDescent="0.3">
      <c r="C244">
        <v>255</v>
      </c>
    </row>
    <row r="245" spans="3:3" x14ac:dyDescent="0.3">
      <c r="C245">
        <v>256</v>
      </c>
    </row>
    <row r="246" spans="3:3" x14ac:dyDescent="0.3">
      <c r="C246">
        <v>257</v>
      </c>
    </row>
    <row r="247" spans="3:3" x14ac:dyDescent="0.3">
      <c r="C247">
        <v>258</v>
      </c>
    </row>
    <row r="248" spans="3:3" x14ac:dyDescent="0.3">
      <c r="C248">
        <v>259</v>
      </c>
    </row>
    <row r="249" spans="3:3" x14ac:dyDescent="0.3">
      <c r="C249">
        <v>260</v>
      </c>
    </row>
    <row r="250" spans="3:3" x14ac:dyDescent="0.3">
      <c r="C250">
        <v>261</v>
      </c>
    </row>
    <row r="251" spans="3:3" x14ac:dyDescent="0.3">
      <c r="C251">
        <v>262</v>
      </c>
    </row>
    <row r="252" spans="3:3" x14ac:dyDescent="0.3">
      <c r="C252">
        <v>263</v>
      </c>
    </row>
    <row r="253" spans="3:3" x14ac:dyDescent="0.3">
      <c r="C253">
        <v>264</v>
      </c>
    </row>
    <row r="254" spans="3:3" x14ac:dyDescent="0.3">
      <c r="C254">
        <v>265</v>
      </c>
    </row>
    <row r="255" spans="3:3" x14ac:dyDescent="0.3">
      <c r="C255">
        <v>266</v>
      </c>
    </row>
    <row r="256" spans="3:3" x14ac:dyDescent="0.3">
      <c r="C256">
        <v>267</v>
      </c>
    </row>
    <row r="257" spans="3:3" x14ac:dyDescent="0.3">
      <c r="C257">
        <v>268</v>
      </c>
    </row>
    <row r="258" spans="3:3" x14ac:dyDescent="0.3">
      <c r="C258">
        <v>269</v>
      </c>
    </row>
    <row r="259" spans="3:3" x14ac:dyDescent="0.3">
      <c r="C259">
        <v>270</v>
      </c>
    </row>
    <row r="260" spans="3:3" x14ac:dyDescent="0.3">
      <c r="C260">
        <v>271</v>
      </c>
    </row>
    <row r="261" spans="3:3" x14ac:dyDescent="0.3">
      <c r="C261">
        <v>272</v>
      </c>
    </row>
    <row r="262" spans="3:3" x14ac:dyDescent="0.3">
      <c r="C262">
        <v>273</v>
      </c>
    </row>
    <row r="263" spans="3:3" x14ac:dyDescent="0.3">
      <c r="C263">
        <v>274</v>
      </c>
    </row>
    <row r="264" spans="3:3" x14ac:dyDescent="0.3">
      <c r="C264">
        <v>275</v>
      </c>
    </row>
    <row r="265" spans="3:3" x14ac:dyDescent="0.3">
      <c r="C265">
        <v>276</v>
      </c>
    </row>
    <row r="266" spans="3:3" x14ac:dyDescent="0.3">
      <c r="C266">
        <v>277</v>
      </c>
    </row>
    <row r="267" spans="3:3" x14ac:dyDescent="0.3">
      <c r="C267">
        <v>278</v>
      </c>
    </row>
    <row r="268" spans="3:3" x14ac:dyDescent="0.3">
      <c r="C268">
        <v>279</v>
      </c>
    </row>
    <row r="269" spans="3:3" x14ac:dyDescent="0.3">
      <c r="C269">
        <v>280</v>
      </c>
    </row>
    <row r="270" spans="3:3" x14ac:dyDescent="0.3">
      <c r="C270">
        <v>281</v>
      </c>
    </row>
    <row r="271" spans="3:3" x14ac:dyDescent="0.3">
      <c r="C271">
        <v>282</v>
      </c>
    </row>
    <row r="272" spans="3:3" x14ac:dyDescent="0.3">
      <c r="C272">
        <v>283</v>
      </c>
    </row>
    <row r="273" spans="3:3" x14ac:dyDescent="0.3">
      <c r="C273">
        <v>284</v>
      </c>
    </row>
    <row r="274" spans="3:3" x14ac:dyDescent="0.3">
      <c r="C274">
        <v>285</v>
      </c>
    </row>
    <row r="275" spans="3:3" x14ac:dyDescent="0.3">
      <c r="C275">
        <v>286</v>
      </c>
    </row>
    <row r="276" spans="3:3" x14ac:dyDescent="0.3">
      <c r="C276">
        <v>287</v>
      </c>
    </row>
    <row r="277" spans="3:3" x14ac:dyDescent="0.3">
      <c r="C277">
        <v>288</v>
      </c>
    </row>
    <row r="278" spans="3:3" x14ac:dyDescent="0.3">
      <c r="C278">
        <v>289</v>
      </c>
    </row>
    <row r="279" spans="3:3" x14ac:dyDescent="0.3">
      <c r="C279">
        <v>290</v>
      </c>
    </row>
    <row r="280" spans="3:3" x14ac:dyDescent="0.3">
      <c r="C280">
        <v>291</v>
      </c>
    </row>
    <row r="281" spans="3:3" x14ac:dyDescent="0.3">
      <c r="C281">
        <v>292</v>
      </c>
    </row>
    <row r="282" spans="3:3" x14ac:dyDescent="0.3">
      <c r="C282">
        <v>293</v>
      </c>
    </row>
    <row r="283" spans="3:3" x14ac:dyDescent="0.3">
      <c r="C283">
        <v>294</v>
      </c>
    </row>
    <row r="284" spans="3:3" x14ac:dyDescent="0.3">
      <c r="C284">
        <v>295</v>
      </c>
    </row>
    <row r="285" spans="3:3" x14ac:dyDescent="0.3">
      <c r="C285">
        <v>296</v>
      </c>
    </row>
    <row r="286" spans="3:3" x14ac:dyDescent="0.3">
      <c r="C286">
        <v>297</v>
      </c>
    </row>
    <row r="287" spans="3:3" x14ac:dyDescent="0.3">
      <c r="C287">
        <v>298</v>
      </c>
    </row>
    <row r="288" spans="3:3" x14ac:dyDescent="0.3">
      <c r="C288">
        <v>299</v>
      </c>
    </row>
    <row r="289" spans="3:3" x14ac:dyDescent="0.3">
      <c r="C289">
        <v>300</v>
      </c>
    </row>
    <row r="290" spans="3:3" x14ac:dyDescent="0.3">
      <c r="C290">
        <v>301</v>
      </c>
    </row>
    <row r="291" spans="3:3" x14ac:dyDescent="0.3">
      <c r="C291">
        <v>302</v>
      </c>
    </row>
    <row r="292" spans="3:3" x14ac:dyDescent="0.3">
      <c r="C292">
        <v>303</v>
      </c>
    </row>
    <row r="293" spans="3:3" x14ac:dyDescent="0.3">
      <c r="C293">
        <v>304</v>
      </c>
    </row>
    <row r="294" spans="3:3" x14ac:dyDescent="0.3">
      <c r="C294">
        <v>305</v>
      </c>
    </row>
    <row r="295" spans="3:3" x14ac:dyDescent="0.3">
      <c r="C295">
        <v>306</v>
      </c>
    </row>
    <row r="296" spans="3:3" x14ac:dyDescent="0.3">
      <c r="C296">
        <v>307</v>
      </c>
    </row>
    <row r="297" spans="3:3" x14ac:dyDescent="0.3">
      <c r="C297">
        <v>308</v>
      </c>
    </row>
    <row r="298" spans="3:3" x14ac:dyDescent="0.3">
      <c r="C298">
        <v>309</v>
      </c>
    </row>
    <row r="299" spans="3:3" x14ac:dyDescent="0.3">
      <c r="C299">
        <v>310</v>
      </c>
    </row>
    <row r="300" spans="3:3" x14ac:dyDescent="0.3">
      <c r="C300">
        <v>311</v>
      </c>
    </row>
    <row r="301" spans="3:3" x14ac:dyDescent="0.3">
      <c r="C301">
        <v>312</v>
      </c>
    </row>
    <row r="302" spans="3:3" x14ac:dyDescent="0.3">
      <c r="C302">
        <v>313</v>
      </c>
    </row>
    <row r="303" spans="3:3" x14ac:dyDescent="0.3">
      <c r="C303">
        <v>314</v>
      </c>
    </row>
    <row r="304" spans="3:3" x14ac:dyDescent="0.3">
      <c r="C304">
        <v>315</v>
      </c>
    </row>
    <row r="305" spans="3:3" x14ac:dyDescent="0.3">
      <c r="C305">
        <v>316</v>
      </c>
    </row>
    <row r="306" spans="3:3" x14ac:dyDescent="0.3">
      <c r="C306">
        <v>317</v>
      </c>
    </row>
    <row r="307" spans="3:3" x14ac:dyDescent="0.3">
      <c r="C307">
        <v>318</v>
      </c>
    </row>
    <row r="308" spans="3:3" x14ac:dyDescent="0.3">
      <c r="C308">
        <v>319</v>
      </c>
    </row>
    <row r="309" spans="3:3" x14ac:dyDescent="0.3">
      <c r="C309">
        <v>320</v>
      </c>
    </row>
    <row r="310" spans="3:3" x14ac:dyDescent="0.3">
      <c r="C310">
        <v>321</v>
      </c>
    </row>
    <row r="311" spans="3:3" x14ac:dyDescent="0.3">
      <c r="C311">
        <v>322</v>
      </c>
    </row>
    <row r="312" spans="3:3" x14ac:dyDescent="0.3">
      <c r="C312">
        <v>323</v>
      </c>
    </row>
    <row r="313" spans="3:3" x14ac:dyDescent="0.3">
      <c r="C313">
        <v>324</v>
      </c>
    </row>
    <row r="314" spans="3:3" x14ac:dyDescent="0.3">
      <c r="C314">
        <v>325</v>
      </c>
    </row>
    <row r="315" spans="3:3" x14ac:dyDescent="0.3">
      <c r="C315">
        <v>326</v>
      </c>
    </row>
    <row r="316" spans="3:3" x14ac:dyDescent="0.3">
      <c r="C316">
        <v>327</v>
      </c>
    </row>
    <row r="317" spans="3:3" x14ac:dyDescent="0.3">
      <c r="C317">
        <v>328</v>
      </c>
    </row>
    <row r="318" spans="3:3" x14ac:dyDescent="0.3">
      <c r="C318">
        <v>329</v>
      </c>
    </row>
    <row r="319" spans="3:3" x14ac:dyDescent="0.3">
      <c r="C319">
        <v>330</v>
      </c>
    </row>
    <row r="320" spans="3:3" x14ac:dyDescent="0.3">
      <c r="C320">
        <v>331</v>
      </c>
    </row>
    <row r="321" spans="3:3" x14ac:dyDescent="0.3">
      <c r="C321">
        <v>332</v>
      </c>
    </row>
    <row r="322" spans="3:3" x14ac:dyDescent="0.3">
      <c r="C322">
        <v>333</v>
      </c>
    </row>
    <row r="323" spans="3:3" x14ac:dyDescent="0.3">
      <c r="C323">
        <v>334</v>
      </c>
    </row>
    <row r="324" spans="3:3" x14ac:dyDescent="0.3">
      <c r="C324">
        <v>335</v>
      </c>
    </row>
    <row r="325" spans="3:3" x14ac:dyDescent="0.3">
      <c r="C325">
        <v>336</v>
      </c>
    </row>
    <row r="326" spans="3:3" x14ac:dyDescent="0.3">
      <c r="C326">
        <v>337</v>
      </c>
    </row>
    <row r="327" spans="3:3" x14ac:dyDescent="0.3">
      <c r="C327">
        <v>338</v>
      </c>
    </row>
    <row r="328" spans="3:3" x14ac:dyDescent="0.3">
      <c r="C328">
        <v>339</v>
      </c>
    </row>
    <row r="329" spans="3:3" x14ac:dyDescent="0.3">
      <c r="C329">
        <v>340</v>
      </c>
    </row>
    <row r="330" spans="3:3" x14ac:dyDescent="0.3">
      <c r="C330">
        <v>341</v>
      </c>
    </row>
    <row r="331" spans="3:3" x14ac:dyDescent="0.3">
      <c r="C331">
        <v>342</v>
      </c>
    </row>
    <row r="332" spans="3:3" x14ac:dyDescent="0.3">
      <c r="C332">
        <v>343</v>
      </c>
    </row>
    <row r="333" spans="3:3" x14ac:dyDescent="0.3">
      <c r="C333">
        <v>344</v>
      </c>
    </row>
    <row r="334" spans="3:3" x14ac:dyDescent="0.3">
      <c r="C334">
        <v>345</v>
      </c>
    </row>
    <row r="335" spans="3:3" x14ac:dyDescent="0.3">
      <c r="C335">
        <v>346</v>
      </c>
    </row>
    <row r="336" spans="3:3" x14ac:dyDescent="0.3">
      <c r="C336">
        <v>347</v>
      </c>
    </row>
    <row r="337" spans="3:3" x14ac:dyDescent="0.3">
      <c r="C337">
        <v>348</v>
      </c>
    </row>
    <row r="338" spans="3:3" x14ac:dyDescent="0.3">
      <c r="C338">
        <v>349</v>
      </c>
    </row>
    <row r="339" spans="3:3" x14ac:dyDescent="0.3">
      <c r="C339">
        <v>350</v>
      </c>
    </row>
    <row r="340" spans="3:3" x14ac:dyDescent="0.3">
      <c r="C340">
        <v>351</v>
      </c>
    </row>
    <row r="341" spans="3:3" x14ac:dyDescent="0.3">
      <c r="C341">
        <v>352</v>
      </c>
    </row>
    <row r="342" spans="3:3" x14ac:dyDescent="0.3">
      <c r="C342">
        <v>353</v>
      </c>
    </row>
    <row r="343" spans="3:3" x14ac:dyDescent="0.3">
      <c r="C343">
        <v>354</v>
      </c>
    </row>
    <row r="344" spans="3:3" x14ac:dyDescent="0.3">
      <c r="C344">
        <v>355</v>
      </c>
    </row>
    <row r="345" spans="3:3" x14ac:dyDescent="0.3">
      <c r="C345">
        <v>356</v>
      </c>
    </row>
    <row r="346" spans="3:3" x14ac:dyDescent="0.3">
      <c r="C346">
        <v>357</v>
      </c>
    </row>
    <row r="347" spans="3:3" x14ac:dyDescent="0.3">
      <c r="C347">
        <v>358</v>
      </c>
    </row>
    <row r="348" spans="3:3" x14ac:dyDescent="0.3">
      <c r="C348">
        <v>359</v>
      </c>
    </row>
    <row r="349" spans="3:3" x14ac:dyDescent="0.3">
      <c r="C349">
        <v>360</v>
      </c>
    </row>
    <row r="350" spans="3:3" x14ac:dyDescent="0.3">
      <c r="C350">
        <v>361</v>
      </c>
    </row>
    <row r="351" spans="3:3" x14ac:dyDescent="0.3">
      <c r="C351">
        <v>362</v>
      </c>
    </row>
    <row r="352" spans="3:3" x14ac:dyDescent="0.3">
      <c r="C352">
        <v>363</v>
      </c>
    </row>
    <row r="353" spans="3:3" x14ac:dyDescent="0.3">
      <c r="C353">
        <v>364</v>
      </c>
    </row>
    <row r="354" spans="3:3" x14ac:dyDescent="0.3">
      <c r="C354">
        <v>365</v>
      </c>
    </row>
    <row r="355" spans="3:3" x14ac:dyDescent="0.3">
      <c r="C355">
        <v>366</v>
      </c>
    </row>
    <row r="356" spans="3:3" x14ac:dyDescent="0.3">
      <c r="C356">
        <v>367</v>
      </c>
    </row>
    <row r="357" spans="3:3" x14ac:dyDescent="0.3">
      <c r="C357">
        <v>368</v>
      </c>
    </row>
    <row r="358" spans="3:3" x14ac:dyDescent="0.3">
      <c r="C358">
        <v>369</v>
      </c>
    </row>
    <row r="359" spans="3:3" x14ac:dyDescent="0.3">
      <c r="C359">
        <v>370</v>
      </c>
    </row>
    <row r="360" spans="3:3" x14ac:dyDescent="0.3">
      <c r="C360">
        <v>371</v>
      </c>
    </row>
    <row r="361" spans="3:3" x14ac:dyDescent="0.3">
      <c r="C361">
        <v>372</v>
      </c>
    </row>
    <row r="362" spans="3:3" x14ac:dyDescent="0.3">
      <c r="C362">
        <v>373</v>
      </c>
    </row>
    <row r="363" spans="3:3" x14ac:dyDescent="0.3">
      <c r="C363">
        <v>374</v>
      </c>
    </row>
    <row r="364" spans="3:3" x14ac:dyDescent="0.3">
      <c r="C364">
        <v>375</v>
      </c>
    </row>
    <row r="365" spans="3:3" x14ac:dyDescent="0.3">
      <c r="C365">
        <v>376</v>
      </c>
    </row>
    <row r="366" spans="3:3" x14ac:dyDescent="0.3">
      <c r="C366">
        <v>377</v>
      </c>
    </row>
    <row r="367" spans="3:3" x14ac:dyDescent="0.3">
      <c r="C367">
        <v>378</v>
      </c>
    </row>
    <row r="368" spans="3:3" x14ac:dyDescent="0.3">
      <c r="C368">
        <v>379</v>
      </c>
    </row>
    <row r="369" spans="3:3" x14ac:dyDescent="0.3">
      <c r="C369">
        <v>380</v>
      </c>
    </row>
    <row r="370" spans="3:3" x14ac:dyDescent="0.3">
      <c r="C370">
        <v>381</v>
      </c>
    </row>
    <row r="371" spans="3:3" x14ac:dyDescent="0.3">
      <c r="C371">
        <v>382</v>
      </c>
    </row>
    <row r="372" spans="3:3" x14ac:dyDescent="0.3">
      <c r="C372">
        <v>383</v>
      </c>
    </row>
    <row r="373" spans="3:3" x14ac:dyDescent="0.3">
      <c r="C373">
        <v>384</v>
      </c>
    </row>
    <row r="374" spans="3:3" x14ac:dyDescent="0.3">
      <c r="C374">
        <v>385</v>
      </c>
    </row>
    <row r="375" spans="3:3" x14ac:dyDescent="0.3">
      <c r="C375">
        <v>386</v>
      </c>
    </row>
    <row r="376" spans="3:3" x14ac:dyDescent="0.3">
      <c r="C376">
        <v>387</v>
      </c>
    </row>
    <row r="377" spans="3:3" x14ac:dyDescent="0.3">
      <c r="C377">
        <v>388</v>
      </c>
    </row>
    <row r="378" spans="3:3" x14ac:dyDescent="0.3">
      <c r="C378">
        <v>389</v>
      </c>
    </row>
    <row r="379" spans="3:3" x14ac:dyDescent="0.3">
      <c r="C379">
        <v>390</v>
      </c>
    </row>
    <row r="380" spans="3:3" x14ac:dyDescent="0.3">
      <c r="C380">
        <v>391</v>
      </c>
    </row>
    <row r="381" spans="3:3" x14ac:dyDescent="0.3">
      <c r="C381">
        <v>392</v>
      </c>
    </row>
    <row r="382" spans="3:3" x14ac:dyDescent="0.3">
      <c r="C382">
        <v>393</v>
      </c>
    </row>
    <row r="383" spans="3:3" x14ac:dyDescent="0.3">
      <c r="C383">
        <v>394</v>
      </c>
    </row>
    <row r="384" spans="3:3" x14ac:dyDescent="0.3">
      <c r="C384">
        <v>395</v>
      </c>
    </row>
    <row r="385" spans="3:3" x14ac:dyDescent="0.3">
      <c r="C385">
        <v>396</v>
      </c>
    </row>
    <row r="386" spans="3:3" x14ac:dyDescent="0.3">
      <c r="C386">
        <v>397</v>
      </c>
    </row>
    <row r="387" spans="3:3" x14ac:dyDescent="0.3">
      <c r="C387">
        <v>398</v>
      </c>
    </row>
    <row r="388" spans="3:3" x14ac:dyDescent="0.3">
      <c r="C388">
        <v>399</v>
      </c>
    </row>
    <row r="389" spans="3:3" x14ac:dyDescent="0.3">
      <c r="C389">
        <v>400</v>
      </c>
    </row>
    <row r="390" spans="3:3" x14ac:dyDescent="0.3">
      <c r="C390">
        <v>401</v>
      </c>
    </row>
    <row r="391" spans="3:3" x14ac:dyDescent="0.3">
      <c r="C391">
        <v>402</v>
      </c>
    </row>
    <row r="392" spans="3:3" x14ac:dyDescent="0.3">
      <c r="C392">
        <v>403</v>
      </c>
    </row>
    <row r="393" spans="3:3" x14ac:dyDescent="0.3">
      <c r="C393">
        <v>404</v>
      </c>
    </row>
    <row r="394" spans="3:3" x14ac:dyDescent="0.3">
      <c r="C394">
        <v>405</v>
      </c>
    </row>
    <row r="395" spans="3:3" x14ac:dyDescent="0.3">
      <c r="C395">
        <v>406</v>
      </c>
    </row>
    <row r="396" spans="3:3" x14ac:dyDescent="0.3">
      <c r="C396">
        <v>407</v>
      </c>
    </row>
    <row r="397" spans="3:3" x14ac:dyDescent="0.3">
      <c r="C397">
        <v>408</v>
      </c>
    </row>
    <row r="398" spans="3:3" x14ac:dyDescent="0.3">
      <c r="C398">
        <v>409</v>
      </c>
    </row>
    <row r="399" spans="3:3" x14ac:dyDescent="0.3">
      <c r="C399">
        <v>410</v>
      </c>
    </row>
    <row r="400" spans="3:3" x14ac:dyDescent="0.3">
      <c r="C400">
        <v>411</v>
      </c>
    </row>
    <row r="401" spans="3:3" x14ac:dyDescent="0.3">
      <c r="C401">
        <v>412</v>
      </c>
    </row>
    <row r="402" spans="3:3" x14ac:dyDescent="0.3">
      <c r="C402">
        <v>413</v>
      </c>
    </row>
    <row r="403" spans="3:3" x14ac:dyDescent="0.3">
      <c r="C403">
        <v>414</v>
      </c>
    </row>
    <row r="404" spans="3:3" x14ac:dyDescent="0.3">
      <c r="C404">
        <v>415</v>
      </c>
    </row>
    <row r="405" spans="3:3" x14ac:dyDescent="0.3">
      <c r="C405">
        <v>416</v>
      </c>
    </row>
    <row r="406" spans="3:3" x14ac:dyDescent="0.3">
      <c r="C406">
        <v>417</v>
      </c>
    </row>
    <row r="407" spans="3:3" x14ac:dyDescent="0.3">
      <c r="C407">
        <v>418</v>
      </c>
    </row>
    <row r="408" spans="3:3" x14ac:dyDescent="0.3">
      <c r="C408">
        <v>419</v>
      </c>
    </row>
    <row r="409" spans="3:3" x14ac:dyDescent="0.3">
      <c r="C409">
        <v>420</v>
      </c>
    </row>
    <row r="410" spans="3:3" x14ac:dyDescent="0.3">
      <c r="C410">
        <v>421</v>
      </c>
    </row>
    <row r="411" spans="3:3" x14ac:dyDescent="0.3">
      <c r="C411">
        <v>422</v>
      </c>
    </row>
    <row r="412" spans="3:3" x14ac:dyDescent="0.3">
      <c r="C412">
        <v>423</v>
      </c>
    </row>
    <row r="413" spans="3:3" x14ac:dyDescent="0.3">
      <c r="C413">
        <v>424</v>
      </c>
    </row>
    <row r="414" spans="3:3" x14ac:dyDescent="0.3">
      <c r="C414">
        <v>425</v>
      </c>
    </row>
    <row r="415" spans="3:3" x14ac:dyDescent="0.3">
      <c r="C415">
        <v>426</v>
      </c>
    </row>
    <row r="416" spans="3:3" x14ac:dyDescent="0.3">
      <c r="C416">
        <v>427</v>
      </c>
    </row>
    <row r="417" spans="3:3" x14ac:dyDescent="0.3">
      <c r="C417">
        <v>428</v>
      </c>
    </row>
    <row r="418" spans="3:3" x14ac:dyDescent="0.3">
      <c r="C418">
        <v>429</v>
      </c>
    </row>
    <row r="419" spans="3:3" x14ac:dyDescent="0.3">
      <c r="C419">
        <v>430</v>
      </c>
    </row>
    <row r="420" spans="3:3" x14ac:dyDescent="0.3">
      <c r="C420">
        <v>431</v>
      </c>
    </row>
    <row r="421" spans="3:3" x14ac:dyDescent="0.3">
      <c r="C421">
        <v>432</v>
      </c>
    </row>
    <row r="422" spans="3:3" x14ac:dyDescent="0.3">
      <c r="C422">
        <v>433</v>
      </c>
    </row>
    <row r="423" spans="3:3" x14ac:dyDescent="0.3">
      <c r="C423">
        <v>434</v>
      </c>
    </row>
    <row r="424" spans="3:3" x14ac:dyDescent="0.3">
      <c r="C424">
        <v>435</v>
      </c>
    </row>
    <row r="425" spans="3:3" x14ac:dyDescent="0.3">
      <c r="C425">
        <v>436</v>
      </c>
    </row>
    <row r="426" spans="3:3" x14ac:dyDescent="0.3">
      <c r="C426">
        <v>437</v>
      </c>
    </row>
    <row r="427" spans="3:3" x14ac:dyDescent="0.3">
      <c r="C427">
        <v>438</v>
      </c>
    </row>
    <row r="428" spans="3:3" x14ac:dyDescent="0.3">
      <c r="C428">
        <v>439</v>
      </c>
    </row>
    <row r="429" spans="3:3" x14ac:dyDescent="0.3">
      <c r="C429">
        <v>440</v>
      </c>
    </row>
    <row r="430" spans="3:3" x14ac:dyDescent="0.3">
      <c r="C430">
        <v>441</v>
      </c>
    </row>
    <row r="431" spans="3:3" x14ac:dyDescent="0.3">
      <c r="C431">
        <v>442</v>
      </c>
    </row>
    <row r="432" spans="3:3" x14ac:dyDescent="0.3">
      <c r="C432">
        <v>443</v>
      </c>
    </row>
    <row r="433" spans="3:3" x14ac:dyDescent="0.3">
      <c r="C433">
        <v>444</v>
      </c>
    </row>
    <row r="434" spans="3:3" x14ac:dyDescent="0.3">
      <c r="C434">
        <v>445</v>
      </c>
    </row>
    <row r="435" spans="3:3" x14ac:dyDescent="0.3">
      <c r="C435">
        <v>446</v>
      </c>
    </row>
    <row r="436" spans="3:3" x14ac:dyDescent="0.3">
      <c r="C436">
        <v>447</v>
      </c>
    </row>
    <row r="437" spans="3:3" x14ac:dyDescent="0.3">
      <c r="C437">
        <v>448</v>
      </c>
    </row>
    <row r="438" spans="3:3" x14ac:dyDescent="0.3">
      <c r="C438">
        <v>449</v>
      </c>
    </row>
    <row r="439" spans="3:3" x14ac:dyDescent="0.3">
      <c r="C439">
        <v>450</v>
      </c>
    </row>
    <row r="440" spans="3:3" x14ac:dyDescent="0.3">
      <c r="C440">
        <v>451</v>
      </c>
    </row>
    <row r="441" spans="3:3" x14ac:dyDescent="0.3">
      <c r="C441">
        <v>452</v>
      </c>
    </row>
    <row r="442" spans="3:3" x14ac:dyDescent="0.3">
      <c r="C442">
        <v>453</v>
      </c>
    </row>
    <row r="443" spans="3:3" x14ac:dyDescent="0.3">
      <c r="C443">
        <v>454</v>
      </c>
    </row>
    <row r="444" spans="3:3" x14ac:dyDescent="0.3">
      <c r="C444">
        <v>455</v>
      </c>
    </row>
    <row r="445" spans="3:3" x14ac:dyDescent="0.3">
      <c r="C445">
        <v>456</v>
      </c>
    </row>
    <row r="446" spans="3:3" x14ac:dyDescent="0.3">
      <c r="C446">
        <v>457</v>
      </c>
    </row>
    <row r="447" spans="3:3" x14ac:dyDescent="0.3">
      <c r="C447">
        <v>458</v>
      </c>
    </row>
    <row r="448" spans="3:3" x14ac:dyDescent="0.3">
      <c r="C448">
        <v>459</v>
      </c>
    </row>
    <row r="449" spans="3:3" x14ac:dyDescent="0.3">
      <c r="C449">
        <v>460</v>
      </c>
    </row>
    <row r="450" spans="3:3" x14ac:dyDescent="0.3">
      <c r="C450">
        <v>461</v>
      </c>
    </row>
    <row r="451" spans="3:3" x14ac:dyDescent="0.3">
      <c r="C451">
        <v>462</v>
      </c>
    </row>
    <row r="452" spans="3:3" x14ac:dyDescent="0.3">
      <c r="C452">
        <v>463</v>
      </c>
    </row>
    <row r="453" spans="3:3" x14ac:dyDescent="0.3">
      <c r="C453">
        <v>464</v>
      </c>
    </row>
    <row r="454" spans="3:3" x14ac:dyDescent="0.3">
      <c r="C454">
        <v>465</v>
      </c>
    </row>
    <row r="455" spans="3:3" x14ac:dyDescent="0.3">
      <c r="C455">
        <v>466</v>
      </c>
    </row>
    <row r="456" spans="3:3" x14ac:dyDescent="0.3">
      <c r="C456">
        <v>467</v>
      </c>
    </row>
    <row r="457" spans="3:3" x14ac:dyDescent="0.3">
      <c r="C457">
        <v>468</v>
      </c>
    </row>
    <row r="458" spans="3:3" x14ac:dyDescent="0.3">
      <c r="C458">
        <v>469</v>
      </c>
    </row>
    <row r="459" spans="3:3" x14ac:dyDescent="0.3">
      <c r="C459">
        <v>470</v>
      </c>
    </row>
    <row r="460" spans="3:3" x14ac:dyDescent="0.3">
      <c r="C460">
        <v>471</v>
      </c>
    </row>
    <row r="461" spans="3:3" x14ac:dyDescent="0.3">
      <c r="C461">
        <v>472</v>
      </c>
    </row>
    <row r="462" spans="3:3" x14ac:dyDescent="0.3">
      <c r="C462">
        <v>473</v>
      </c>
    </row>
    <row r="463" spans="3:3" x14ac:dyDescent="0.3">
      <c r="C463">
        <v>474</v>
      </c>
    </row>
    <row r="464" spans="3:3" x14ac:dyDescent="0.3">
      <c r="C464">
        <v>475</v>
      </c>
    </row>
    <row r="465" spans="3:3" x14ac:dyDescent="0.3">
      <c r="C465">
        <v>476</v>
      </c>
    </row>
    <row r="466" spans="3:3" x14ac:dyDescent="0.3">
      <c r="C466">
        <v>477</v>
      </c>
    </row>
    <row r="467" spans="3:3" x14ac:dyDescent="0.3">
      <c r="C467">
        <v>478</v>
      </c>
    </row>
    <row r="468" spans="3:3" x14ac:dyDescent="0.3">
      <c r="C468">
        <v>479</v>
      </c>
    </row>
    <row r="469" spans="3:3" x14ac:dyDescent="0.3">
      <c r="C469">
        <v>480</v>
      </c>
    </row>
    <row r="470" spans="3:3" x14ac:dyDescent="0.3">
      <c r="C470">
        <v>481</v>
      </c>
    </row>
    <row r="471" spans="3:3" x14ac:dyDescent="0.3">
      <c r="C471">
        <v>482</v>
      </c>
    </row>
    <row r="472" spans="3:3" x14ac:dyDescent="0.3">
      <c r="C472">
        <v>483</v>
      </c>
    </row>
    <row r="473" spans="3:3" x14ac:dyDescent="0.3">
      <c r="C473">
        <v>484</v>
      </c>
    </row>
    <row r="474" spans="3:3" x14ac:dyDescent="0.3">
      <c r="C474">
        <v>485</v>
      </c>
    </row>
    <row r="475" spans="3:3" x14ac:dyDescent="0.3">
      <c r="C475">
        <v>486</v>
      </c>
    </row>
    <row r="476" spans="3:3" x14ac:dyDescent="0.3">
      <c r="C476">
        <v>487</v>
      </c>
    </row>
    <row r="477" spans="3:3" x14ac:dyDescent="0.3">
      <c r="C477">
        <v>488</v>
      </c>
    </row>
    <row r="478" spans="3:3" x14ac:dyDescent="0.3">
      <c r="C478">
        <v>489</v>
      </c>
    </row>
    <row r="479" spans="3:3" x14ac:dyDescent="0.3">
      <c r="C479">
        <v>490</v>
      </c>
    </row>
    <row r="480" spans="3:3" x14ac:dyDescent="0.3">
      <c r="C480">
        <v>491</v>
      </c>
    </row>
    <row r="481" spans="3:3" x14ac:dyDescent="0.3">
      <c r="C481">
        <v>492</v>
      </c>
    </row>
    <row r="482" spans="3:3" x14ac:dyDescent="0.3">
      <c r="C482">
        <v>493</v>
      </c>
    </row>
    <row r="483" spans="3:3" x14ac:dyDescent="0.3">
      <c r="C483">
        <v>494</v>
      </c>
    </row>
    <row r="484" spans="3:3" x14ac:dyDescent="0.3">
      <c r="C484">
        <v>495</v>
      </c>
    </row>
    <row r="485" spans="3:3" x14ac:dyDescent="0.3">
      <c r="C485">
        <v>496</v>
      </c>
    </row>
    <row r="486" spans="3:3" x14ac:dyDescent="0.3">
      <c r="C486">
        <v>497</v>
      </c>
    </row>
    <row r="487" spans="3:3" x14ac:dyDescent="0.3">
      <c r="C487">
        <v>498</v>
      </c>
    </row>
    <row r="488" spans="3:3" x14ac:dyDescent="0.3">
      <c r="C488">
        <v>499</v>
      </c>
    </row>
    <row r="489" spans="3:3" x14ac:dyDescent="0.3">
      <c r="C489">
        <v>500</v>
      </c>
    </row>
    <row r="490" spans="3:3" x14ac:dyDescent="0.3">
      <c r="C490">
        <v>501</v>
      </c>
    </row>
    <row r="491" spans="3:3" x14ac:dyDescent="0.3">
      <c r="C491">
        <v>502</v>
      </c>
    </row>
    <row r="492" spans="3:3" x14ac:dyDescent="0.3">
      <c r="C492">
        <v>503</v>
      </c>
    </row>
    <row r="493" spans="3:3" x14ac:dyDescent="0.3">
      <c r="C493">
        <v>504</v>
      </c>
    </row>
    <row r="494" spans="3:3" x14ac:dyDescent="0.3">
      <c r="C494">
        <v>505</v>
      </c>
    </row>
  </sheetData>
  <sheetProtection selectLockedCells="1"/>
  <mergeCells count="1">
    <mergeCell ref="B1:C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</sheetPr>
  <dimension ref="A1:O57"/>
  <sheetViews>
    <sheetView showGridLines="0" topLeftCell="B1" zoomScale="80" zoomScaleNormal="80" workbookViewId="0">
      <selection activeCell="F21" sqref="F21"/>
    </sheetView>
  </sheetViews>
  <sheetFormatPr baseColWidth="10" defaultRowHeight="14" x14ac:dyDescent="0.3"/>
  <cols>
    <col min="1" max="1" width="31.25" bestFit="1" customWidth="1"/>
    <col min="2" max="2" width="25.25" customWidth="1"/>
    <col min="3" max="3" width="13.25" style="157" customWidth="1"/>
    <col min="4" max="4" width="36.08203125" bestFit="1" customWidth="1"/>
    <col min="5" max="5" width="22.75" bestFit="1" customWidth="1"/>
    <col min="6" max="6" width="30.75" bestFit="1" customWidth="1"/>
    <col min="7" max="7" width="20.25" bestFit="1" customWidth="1"/>
    <col min="8" max="8" width="19.08203125" customWidth="1"/>
    <col min="9" max="9" width="12.25" bestFit="1" customWidth="1"/>
    <col min="10" max="10" width="13.5" customWidth="1"/>
    <col min="11" max="11" width="25.25" bestFit="1" customWidth="1"/>
    <col min="12" max="15" width="11" style="39"/>
  </cols>
  <sheetData>
    <row r="1" spans="1:14" ht="15" customHeight="1" x14ac:dyDescent="0.3">
      <c r="C1" s="73"/>
      <c r="D1" s="344" t="s">
        <v>188</v>
      </c>
      <c r="E1" s="344"/>
      <c r="F1" s="344"/>
      <c r="G1" s="344"/>
      <c r="H1" s="23"/>
      <c r="I1" s="23"/>
      <c r="K1" s="23"/>
    </row>
    <row r="2" spans="1:14" x14ac:dyDescent="0.3">
      <c r="A2" s="31" t="s">
        <v>19</v>
      </c>
      <c r="B2" s="26"/>
      <c r="C2" s="103" t="s">
        <v>147</v>
      </c>
      <c r="D2" s="27" t="str">
        <f>'Input_pre- et post-traitements'!A3</f>
        <v>Pré et post-traitement</v>
      </c>
      <c r="E2" s="27" t="str">
        <f>Input_exploitation!A3</f>
        <v xml:space="preserve">Distance de la ferme à la parcelle*  </v>
      </c>
      <c r="F2" s="27" t="s">
        <v>189</v>
      </c>
      <c r="G2" s="27" t="s">
        <v>190</v>
      </c>
      <c r="H2" s="27" t="s">
        <v>191</v>
      </c>
      <c r="I2" s="27" t="s">
        <v>192</v>
      </c>
      <c r="J2" s="27" t="s">
        <v>193</v>
      </c>
      <c r="K2" s="27" t="s">
        <v>194</v>
      </c>
    </row>
    <row r="3" spans="1:14" x14ac:dyDescent="0.3">
      <c r="A3" s="342" t="s">
        <v>27</v>
      </c>
      <c r="B3" s="27" t="s">
        <v>178</v>
      </c>
      <c r="C3" s="104">
        <f>'Input_pre- et post-traitements'!H4</f>
        <v>0</v>
      </c>
      <c r="D3" s="32">
        <f>((SUM('Input_pre- et post-traitements'!B4:B8)/60))/'Input_pre- et post-traitements'!J5</f>
        <v>0.19444444444444445</v>
      </c>
      <c r="E3" s="32">
        <f>((Input_exploitation!$B$3/Input_exploitation!$B$6)/'Input_pre- et post-traitements'!J5)</f>
        <v>1.3333333333333334E-2</v>
      </c>
      <c r="F3" s="32">
        <f>(((((Input_exploitation!$B$7+Input_machines!$P$5)*Input_machines!$Q$5*Input_exploitation!$B$8)/1000))/Input_machines!$I$5+(Input_exploitation!$B$11*(Input_exploitation!$B$7*Input_machines!$Q$5)-Input_machines!$R$5)/3600)/Input_exploitation!$B$10</f>
        <v>0.57777777777777772</v>
      </c>
      <c r="G3" s="32">
        <f>SUM(D3:F3)</f>
        <v>0.78555555555555556</v>
      </c>
      <c r="H3" s="32">
        <f>C3*G3</f>
        <v>0</v>
      </c>
      <c r="I3" s="32">
        <f>Input_exploitation!B4</f>
        <v>24</v>
      </c>
      <c r="J3" s="32"/>
      <c r="K3" s="32">
        <f>H3*I3</f>
        <v>0</v>
      </c>
    </row>
    <row r="4" spans="1:14" x14ac:dyDescent="0.3">
      <c r="A4" s="342"/>
      <c r="B4" s="27" t="s">
        <v>179</v>
      </c>
      <c r="C4" s="104">
        <f>'Input_pre- et post-traitements'!H4</f>
        <v>0</v>
      </c>
      <c r="D4" s="32">
        <f>((SUM('Input_pre- et post-traitements'!D7:D8)/60)/'Input_pre- et post-traitements'!J5)</f>
        <v>8.3333333333333329E-2</v>
      </c>
      <c r="E4" s="32">
        <f>((Input_exploitation!$B$3/Input_exploitation!$B$6)/'Input_pre- et post-traitements'!J5)</f>
        <v>1.3333333333333334E-2</v>
      </c>
      <c r="F4" s="32">
        <f>(((((Input_exploitation!$B$7+Input_machines!$P$5)*Input_machines!$Q$5*Input_exploitation!$B$8)/1000))/Input_machines!$I$5+(Input_exploitation!$B$11*(Input_exploitation!$B$7*Input_machines!$Q$5)-Input_machines!$R$5)/3600)/Input_exploitation!$B$10</f>
        <v>0.57777777777777772</v>
      </c>
      <c r="G4" s="32">
        <f>SUM(D4:F4)</f>
        <v>0.6744444444444444</v>
      </c>
      <c r="H4" s="32">
        <f>C4*G4</f>
        <v>0</v>
      </c>
      <c r="I4" s="32">
        <f>IF(H4=0,0,Input_masch_couts_herbicides!D28+(Input_masch_couts_herbicides!F28+Input_masch_couts_herbicides!H28)/calculs!G4)</f>
        <v>0</v>
      </c>
      <c r="J4" s="32"/>
      <c r="K4" s="32">
        <f>H4*I4</f>
        <v>0</v>
      </c>
    </row>
    <row r="5" spans="1:14" x14ac:dyDescent="0.3">
      <c r="A5" s="342"/>
      <c r="B5" s="27" t="s">
        <v>180</v>
      </c>
      <c r="C5" s="104">
        <f>'Input_pre- et post-traitements'!H5</f>
        <v>0</v>
      </c>
      <c r="D5" s="32"/>
      <c r="E5" s="32"/>
      <c r="F5" s="32"/>
      <c r="G5" s="32"/>
      <c r="H5" s="32"/>
      <c r="I5" s="32"/>
      <c r="J5" s="32">
        <f>Input_herbicides!D6</f>
        <v>0</v>
      </c>
      <c r="K5" s="33">
        <f>IF(C5=0,0,J5)</f>
        <v>0</v>
      </c>
    </row>
    <row r="6" spans="1:14" x14ac:dyDescent="0.3">
      <c r="A6" s="342"/>
      <c r="B6" s="27" t="s">
        <v>181</v>
      </c>
      <c r="C6" s="104"/>
      <c r="D6" s="32"/>
      <c r="E6" s="32"/>
      <c r="F6" s="32"/>
      <c r="G6" s="32"/>
      <c r="H6" s="32"/>
      <c r="I6" s="32"/>
      <c r="J6" s="32"/>
      <c r="K6" s="33">
        <f>K3+K4+K5</f>
        <v>0</v>
      </c>
    </row>
    <row r="7" spans="1:14" ht="15" customHeight="1" x14ac:dyDescent="0.3">
      <c r="A7" s="343" t="s">
        <v>30</v>
      </c>
      <c r="B7" s="29" t="str">
        <f>B3</f>
        <v>Coûts du travail</v>
      </c>
      <c r="C7" s="105"/>
      <c r="D7" s="34"/>
      <c r="E7" s="34"/>
      <c r="F7" s="34"/>
      <c r="G7" s="34"/>
      <c r="H7" s="34"/>
      <c r="I7" s="34"/>
      <c r="J7" s="34"/>
      <c r="K7" s="34"/>
    </row>
    <row r="8" spans="1:14" ht="15" customHeight="1" x14ac:dyDescent="0.3">
      <c r="A8" s="343"/>
      <c r="B8" s="30" t="str">
        <f>Input_machines!A8</f>
        <v>Sarcleuse pour rangée d'arbres</v>
      </c>
      <c r="C8" s="105">
        <f>'Input_pre- et post-traitements'!$H$12</f>
        <v>0</v>
      </c>
      <c r="D8" s="34">
        <f>(('Input_pre- et post-traitements'!$B$12)/60)/'Input_pre- et post-traitements'!J12+(('Input_pre- et post-traitements'!$B$13)/60)/'Input_pre- et post-traitements'!J12</f>
        <v>0.16666666666666666</v>
      </c>
      <c r="E8" s="34">
        <f>((Input_exploitation!$B$3/Input_exploitation!$B$6)/'Input_pre- et post-traitements'!J12)</f>
        <v>1.3333333333333334E-2</v>
      </c>
      <c r="F8" s="34">
        <f>(((((Input_exploitation!$B$7+Input_machines!P8)*Input_machines!Q8*Input_exploitation!$B$8)/1000))/Input_machines!$I$8+(Input_exploitation!$B$11*(Input_exploitation!$B$7*Input_machines!Q8)-Input_machines!R8)/3600)/Input_exploitation!$B$10</f>
        <v>1.5682539682539682</v>
      </c>
      <c r="G8" s="34">
        <f>SUM(D8:F8)</f>
        <v>1.7482539682539682</v>
      </c>
      <c r="H8" s="34">
        <f>C8*G8</f>
        <v>0</v>
      </c>
      <c r="I8" s="34">
        <f>Input_exploitation!$B$5</f>
        <v>35</v>
      </c>
      <c r="J8" s="34"/>
      <c r="K8" s="34">
        <f>H8*I8</f>
        <v>0</v>
      </c>
      <c r="N8" s="122"/>
    </row>
    <row r="9" spans="1:14" ht="15" customHeight="1" x14ac:dyDescent="0.3">
      <c r="A9" s="343"/>
      <c r="B9" s="30" t="str">
        <f>Input_machines!A9</f>
        <v>Faucheuse à fils</v>
      </c>
      <c r="C9" s="105">
        <f>'Input_pre- et post-traitements'!H13</f>
        <v>0</v>
      </c>
      <c r="D9" s="34">
        <f>((SUM('Input_pre- et post-traitements'!$B$11:$B$12)/60))/'Input_pre- et post-traitements'!J13</f>
        <v>0.16666666666666666</v>
      </c>
      <c r="E9" s="34">
        <f>((Input_exploitation!$B$3/Input_exploitation!$B$6)/'Input_pre- et post-traitements'!J13)</f>
        <v>1.3333333333333334E-2</v>
      </c>
      <c r="F9" s="34">
        <f>(((((Input_exploitation!$B$7+Input_machines!$P$9)*Input_machines!$Q$9*Input_exploitation!$B$8)/1000))/Input_machines!$I$9+(Input_exploitation!$B$11*(Input_exploitation!$B$7*Input_machines!$Q$9)-Input_machines!$R$9)/3600)/Input_exploitation!$B$10</f>
        <v>0.57777777777777772</v>
      </c>
      <c r="G9" s="34">
        <f>SUM(D9:F9)</f>
        <v>0.75777777777777766</v>
      </c>
      <c r="H9" s="34">
        <f>C9*G9</f>
        <v>0</v>
      </c>
      <c r="I9" s="34">
        <f>Input_exploitation!$B$4</f>
        <v>24</v>
      </c>
      <c r="J9" s="34"/>
      <c r="K9" s="34">
        <f>H9*I9</f>
        <v>0</v>
      </c>
      <c r="N9" s="122"/>
    </row>
    <row r="10" spans="1:14" ht="15" customHeight="1" x14ac:dyDescent="0.3">
      <c r="A10" s="343"/>
      <c r="B10" s="30" t="str">
        <f>Input_machines!A10</f>
        <v xml:space="preserve">Disque émotteur avec étoile bineuse </v>
      </c>
      <c r="C10" s="105">
        <f>'Input_pre- et post-traitements'!H14</f>
        <v>0</v>
      </c>
      <c r="D10" s="34">
        <f>((('Input_pre- et post-traitements'!$B$12)/60))/'Input_pre- et post-traitements'!$J14</f>
        <v>8.3333333333333329E-2</v>
      </c>
      <c r="E10" s="34">
        <f>((Input_exploitation!$B$3/Input_exploitation!$B$6)/'Input_pre- et post-traitements'!$J14)</f>
        <v>1.3333333333333334E-2</v>
      </c>
      <c r="F10" s="34">
        <f>(((((Input_exploitation!$B$7+Input_machines!$P$10)*Input_machines!$Q$10*Input_exploitation!$B$8)/1000))/Input_machines!$I$10+(Input_exploitation!$B$11*(Input_exploitation!$B$7*Input_machines!$Q$10)-Input_machines!$R$10)/3600)/Input_exploitation!$B$10</f>
        <v>0.50702947845804991</v>
      </c>
      <c r="G10" s="34">
        <f>SUM(D10:F10)</f>
        <v>0.60369614512471659</v>
      </c>
      <c r="H10" s="34">
        <f>C10*G10</f>
        <v>0</v>
      </c>
      <c r="I10" s="34">
        <f>Input_exploitation!$B$4</f>
        <v>24</v>
      </c>
      <c r="J10" s="34"/>
      <c r="K10" s="34">
        <f>H10*I10</f>
        <v>0</v>
      </c>
      <c r="N10" s="122"/>
    </row>
    <row r="11" spans="1:14" ht="15" customHeight="1" x14ac:dyDescent="0.3">
      <c r="A11" s="343"/>
      <c r="B11" s="29" t="s">
        <v>184</v>
      </c>
      <c r="C11" s="105">
        <f>SUM(C8:C10)</f>
        <v>0</v>
      </c>
      <c r="D11" s="34"/>
      <c r="E11" s="34"/>
      <c r="F11" s="34"/>
      <c r="G11" s="34"/>
      <c r="H11" s="34"/>
      <c r="I11" s="34"/>
      <c r="J11" s="34"/>
      <c r="K11" s="35">
        <f>SUM(K8:K10)</f>
        <v>0</v>
      </c>
      <c r="N11" s="122"/>
    </row>
    <row r="12" spans="1:14" x14ac:dyDescent="0.3">
      <c r="A12" s="343"/>
      <c r="B12" s="29" t="s">
        <v>182</v>
      </c>
      <c r="C12" s="105"/>
      <c r="D12" s="34"/>
      <c r="E12" s="34"/>
      <c r="F12" s="34"/>
      <c r="G12" s="34"/>
      <c r="H12" s="34"/>
      <c r="I12" s="34"/>
      <c r="J12" s="34"/>
      <c r="K12" s="34"/>
    </row>
    <row r="13" spans="1:14" x14ac:dyDescent="0.3">
      <c r="A13" s="343"/>
      <c r="B13" s="30" t="str">
        <f>B8</f>
        <v>Sarcleuse pour rangée d'arbres</v>
      </c>
      <c r="C13" s="105">
        <f>'Input_pre- et post-traitements'!H12</f>
        <v>0</v>
      </c>
      <c r="D13" s="34">
        <f>(('Input_pre- et post-traitements'!D12)/60)/'Input_pre- et post-traitements'!J12</f>
        <v>8.3333333333333329E-2</v>
      </c>
      <c r="E13" s="34">
        <f>((Input_exploitation!$B$3/Input_exploitation!$B$6)/'Input_pre- et post-traitements'!J12)</f>
        <v>1.3333333333333334E-2</v>
      </c>
      <c r="F13" s="34">
        <f>(((((Input_exploitation!$B$7+Input_machines!P8)*Input_machines!Q8*Input_exploitation!$B$8)/1000))/Input_machines!$I$8+(Input_exploitation!$B$11*(Input_exploitation!$B$7*Input_machines!Q8)-Input_machines!R8)/3600)/Input_exploitation!$B$10</f>
        <v>1.5682539682539682</v>
      </c>
      <c r="G13" s="34">
        <f>SUM(D13:F13)</f>
        <v>1.6649206349206349</v>
      </c>
      <c r="H13" s="34">
        <f>C13*G13</f>
        <v>0</v>
      </c>
      <c r="I13" s="34">
        <f>IF(H13=0,0,Input_Masch_couts__meche1!$D$28+((Input_Masch_couts__meche1!$F$28)/calculs!G13))</f>
        <v>0</v>
      </c>
      <c r="J13" s="34"/>
      <c r="K13" s="34">
        <f>(H13*I13)</f>
        <v>0</v>
      </c>
    </row>
    <row r="14" spans="1:14" x14ac:dyDescent="0.3">
      <c r="A14" s="343"/>
      <c r="B14" s="30" t="str">
        <f t="shared" ref="B14:B15" si="0">B9</f>
        <v>Faucheuse à fils</v>
      </c>
      <c r="C14" s="105">
        <f>'Input_pre- et post-traitements'!H13</f>
        <v>0</v>
      </c>
      <c r="D14" s="34">
        <f>(('Input_pre- et post-traitements'!D12)/60)/'Input_pre- et post-traitements'!J13</f>
        <v>8.3333333333333329E-2</v>
      </c>
      <c r="E14" s="34">
        <f>((Input_exploitation!$B$3/Input_exploitation!$B$6)/'Input_pre- et post-traitements'!J13)</f>
        <v>1.3333333333333334E-2</v>
      </c>
      <c r="F14" s="34">
        <f>(((((Input_exploitation!$B$7+Input_machines!$P$9)*Input_machines!$Q$9*Input_exploitation!$B$8)/1000))/Input_machines!$I$9+(Input_exploitation!$B$11*(Input_exploitation!$B$7*Input_machines!$Q$9)-Input_machines!$R$9)/3600)/Input_exploitation!$B$10</f>
        <v>0.57777777777777772</v>
      </c>
      <c r="G14" s="34">
        <f>SUM(D14:F14)</f>
        <v>0.6744444444444444</v>
      </c>
      <c r="H14" s="34">
        <f>C14*G14</f>
        <v>0</v>
      </c>
      <c r="I14" s="34">
        <f>IF(H14=0,0,Input_Masch_couts__meche1!$D$28+((Input_Masch_couts__meche1!$H$28)/calculs!G14))</f>
        <v>0</v>
      </c>
      <c r="J14" s="34"/>
      <c r="K14" s="34">
        <f>(H14*I14)</f>
        <v>0</v>
      </c>
    </row>
    <row r="15" spans="1:14" x14ac:dyDescent="0.3">
      <c r="A15" s="343"/>
      <c r="B15" s="30" t="str">
        <f t="shared" si="0"/>
        <v xml:space="preserve">Disque émotteur avec étoile bineuse </v>
      </c>
      <c r="C15" s="105">
        <f>'Input_pre- et post-traitements'!H14</f>
        <v>0</v>
      </c>
      <c r="D15" s="34">
        <f>(('Input_pre- et post-traitements'!D12)/60)/'Input_pre- et post-traitements'!J14</f>
        <v>8.3333333333333329E-2</v>
      </c>
      <c r="E15" s="34">
        <f>((Input_exploitation!$B$3/Input_exploitation!$B$6)/'Input_pre- et post-traitements'!J14)</f>
        <v>1.3333333333333334E-2</v>
      </c>
      <c r="F15" s="34">
        <f>(((((Input_exploitation!$B$7+Input_machines!$P$10)*Input_machines!$Q$10*Input_exploitation!$B$8)/1000))/Input_machines!$I$10+(Input_exploitation!$B$11*(Input_exploitation!$B$7*Input_machines!$Q$10)-Input_machines!$R$10)/3600)/Input_exploitation!$B$10</f>
        <v>0.50702947845804991</v>
      </c>
      <c r="G15" s="34">
        <f>SUM(D15:F15)</f>
        <v>0.60369614512471659</v>
      </c>
      <c r="H15" s="34">
        <f>C15*G15</f>
        <v>0</v>
      </c>
      <c r="I15" s="34">
        <f>IF(H15=0,0,Input_Masch_couts__meche1!$D$28+((Input_Masch_couts__meche1!$J$28)/calculs!G15))</f>
        <v>0</v>
      </c>
      <c r="J15" s="34"/>
      <c r="K15" s="34">
        <f>(H15*I15)</f>
        <v>0</v>
      </c>
    </row>
    <row r="16" spans="1:14" x14ac:dyDescent="0.3">
      <c r="A16" s="343"/>
      <c r="B16" s="29" t="s">
        <v>183</v>
      </c>
      <c r="C16" s="105">
        <f>SUM(C13:C15)</f>
        <v>0</v>
      </c>
      <c r="D16" s="34"/>
      <c r="E16" s="34"/>
      <c r="F16" s="34"/>
      <c r="G16" s="34"/>
      <c r="H16" s="34"/>
      <c r="I16" s="34"/>
      <c r="J16" s="34"/>
      <c r="K16" s="35">
        <f>SUM(K13:K15)</f>
        <v>0</v>
      </c>
      <c r="N16" s="125"/>
    </row>
    <row r="17" spans="1:14" x14ac:dyDescent="0.3">
      <c r="A17" s="343"/>
      <c r="B17" s="29" t="s">
        <v>185</v>
      </c>
      <c r="C17" s="105">
        <f>'Input_pre- et post-traitements'!$H$12</f>
        <v>0</v>
      </c>
      <c r="D17" s="34"/>
      <c r="E17" s="34"/>
      <c r="F17" s="34"/>
      <c r="G17" s="34"/>
      <c r="H17" s="34"/>
      <c r="I17" s="34"/>
      <c r="J17" s="35">
        <f>C17*Input_machines!M8</f>
        <v>0</v>
      </c>
      <c r="K17" s="35">
        <f>J17</f>
        <v>0</v>
      </c>
    </row>
    <row r="18" spans="1:14" x14ac:dyDescent="0.3">
      <c r="A18" s="343"/>
      <c r="B18" s="29" t="s">
        <v>186</v>
      </c>
      <c r="C18" s="106"/>
      <c r="D18" s="34"/>
      <c r="E18" s="34"/>
      <c r="F18" s="34"/>
      <c r="G18" s="34"/>
      <c r="H18" s="34"/>
      <c r="I18" s="34"/>
      <c r="J18" s="34"/>
      <c r="K18" s="35">
        <f>K11+K16+K17</f>
        <v>0</v>
      </c>
      <c r="N18" s="125"/>
    </row>
    <row r="20" spans="1:14" x14ac:dyDescent="0.3">
      <c r="A20" s="343" t="s">
        <v>31</v>
      </c>
      <c r="B20" s="29" t="s">
        <v>178</v>
      </c>
      <c r="C20" s="105"/>
      <c r="D20" s="34"/>
      <c r="E20" s="34"/>
      <c r="F20" s="34"/>
      <c r="G20" s="34"/>
      <c r="H20" s="34"/>
      <c r="I20" s="34"/>
      <c r="J20" s="34"/>
      <c r="K20" s="34"/>
    </row>
    <row r="21" spans="1:14" x14ac:dyDescent="0.3">
      <c r="A21" s="343"/>
      <c r="B21" s="30" t="str">
        <f>B8</f>
        <v>Sarcleuse pour rangée d'arbres</v>
      </c>
      <c r="C21" s="105">
        <f>'Input_pre- et post-traitements'!$H$18</f>
        <v>0</v>
      </c>
      <c r="D21" s="34">
        <f>(('Input_pre- et post-traitements'!$B$18)/60)/'Input_pre- et post-traitements'!J18+(('Input_pre- et post-traitements'!$B$19)/60)/'Input_pre- et post-traitements'!J18</f>
        <v>0.16666666666666666</v>
      </c>
      <c r="E21" s="34">
        <f>((Input_exploitation!$B$3/Input_exploitation!$B$6)/'Input_pre- et post-traitements'!J18)</f>
        <v>1.3333333333333334E-2</v>
      </c>
      <c r="F21" s="34">
        <f>(((((Input_exploitation!$B$7+Input_machines!P12)*Input_machines!Q12*Input_exploitation!$B$8)/1000))/Input_machines!$I$12+(Input_exploitation!$B$11*(Input_exploitation!$B$7*Input_machines!Q12)-Input_machines!R12)/3600)/Input_exploitation!$B$10</f>
        <v>1.5682539682539682</v>
      </c>
      <c r="G21" s="34">
        <f>SUM(D21:F21)</f>
        <v>1.7482539682539682</v>
      </c>
      <c r="H21" s="34">
        <f>C21*G21</f>
        <v>0</v>
      </c>
      <c r="I21" s="34">
        <f>Input_exploitation!$B$5</f>
        <v>35</v>
      </c>
      <c r="J21" s="34"/>
      <c r="K21" s="34">
        <f>H21*I21</f>
        <v>0</v>
      </c>
    </row>
    <row r="22" spans="1:14" x14ac:dyDescent="0.3">
      <c r="A22" s="343"/>
      <c r="B22" s="30" t="str">
        <f t="shared" ref="B22:B23" si="1">B9</f>
        <v>Faucheuse à fils</v>
      </c>
      <c r="C22" s="105">
        <f>'Input_pre- et post-traitements'!H19</f>
        <v>0</v>
      </c>
      <c r="D22" s="34">
        <f>((SUM('Input_pre- et post-traitements'!$B$17:$B$18)/60))/'Input_pre- et post-traitements'!J19</f>
        <v>0.16666666666666666</v>
      </c>
      <c r="E22" s="34">
        <f>((Input_exploitation!$B$3/Input_exploitation!$B$6)/'Input_pre- et post-traitements'!J19)</f>
        <v>1.3333333333333334E-2</v>
      </c>
      <c r="F22" s="34">
        <f>(((((Input_exploitation!$B$7+Input_machines!$P$13)*Input_machines!$Q$13*Input_exploitation!$B$8)/1000))/Input_machines!$I$13+(Input_exploitation!$B$11*(Input_exploitation!$B$7*Input_machines!$Q$13)-Input_machines!$R$13)/3600)/Input_exploitation!$B$10</f>
        <v>0.57777777777777772</v>
      </c>
      <c r="G22" s="34">
        <f>SUM(D22:F22)</f>
        <v>0.75777777777777766</v>
      </c>
      <c r="H22" s="34">
        <f>C22*G22</f>
        <v>0</v>
      </c>
      <c r="I22" s="34">
        <f>Input_exploitation!$B$4</f>
        <v>24</v>
      </c>
      <c r="J22" s="34"/>
      <c r="K22" s="34">
        <f>H22*I22</f>
        <v>0</v>
      </c>
    </row>
    <row r="23" spans="1:14" x14ac:dyDescent="0.3">
      <c r="A23" s="343"/>
      <c r="B23" s="30" t="str">
        <f t="shared" si="1"/>
        <v xml:space="preserve">Disque émotteur avec étoile bineuse </v>
      </c>
      <c r="C23" s="105">
        <f>'Input_pre- et post-traitements'!H20</f>
        <v>0</v>
      </c>
      <c r="D23" s="34">
        <f>((('Input_pre- et post-traitements'!$B$18)/60))/'Input_pre- et post-traitements'!J20</f>
        <v>8.3333333333333329E-2</v>
      </c>
      <c r="E23" s="34">
        <f>((Input_exploitation!$B$3/Input_exploitation!$B$6)/'Input_pre- et post-traitements'!J20)</f>
        <v>1.3333333333333334E-2</v>
      </c>
      <c r="F23" s="34">
        <f>(((((Input_exploitation!$B$7+Input_machines!$P$14)*Input_machines!$Q$14*Input_exploitation!$B$8)/1000))/Input_machines!$I$14+(Input_exploitation!$B$11*(Input_exploitation!$B$7*Input_machines!$Q$14)-Input_machines!$R$14)/3600)/Input_exploitation!$B$10</f>
        <v>0.50702947845804991</v>
      </c>
      <c r="G23" s="34">
        <f>SUM(D23:F23)</f>
        <v>0.60369614512471659</v>
      </c>
      <c r="H23" s="34">
        <f>C23*G23</f>
        <v>0</v>
      </c>
      <c r="I23" s="34">
        <f>Input_exploitation!$B$4</f>
        <v>24</v>
      </c>
      <c r="J23" s="34"/>
      <c r="K23" s="34">
        <f>H23*I23</f>
        <v>0</v>
      </c>
    </row>
    <row r="24" spans="1:14" x14ac:dyDescent="0.3">
      <c r="A24" s="343"/>
      <c r="B24" s="29" t="str">
        <f>B11</f>
        <v>Total coûts du travail</v>
      </c>
      <c r="C24" s="105">
        <f>SUM(C21:C23)</f>
        <v>0</v>
      </c>
      <c r="D24" s="34"/>
      <c r="E24" s="34"/>
      <c r="F24" s="34"/>
      <c r="G24" s="34"/>
      <c r="H24" s="34"/>
      <c r="I24" s="34"/>
      <c r="J24" s="34"/>
      <c r="K24" s="35">
        <f>SUM(K21:K23)</f>
        <v>0</v>
      </c>
    </row>
    <row r="25" spans="1:14" x14ac:dyDescent="0.3">
      <c r="A25" s="343"/>
      <c r="B25" s="29" t="str">
        <f>B12</f>
        <v>Coûts des machines</v>
      </c>
      <c r="C25" s="105"/>
      <c r="D25" s="34"/>
      <c r="E25" s="34"/>
      <c r="F25" s="34"/>
      <c r="G25" s="34"/>
      <c r="H25" s="34"/>
      <c r="I25" s="34"/>
      <c r="J25" s="34"/>
      <c r="K25" s="34"/>
    </row>
    <row r="26" spans="1:14" x14ac:dyDescent="0.3">
      <c r="A26" s="343"/>
      <c r="B26" s="30" t="str">
        <f>B13</f>
        <v>Sarcleuse pour rangée d'arbres</v>
      </c>
      <c r="C26" s="105">
        <f>'Input_pre- et post-traitements'!H18</f>
        <v>0</v>
      </c>
      <c r="D26" s="34">
        <f>(('Input_pre- et post-traitements'!D18)/60)/'Input_pre- et post-traitements'!J18</f>
        <v>8.3333333333333329E-2</v>
      </c>
      <c r="E26" s="34">
        <f>((Input_exploitation!$B$3/Input_exploitation!$B$6)/'Input_pre- et post-traitements'!J18)</f>
        <v>1.3333333333333334E-2</v>
      </c>
      <c r="F26" s="34">
        <f>(((((Input_exploitation!$B$7+Input_machines!P12)*Input_machines!Q12*Input_exploitation!$B$8)/1000))/Input_machines!$I$12+(Input_exploitation!$B$11*(Input_exploitation!$B$7*Input_machines!Q12)-Input_machines!R12)/3600)/Input_exploitation!$B$10</f>
        <v>1.5682539682539682</v>
      </c>
      <c r="G26" s="34">
        <f>SUM(D26:F26)</f>
        <v>1.6649206349206349</v>
      </c>
      <c r="H26" s="34">
        <f>C26*G26</f>
        <v>0</v>
      </c>
      <c r="I26" s="34">
        <f>IF(H26=0,0,Input_Masch_couts_mech2!$D$28+((Input_Masch_couts_mech2!$F$28)/calculs!G26))</f>
        <v>0</v>
      </c>
      <c r="J26" s="34"/>
      <c r="K26" s="34">
        <f>(H26*I26)</f>
        <v>0</v>
      </c>
    </row>
    <row r="27" spans="1:14" x14ac:dyDescent="0.3">
      <c r="A27" s="343"/>
      <c r="B27" s="30" t="str">
        <f t="shared" ref="B27:B28" si="2">B14</f>
        <v>Faucheuse à fils</v>
      </c>
      <c r="C27" s="105">
        <f>'Input_pre- et post-traitements'!H19</f>
        <v>0</v>
      </c>
      <c r="D27" s="34">
        <f>(('Input_pre- et post-traitements'!D18)/60)/'Input_pre- et post-traitements'!J19</f>
        <v>8.3333333333333329E-2</v>
      </c>
      <c r="E27" s="34">
        <f>((Input_exploitation!$B$3/Input_exploitation!$B$6)/'Input_pre- et post-traitements'!J19)</f>
        <v>1.3333333333333334E-2</v>
      </c>
      <c r="F27" s="34">
        <f>(((((Input_exploitation!$B$7+Input_machines!$P$13)*Input_machines!$Q$13*Input_exploitation!$B$8)/1000))/Input_machines!$I$13+(Input_exploitation!$B$11*(Input_exploitation!$B$7*Input_machines!$Q$13)-Input_machines!$R$13)/3600)/Input_exploitation!$B$10</f>
        <v>0.57777777777777772</v>
      </c>
      <c r="G27" s="34">
        <f>SUM(D27:F27)</f>
        <v>0.6744444444444444</v>
      </c>
      <c r="H27" s="34">
        <f>C27*G27</f>
        <v>0</v>
      </c>
      <c r="I27" s="34">
        <f>IF(H27=0,0,Input_Masch_couts_mech2!$D$28+((Input_Masch_couts_mech2!$H$28)/calculs!G27))</f>
        <v>0</v>
      </c>
      <c r="J27" s="34"/>
      <c r="K27" s="34">
        <f>(H27*I27)</f>
        <v>0</v>
      </c>
    </row>
    <row r="28" spans="1:14" x14ac:dyDescent="0.3">
      <c r="A28" s="343"/>
      <c r="B28" s="30" t="str">
        <f t="shared" si="2"/>
        <v xml:space="preserve">Disque émotteur avec étoile bineuse </v>
      </c>
      <c r="C28" s="105">
        <f>'Input_pre- et post-traitements'!H20</f>
        <v>0</v>
      </c>
      <c r="D28" s="34">
        <f>(('Input_pre- et post-traitements'!D18)/60)/'Input_pre- et post-traitements'!J20</f>
        <v>8.3333333333333329E-2</v>
      </c>
      <c r="E28" s="34">
        <f>((Input_exploitation!$B$3/Input_exploitation!$B$6)/'Input_pre- et post-traitements'!J20)</f>
        <v>1.3333333333333334E-2</v>
      </c>
      <c r="F28" s="34">
        <f>(((((Input_exploitation!$B$7+Input_machines!$P$14)*Input_machines!$Q$14*Input_exploitation!$B$8)/1000))/Input_machines!$I$14+(Input_exploitation!$B$11*(Input_exploitation!$B$7*Input_machines!$Q$14)-Input_machines!$R$14)/3600)/Input_exploitation!$B$10</f>
        <v>0.50702947845804991</v>
      </c>
      <c r="G28" s="34">
        <f>SUM(D28:F28)</f>
        <v>0.60369614512471659</v>
      </c>
      <c r="H28" s="34">
        <f>C28*G28</f>
        <v>0</v>
      </c>
      <c r="I28" s="34">
        <f>IF(H28=0,0,Input_Masch_couts_mech2!$D$28+((Input_Masch_couts_mech2!$J$28)/calculs!G28))</f>
        <v>0</v>
      </c>
      <c r="J28" s="34"/>
      <c r="K28" s="34">
        <f>(H28*I28)</f>
        <v>0</v>
      </c>
    </row>
    <row r="29" spans="1:14" x14ac:dyDescent="0.3">
      <c r="A29" s="343"/>
      <c r="B29" s="29" t="str">
        <f>B16</f>
        <v>Total coûts des machines</v>
      </c>
      <c r="C29" s="105">
        <f>SUM(C26:C28)</f>
        <v>0</v>
      </c>
      <c r="D29" s="34"/>
      <c r="E29" s="34"/>
      <c r="F29" s="34"/>
      <c r="G29" s="34"/>
      <c r="H29" s="34"/>
      <c r="I29" s="34"/>
      <c r="J29" s="34"/>
      <c r="K29" s="35">
        <f>SUM(K26:K28)</f>
        <v>0</v>
      </c>
    </row>
    <row r="30" spans="1:14" x14ac:dyDescent="0.3">
      <c r="A30" s="343"/>
      <c r="B30" s="29" t="str">
        <f>B17</f>
        <v>Coûts divers</v>
      </c>
      <c r="C30" s="105">
        <f>'Input_pre- et post-traitements'!$H$18</f>
        <v>0</v>
      </c>
      <c r="D30" s="34"/>
      <c r="E30" s="34"/>
      <c r="F30" s="34"/>
      <c r="G30" s="34"/>
      <c r="H30" s="34"/>
      <c r="I30" s="34"/>
      <c r="J30" s="35">
        <f>C30*Input_machines!M12</f>
        <v>0</v>
      </c>
      <c r="K30" s="35">
        <f>J30</f>
        <v>0</v>
      </c>
    </row>
    <row r="31" spans="1:14" x14ac:dyDescent="0.3">
      <c r="A31" s="343"/>
      <c r="B31" s="29" t="str">
        <f>B18</f>
        <v>Coûts total par hectar</v>
      </c>
      <c r="C31" s="106"/>
      <c r="D31" s="34"/>
      <c r="E31" s="34"/>
      <c r="F31" s="34"/>
      <c r="G31" s="34"/>
      <c r="H31" s="34"/>
      <c r="I31" s="34"/>
      <c r="J31" s="34"/>
      <c r="K31" s="35">
        <f>K24+K29+K30</f>
        <v>0</v>
      </c>
    </row>
    <row r="33" spans="1:11" ht="15" customHeight="1" x14ac:dyDescent="0.3">
      <c r="A33" s="345" t="s">
        <v>33</v>
      </c>
      <c r="B33" s="27" t="str">
        <f>B20</f>
        <v>Coûts du travail</v>
      </c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5" customHeight="1" x14ac:dyDescent="0.3">
      <c r="A34" s="346"/>
      <c r="B34" s="28" t="s">
        <v>187</v>
      </c>
      <c r="C34" s="104">
        <f>'Input_pre- et post-traitements'!H24</f>
        <v>0</v>
      </c>
      <c r="D34" s="32">
        <f>((SUM('Input_pre- et post-traitements'!B23:B26)/60))/'Input_pre- et post-traitements'!J24</f>
        <v>0.22222222222222221</v>
      </c>
      <c r="E34" s="32">
        <f>((Input_exploitation!$B$3/Input_exploitation!$B$6)/'Input_pre- et post-traitements'!J24)</f>
        <v>1.3333333333333334E-2</v>
      </c>
      <c r="F34" s="32">
        <f>(((((Input_exploitation!$B$7+Input_machines!$P$16)*Input_machines!$Q$16*Input_exploitation!$B$8)/1000))/Input_machines!$I$16+(Input_exploitation!$B$11*(Input_exploitation!$B$7*Input_machines!$Q$16)-Input_machines!$R$16)/3600)/Input_exploitation!$B$10</f>
        <v>0.57777777777777772</v>
      </c>
      <c r="G34" s="32">
        <f>SUM(D34:F34)</f>
        <v>0.81333333333333324</v>
      </c>
      <c r="H34" s="32">
        <f>C34*G34</f>
        <v>0</v>
      </c>
      <c r="I34" s="32">
        <f>Input_exploitation!B4</f>
        <v>24</v>
      </c>
      <c r="J34" s="32"/>
      <c r="K34" s="32">
        <f>H34*I34</f>
        <v>0</v>
      </c>
    </row>
    <row r="35" spans="1:11" ht="15" customHeight="1" x14ac:dyDescent="0.3">
      <c r="A35" s="346"/>
      <c r="B35" s="28" t="str">
        <f>B27</f>
        <v>Faucheuse à fils</v>
      </c>
      <c r="C35" s="104">
        <f>'Input_pre- et post-traitements'!H26</f>
        <v>0</v>
      </c>
      <c r="D35" s="32">
        <f>((SUM('Input_pre- et post-traitements'!B28:B29)/60))/'Input_pre- et post-traitements'!J26</f>
        <v>0.16666666666666666</v>
      </c>
      <c r="E35" s="32">
        <f>((Input_exploitation!$B$3/Input_exploitation!$B$6)/'Input_pre- et post-traitements'!J26)</f>
        <v>1.3333333333333334E-2</v>
      </c>
      <c r="F35" s="32">
        <f>(((((Input_exploitation!$B$7+Input_machines!$P$18)*Input_machines!$Q$18*Input_exploitation!$B$8)/1000))/Input_machines!$I$18+(Input_exploitation!$B$11*(Input_exploitation!$B$7*Input_machines!$Q$18)-Input_machines!$R$18)/3600)/Input_exploitation!$B$10</f>
        <v>0.57777777777777772</v>
      </c>
      <c r="G35" s="32">
        <f>SUM(D35:F35)</f>
        <v>0.75777777777777766</v>
      </c>
      <c r="H35" s="32">
        <f>C35*G35</f>
        <v>0</v>
      </c>
      <c r="I35" s="32">
        <f>Input_exploitation!B4</f>
        <v>24</v>
      </c>
      <c r="J35" s="32"/>
      <c r="K35" s="32">
        <f>H35*I35</f>
        <v>0</v>
      </c>
    </row>
    <row r="36" spans="1:11" x14ac:dyDescent="0.3">
      <c r="A36" s="346"/>
      <c r="B36" s="27" t="str">
        <f>B29</f>
        <v>Total coûts des machines</v>
      </c>
      <c r="C36" s="104"/>
      <c r="D36" s="32"/>
      <c r="E36" s="32"/>
      <c r="F36" s="32"/>
      <c r="G36" s="32"/>
      <c r="H36" s="32"/>
      <c r="I36" s="32"/>
      <c r="J36" s="32"/>
      <c r="K36" s="32"/>
    </row>
    <row r="37" spans="1:11" ht="15" customHeight="1" x14ac:dyDescent="0.3">
      <c r="A37" s="346"/>
      <c r="B37" s="28" t="str">
        <f>B34</f>
        <v>Herbicide</v>
      </c>
      <c r="C37" s="104">
        <f>'Input_pre- et post-traitements'!H25</f>
        <v>0</v>
      </c>
      <c r="D37" s="32">
        <f>(('Input_pre- et post-traitements'!D26+'Input_pre- et post-traitements'!D27)/60)/'Input_pre- et post-traitements'!J24</f>
        <v>8.3333333333333329E-2</v>
      </c>
      <c r="E37" s="32">
        <f>((Input_exploitation!$B$3/Input_exploitation!$B$6)/'Input_pre- et post-traitements'!J24)</f>
        <v>1.3333333333333334E-2</v>
      </c>
      <c r="F37" s="32">
        <f>(((((Input_exploitation!$B$7+Input_machines!$P$16)*Input_machines!$Q$16*Input_exploitation!$B$8)/1000))/Input_machines!$I$16+(Input_exploitation!$B$11*(Input_exploitation!$B$7*Input_machines!$Q$16)-Input_machines!$R$16)/3600)/Input_exploitation!$B$10</f>
        <v>0.57777777777777772</v>
      </c>
      <c r="G37" s="32">
        <f>SUM(D37:F37)</f>
        <v>0.6744444444444444</v>
      </c>
      <c r="H37" s="32">
        <f>C37*G37</f>
        <v>0</v>
      </c>
      <c r="I37" s="32">
        <f>IF(H37=0,0,'Input_Masch_cosHer+Fad'!D28+(('Input_Masch_cosHer+Fad'!F28+'Input_Masch_cosHer+Fad'!H28)/calculs!G37))</f>
        <v>0</v>
      </c>
      <c r="J37" s="32"/>
      <c r="K37" s="32">
        <f>H37*I37</f>
        <v>0</v>
      </c>
    </row>
    <row r="38" spans="1:11" ht="15" customHeight="1" x14ac:dyDescent="0.3">
      <c r="A38" s="346"/>
      <c r="B38" s="28" t="str">
        <f>B35</f>
        <v>Faucheuse à fils</v>
      </c>
      <c r="C38" s="104">
        <f>'Input_pre- et post-traitements'!H26</f>
        <v>0</v>
      </c>
      <c r="D38" s="32">
        <f>(('Input_pre- et post-traitements'!D29)/60)/'Input_pre- et post-traitements'!J26</f>
        <v>8.3333333333333329E-2</v>
      </c>
      <c r="E38" s="32">
        <f>((Input_exploitation!$B$3/Input_exploitation!$B$6)/'Input_pre- et post-traitements'!J26)</f>
        <v>1.3333333333333334E-2</v>
      </c>
      <c r="F38" s="32">
        <f>(((((Input_exploitation!$B$7+Input_machines!$P$18)*Input_machines!$Q$18*Input_exploitation!$B$8)/1000))/Input_machines!$I$18+(Input_exploitation!$B$11*(Input_exploitation!$B$7*Input_machines!$Q$18)-Input_machines!$R$18)/3600)/Input_exploitation!$B$10</f>
        <v>0.57777777777777772</v>
      </c>
      <c r="G38" s="32">
        <f>SUM(D38:F38)</f>
        <v>0.6744444444444444</v>
      </c>
      <c r="H38" s="32">
        <f>C38*G38</f>
        <v>0</v>
      </c>
      <c r="I38" s="32">
        <f>IF(H38=0,0,'Input_Masch_cosHer+Fad'!D28+(('Input_Masch_cosHer+Fad'!J28)/calculs!G38))</f>
        <v>0</v>
      </c>
      <c r="J38" s="32"/>
      <c r="K38" s="32">
        <f>H38*I38</f>
        <v>0</v>
      </c>
    </row>
    <row r="39" spans="1:11" x14ac:dyDescent="0.3">
      <c r="A39" s="346"/>
      <c r="B39" s="27" t="str">
        <f>B30</f>
        <v>Coûts divers</v>
      </c>
      <c r="C39" s="104">
        <f>'Input_pre- et post-traitements'!H24</f>
        <v>0</v>
      </c>
      <c r="D39" s="32"/>
      <c r="E39" s="32"/>
      <c r="F39" s="32"/>
      <c r="G39" s="32"/>
      <c r="H39" s="32"/>
      <c r="I39" s="32"/>
      <c r="J39" s="33">
        <f>Input_machines!M18*C38+Input_herbicides!D35</f>
        <v>0</v>
      </c>
      <c r="K39" s="33">
        <f>IF(C39=0,0,J39)</f>
        <v>0</v>
      </c>
    </row>
    <row r="40" spans="1:11" x14ac:dyDescent="0.3">
      <c r="A40" s="347"/>
      <c r="B40" s="27" t="str">
        <f>B31</f>
        <v>Coûts total par hectar</v>
      </c>
      <c r="C40" s="104"/>
      <c r="D40" s="32"/>
      <c r="E40" s="32"/>
      <c r="F40" s="32"/>
      <c r="G40" s="32"/>
      <c r="H40" s="32"/>
      <c r="I40" s="32"/>
      <c r="J40" s="32"/>
      <c r="K40" s="33">
        <f>K34+K35+K37+K38+K39</f>
        <v>0</v>
      </c>
    </row>
    <row r="41" spans="1:11" s="39" customFormat="1" ht="103.5" customHeight="1" x14ac:dyDescent="0.3">
      <c r="C41" s="40"/>
    </row>
    <row r="42" spans="1:11" s="39" customFormat="1" x14ac:dyDescent="0.3">
      <c r="C42" s="40"/>
    </row>
    <row r="43" spans="1:11" s="39" customFormat="1" x14ac:dyDescent="0.3">
      <c r="C43" s="40"/>
    </row>
    <row r="44" spans="1:11" s="39" customFormat="1" x14ac:dyDescent="0.3">
      <c r="C44" s="40"/>
    </row>
    <row r="45" spans="1:11" s="39" customFormat="1" x14ac:dyDescent="0.3">
      <c r="C45" s="40"/>
    </row>
    <row r="46" spans="1:11" s="39" customFormat="1" x14ac:dyDescent="0.3">
      <c r="C46" s="40"/>
    </row>
    <row r="47" spans="1:11" s="39" customFormat="1" x14ac:dyDescent="0.3">
      <c r="C47" s="40"/>
    </row>
    <row r="48" spans="1:11" s="39" customFormat="1" x14ac:dyDescent="0.3">
      <c r="C48" s="40"/>
    </row>
    <row r="49" spans="1:15" s="39" customFormat="1" x14ac:dyDescent="0.3">
      <c r="C49" s="40"/>
    </row>
    <row r="51" spans="1:15" s="39" customFormat="1" x14ac:dyDescent="0.3">
      <c r="A51" s="39" t="s">
        <v>24</v>
      </c>
      <c r="C51" s="40"/>
      <c r="D51" s="39" t="s">
        <v>55</v>
      </c>
      <c r="E51" s="39" t="s">
        <v>56</v>
      </c>
      <c r="F51" s="39" t="s">
        <v>57</v>
      </c>
    </row>
    <row r="57" spans="1:15" s="118" customFormat="1" x14ac:dyDescent="0.3">
      <c r="A57" s="118" t="s">
        <v>54</v>
      </c>
      <c r="C57" s="119"/>
      <c r="L57" s="126"/>
      <c r="M57" s="126"/>
      <c r="N57" s="126"/>
      <c r="O57" s="126"/>
    </row>
  </sheetData>
  <sheetProtection selectLockedCells="1"/>
  <mergeCells count="5">
    <mergeCell ref="A3:A6"/>
    <mergeCell ref="A7:A18"/>
    <mergeCell ref="D1:G1"/>
    <mergeCell ref="A20:A31"/>
    <mergeCell ref="A33:A40"/>
  </mergeCells>
  <pageMargins left="0.70866141732283472" right="0.70866141732283472" top="0.78740157480314965" bottom="0.78740157480314965" header="0.31496062992125984" footer="0.31496062992125984"/>
  <pageSetup paperSize="8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T98"/>
  <sheetViews>
    <sheetView showGridLines="0" zoomScale="80" zoomScaleNormal="80" workbookViewId="0">
      <selection activeCell="D19" sqref="D19"/>
    </sheetView>
  </sheetViews>
  <sheetFormatPr baseColWidth="10" defaultRowHeight="14" x14ac:dyDescent="0.3"/>
  <cols>
    <col min="1" max="1" width="1.08203125" customWidth="1"/>
    <col min="2" max="2" width="27.9140625" customWidth="1"/>
    <col min="3" max="3" width="17.9140625" style="213" customWidth="1"/>
    <col min="4" max="4" width="15.58203125" customWidth="1"/>
    <col min="5" max="5" width="20.08203125" customWidth="1"/>
    <col min="6" max="6" width="2.58203125" style="39" customWidth="1"/>
    <col min="7" max="7" width="42.25" customWidth="1"/>
    <col min="8" max="10" width="16.5" customWidth="1"/>
    <col min="11" max="11" width="23.58203125" customWidth="1"/>
    <col min="13" max="13" width="14" customWidth="1"/>
  </cols>
  <sheetData>
    <row r="1" spans="1:20" x14ac:dyDescent="0.3">
      <c r="B1" s="298" t="s">
        <v>196</v>
      </c>
      <c r="C1" s="298"/>
      <c r="D1" s="298"/>
      <c r="E1" s="298"/>
      <c r="F1" s="171"/>
      <c r="G1" s="171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x14ac:dyDescent="0.3">
      <c r="A2" s="38"/>
      <c r="B2" s="219" t="s">
        <v>62</v>
      </c>
      <c r="C2" s="220"/>
      <c r="D2" s="220" t="s">
        <v>28</v>
      </c>
      <c r="E2" s="220"/>
      <c r="G2" s="39"/>
      <c r="H2" s="39"/>
      <c r="I2" s="39"/>
      <c r="J2" s="39"/>
      <c r="K2" s="39"/>
      <c r="L2" s="39"/>
      <c r="M2" s="39" t="s">
        <v>202</v>
      </c>
      <c r="N2" s="39"/>
      <c r="O2" s="39"/>
      <c r="P2" s="39"/>
      <c r="Q2" s="39"/>
      <c r="R2" s="39"/>
      <c r="S2" s="39"/>
      <c r="T2" s="39"/>
    </row>
    <row r="3" spans="1:20" ht="16.5" customHeight="1" x14ac:dyDescent="0.3">
      <c r="A3" s="38"/>
      <c r="B3" s="176" t="str">
        <f>Input_exploitation!A2</f>
        <v>Surface fruitière de l'exploitation</v>
      </c>
      <c r="C3" s="216"/>
      <c r="D3" s="179">
        <v>6</v>
      </c>
      <c r="E3" s="220"/>
      <c r="H3" s="39"/>
      <c r="I3" s="39"/>
      <c r="J3" s="39"/>
      <c r="K3" s="39"/>
      <c r="L3" s="39"/>
      <c r="M3" s="288" t="s">
        <v>198</v>
      </c>
      <c r="N3" s="39"/>
      <c r="O3" s="39"/>
      <c r="P3" s="39"/>
      <c r="Q3" s="39"/>
      <c r="R3" s="39"/>
      <c r="S3" s="39"/>
      <c r="T3" s="39"/>
    </row>
    <row r="4" spans="1:20" x14ac:dyDescent="0.3">
      <c r="A4" s="38"/>
      <c r="B4" s="219" t="s">
        <v>63</v>
      </c>
      <c r="C4" s="220"/>
      <c r="D4" s="220" t="s">
        <v>28</v>
      </c>
      <c r="E4" s="220"/>
      <c r="H4" s="39"/>
      <c r="I4" s="39"/>
      <c r="J4" s="39"/>
      <c r="K4" s="39"/>
      <c r="L4" s="39"/>
      <c r="M4" s="288" t="s">
        <v>200</v>
      </c>
      <c r="N4" s="39"/>
      <c r="O4" s="39"/>
      <c r="P4" s="39"/>
      <c r="Q4" s="39"/>
      <c r="R4" s="39"/>
      <c r="S4" s="39"/>
      <c r="T4" s="39"/>
    </row>
    <row r="5" spans="1:20" ht="13.25" customHeight="1" x14ac:dyDescent="0.3">
      <c r="A5" s="38"/>
      <c r="B5" s="299" t="s">
        <v>64</v>
      </c>
      <c r="C5" s="299"/>
      <c r="D5" s="299"/>
      <c r="E5" s="299"/>
      <c r="H5" s="39"/>
      <c r="I5" s="39"/>
      <c r="J5" s="39"/>
      <c r="K5" s="39"/>
      <c r="L5" s="39"/>
      <c r="M5" s="288" t="s">
        <v>203</v>
      </c>
      <c r="N5" s="39"/>
      <c r="O5" s="39"/>
      <c r="P5" s="39"/>
      <c r="Q5" s="39"/>
      <c r="R5" s="39"/>
      <c r="S5" s="39"/>
      <c r="T5" s="39"/>
    </row>
    <row r="6" spans="1:20" ht="28" x14ac:dyDescent="0.3">
      <c r="A6" s="38"/>
      <c r="D6" s="272" t="s">
        <v>195</v>
      </c>
      <c r="E6" s="272" t="s">
        <v>197</v>
      </c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40.25" customHeight="1" x14ac:dyDescent="0.3">
      <c r="A7" s="38"/>
      <c r="B7" s="281" t="s">
        <v>65</v>
      </c>
      <c r="C7" s="252" t="s">
        <v>139</v>
      </c>
      <c r="D7" s="218">
        <v>0</v>
      </c>
      <c r="E7" s="218">
        <v>3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1:20" ht="21" customHeight="1" x14ac:dyDescent="0.3">
      <c r="A8" s="38"/>
      <c r="B8" s="124"/>
      <c r="C8" s="302" t="s">
        <v>76</v>
      </c>
      <c r="D8" s="302"/>
      <c r="E8" s="302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17.399999999999999" customHeight="1" x14ac:dyDescent="0.3">
      <c r="A9" s="38"/>
      <c r="B9" s="39"/>
      <c r="D9" s="250" t="s">
        <v>77</v>
      </c>
      <c r="E9" s="221">
        <f>Input_herbicides!D6</f>
        <v>0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x14ac:dyDescent="0.3">
      <c r="A10" s="38"/>
      <c r="B10" s="175"/>
      <c r="C10" s="175"/>
      <c r="D10" s="175"/>
      <c r="E10" s="175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1:20" ht="12.65" customHeight="1" x14ac:dyDescent="0.3">
      <c r="A11" s="38"/>
      <c r="B11" s="300" t="s">
        <v>68</v>
      </c>
      <c r="C11" s="300"/>
      <c r="D11" s="300"/>
      <c r="E11" s="300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0" ht="28.25" customHeight="1" x14ac:dyDescent="0.3">
      <c r="A12" s="38"/>
      <c r="B12" s="175"/>
      <c r="C12" s="245" t="s">
        <v>78</v>
      </c>
      <c r="D12" s="266" t="str">
        <f>D6</f>
        <v>nombre de passages</v>
      </c>
      <c r="E12" s="266" t="str">
        <f>E6</f>
        <v>surface traité par passage (ha)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spans="1:20" x14ac:dyDescent="0.3">
      <c r="A13" s="38"/>
      <c r="B13" s="280" t="str">
        <f>Input_machines!$A$8</f>
        <v>Sarcleuse pour rangée d'arbres</v>
      </c>
      <c r="C13" s="252" t="s">
        <v>139</v>
      </c>
      <c r="D13" s="218">
        <v>0</v>
      </c>
      <c r="E13" s="218">
        <v>3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spans="1:20" ht="14.4" customHeight="1" x14ac:dyDescent="0.3">
      <c r="A14" s="38"/>
      <c r="B14" s="280" t="str">
        <f>Input_machines!$A$9</f>
        <v>Faucheuse à fils</v>
      </c>
      <c r="C14" s="252" t="s">
        <v>139</v>
      </c>
      <c r="D14" s="218">
        <v>0</v>
      </c>
      <c r="E14" s="218">
        <v>3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  <row r="15" spans="1:20" ht="28" x14ac:dyDescent="0.3">
      <c r="A15" s="38"/>
      <c r="B15" s="281" t="str">
        <f>Input_machines!A10</f>
        <v xml:space="preserve">Disque émotteur avec étoile bineuse </v>
      </c>
      <c r="C15" s="252" t="s">
        <v>139</v>
      </c>
      <c r="D15" s="218">
        <v>0</v>
      </c>
      <c r="E15" s="218">
        <v>3</v>
      </c>
      <c r="H15" s="39"/>
      <c r="I15" s="39"/>
      <c r="J15" s="39"/>
      <c r="K15" s="39"/>
      <c r="L15" s="95"/>
      <c r="M15" s="95"/>
      <c r="N15" s="95"/>
      <c r="O15" s="39"/>
      <c r="P15" s="39"/>
      <c r="Q15" s="39"/>
      <c r="R15" s="39"/>
      <c r="S15" s="39"/>
      <c r="T15" s="39"/>
    </row>
    <row r="16" spans="1:20" x14ac:dyDescent="0.3">
      <c r="A16" s="38"/>
      <c r="B16" s="267"/>
      <c r="C16" s="267"/>
      <c r="D16" s="267"/>
      <c r="E16" s="265"/>
      <c r="H16" s="39"/>
      <c r="I16" s="39"/>
      <c r="J16" s="39"/>
      <c r="K16" s="39"/>
      <c r="L16" s="95"/>
      <c r="M16" s="95"/>
      <c r="N16" s="95"/>
      <c r="O16" s="39"/>
      <c r="P16" s="39"/>
      <c r="Q16" s="39"/>
      <c r="R16" s="39"/>
      <c r="S16" s="39"/>
      <c r="T16" s="39"/>
    </row>
    <row r="17" spans="1:20" ht="14" customHeight="1" x14ac:dyDescent="0.3">
      <c r="A17" s="38"/>
      <c r="B17" s="300" t="s">
        <v>69</v>
      </c>
      <c r="C17" s="300"/>
      <c r="D17" s="300"/>
      <c r="E17" s="300"/>
      <c r="H17" s="39"/>
      <c r="I17" s="39"/>
      <c r="J17" s="39"/>
      <c r="K17" s="39"/>
      <c r="L17" s="95"/>
      <c r="M17" s="95"/>
      <c r="N17" s="95"/>
      <c r="O17" s="39"/>
      <c r="P17" s="39"/>
      <c r="Q17" s="39"/>
      <c r="R17" s="39"/>
      <c r="S17" s="39"/>
      <c r="T17" s="39"/>
    </row>
    <row r="18" spans="1:20" ht="27" customHeight="1" x14ac:dyDescent="0.3">
      <c r="A18" s="38"/>
      <c r="B18" s="265"/>
      <c r="C18" s="265" t="str">
        <f>C12</f>
        <v>unilatérale/bilatérale</v>
      </c>
      <c r="D18" s="266" t="str">
        <f>D12</f>
        <v>nombre de passages</v>
      </c>
      <c r="E18" s="266" t="str">
        <f>E12</f>
        <v>surface traité par passage (ha)</v>
      </c>
      <c r="G18" s="226" t="s">
        <v>81</v>
      </c>
      <c r="H18" s="226" t="s">
        <v>72</v>
      </c>
      <c r="I18" s="226" t="s">
        <v>73</v>
      </c>
      <c r="J18" s="226" t="s">
        <v>74</v>
      </c>
      <c r="K18" s="226" t="s">
        <v>75</v>
      </c>
      <c r="L18" s="95"/>
      <c r="M18" s="95"/>
      <c r="N18" s="95"/>
      <c r="O18" s="39"/>
      <c r="P18" s="39"/>
      <c r="Q18" s="39"/>
      <c r="R18" s="39"/>
      <c r="S18" s="39"/>
      <c r="T18" s="39"/>
    </row>
    <row r="19" spans="1:20" ht="18.75" customHeight="1" x14ac:dyDescent="0.3">
      <c r="A19" s="38"/>
      <c r="B19" s="280" t="str">
        <f>Input_machines!$A$8</f>
        <v>Sarcleuse pour rangée d'arbres</v>
      </c>
      <c r="C19" s="252" t="s">
        <v>139</v>
      </c>
      <c r="D19" s="218">
        <v>0</v>
      </c>
      <c r="E19" s="218">
        <v>3</v>
      </c>
      <c r="G19" s="227" t="str">
        <f>B5</f>
        <v>Désherbage chimique</v>
      </c>
      <c r="H19" s="228">
        <f>calculs!K3</f>
        <v>0</v>
      </c>
      <c r="I19" s="228">
        <f>calculs!K4</f>
        <v>0</v>
      </c>
      <c r="J19" s="229">
        <f>calculs!K5</f>
        <v>0</v>
      </c>
      <c r="K19" s="230">
        <f>SUM(H19:J19)</f>
        <v>0</v>
      </c>
      <c r="L19" s="95"/>
      <c r="M19" s="95"/>
      <c r="N19" s="95"/>
      <c r="O19" s="39"/>
      <c r="P19" s="39"/>
      <c r="Q19" s="39"/>
      <c r="R19" s="39"/>
      <c r="S19" s="39"/>
      <c r="T19" s="39"/>
    </row>
    <row r="20" spans="1:20" ht="17.399999999999999" customHeight="1" x14ac:dyDescent="0.3">
      <c r="A20" s="38"/>
      <c r="B20" s="281" t="str">
        <f>Input_machines!$A$9</f>
        <v>Faucheuse à fils</v>
      </c>
      <c r="C20" s="252" t="s">
        <v>139</v>
      </c>
      <c r="D20" s="218">
        <v>0</v>
      </c>
      <c r="E20" s="218">
        <v>3</v>
      </c>
      <c r="G20" s="257" t="str">
        <f>B11</f>
        <v>Lutte mécanique contre les mauvaises herbes 1</v>
      </c>
      <c r="H20" s="258">
        <f>calculs!K11</f>
        <v>0</v>
      </c>
      <c r="I20" s="258">
        <f>calculs!K16</f>
        <v>0</v>
      </c>
      <c r="J20" s="259">
        <f>calculs!J17</f>
        <v>0</v>
      </c>
      <c r="K20" s="260">
        <f t="shared" ref="K20:K22" si="0">SUM(H20:J20)</f>
        <v>0</v>
      </c>
      <c r="L20" s="95"/>
      <c r="M20" s="95"/>
      <c r="N20" s="95"/>
      <c r="O20" s="39"/>
      <c r="P20" s="39"/>
      <c r="Q20" s="39"/>
      <c r="R20" s="39"/>
      <c r="S20" s="39"/>
      <c r="T20" s="39"/>
    </row>
    <row r="21" spans="1:20" ht="39" customHeight="1" x14ac:dyDescent="0.3">
      <c r="A21" s="38"/>
      <c r="B21" s="281" t="str">
        <f>Input_machines!A14</f>
        <v xml:space="preserve">Disque émotteur avec étoile bineuse </v>
      </c>
      <c r="C21" s="252" t="s">
        <v>139</v>
      </c>
      <c r="D21" s="218">
        <v>0</v>
      </c>
      <c r="E21" s="218">
        <v>3</v>
      </c>
      <c r="G21" s="261" t="str">
        <f>B17</f>
        <v>Lutte mécanique contre les mauvaises herbes 2</v>
      </c>
      <c r="H21" s="262">
        <f>calculs!K24</f>
        <v>0</v>
      </c>
      <c r="I21" s="262">
        <f>calculs!K29</f>
        <v>0</v>
      </c>
      <c r="J21" s="263">
        <f>calculs!J30</f>
        <v>0</v>
      </c>
      <c r="K21" s="264">
        <f t="shared" si="0"/>
        <v>0</v>
      </c>
      <c r="L21" s="95"/>
      <c r="M21" s="95"/>
      <c r="N21" s="95"/>
      <c r="O21" s="39"/>
      <c r="P21" s="39"/>
      <c r="Q21" s="39"/>
      <c r="R21" s="39"/>
      <c r="S21" s="39"/>
      <c r="T21" s="39"/>
    </row>
    <row r="22" spans="1:20" x14ac:dyDescent="0.3">
      <c r="A22" s="38"/>
      <c r="B22" s="222"/>
      <c r="C22" s="223"/>
      <c r="D22" s="224"/>
      <c r="E22" s="220"/>
      <c r="G22" s="231" t="str">
        <f>B23</f>
        <v>Lutte mécanique et chimique contre les mauvaises herbes</v>
      </c>
      <c r="H22" s="232">
        <f>calculs!K34+calculs!K35</f>
        <v>0</v>
      </c>
      <c r="I22" s="232">
        <f>calculs!K37+calculs!K38</f>
        <v>0</v>
      </c>
      <c r="J22" s="232">
        <f>calculs!K39</f>
        <v>0</v>
      </c>
      <c r="K22" s="233">
        <f t="shared" si="0"/>
        <v>0</v>
      </c>
      <c r="L22" s="95"/>
      <c r="M22" s="95"/>
      <c r="N22" s="95"/>
      <c r="O22" s="39"/>
      <c r="P22" s="39"/>
      <c r="Q22" s="39"/>
      <c r="R22" s="39"/>
      <c r="S22" s="39"/>
      <c r="T22" s="39"/>
    </row>
    <row r="23" spans="1:20" x14ac:dyDescent="0.3">
      <c r="A23" s="39"/>
      <c r="B23" s="300" t="s">
        <v>70</v>
      </c>
      <c r="C23" s="300"/>
      <c r="D23" s="300"/>
      <c r="E23" s="300"/>
      <c r="L23" s="39"/>
      <c r="M23" s="39"/>
      <c r="N23" s="39"/>
      <c r="O23" s="39"/>
      <c r="P23" s="39"/>
      <c r="Q23" s="39"/>
      <c r="R23" s="39"/>
      <c r="S23" s="39"/>
      <c r="T23" s="39"/>
    </row>
    <row r="24" spans="1:20" ht="28" x14ac:dyDescent="0.3">
      <c r="A24" s="39"/>
      <c r="D24" s="247" t="str">
        <f>D12</f>
        <v>nombre de passages</v>
      </c>
      <c r="E24" s="246" t="str">
        <f>E6</f>
        <v>surface traité par passage (ha)</v>
      </c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</row>
    <row r="25" spans="1:20" ht="18" customHeight="1" x14ac:dyDescent="0.3">
      <c r="A25" s="39"/>
      <c r="B25" s="280" t="s">
        <v>7</v>
      </c>
      <c r="C25" s="251" t="s">
        <v>139</v>
      </c>
      <c r="D25" s="248">
        <v>0</v>
      </c>
      <c r="E25" s="248">
        <v>3</v>
      </c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</row>
    <row r="26" spans="1:20" ht="17.399999999999999" customHeight="1" x14ac:dyDescent="0.3">
      <c r="A26" s="39"/>
      <c r="B26" s="255"/>
      <c r="C26" s="302" t="s">
        <v>76</v>
      </c>
      <c r="D26" s="302"/>
      <c r="E26" s="302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</row>
    <row r="27" spans="1:20" x14ac:dyDescent="0.3">
      <c r="A27" s="39"/>
      <c r="B27" s="220"/>
      <c r="C27" s="224"/>
      <c r="D27" s="253" t="str">
        <f>D9</f>
        <v>Coûts herbicides</v>
      </c>
      <c r="E27" s="249">
        <f>Input_herbicides!D35</f>
        <v>0</v>
      </c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</row>
    <row r="28" spans="1:20" ht="28" x14ac:dyDescent="0.3">
      <c r="A28" s="39"/>
      <c r="B28" s="220"/>
      <c r="D28" s="285" t="str">
        <f>D6</f>
        <v>nombre de passages</v>
      </c>
      <c r="E28" s="285" t="str">
        <f>E6</f>
        <v>surface traité par passage (ha)</v>
      </c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</row>
    <row r="29" spans="1:20" x14ac:dyDescent="0.3">
      <c r="A29" s="39"/>
      <c r="B29" s="280" t="str">
        <f>Input_machines!$A$9</f>
        <v>Faucheuse à fils</v>
      </c>
      <c r="C29" s="256" t="s">
        <v>139</v>
      </c>
      <c r="D29" s="268">
        <v>0</v>
      </c>
      <c r="E29" s="268">
        <v>3</v>
      </c>
      <c r="F29" s="269"/>
      <c r="G29" s="270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</row>
    <row r="30" spans="1:20" ht="18" customHeight="1" x14ac:dyDescent="0.3">
      <c r="A30" s="39"/>
      <c r="B30" s="225"/>
      <c r="C30" s="271"/>
      <c r="D30" s="270"/>
      <c r="E30" s="270"/>
      <c r="F30" s="269"/>
      <c r="G30" s="26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</row>
    <row r="31" spans="1:20" ht="14.25" customHeight="1" x14ac:dyDescent="0.3">
      <c r="A31" s="39"/>
      <c r="B31" s="301" t="s">
        <v>79</v>
      </c>
      <c r="C31" s="301"/>
      <c r="D31" s="301"/>
      <c r="E31" s="301"/>
      <c r="F31" s="301"/>
      <c r="G31" s="301"/>
      <c r="L31" s="39"/>
      <c r="M31" s="39"/>
      <c r="N31" s="39"/>
      <c r="O31" s="39"/>
      <c r="P31" s="39"/>
      <c r="Q31" s="39"/>
      <c r="R31" s="39"/>
      <c r="S31" s="39"/>
      <c r="T31" s="39"/>
    </row>
    <row r="32" spans="1:20" x14ac:dyDescent="0.3">
      <c r="A32" s="39"/>
      <c r="B32" s="301"/>
      <c r="C32" s="301"/>
      <c r="D32" s="301"/>
      <c r="E32" s="301"/>
      <c r="F32" s="301"/>
      <c r="G32" s="301"/>
      <c r="L32" s="39"/>
      <c r="M32" s="39"/>
      <c r="N32" s="39"/>
      <c r="O32" s="39"/>
      <c r="P32" s="39"/>
      <c r="Q32" s="39"/>
      <c r="R32" s="39"/>
      <c r="S32" s="39"/>
      <c r="T32" s="39"/>
    </row>
    <row r="33" spans="1:20" x14ac:dyDescent="0.3">
      <c r="A33" s="39"/>
      <c r="B33" s="297" t="s">
        <v>80</v>
      </c>
      <c r="C33" s="297"/>
      <c r="D33" s="297"/>
      <c r="E33" s="297"/>
      <c r="F33" s="297"/>
      <c r="G33" s="297"/>
      <c r="L33" s="39"/>
      <c r="M33" s="39"/>
      <c r="N33" s="39"/>
      <c r="O33" s="39"/>
      <c r="P33" s="39"/>
      <c r="Q33" s="39"/>
      <c r="R33" s="39"/>
      <c r="S33" s="39"/>
      <c r="T33" s="39"/>
    </row>
    <row r="34" spans="1:20" x14ac:dyDescent="0.3">
      <c r="A34" s="39"/>
      <c r="C34" s="40"/>
      <c r="D34" s="39"/>
      <c r="E34" s="39"/>
      <c r="L34" s="39"/>
      <c r="M34" s="39"/>
      <c r="N34" s="39"/>
      <c r="O34" s="39"/>
      <c r="P34" s="39"/>
      <c r="Q34" s="39"/>
      <c r="R34" s="39"/>
      <c r="S34" s="39"/>
      <c r="T34" s="39"/>
    </row>
    <row r="35" spans="1:20" x14ac:dyDescent="0.3">
      <c r="A35" s="39"/>
      <c r="B35" s="39"/>
      <c r="C35" s="40"/>
      <c r="D35" s="39"/>
      <c r="E35" s="39"/>
      <c r="L35" s="39"/>
      <c r="M35" s="39"/>
      <c r="N35" s="39"/>
      <c r="O35" s="39"/>
      <c r="P35" s="39"/>
      <c r="Q35" s="39"/>
      <c r="R35" s="39"/>
      <c r="S35" s="39"/>
      <c r="T35" s="39"/>
    </row>
    <row r="36" spans="1:20" x14ac:dyDescent="0.3">
      <c r="A36" s="39"/>
      <c r="C36" s="40"/>
      <c r="D36" s="39"/>
      <c r="E36" s="39"/>
      <c r="L36" s="39"/>
      <c r="M36" s="39"/>
      <c r="N36" s="39"/>
      <c r="O36" s="39"/>
      <c r="P36" s="39"/>
      <c r="Q36" s="39"/>
      <c r="R36" s="39"/>
      <c r="S36" s="39"/>
      <c r="T36" s="39"/>
    </row>
    <row r="37" spans="1:20" x14ac:dyDescent="0.3">
      <c r="A37" s="39"/>
      <c r="B37" s="39"/>
      <c r="C37" s="40"/>
      <c r="D37" s="39"/>
      <c r="E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</row>
    <row r="38" spans="1:20" x14ac:dyDescent="0.3">
      <c r="A38" s="39"/>
      <c r="B38" s="39"/>
      <c r="C38" s="40"/>
      <c r="D38" s="39"/>
      <c r="E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</row>
    <row r="39" spans="1:20" x14ac:dyDescent="0.3">
      <c r="A39" s="39"/>
      <c r="B39" s="39"/>
      <c r="C39" s="40"/>
      <c r="D39" s="39"/>
      <c r="E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</row>
    <row r="40" spans="1:20" x14ac:dyDescent="0.3">
      <c r="A40" s="39"/>
      <c r="B40" s="39"/>
      <c r="C40" s="40"/>
      <c r="D40" s="39"/>
      <c r="E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</row>
    <row r="41" spans="1:20" x14ac:dyDescent="0.3">
      <c r="A41" s="39"/>
      <c r="B41" s="39"/>
      <c r="C41" s="40"/>
      <c r="D41" s="39"/>
      <c r="E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</row>
    <row r="42" spans="1:20" x14ac:dyDescent="0.3">
      <c r="A42" s="39"/>
      <c r="B42" s="39"/>
      <c r="C42" s="40"/>
      <c r="D42" s="39"/>
      <c r="E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</row>
    <row r="43" spans="1:20" x14ac:dyDescent="0.3">
      <c r="A43" s="39"/>
      <c r="B43" s="39"/>
      <c r="C43" s="40"/>
      <c r="D43" s="39"/>
      <c r="E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</row>
    <row r="44" spans="1:20" x14ac:dyDescent="0.3">
      <c r="A44" s="39"/>
      <c r="B44" s="39"/>
      <c r="C44" s="40"/>
      <c r="D44" s="39"/>
      <c r="E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</row>
    <row r="45" spans="1:20" x14ac:dyDescent="0.3">
      <c r="A45" s="39"/>
      <c r="B45" s="39"/>
      <c r="C45" s="40"/>
      <c r="D45" s="39"/>
      <c r="E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</row>
    <row r="46" spans="1:20" x14ac:dyDescent="0.3">
      <c r="A46" s="39"/>
      <c r="B46" s="39"/>
      <c r="C46" s="40"/>
      <c r="D46" s="39"/>
      <c r="E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</row>
    <row r="47" spans="1:20" x14ac:dyDescent="0.3">
      <c r="A47" s="39"/>
      <c r="B47" s="39"/>
      <c r="C47" s="40"/>
      <c r="D47" s="39"/>
      <c r="E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</row>
    <row r="48" spans="1:20" x14ac:dyDescent="0.3">
      <c r="A48" s="39"/>
      <c r="B48" s="39"/>
      <c r="C48" s="40"/>
      <c r="D48" s="39"/>
      <c r="E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</row>
    <row r="49" spans="1:20" x14ac:dyDescent="0.3">
      <c r="A49" s="39"/>
      <c r="B49" s="39"/>
      <c r="C49" s="40"/>
      <c r="D49" s="39"/>
      <c r="E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</row>
    <row r="50" spans="1:20" x14ac:dyDescent="0.3">
      <c r="A50" s="39"/>
      <c r="B50" s="39"/>
      <c r="C50" s="40"/>
      <c r="D50" s="39"/>
      <c r="E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</row>
    <row r="51" spans="1:20" x14ac:dyDescent="0.3">
      <c r="A51" s="39"/>
      <c r="B51" s="39"/>
      <c r="C51" s="40"/>
      <c r="D51" s="39"/>
      <c r="E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</row>
    <row r="52" spans="1:20" x14ac:dyDescent="0.3">
      <c r="A52" s="39"/>
      <c r="B52" s="39"/>
      <c r="C52" s="40"/>
      <c r="D52" s="39"/>
      <c r="E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</row>
    <row r="53" spans="1:20" x14ac:dyDescent="0.3">
      <c r="A53" s="39"/>
      <c r="B53" s="39"/>
      <c r="C53" s="40"/>
      <c r="D53" s="39"/>
      <c r="E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</row>
    <row r="54" spans="1:20" x14ac:dyDescent="0.3">
      <c r="A54" s="39"/>
      <c r="B54" s="39"/>
      <c r="C54" s="40"/>
      <c r="D54" s="39"/>
      <c r="E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</row>
    <row r="55" spans="1:20" x14ac:dyDescent="0.3">
      <c r="A55" s="39"/>
      <c r="B55" s="39"/>
      <c r="C55" s="40"/>
      <c r="D55" s="39"/>
      <c r="E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</row>
    <row r="56" spans="1:20" x14ac:dyDescent="0.3">
      <c r="A56" s="39"/>
      <c r="B56" s="39"/>
      <c r="C56" s="40"/>
      <c r="D56" s="39"/>
      <c r="E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</row>
    <row r="57" spans="1:20" x14ac:dyDescent="0.3">
      <c r="A57" s="39"/>
      <c r="B57" s="39"/>
      <c r="C57" s="40"/>
      <c r="D57" s="39"/>
      <c r="E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</row>
    <row r="58" spans="1:20" x14ac:dyDescent="0.3">
      <c r="A58" s="39"/>
      <c r="B58" s="39"/>
      <c r="C58" s="40"/>
      <c r="D58" s="39"/>
      <c r="E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</row>
    <row r="59" spans="1:20" x14ac:dyDescent="0.3">
      <c r="A59" s="39"/>
      <c r="B59" s="39"/>
      <c r="C59" s="40"/>
      <c r="D59" s="39"/>
      <c r="E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</row>
    <row r="60" spans="1:20" x14ac:dyDescent="0.3">
      <c r="A60" s="39"/>
      <c r="B60" s="39"/>
      <c r="C60" s="40"/>
      <c r="D60" s="39"/>
      <c r="E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</row>
    <row r="61" spans="1:20" x14ac:dyDescent="0.3">
      <c r="A61" s="39"/>
      <c r="B61" s="39"/>
      <c r="C61" s="40"/>
      <c r="D61" s="39"/>
      <c r="E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</row>
    <row r="62" spans="1:20" x14ac:dyDescent="0.3">
      <c r="A62" s="39"/>
      <c r="B62" s="39"/>
      <c r="C62" s="40"/>
      <c r="D62" s="39"/>
      <c r="E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</row>
    <row r="63" spans="1:20" x14ac:dyDescent="0.3">
      <c r="A63" s="39"/>
      <c r="B63" s="39"/>
      <c r="C63" s="40"/>
      <c r="D63" s="39"/>
      <c r="E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</row>
    <row r="64" spans="1:20" x14ac:dyDescent="0.3">
      <c r="A64" s="39"/>
      <c r="B64" s="39"/>
      <c r="C64" s="40"/>
      <c r="D64" s="39"/>
      <c r="E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</row>
    <row r="65" spans="1:20" x14ac:dyDescent="0.3">
      <c r="A65" s="39"/>
      <c r="B65" s="39"/>
      <c r="C65" s="40"/>
      <c r="D65" s="39"/>
      <c r="E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</row>
    <row r="66" spans="1:20" x14ac:dyDescent="0.3">
      <c r="A66" s="39"/>
      <c r="B66" s="39"/>
      <c r="C66" s="40"/>
      <c r="D66" s="39"/>
      <c r="E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</row>
    <row r="67" spans="1:20" x14ac:dyDescent="0.3">
      <c r="A67" s="39"/>
      <c r="B67" s="39"/>
      <c r="C67" s="40"/>
      <c r="D67" s="39"/>
      <c r="E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</row>
    <row r="68" spans="1:20" x14ac:dyDescent="0.3">
      <c r="A68" s="39"/>
      <c r="B68" s="39"/>
      <c r="C68" s="40"/>
      <c r="D68" s="39"/>
      <c r="E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</row>
    <row r="69" spans="1:20" x14ac:dyDescent="0.3">
      <c r="A69" s="39"/>
      <c r="B69" s="39"/>
      <c r="C69" s="40"/>
      <c r="D69" s="39"/>
      <c r="E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</row>
    <row r="70" spans="1:20" x14ac:dyDescent="0.3">
      <c r="A70" s="39"/>
      <c r="B70" s="39"/>
      <c r="C70" s="40"/>
      <c r="D70" s="39"/>
      <c r="E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</row>
    <row r="71" spans="1:20" x14ac:dyDescent="0.3">
      <c r="A71" s="39"/>
      <c r="B71" s="39"/>
      <c r="C71" s="40"/>
      <c r="D71" s="39"/>
      <c r="E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</row>
    <row r="72" spans="1:20" x14ac:dyDescent="0.3">
      <c r="A72" s="39"/>
      <c r="B72" s="39"/>
      <c r="C72" s="40"/>
      <c r="D72" s="39"/>
      <c r="E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0" x14ac:dyDescent="0.3">
      <c r="A73" s="39"/>
      <c r="B73" s="39"/>
      <c r="C73" s="40"/>
      <c r="D73" s="39"/>
      <c r="E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0" x14ac:dyDescent="0.3">
      <c r="A74" s="39"/>
      <c r="B74" s="39"/>
      <c r="C74" s="40"/>
      <c r="D74" s="39"/>
      <c r="E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0" x14ac:dyDescent="0.3">
      <c r="A75" s="39"/>
      <c r="B75" s="39"/>
      <c r="C75" s="40"/>
      <c r="D75" s="39"/>
      <c r="E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0" x14ac:dyDescent="0.3">
      <c r="A76" s="39"/>
      <c r="B76" s="39"/>
      <c r="C76" s="40"/>
      <c r="D76" s="39"/>
      <c r="E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0" x14ac:dyDescent="0.3">
      <c r="A77" s="39"/>
      <c r="B77" s="39"/>
      <c r="C77" s="40"/>
      <c r="D77" s="39"/>
      <c r="E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0" x14ac:dyDescent="0.3">
      <c r="A78" s="39"/>
      <c r="B78" s="39"/>
      <c r="C78" s="40"/>
      <c r="D78" s="39"/>
      <c r="E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0" x14ac:dyDescent="0.3">
      <c r="A79" s="39"/>
      <c r="B79" s="39"/>
      <c r="C79" s="40"/>
      <c r="D79" s="39"/>
      <c r="E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0" x14ac:dyDescent="0.3">
      <c r="A80" s="39"/>
      <c r="B80" s="39"/>
      <c r="C80" s="40"/>
      <c r="D80" s="39"/>
      <c r="E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1:20" x14ac:dyDescent="0.3">
      <c r="A81" s="39"/>
      <c r="B81" s="39"/>
      <c r="C81" s="40"/>
      <c r="D81" s="39"/>
      <c r="E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1:20" x14ac:dyDescent="0.3">
      <c r="A82" s="39"/>
      <c r="B82" s="39"/>
      <c r="C82" s="40"/>
      <c r="D82" s="39"/>
      <c r="E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1:20" x14ac:dyDescent="0.3">
      <c r="A83" s="39"/>
      <c r="B83" s="39"/>
      <c r="C83" s="40"/>
      <c r="D83" s="39"/>
      <c r="E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  <row r="84" spans="1:20" x14ac:dyDescent="0.3">
      <c r="A84" s="39"/>
      <c r="B84" s="39"/>
      <c r="C84" s="40"/>
      <c r="D84" s="39"/>
      <c r="E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</row>
    <row r="85" spans="1:20" x14ac:dyDescent="0.3">
      <c r="A85" s="39"/>
      <c r="B85" s="39"/>
      <c r="C85" s="40"/>
      <c r="D85" s="39"/>
      <c r="E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</row>
    <row r="86" spans="1:20" x14ac:dyDescent="0.3">
      <c r="A86" s="39"/>
      <c r="B86" s="39"/>
      <c r="C86" s="40"/>
      <c r="D86" s="39"/>
      <c r="E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</row>
    <row r="87" spans="1:20" x14ac:dyDescent="0.3">
      <c r="A87" s="39"/>
      <c r="B87" s="39"/>
      <c r="C87" s="40"/>
      <c r="D87" s="39"/>
      <c r="E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</row>
    <row r="88" spans="1:20" x14ac:dyDescent="0.3">
      <c r="A88" s="39"/>
      <c r="B88" s="39"/>
      <c r="C88" s="40"/>
      <c r="D88" s="39"/>
      <c r="E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</row>
    <row r="89" spans="1:20" x14ac:dyDescent="0.3">
      <c r="A89" s="39"/>
      <c r="B89" s="39"/>
      <c r="C89" s="40"/>
      <c r="D89" s="39"/>
      <c r="E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</row>
    <row r="90" spans="1:20" x14ac:dyDescent="0.3">
      <c r="A90" s="39"/>
      <c r="B90" s="39"/>
      <c r="C90" s="40"/>
      <c r="D90" s="39"/>
      <c r="E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</row>
    <row r="91" spans="1:20" x14ac:dyDescent="0.3">
      <c r="A91" s="39"/>
      <c r="B91" s="39"/>
      <c r="C91" s="40"/>
      <c r="D91" s="39"/>
      <c r="E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</row>
    <row r="92" spans="1:20" x14ac:dyDescent="0.3">
      <c r="A92" s="39"/>
      <c r="B92" s="39"/>
      <c r="C92" s="40"/>
      <c r="D92" s="39"/>
      <c r="E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</row>
    <row r="93" spans="1:20" x14ac:dyDescent="0.3">
      <c r="A93" s="39"/>
      <c r="B93" s="39"/>
      <c r="C93" s="40"/>
      <c r="D93" s="39"/>
      <c r="E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</row>
    <row r="94" spans="1:20" x14ac:dyDescent="0.3">
      <c r="A94" s="39"/>
      <c r="B94" s="39"/>
      <c r="C94" s="40"/>
      <c r="D94" s="39"/>
      <c r="E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</row>
    <row r="95" spans="1:20" x14ac:dyDescent="0.3">
      <c r="A95" s="39"/>
      <c r="B95" s="39"/>
      <c r="C95" s="40"/>
      <c r="D95" s="39"/>
      <c r="E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</row>
    <row r="96" spans="1:20" x14ac:dyDescent="0.3">
      <c r="A96" s="39"/>
      <c r="B96" s="39"/>
      <c r="C96" s="40"/>
      <c r="D96" s="39"/>
      <c r="E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</row>
    <row r="97" spans="1:20" x14ac:dyDescent="0.3">
      <c r="A97" s="39"/>
      <c r="B97" s="39"/>
      <c r="C97" s="40"/>
      <c r="D97" s="39"/>
      <c r="E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</row>
    <row r="98" spans="1:20" x14ac:dyDescent="0.3">
      <c r="A98" s="39"/>
      <c r="B98" s="39"/>
      <c r="C98" s="40"/>
      <c r="D98" s="39"/>
      <c r="E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</row>
  </sheetData>
  <sheetProtection selectLockedCells="1"/>
  <mergeCells count="9">
    <mergeCell ref="B33:G33"/>
    <mergeCell ref="B1:E1"/>
    <mergeCell ref="B5:E5"/>
    <mergeCell ref="B11:E11"/>
    <mergeCell ref="B17:E17"/>
    <mergeCell ref="B23:E23"/>
    <mergeCell ref="B31:G32"/>
    <mergeCell ref="C8:E8"/>
    <mergeCell ref="C26:E26"/>
  </mergeCells>
  <conditionalFormatting sqref="E9">
    <cfRule type="cellIs" dxfId="1" priority="3" operator="equal">
      <formula>0</formula>
    </cfRule>
  </conditionalFormatting>
  <conditionalFormatting sqref="E27">
    <cfRule type="cellIs" dxfId="0" priority="1" operator="equal">
      <formula>0</formula>
    </cfRule>
  </conditionalFormatting>
  <hyperlinks>
    <hyperlink ref="B7" location="Input_machines!A1" display="Rampe de pulvérisation d’herbicides"/>
    <hyperlink ref="C8:E8" location="Input_herbicides!A1" display="plus de 3 voyages/ stratégie herbicide propre"/>
    <hyperlink ref="B13" location="Input_machines!A1" display="Input_machines!A1"/>
    <hyperlink ref="B14" location="Input_machines!A1" display="Input_machines!A1"/>
    <hyperlink ref="B15" location="Input_machines!A1" display="Input_machines!A1"/>
    <hyperlink ref="B19" location="Input_machines!A1" display="Input_machines!A1"/>
    <hyperlink ref="B20" location="Input_machines!A1" display="Input_machines!A1"/>
    <hyperlink ref="B21" location="Input_machines!A1" display="Input_machines!A1"/>
    <hyperlink ref="B25" location="Input_machines!A1" display="Herbizidbalken"/>
    <hyperlink ref="B29" location="Input_machines!A1" display="Input_machines!A1"/>
    <hyperlink ref="C26:E26" location="Input_herbicides!A1" display="plus de 3 voyages/ stratégie herbicide propre"/>
    <hyperlink ref="M3" r:id="rId1"/>
    <hyperlink ref="M4" r:id="rId2"/>
    <hyperlink ref="M5" r:id="rId3"/>
  </hyperlinks>
  <pageMargins left="0.70866141732283472" right="0.70866141732283472" top="0.78740157480314965" bottom="0.78740157480314965" header="0.31496062992125984" footer="0.31496062992125984"/>
  <pageSetup paperSize="9" scale="60" orientation="landscape" r:id="rId4"/>
  <drawing r:id="rId5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listes!$A$3:$A$4</xm:f>
          </x14:formula1>
          <xm:sqref>C29 C13:C15 C19:C21 C7 C25</xm:sqref>
        </x14:dataValidation>
        <x14:dataValidation type="list" allowBlank="1" showInputMessage="1" showErrorMessage="1">
          <x14:formula1>
            <xm:f>listes!$F$9:$F$21</xm:f>
          </x14:formula1>
          <xm:sqref>D19:D21 D13:D15 D29</xm:sqref>
        </x14:dataValidation>
        <x14:dataValidation type="list" allowBlank="1" showInputMessage="1" showErrorMessage="1">
          <x14:formula1>
            <xm:f>listes!$A$10:$A$39</xm:f>
          </x14:formula1>
          <xm:sqref>D3:E3</xm:sqref>
        </x14:dataValidation>
        <x14:dataValidation type="list" allowBlank="1" showInputMessage="1" showErrorMessage="1">
          <x14:formula1>
            <xm:f>listes!$A$9:$A$39</xm:f>
          </x14:formula1>
          <xm:sqref>E13:E15 E19:E21 E29 E10 E7 E25</xm:sqref>
        </x14:dataValidation>
        <x14:dataValidation type="list" allowBlank="1" showInputMessage="1" showErrorMessage="1">
          <x14:formula1>
            <xm:f>listes!$G$9:$G$21</xm:f>
          </x14:formula1>
          <xm:sqref>D10 D7</xm:sqref>
        </x14:dataValidation>
        <x14:dataValidation type="list" allowBlank="1" showInputMessage="1" showErrorMessage="1">
          <x14:formula1>
            <xm:f>listes!$V$9:$V$16</xm:f>
          </x14:formula1>
          <xm:sqref>C27 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N50"/>
  <sheetViews>
    <sheetView zoomScaleNormal="100" workbookViewId="0">
      <selection activeCell="B3" sqref="B3"/>
    </sheetView>
  </sheetViews>
  <sheetFormatPr baseColWidth="10" defaultRowHeight="14" x14ac:dyDescent="0.3"/>
  <cols>
    <col min="1" max="1" width="56.75" customWidth="1"/>
    <col min="2" max="2" width="12.08203125" customWidth="1"/>
    <col min="3" max="3" width="8.75" customWidth="1"/>
    <col min="4" max="4" width="12" bestFit="1" customWidth="1"/>
    <col min="5" max="5" width="54.25" bestFit="1" customWidth="1"/>
    <col min="6" max="6" width="23" customWidth="1"/>
    <col min="7" max="7" width="24.25" customWidth="1"/>
    <col min="8" max="8" width="14.58203125" customWidth="1"/>
    <col min="9" max="9" width="18.5" customWidth="1"/>
  </cols>
  <sheetData>
    <row r="1" spans="1:14" x14ac:dyDescent="0.3">
      <c r="A1" s="64"/>
      <c r="B1" s="66"/>
      <c r="C1" s="64" t="s">
        <v>97</v>
      </c>
      <c r="D1" s="39"/>
      <c r="E1" s="37" t="s">
        <v>96</v>
      </c>
      <c r="F1" s="39"/>
      <c r="G1" s="39"/>
      <c r="H1" s="39"/>
      <c r="I1" s="39"/>
      <c r="J1" s="39"/>
      <c r="K1" s="39"/>
      <c r="L1" s="39"/>
      <c r="M1" s="39"/>
      <c r="N1" s="39"/>
    </row>
    <row r="2" spans="1:14" x14ac:dyDescent="0.3">
      <c r="A2" s="65" t="s">
        <v>100</v>
      </c>
      <c r="B2" s="172">
        <f>Entree_resultats!D3</f>
        <v>6</v>
      </c>
      <c r="C2" s="65" t="s">
        <v>1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x14ac:dyDescent="0.3">
      <c r="A3" s="65" t="s">
        <v>82</v>
      </c>
      <c r="B3" s="173">
        <v>1</v>
      </c>
      <c r="C3" s="65" t="s">
        <v>2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x14ac:dyDescent="0.3">
      <c r="A4" s="65" t="s">
        <v>83</v>
      </c>
      <c r="B4" s="173">
        <v>24</v>
      </c>
      <c r="C4" s="65" t="s">
        <v>20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x14ac:dyDescent="0.3">
      <c r="A5" s="65" t="s">
        <v>84</v>
      </c>
      <c r="B5" s="173">
        <v>35</v>
      </c>
      <c r="C5" s="65" t="s">
        <v>20</v>
      </c>
      <c r="D5" s="39"/>
      <c r="E5" s="39"/>
      <c r="F5" s="39"/>
      <c r="G5" s="122"/>
      <c r="H5" s="39"/>
      <c r="I5" s="39"/>
      <c r="J5" s="39"/>
      <c r="K5" s="39"/>
      <c r="L5" s="39"/>
      <c r="M5" s="39"/>
      <c r="N5" s="39"/>
    </row>
    <row r="6" spans="1:14" x14ac:dyDescent="0.3">
      <c r="A6" s="65" t="s">
        <v>85</v>
      </c>
      <c r="B6" s="173">
        <v>25</v>
      </c>
      <c r="C6" s="65" t="s">
        <v>3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x14ac:dyDescent="0.3">
      <c r="A7" s="65" t="s">
        <v>86</v>
      </c>
      <c r="B7" s="173">
        <v>26</v>
      </c>
      <c r="C7" s="65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x14ac:dyDescent="0.3">
      <c r="A8" s="65" t="s">
        <v>87</v>
      </c>
      <c r="B8" s="173">
        <v>100</v>
      </c>
      <c r="C8" s="65" t="s">
        <v>6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 x14ac:dyDescent="0.3">
      <c r="A9" s="65" t="s">
        <v>95</v>
      </c>
      <c r="B9" s="173">
        <v>3.5</v>
      </c>
      <c r="C9" s="65" t="s">
        <v>6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x14ac:dyDescent="0.3">
      <c r="A10" s="65" t="s">
        <v>88</v>
      </c>
      <c r="B10" s="101">
        <f>B8*(B7-1)*B9/10000</f>
        <v>0.875</v>
      </c>
      <c r="C10" s="65" t="s">
        <v>1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 x14ac:dyDescent="0.3">
      <c r="A11" s="65" t="s">
        <v>89</v>
      </c>
      <c r="B11" s="173">
        <v>10</v>
      </c>
      <c r="C11" s="65" t="s">
        <v>99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x14ac:dyDescent="0.3">
      <c r="A12" s="65" t="s">
        <v>90</v>
      </c>
      <c r="B12" s="180">
        <v>1</v>
      </c>
      <c r="C12" s="65" t="s">
        <v>6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x14ac:dyDescent="0.3">
      <c r="A13" s="65" t="s">
        <v>91</v>
      </c>
      <c r="B13" s="173">
        <v>1.5</v>
      </c>
      <c r="C13" s="65" t="s">
        <v>4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4" x14ac:dyDescent="0.3">
      <c r="A14" s="65" t="s">
        <v>94</v>
      </c>
      <c r="B14" s="173">
        <v>350</v>
      </c>
      <c r="C14" s="65" t="s">
        <v>17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x14ac:dyDescent="0.3">
      <c r="A15" s="65" t="s">
        <v>92</v>
      </c>
      <c r="B15" s="173">
        <v>6</v>
      </c>
      <c r="C15" s="65" t="s">
        <v>22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 x14ac:dyDescent="0.3">
      <c r="A16" s="65" t="s">
        <v>93</v>
      </c>
      <c r="B16" s="173">
        <v>1.43</v>
      </c>
      <c r="C16" s="65" t="s">
        <v>16</v>
      </c>
      <c r="D16" s="39"/>
      <c r="E16" s="39"/>
      <c r="F16" s="39"/>
      <c r="G16" s="122"/>
      <c r="H16" s="122"/>
      <c r="I16" s="39"/>
      <c r="J16" s="39"/>
      <c r="K16" s="39"/>
      <c r="L16" s="39"/>
      <c r="M16" s="39"/>
      <c r="N16" s="39"/>
    </row>
    <row r="17" spans="1:14" x14ac:dyDescent="0.3">
      <c r="A17" s="39"/>
      <c r="B17" s="39"/>
      <c r="C17" s="39"/>
      <c r="D17" s="39"/>
      <c r="E17" s="39"/>
      <c r="F17" s="39"/>
      <c r="G17" s="122"/>
      <c r="H17" s="122"/>
      <c r="I17" s="39"/>
      <c r="J17" s="39"/>
      <c r="K17" s="39"/>
      <c r="L17" s="39"/>
      <c r="M17" s="39"/>
      <c r="N17" s="39"/>
    </row>
    <row r="18" spans="1:14" ht="38.4" customHeight="1" x14ac:dyDescent="0.3">
      <c r="A18" s="303" t="s">
        <v>98</v>
      </c>
      <c r="B18" s="303"/>
      <c r="C18" s="303"/>
      <c r="D18" s="39"/>
      <c r="E18" s="39"/>
      <c r="F18" s="39"/>
      <c r="G18" s="122"/>
      <c r="H18" s="122"/>
      <c r="I18" s="39"/>
      <c r="J18" s="39"/>
      <c r="K18" s="39"/>
      <c r="L18" s="39"/>
      <c r="M18" s="39"/>
      <c r="N18" s="39"/>
    </row>
    <row r="19" spans="1:14" x14ac:dyDescent="0.3">
      <c r="A19" s="39"/>
      <c r="B19" s="39"/>
      <c r="C19" s="39"/>
      <c r="D19" s="39"/>
      <c r="E19" s="39"/>
      <c r="F19" s="39"/>
      <c r="G19" s="122"/>
      <c r="H19" s="122"/>
      <c r="I19" s="39"/>
      <c r="J19" s="39"/>
      <c r="K19" s="39"/>
      <c r="L19" s="39"/>
      <c r="M19" s="39"/>
      <c r="N19" s="39"/>
    </row>
    <row r="20" spans="1:14" x14ac:dyDescent="0.3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14" x14ac:dyDescent="0.3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 spans="1:14" x14ac:dyDescent="0.3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4" x14ac:dyDescent="0.3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4" x14ac:dyDescent="0.3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4" x14ac:dyDescent="0.3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1:14" x14ac:dyDescent="0.3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pans="1:14" x14ac:dyDescent="0.3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1:14" x14ac:dyDescent="0.3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1:14" x14ac:dyDescent="0.3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1:14" x14ac:dyDescent="0.3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1:14" x14ac:dyDescent="0.3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1:14" x14ac:dyDescent="0.3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1:14" x14ac:dyDescent="0.3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</row>
    <row r="34" spans="1:14" x14ac:dyDescent="0.3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1:14" x14ac:dyDescent="0.3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 spans="1:14" x14ac:dyDescent="0.3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  <row r="37" spans="1:14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</row>
    <row r="38" spans="1:14" x14ac:dyDescent="0.3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</row>
    <row r="39" spans="1:14" x14ac:dyDescent="0.3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</row>
    <row r="40" spans="1:14" x14ac:dyDescent="0.3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1:14" x14ac:dyDescent="0.3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</row>
    <row r="42" spans="1:14" x14ac:dyDescent="0.3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</row>
    <row r="43" spans="1:14" x14ac:dyDescent="0.3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</row>
    <row r="44" spans="1:14" x14ac:dyDescent="0.3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</row>
    <row r="45" spans="1:14" x14ac:dyDescent="0.3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1:14" x14ac:dyDescent="0.3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spans="1:14" x14ac:dyDescent="0.3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4" x14ac:dyDescent="0.3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1:14" x14ac:dyDescent="0.3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1:14" x14ac:dyDescent="0.3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</row>
  </sheetData>
  <sheetProtection selectLockedCells="1"/>
  <mergeCells count="1">
    <mergeCell ref="A18:C18"/>
  </mergeCells>
  <dataValidations count="1">
    <dataValidation type="whole" allowBlank="1" showInputMessage="1" showErrorMessage="1" sqref="B7">
      <formula1>2</formula1>
      <formula2>100</formula2>
    </dataValidation>
  </dataValidations>
  <pageMargins left="0.70866141732283472" right="0.70866141732283472" top="0.78740157480314965" bottom="0.78740157480314965" header="0.31496062992125984" footer="0.31496062992125984"/>
  <pageSetup paperSize="9" scale="6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R41"/>
  <sheetViews>
    <sheetView showGridLines="0" workbookViewId="0">
      <selection activeCell="A8" sqref="A8"/>
    </sheetView>
  </sheetViews>
  <sheetFormatPr baseColWidth="10" defaultColWidth="11" defaultRowHeight="14" x14ac:dyDescent="0.3"/>
  <cols>
    <col min="1" max="1" width="41.9140625" customWidth="1"/>
    <col min="2" max="2" width="10" customWidth="1"/>
    <col min="3" max="3" width="13.08203125" style="67" customWidth="1"/>
    <col min="4" max="4" width="5.08203125" customWidth="1"/>
    <col min="5" max="5" width="14.08203125" style="156" customWidth="1"/>
    <col min="6" max="6" width="5.25" customWidth="1"/>
    <col min="7" max="7" width="14" style="63" customWidth="1"/>
    <col min="8" max="8" width="6.75" customWidth="1"/>
    <col min="9" max="9" width="14.25" style="63" customWidth="1"/>
    <col min="10" max="10" width="6.75" customWidth="1"/>
    <col min="11" max="11" width="12.5" style="63" customWidth="1"/>
    <col min="12" max="12" width="4.5" customWidth="1"/>
    <col min="13" max="13" width="25.25" style="63" customWidth="1"/>
    <col min="14" max="14" width="6" customWidth="1"/>
    <col min="15" max="15" width="33.75" style="190" customWidth="1"/>
    <col min="16" max="16" width="0" style="190" hidden="1" customWidth="1"/>
    <col min="17" max="17" width="1.75" style="190" hidden="1" customWidth="1"/>
    <col min="18" max="18" width="0.4140625" style="190" customWidth="1"/>
    <col min="19" max="16384" width="11" style="190"/>
  </cols>
  <sheetData>
    <row r="1" spans="1:18" x14ac:dyDescent="0.3">
      <c r="A1" s="128" t="str">
        <f>Entree_resultats!B3</f>
        <v>Surface fruitière de l'exploitation</v>
      </c>
      <c r="B1" s="129">
        <f>Input_exploitation!B2</f>
        <v>6</v>
      </c>
      <c r="C1" s="130" t="s">
        <v>1</v>
      </c>
      <c r="D1" s="128"/>
      <c r="E1" s="166"/>
      <c r="F1" s="131"/>
      <c r="G1" s="132"/>
      <c r="H1" s="128"/>
      <c r="I1" s="132"/>
      <c r="J1" s="128"/>
      <c r="K1" s="132"/>
      <c r="L1" s="128"/>
      <c r="M1" s="132"/>
      <c r="N1" s="128"/>
      <c r="O1" s="207"/>
      <c r="P1" s="304" t="s">
        <v>26</v>
      </c>
      <c r="Q1" s="304"/>
    </row>
    <row r="2" spans="1:18" s="208" customFormat="1" ht="62.4" customHeight="1" x14ac:dyDescent="0.3">
      <c r="A2" s="24"/>
      <c r="B2" s="24" t="str">
        <f>Entree_resultats!C12</f>
        <v>unilatérale/bilatérale</v>
      </c>
      <c r="C2" s="235" t="s">
        <v>101</v>
      </c>
      <c r="D2" s="236"/>
      <c r="E2" s="237" t="s">
        <v>102</v>
      </c>
      <c r="F2" s="237"/>
      <c r="G2" s="237" t="s">
        <v>103</v>
      </c>
      <c r="H2" s="237"/>
      <c r="I2" s="237" t="s">
        <v>154</v>
      </c>
      <c r="J2" s="237"/>
      <c r="K2" s="237" t="s">
        <v>104</v>
      </c>
      <c r="L2" s="237"/>
      <c r="M2" s="237" t="s">
        <v>105</v>
      </c>
      <c r="N2" s="24"/>
    </row>
    <row r="3" spans="1:18" x14ac:dyDescent="0.3">
      <c r="A3" s="25" t="s">
        <v>66</v>
      </c>
      <c r="B3" s="68"/>
      <c r="C3" s="97">
        <v>62000</v>
      </c>
      <c r="D3" s="68" t="s">
        <v>10</v>
      </c>
      <c r="E3" s="181"/>
      <c r="F3" s="68" t="s">
        <v>10</v>
      </c>
      <c r="G3" s="181">
        <v>15</v>
      </c>
      <c r="H3" s="68" t="s">
        <v>106</v>
      </c>
      <c r="I3" s="74"/>
      <c r="J3" s="68" t="s">
        <v>3</v>
      </c>
      <c r="K3" s="181">
        <v>574</v>
      </c>
      <c r="L3" s="68" t="s">
        <v>10</v>
      </c>
      <c r="M3" s="134"/>
      <c r="N3" s="25"/>
    </row>
    <row r="4" spans="1:18" x14ac:dyDescent="0.3">
      <c r="A4" s="136" t="s">
        <v>64</v>
      </c>
      <c r="B4" s="137"/>
      <c r="C4" s="138"/>
      <c r="D4" s="137"/>
      <c r="E4" s="167"/>
      <c r="F4" s="137"/>
      <c r="G4" s="139"/>
      <c r="H4" s="137"/>
      <c r="I4" s="139"/>
      <c r="J4" s="137"/>
      <c r="K4" s="139"/>
      <c r="L4" s="137"/>
      <c r="M4" s="139"/>
      <c r="N4" s="140"/>
    </row>
    <row r="5" spans="1:18" x14ac:dyDescent="0.3">
      <c r="A5" s="69" t="s">
        <v>65</v>
      </c>
      <c r="B5" s="96" t="str">
        <f>Entree_resultats!C7</f>
        <v>bilatérale</v>
      </c>
      <c r="C5" s="98">
        <f>IF(B5="unitlatérale",listes!D3,listes!D4)</f>
        <v>7000</v>
      </c>
      <c r="D5" s="70" t="s">
        <v>10</v>
      </c>
      <c r="E5" s="182"/>
      <c r="F5" s="70" t="s">
        <v>10</v>
      </c>
      <c r="G5" s="182">
        <v>10</v>
      </c>
      <c r="H5" s="70" t="str">
        <f>$H$3</f>
        <v>années</v>
      </c>
      <c r="I5" s="182">
        <v>6</v>
      </c>
      <c r="J5" s="70" t="s">
        <v>3</v>
      </c>
      <c r="K5" s="182">
        <v>8</v>
      </c>
      <c r="L5" s="70" t="s">
        <v>10</v>
      </c>
      <c r="M5" s="135"/>
      <c r="N5" s="69"/>
      <c r="P5" s="190">
        <f>IF(B5="beideseitig",1,0)</f>
        <v>0</v>
      </c>
      <c r="Q5" s="190">
        <f>IF(B5="bilatérale", 1,2)</f>
        <v>1</v>
      </c>
      <c r="R5" s="190">
        <f>IF(B5="bilatérale",0,1)</f>
        <v>0</v>
      </c>
    </row>
    <row r="6" spans="1:18" x14ac:dyDescent="0.3">
      <c r="A6" s="25" t="s">
        <v>67</v>
      </c>
      <c r="B6" s="71"/>
      <c r="C6" s="97">
        <v>3400</v>
      </c>
      <c r="D6" s="68" t="s">
        <v>10</v>
      </c>
      <c r="E6" s="181"/>
      <c r="F6" s="68" t="s">
        <v>10</v>
      </c>
      <c r="G6" s="181">
        <v>10</v>
      </c>
      <c r="H6" s="70" t="str">
        <f>$H$3</f>
        <v>années</v>
      </c>
      <c r="I6" s="215">
        <f>I5</f>
        <v>6</v>
      </c>
      <c r="J6" s="68" t="s">
        <v>3</v>
      </c>
      <c r="K6" s="181">
        <v>7</v>
      </c>
      <c r="L6" s="68" t="s">
        <v>10</v>
      </c>
      <c r="M6" s="134"/>
      <c r="N6" s="25"/>
      <c r="P6" s="190">
        <f t="shared" ref="P6:P14" si="0">IF(B6="beideseitig",1,0)</f>
        <v>0</v>
      </c>
      <c r="Q6" s="190">
        <f>IF(B6="bilatérale", 1,2)</f>
        <v>2</v>
      </c>
      <c r="R6" s="190">
        <f>IF(B6="bilatérale",0,1)</f>
        <v>1</v>
      </c>
    </row>
    <row r="7" spans="1:18" x14ac:dyDescent="0.3">
      <c r="A7" s="307" t="str">
        <f>Entree_resultats!B11</f>
        <v>Lutte mécanique contre les mauvaises herbes 1</v>
      </c>
      <c r="B7" s="308"/>
      <c r="C7" s="141"/>
      <c r="D7" s="142"/>
      <c r="E7" s="168"/>
      <c r="F7" s="142"/>
      <c r="G7" s="143"/>
      <c r="H7" s="142"/>
      <c r="I7" s="143"/>
      <c r="J7" s="142"/>
      <c r="K7" s="143"/>
      <c r="L7" s="142"/>
      <c r="M7" s="143"/>
      <c r="N7" s="144"/>
    </row>
    <row r="8" spans="1:18" x14ac:dyDescent="0.3">
      <c r="A8" s="286" t="s">
        <v>210</v>
      </c>
      <c r="B8" s="96" t="str">
        <f>Entree_resultats!C13</f>
        <v>bilatérale</v>
      </c>
      <c r="C8" s="98">
        <f>IF(B8="unilatérale",listes!B3,listes!B4)</f>
        <v>27000</v>
      </c>
      <c r="D8" s="70" t="s">
        <v>10</v>
      </c>
      <c r="E8" s="182"/>
      <c r="F8" s="70" t="s">
        <v>10</v>
      </c>
      <c r="G8" s="182">
        <v>10</v>
      </c>
      <c r="H8" s="70" t="str">
        <f>$H$3</f>
        <v>années</v>
      </c>
      <c r="I8" s="182">
        <v>2</v>
      </c>
      <c r="J8" s="70" t="s">
        <v>3</v>
      </c>
      <c r="K8" s="182">
        <v>64</v>
      </c>
      <c r="L8" s="70" t="s">
        <v>10</v>
      </c>
      <c r="M8" s="182">
        <v>30</v>
      </c>
      <c r="N8" s="69" t="s">
        <v>23</v>
      </c>
      <c r="P8" s="190">
        <f t="shared" si="0"/>
        <v>0</v>
      </c>
      <c r="Q8" s="190">
        <f>IF(B8="bilatérale", 1,2)</f>
        <v>1</v>
      </c>
      <c r="R8" s="190">
        <f>IF(B8="bilatérale",0,1)</f>
        <v>0</v>
      </c>
    </row>
    <row r="9" spans="1:18" x14ac:dyDescent="0.3">
      <c r="A9" s="287" t="s">
        <v>200</v>
      </c>
      <c r="B9" s="100" t="str">
        <f>Entree_resultats!C14</f>
        <v>bilatérale</v>
      </c>
      <c r="C9" s="99">
        <f>IF(B9="unilatérale",listes!C3,listes!C4)</f>
        <v>26000</v>
      </c>
      <c r="D9" s="22" t="s">
        <v>10</v>
      </c>
      <c r="E9" s="173"/>
      <c r="F9" s="22" t="s">
        <v>10</v>
      </c>
      <c r="G9" s="173">
        <v>10</v>
      </c>
      <c r="H9" s="70" t="str">
        <f t="shared" ref="H9:H18" si="1">$H$3</f>
        <v>années</v>
      </c>
      <c r="I9" s="173">
        <v>6</v>
      </c>
      <c r="J9" s="22" t="s">
        <v>3</v>
      </c>
      <c r="K9" s="173">
        <v>30</v>
      </c>
      <c r="L9" s="22" t="s">
        <v>10</v>
      </c>
      <c r="M9" s="183">
        <f>280/120</f>
        <v>2.3333333333333335</v>
      </c>
      <c r="N9" s="23" t="s">
        <v>23</v>
      </c>
      <c r="P9" s="190">
        <f t="shared" si="0"/>
        <v>0</v>
      </c>
      <c r="Q9" s="190">
        <f>IF(B9="bilatérale", 1,2)</f>
        <v>1</v>
      </c>
      <c r="R9" s="190">
        <f>IF(B9="bilatérale",0,1)</f>
        <v>0</v>
      </c>
    </row>
    <row r="10" spans="1:18" x14ac:dyDescent="0.3">
      <c r="A10" s="280" t="s">
        <v>71</v>
      </c>
      <c r="B10" s="100" t="str">
        <f>Entree_resultats!C15</f>
        <v>bilatérale</v>
      </c>
      <c r="C10" s="99">
        <f>IF(B10="unilatérale",listes!E3,listes!E4)</f>
        <v>15000</v>
      </c>
      <c r="D10" s="22" t="s">
        <v>10</v>
      </c>
      <c r="E10" s="173"/>
      <c r="F10" s="22" t="s">
        <v>10</v>
      </c>
      <c r="G10" s="173">
        <v>10</v>
      </c>
      <c r="H10" s="70" t="str">
        <f t="shared" si="1"/>
        <v>années</v>
      </c>
      <c r="I10" s="173">
        <v>7</v>
      </c>
      <c r="J10" s="22" t="s">
        <v>3</v>
      </c>
      <c r="K10" s="173">
        <v>30</v>
      </c>
      <c r="L10" s="23" t="s">
        <v>10</v>
      </c>
      <c r="M10" s="73"/>
      <c r="N10" s="23"/>
      <c r="P10" s="190">
        <f t="shared" si="0"/>
        <v>0</v>
      </c>
      <c r="Q10" s="190">
        <f>IF(B10="bilatérale", 1,2)</f>
        <v>1</v>
      </c>
      <c r="R10" s="190">
        <f>IF(B10="bilatérale",0,1)</f>
        <v>0</v>
      </c>
    </row>
    <row r="11" spans="1:18" x14ac:dyDescent="0.3">
      <c r="A11" s="305" t="str">
        <f>Entree_resultats!B17</f>
        <v>Lutte mécanique contre les mauvaises herbes 2</v>
      </c>
      <c r="B11" s="306"/>
      <c r="C11" s="145"/>
      <c r="D11" s="146"/>
      <c r="E11" s="169"/>
      <c r="F11" s="146"/>
      <c r="G11" s="147"/>
      <c r="H11" s="146"/>
      <c r="I11" s="147"/>
      <c r="J11" s="146"/>
      <c r="K11" s="147"/>
      <c r="L11" s="146"/>
      <c r="M11" s="147"/>
      <c r="N11" s="148"/>
    </row>
    <row r="12" spans="1:18" x14ac:dyDescent="0.3">
      <c r="A12" s="287" t="str">
        <f>A8</f>
        <v>Sarcleuse pour rangée d'arbres</v>
      </c>
      <c r="B12" s="100" t="str">
        <f>Entree_resultats!C19</f>
        <v>bilatérale</v>
      </c>
      <c r="C12" s="99">
        <f>IF(B12="unilatérale",listes!B3,listes!B4)</f>
        <v>27000</v>
      </c>
      <c r="D12" s="22" t="s">
        <v>10</v>
      </c>
      <c r="E12" s="173"/>
      <c r="F12" s="22" t="s">
        <v>10</v>
      </c>
      <c r="G12" s="173">
        <v>10</v>
      </c>
      <c r="H12" s="70" t="str">
        <f t="shared" si="1"/>
        <v>années</v>
      </c>
      <c r="I12" s="173">
        <v>2</v>
      </c>
      <c r="J12" s="22" t="s">
        <v>3</v>
      </c>
      <c r="K12" s="173">
        <v>64</v>
      </c>
      <c r="L12" s="22" t="s">
        <v>10</v>
      </c>
      <c r="M12" s="173">
        <v>30</v>
      </c>
      <c r="N12" s="23" t="s">
        <v>23</v>
      </c>
      <c r="P12" s="190">
        <f>IF(B12="beideseitig",1,0)</f>
        <v>0</v>
      </c>
      <c r="Q12" s="190">
        <f>IF(B12="bilatérale", 1,2)</f>
        <v>1</v>
      </c>
      <c r="R12" s="190">
        <f>IF(B12="bilatérale",0,1)</f>
        <v>0</v>
      </c>
    </row>
    <row r="13" spans="1:18" x14ac:dyDescent="0.3">
      <c r="A13" s="287" t="str">
        <f>A9</f>
        <v>Faucheuse à fils</v>
      </c>
      <c r="B13" s="100" t="str">
        <f>Entree_resultats!C20</f>
        <v>bilatérale</v>
      </c>
      <c r="C13" s="99">
        <f>IF(B13="unilatérale",listes!C3,listes!C4)</f>
        <v>26000</v>
      </c>
      <c r="D13" s="22" t="s">
        <v>10</v>
      </c>
      <c r="E13" s="173"/>
      <c r="F13" s="22" t="s">
        <v>10</v>
      </c>
      <c r="G13" s="173">
        <v>10</v>
      </c>
      <c r="H13" s="70" t="str">
        <f t="shared" si="1"/>
        <v>années</v>
      </c>
      <c r="I13" s="173">
        <v>6</v>
      </c>
      <c r="J13" s="22" t="s">
        <v>3</v>
      </c>
      <c r="K13" s="173">
        <v>30</v>
      </c>
      <c r="L13" s="22" t="s">
        <v>10</v>
      </c>
      <c r="M13" s="183">
        <v>2.3333333333333335</v>
      </c>
      <c r="N13" s="23" t="s">
        <v>23</v>
      </c>
      <c r="P13" s="190">
        <f t="shared" si="0"/>
        <v>0</v>
      </c>
      <c r="Q13" s="190">
        <f>IF(B13="bilatérale", 1,2)</f>
        <v>1</v>
      </c>
      <c r="R13" s="190">
        <f>IF(B13="bilatérale",0,1)</f>
        <v>0</v>
      </c>
    </row>
    <row r="14" spans="1:18" x14ac:dyDescent="0.3">
      <c r="A14" s="280" t="str">
        <f>A10</f>
        <v xml:space="preserve">Disque émotteur avec étoile bineuse </v>
      </c>
      <c r="B14" s="100" t="str">
        <f>Entree_resultats!C21</f>
        <v>bilatérale</v>
      </c>
      <c r="C14" s="99">
        <f>IF(B14="unilatérale",listes!E3,listes!E4)</f>
        <v>15000</v>
      </c>
      <c r="D14" s="22" t="s">
        <v>10</v>
      </c>
      <c r="E14" s="173"/>
      <c r="F14" s="22" t="s">
        <v>10</v>
      </c>
      <c r="G14" s="173">
        <v>10</v>
      </c>
      <c r="H14" s="70" t="str">
        <f t="shared" si="1"/>
        <v>années</v>
      </c>
      <c r="I14" s="173">
        <v>7</v>
      </c>
      <c r="J14" s="22" t="s">
        <v>3</v>
      </c>
      <c r="K14" s="173">
        <v>30</v>
      </c>
      <c r="L14" s="23" t="s">
        <v>10</v>
      </c>
      <c r="M14" s="73"/>
      <c r="N14" s="23"/>
      <c r="P14" s="190">
        <f t="shared" si="0"/>
        <v>0</v>
      </c>
      <c r="Q14" s="190">
        <f>IF(B14="bilatérale", 1,2)</f>
        <v>1</v>
      </c>
      <c r="R14" s="190">
        <f>IF(B14="bilatérale",0,1)</f>
        <v>0</v>
      </c>
    </row>
    <row r="15" spans="1:18" x14ac:dyDescent="0.3">
      <c r="A15" s="149" t="str">
        <f>Entree_resultats!B23</f>
        <v>Lutte mécanique et chimique contre les mauvaises herbes</v>
      </c>
      <c r="B15" s="150"/>
      <c r="C15" s="151"/>
      <c r="D15" s="150"/>
      <c r="E15" s="170"/>
      <c r="F15" s="150"/>
      <c r="G15" s="152"/>
      <c r="H15" s="150"/>
      <c r="I15" s="152"/>
      <c r="J15" s="150"/>
      <c r="K15" s="152"/>
      <c r="L15" s="150"/>
      <c r="M15" s="152"/>
      <c r="N15" s="153"/>
    </row>
    <row r="16" spans="1:18" x14ac:dyDescent="0.3">
      <c r="A16" s="23" t="str">
        <f>A5</f>
        <v>Rampe de pulvérisation d’herbicides</v>
      </c>
      <c r="B16" s="254" t="str">
        <f>Entree_resultats!C25</f>
        <v>bilatérale</v>
      </c>
      <c r="C16" s="99">
        <f>IF(B16="unilatérale",listes!D3,listes!D4)</f>
        <v>7000</v>
      </c>
      <c r="D16" s="22" t="s">
        <v>10</v>
      </c>
      <c r="E16" s="173"/>
      <c r="F16" s="22" t="s">
        <v>10</v>
      </c>
      <c r="G16" s="173">
        <v>10</v>
      </c>
      <c r="H16" s="70" t="str">
        <f t="shared" si="1"/>
        <v>années</v>
      </c>
      <c r="I16" s="173">
        <v>6</v>
      </c>
      <c r="J16" s="22" t="s">
        <v>3</v>
      </c>
      <c r="K16" s="173">
        <v>8</v>
      </c>
      <c r="L16" s="22" t="s">
        <v>10</v>
      </c>
      <c r="M16" s="73"/>
      <c r="N16" s="23"/>
      <c r="P16" s="190">
        <f>IF(B16="beideseitig",1,0)</f>
        <v>0</v>
      </c>
      <c r="Q16" s="190">
        <f>IF(B16="bilatérale", 1,2)</f>
        <v>1</v>
      </c>
      <c r="R16" s="190">
        <f>IF(B16="bilatérale",0,1)</f>
        <v>0</v>
      </c>
    </row>
    <row r="17" spans="1:18" x14ac:dyDescent="0.3">
      <c r="A17" s="23" t="str">
        <f>A6</f>
        <v>Citerne à herbicides, pulvérisateur semi-porté  400 l</v>
      </c>
      <c r="B17" s="133"/>
      <c r="C17" s="99">
        <v>3400</v>
      </c>
      <c r="D17" s="22" t="s">
        <v>10</v>
      </c>
      <c r="E17" s="173"/>
      <c r="F17" s="22" t="s">
        <v>10</v>
      </c>
      <c r="G17" s="173">
        <v>10</v>
      </c>
      <c r="H17" s="70" t="str">
        <f t="shared" si="1"/>
        <v>années</v>
      </c>
      <c r="I17" s="173">
        <v>6</v>
      </c>
      <c r="J17" s="22" t="s">
        <v>3</v>
      </c>
      <c r="K17" s="173">
        <v>7</v>
      </c>
      <c r="L17" s="22" t="s">
        <v>10</v>
      </c>
      <c r="M17" s="73"/>
      <c r="N17" s="23"/>
      <c r="P17" s="190">
        <f t="shared" ref="P17:P18" si="2">IF(B17="beideseitig",1,0)</f>
        <v>0</v>
      </c>
      <c r="Q17" s="190">
        <f>IF(B17="bilatérale", 1,2)</f>
        <v>2</v>
      </c>
      <c r="R17" s="190">
        <f>IF(B17="bilatérale",0,1)</f>
        <v>1</v>
      </c>
    </row>
    <row r="18" spans="1:18" x14ac:dyDescent="0.3">
      <c r="A18" s="23" t="str">
        <f>A9</f>
        <v>Faucheuse à fils</v>
      </c>
      <c r="B18" s="100" t="str">
        <f>Entree_resultats!C29</f>
        <v>bilatérale</v>
      </c>
      <c r="C18" s="99">
        <f>IF(B18="unilatérale",listes!C3,listes!C4)</f>
        <v>26000</v>
      </c>
      <c r="D18" s="22" t="s">
        <v>10</v>
      </c>
      <c r="E18" s="173"/>
      <c r="F18" s="22" t="s">
        <v>10</v>
      </c>
      <c r="G18" s="173">
        <v>10</v>
      </c>
      <c r="H18" s="70" t="str">
        <f t="shared" si="1"/>
        <v>années</v>
      </c>
      <c r="I18" s="173">
        <v>6</v>
      </c>
      <c r="J18" s="22" t="s">
        <v>3</v>
      </c>
      <c r="K18" s="173">
        <v>30</v>
      </c>
      <c r="L18" s="22" t="s">
        <v>10</v>
      </c>
      <c r="M18" s="183">
        <v>2.3333333333333335</v>
      </c>
      <c r="N18" s="23" t="s">
        <v>23</v>
      </c>
      <c r="P18" s="190">
        <f t="shared" si="2"/>
        <v>0</v>
      </c>
      <c r="Q18" s="190">
        <f>IF(B18="bilatérale", 1,2)</f>
        <v>1</v>
      </c>
      <c r="R18" s="190">
        <f>IF(B18="bilatérale",0,1)</f>
        <v>0</v>
      </c>
    </row>
    <row r="19" spans="1:18" x14ac:dyDescent="0.3">
      <c r="A19" s="39"/>
      <c r="B19" s="39"/>
      <c r="C19" s="123"/>
      <c r="D19" s="39"/>
      <c r="E19" s="40"/>
      <c r="F19" s="39"/>
      <c r="G19" s="40"/>
      <c r="H19" s="39"/>
      <c r="I19" s="40"/>
      <c r="J19" s="39"/>
      <c r="K19" s="40"/>
      <c r="L19" s="39"/>
      <c r="M19" s="40"/>
      <c r="N19" s="39"/>
    </row>
    <row r="20" spans="1:18" x14ac:dyDescent="0.3">
      <c r="A20" s="39"/>
      <c r="B20" s="39"/>
      <c r="C20" s="123"/>
      <c r="D20" s="39"/>
      <c r="E20" s="40"/>
      <c r="F20" s="39"/>
      <c r="G20" s="40"/>
      <c r="H20" s="39"/>
      <c r="I20" s="40"/>
      <c r="J20" s="39"/>
      <c r="K20" s="40"/>
      <c r="L20" s="39"/>
      <c r="M20" s="40"/>
      <c r="N20" s="39"/>
    </row>
    <row r="21" spans="1:18" x14ac:dyDescent="0.3">
      <c r="A21" s="39"/>
      <c r="B21" s="39"/>
      <c r="C21" s="123"/>
      <c r="D21" s="39"/>
      <c r="E21" s="40"/>
      <c r="F21" s="39"/>
      <c r="G21" s="40"/>
      <c r="H21" s="39"/>
      <c r="I21" s="40"/>
      <c r="J21" s="39"/>
      <c r="K21" s="40"/>
      <c r="L21" s="39"/>
      <c r="M21" s="40"/>
      <c r="N21" s="39"/>
    </row>
    <row r="22" spans="1:18" x14ac:dyDescent="0.3">
      <c r="A22" s="39"/>
      <c r="B22" s="39"/>
      <c r="C22" s="123"/>
      <c r="D22" s="39"/>
      <c r="E22" s="40"/>
      <c r="F22" s="39"/>
      <c r="G22" s="40"/>
      <c r="H22" s="39"/>
      <c r="I22" s="40"/>
      <c r="J22" s="39"/>
      <c r="K22" s="40"/>
      <c r="L22" s="39"/>
      <c r="M22" s="40"/>
      <c r="N22" s="39"/>
    </row>
    <row r="23" spans="1:18" x14ac:dyDescent="0.3">
      <c r="A23" s="39"/>
      <c r="B23" s="39"/>
      <c r="C23" s="123"/>
      <c r="D23" s="39"/>
      <c r="E23" s="40"/>
      <c r="F23" s="39"/>
      <c r="G23" s="40"/>
      <c r="H23" s="39"/>
      <c r="I23" s="40"/>
      <c r="J23" s="39"/>
      <c r="K23" s="40"/>
      <c r="L23" s="39"/>
      <c r="M23" s="40"/>
      <c r="N23" s="39"/>
    </row>
    <row r="24" spans="1:18" x14ac:dyDescent="0.3">
      <c r="A24" s="39"/>
      <c r="B24" s="39"/>
      <c r="C24" s="123"/>
      <c r="D24" s="39"/>
      <c r="E24" s="40"/>
      <c r="F24" s="39"/>
      <c r="G24" s="40"/>
      <c r="H24" s="39"/>
      <c r="I24" s="40"/>
      <c r="J24" s="39"/>
      <c r="K24" s="40"/>
      <c r="L24" s="39"/>
      <c r="M24" s="40"/>
      <c r="N24" s="39"/>
    </row>
    <row r="25" spans="1:18" x14ac:dyDescent="0.3">
      <c r="A25" s="39"/>
      <c r="B25" s="39"/>
      <c r="C25" s="123"/>
      <c r="D25" s="39"/>
      <c r="E25" s="40"/>
      <c r="F25" s="39"/>
      <c r="G25" s="40"/>
      <c r="H25" s="39"/>
      <c r="I25" s="40"/>
      <c r="J25" s="39"/>
      <c r="K25" s="40"/>
      <c r="L25" s="39"/>
      <c r="M25" s="40"/>
      <c r="N25" s="39"/>
    </row>
    <row r="26" spans="1:18" x14ac:dyDescent="0.3">
      <c r="A26" s="39"/>
      <c r="B26" s="39"/>
      <c r="C26" s="123"/>
      <c r="D26" s="39"/>
      <c r="E26" s="40"/>
      <c r="F26" s="39"/>
      <c r="G26" s="40"/>
      <c r="H26" s="39"/>
      <c r="I26" s="40"/>
      <c r="J26" s="39"/>
      <c r="K26" s="40"/>
      <c r="L26" s="39"/>
      <c r="M26" s="40"/>
      <c r="N26" s="39"/>
    </row>
    <row r="27" spans="1:18" x14ac:dyDescent="0.3">
      <c r="A27" s="39"/>
      <c r="B27" s="39"/>
      <c r="C27" s="123"/>
      <c r="D27" s="39"/>
      <c r="E27" s="40"/>
      <c r="F27" s="39"/>
      <c r="G27" s="40"/>
      <c r="H27" s="39"/>
      <c r="I27" s="40"/>
      <c r="J27" s="39"/>
      <c r="K27" s="40"/>
      <c r="L27" s="39"/>
      <c r="M27" s="40"/>
      <c r="N27" s="39"/>
    </row>
    <row r="28" spans="1:18" x14ac:dyDescent="0.3">
      <c r="A28" s="39"/>
      <c r="B28" s="39"/>
      <c r="C28" s="123"/>
      <c r="D28" s="39"/>
      <c r="E28" s="40"/>
      <c r="F28" s="39"/>
      <c r="G28" s="40"/>
      <c r="H28" s="39"/>
      <c r="I28" s="40"/>
      <c r="J28" s="39"/>
      <c r="K28" s="40"/>
      <c r="L28" s="39"/>
      <c r="M28" s="40"/>
      <c r="N28" s="39"/>
    </row>
    <row r="29" spans="1:18" x14ac:dyDescent="0.3">
      <c r="A29" s="39"/>
      <c r="B29" s="39"/>
      <c r="C29" s="123"/>
      <c r="D29" s="39"/>
      <c r="E29" s="40"/>
      <c r="F29" s="39"/>
      <c r="G29" s="40"/>
      <c r="H29" s="39"/>
      <c r="I29" s="40"/>
      <c r="J29" s="39"/>
      <c r="K29" s="40"/>
      <c r="L29" s="39"/>
      <c r="M29" s="40"/>
      <c r="N29" s="39"/>
    </row>
    <row r="30" spans="1:18" x14ac:dyDescent="0.3">
      <c r="A30" s="39"/>
      <c r="B30" s="39"/>
      <c r="C30" s="123"/>
      <c r="D30" s="39"/>
      <c r="E30" s="40"/>
      <c r="F30" s="39"/>
      <c r="G30" s="40"/>
      <c r="H30" s="39"/>
      <c r="I30" s="40"/>
      <c r="J30" s="39"/>
      <c r="K30" s="40"/>
      <c r="L30" s="39"/>
      <c r="M30" s="40"/>
      <c r="N30" s="39"/>
    </row>
    <row r="31" spans="1:18" x14ac:dyDescent="0.3">
      <c r="A31" s="39"/>
      <c r="B31" s="39"/>
      <c r="C31" s="123"/>
      <c r="D31" s="39"/>
      <c r="E31" s="40"/>
      <c r="F31" s="39"/>
      <c r="G31" s="40"/>
      <c r="H31" s="39"/>
      <c r="I31" s="40"/>
      <c r="J31" s="39"/>
      <c r="K31" s="40"/>
      <c r="L31" s="39"/>
      <c r="M31" s="40"/>
      <c r="N31" s="39"/>
    </row>
    <row r="32" spans="1:18" x14ac:dyDescent="0.3">
      <c r="A32" s="39"/>
      <c r="B32" s="39"/>
      <c r="C32" s="123"/>
      <c r="D32" s="39"/>
      <c r="E32" s="40"/>
      <c r="F32" s="39"/>
      <c r="G32" s="40"/>
      <c r="H32" s="39"/>
      <c r="I32" s="40"/>
      <c r="J32" s="39"/>
      <c r="K32" s="40"/>
      <c r="L32" s="39"/>
      <c r="M32" s="40"/>
      <c r="N32" s="39"/>
    </row>
    <row r="33" spans="1:14" x14ac:dyDescent="0.3">
      <c r="A33" s="39"/>
      <c r="B33" s="39"/>
      <c r="C33" s="123"/>
      <c r="D33" s="39"/>
      <c r="E33" s="40"/>
      <c r="F33" s="39"/>
      <c r="G33" s="40"/>
      <c r="H33" s="39"/>
      <c r="I33" s="40"/>
      <c r="J33" s="39"/>
      <c r="K33" s="40"/>
      <c r="L33" s="39"/>
      <c r="M33" s="40"/>
      <c r="N33" s="39"/>
    </row>
    <row r="34" spans="1:14" x14ac:dyDescent="0.3">
      <c r="A34" s="39"/>
      <c r="B34" s="39"/>
      <c r="C34" s="123"/>
      <c r="D34" s="39"/>
      <c r="E34" s="40"/>
      <c r="F34" s="39"/>
      <c r="G34" s="40"/>
      <c r="H34" s="39"/>
      <c r="I34" s="40"/>
      <c r="J34" s="39"/>
      <c r="K34" s="40"/>
      <c r="L34" s="39"/>
      <c r="M34" s="40"/>
      <c r="N34" s="39"/>
    </row>
    <row r="35" spans="1:14" x14ac:dyDescent="0.3">
      <c r="A35" s="39"/>
      <c r="B35" s="39"/>
      <c r="C35" s="123"/>
      <c r="D35" s="39"/>
      <c r="E35" s="40"/>
      <c r="F35" s="39"/>
      <c r="G35" s="40"/>
      <c r="H35" s="39"/>
      <c r="I35" s="40"/>
      <c r="J35" s="39"/>
      <c r="K35" s="40"/>
      <c r="L35" s="39"/>
      <c r="M35" s="40"/>
      <c r="N35" s="39"/>
    </row>
    <row r="36" spans="1:14" x14ac:dyDescent="0.3">
      <c r="A36" s="39"/>
      <c r="B36" s="39"/>
      <c r="C36" s="123"/>
      <c r="D36" s="39"/>
      <c r="E36" s="40"/>
      <c r="F36" s="39"/>
      <c r="G36" s="40"/>
      <c r="H36" s="39"/>
      <c r="I36" s="40"/>
      <c r="J36" s="39"/>
      <c r="K36" s="40"/>
      <c r="L36" s="39"/>
      <c r="M36" s="40"/>
      <c r="N36" s="39"/>
    </row>
    <row r="37" spans="1:14" x14ac:dyDescent="0.3">
      <c r="A37" s="39"/>
      <c r="B37" s="39"/>
      <c r="C37" s="123"/>
      <c r="D37" s="39"/>
      <c r="E37" s="40"/>
      <c r="F37" s="39"/>
      <c r="G37" s="40"/>
      <c r="H37" s="39"/>
      <c r="I37" s="40"/>
      <c r="J37" s="39"/>
      <c r="K37" s="40"/>
      <c r="L37" s="39"/>
      <c r="M37" s="40"/>
      <c r="N37" s="39"/>
    </row>
    <row r="38" spans="1:14" x14ac:dyDescent="0.3">
      <c r="A38" s="39"/>
      <c r="B38" s="39"/>
      <c r="C38" s="123"/>
      <c r="D38" s="39"/>
      <c r="E38" s="40"/>
      <c r="F38" s="39"/>
      <c r="G38" s="40"/>
      <c r="H38" s="39"/>
      <c r="I38" s="40"/>
      <c r="J38" s="39"/>
      <c r="K38" s="40"/>
      <c r="L38" s="39"/>
      <c r="M38" s="40"/>
      <c r="N38" s="39"/>
    </row>
    <row r="39" spans="1:14" x14ac:dyDescent="0.3">
      <c r="A39" s="39"/>
      <c r="B39" s="39"/>
      <c r="C39" s="123"/>
      <c r="D39" s="39"/>
      <c r="E39" s="40"/>
      <c r="F39" s="39"/>
      <c r="G39" s="40"/>
      <c r="H39" s="39"/>
      <c r="I39" s="40"/>
      <c r="J39" s="39"/>
      <c r="K39" s="40"/>
      <c r="L39" s="39"/>
      <c r="M39" s="40"/>
      <c r="N39" s="39"/>
    </row>
    <row r="40" spans="1:14" x14ac:dyDescent="0.3">
      <c r="A40" s="39"/>
      <c r="B40" s="39"/>
      <c r="C40" s="123"/>
      <c r="D40" s="39"/>
      <c r="E40" s="40"/>
      <c r="F40" s="39"/>
      <c r="G40" s="40"/>
      <c r="H40" s="39"/>
      <c r="I40" s="40"/>
      <c r="J40" s="39"/>
      <c r="K40" s="40"/>
      <c r="L40" s="39"/>
      <c r="M40" s="40"/>
      <c r="N40" s="39"/>
    </row>
    <row r="41" spans="1:14" x14ac:dyDescent="0.3">
      <c r="A41" s="39"/>
      <c r="B41" s="39"/>
      <c r="C41" s="123"/>
      <c r="D41" s="39"/>
      <c r="E41" s="40"/>
      <c r="F41" s="39"/>
      <c r="G41" s="40"/>
      <c r="H41" s="39"/>
      <c r="I41" s="40"/>
      <c r="J41" s="39"/>
      <c r="K41" s="40"/>
      <c r="L41" s="39"/>
      <c r="M41" s="40"/>
      <c r="N41" s="39"/>
    </row>
  </sheetData>
  <sheetProtection selectLockedCells="1"/>
  <mergeCells count="3">
    <mergeCell ref="P1:Q1"/>
    <mergeCell ref="A11:B11"/>
    <mergeCell ref="A7:B7"/>
  </mergeCells>
  <hyperlinks>
    <hyperlink ref="A9" r:id="rId1"/>
    <hyperlink ref="A12" r:id="rId2" display="https://www.youtube.com/watch?v=eLiY37zaMrc"/>
    <hyperlink ref="A13" r:id="rId3" display="https://www.youtube.com/watch?v=VwZrWxp7Hek"/>
    <hyperlink ref="A10" r:id="rId4"/>
    <hyperlink ref="A14" r:id="rId5" display="https://www.youtube.com/watch?v=kumlrYTgZlU"/>
  </hyperlinks>
  <pageMargins left="0.70866141732283472" right="0.70866141732283472" top="0.78740157480314965" bottom="0.78740157480314965" header="0.31496062992125984" footer="0.31496062992125984"/>
  <pageSetup paperSize="9" scale="70" orientation="landscape" r:id="rId6"/>
  <legacy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</sheetPr>
  <dimension ref="A1:R87"/>
  <sheetViews>
    <sheetView showGridLines="0" zoomScaleNormal="100" workbookViewId="0">
      <selection activeCell="L7" sqref="L7"/>
    </sheetView>
  </sheetViews>
  <sheetFormatPr baseColWidth="10" defaultColWidth="11" defaultRowHeight="14" x14ac:dyDescent="0.3"/>
  <cols>
    <col min="1" max="1" width="3.5" customWidth="1"/>
    <col min="2" max="2" width="14.5" style="242" customWidth="1"/>
    <col min="3" max="3" width="22" customWidth="1"/>
    <col min="4" max="4" width="18" bestFit="1" customWidth="1"/>
    <col min="5" max="5" width="8.25" customWidth="1"/>
    <col min="6" max="6" width="7.75" customWidth="1"/>
    <col min="7" max="7" width="5.58203125" customWidth="1"/>
    <col min="8" max="8" width="14.5" customWidth="1"/>
    <col min="9" max="9" width="14.75" style="117" customWidth="1"/>
    <col min="10" max="10" width="14.58203125" customWidth="1"/>
    <col min="11" max="11" width="18.58203125" bestFit="1" customWidth="1"/>
    <col min="12" max="12" width="20.75" customWidth="1"/>
    <col min="13" max="16383" width="11" customWidth="1"/>
  </cols>
  <sheetData>
    <row r="1" spans="1:18" x14ac:dyDescent="0.3">
      <c r="A1" s="313" t="s">
        <v>124</v>
      </c>
      <c r="B1" s="318" t="s">
        <v>107</v>
      </c>
      <c r="C1" s="23" t="str">
        <f>Entree_resultats!D6</f>
        <v>nombre de passages</v>
      </c>
      <c r="D1" s="23" t="s">
        <v>108</v>
      </c>
      <c r="E1" s="316" t="s">
        <v>109</v>
      </c>
      <c r="F1" s="316"/>
      <c r="G1" s="316"/>
      <c r="H1" s="316"/>
      <c r="I1" s="316"/>
      <c r="J1" s="316"/>
      <c r="K1" s="316"/>
      <c r="L1" s="39"/>
      <c r="M1" s="39"/>
      <c r="N1" s="39"/>
      <c r="O1" s="39"/>
      <c r="P1" s="39"/>
      <c r="Q1" s="39"/>
      <c r="R1" s="39"/>
    </row>
    <row r="2" spans="1:18" x14ac:dyDescent="0.3">
      <c r="A2" s="313"/>
      <c r="B2" s="318"/>
      <c r="C2" s="110">
        <v>1</v>
      </c>
      <c r="D2" s="111">
        <f>(6*7.4)*Input_exploitation!$B$12/Input_exploitation!$B$9</f>
        <v>12.685714285714287</v>
      </c>
      <c r="E2" s="317" t="s">
        <v>60</v>
      </c>
      <c r="F2" s="317"/>
      <c r="G2" s="317"/>
      <c r="H2" s="317"/>
      <c r="I2" s="317"/>
      <c r="J2" s="317"/>
      <c r="K2" s="317"/>
      <c r="L2" s="39"/>
      <c r="M2" s="39"/>
      <c r="N2" s="39"/>
      <c r="O2" s="39"/>
      <c r="P2" s="39"/>
      <c r="Q2" s="39"/>
      <c r="R2" s="39"/>
    </row>
    <row r="3" spans="1:18" x14ac:dyDescent="0.3">
      <c r="A3" s="313"/>
      <c r="B3" s="318"/>
      <c r="C3" s="110">
        <v>2</v>
      </c>
      <c r="D3" s="292">
        <f>(10*F9)*Input_exploitation!$B$12/Input_exploitation!$B$9</f>
        <v>75.714285714285708</v>
      </c>
      <c r="E3" s="317" t="s">
        <v>206</v>
      </c>
      <c r="F3" s="317"/>
      <c r="G3" s="317"/>
      <c r="H3" s="317"/>
      <c r="I3" s="317"/>
      <c r="J3" s="317"/>
      <c r="K3" s="317"/>
      <c r="L3" s="39"/>
      <c r="M3" s="39"/>
      <c r="N3" s="39"/>
      <c r="O3" s="39"/>
      <c r="P3" s="39"/>
      <c r="Q3" s="39"/>
      <c r="R3" s="39"/>
    </row>
    <row r="4" spans="1:18" x14ac:dyDescent="0.3">
      <c r="A4" s="313"/>
      <c r="B4" s="318"/>
      <c r="C4" s="110">
        <v>3</v>
      </c>
      <c r="D4" s="292">
        <f>(10*F9+3.25*F13+1*F14)*Input_exploitation!$B$12/Input_exploitation!$B$9</f>
        <v>129.85714285714286</v>
      </c>
      <c r="E4" s="317" t="s">
        <v>207</v>
      </c>
      <c r="F4" s="317"/>
      <c r="G4" s="317"/>
      <c r="H4" s="317"/>
      <c r="I4" s="317"/>
      <c r="J4" s="317"/>
      <c r="K4" s="317"/>
      <c r="L4" s="39"/>
      <c r="M4" s="39"/>
      <c r="N4" s="39"/>
      <c r="O4" s="39"/>
      <c r="P4" s="39"/>
      <c r="Q4" s="39"/>
      <c r="R4" s="39"/>
    </row>
    <row r="5" spans="1:18" x14ac:dyDescent="0.3">
      <c r="A5" s="313"/>
      <c r="B5" s="318"/>
      <c r="C5" s="112" t="s">
        <v>111</v>
      </c>
      <c r="D5" s="113"/>
      <c r="E5" s="317" t="s">
        <v>110</v>
      </c>
      <c r="F5" s="317"/>
      <c r="G5" s="317"/>
      <c r="H5" s="317"/>
      <c r="I5" s="317"/>
      <c r="J5" s="317"/>
      <c r="K5" s="317"/>
      <c r="L5" s="39"/>
      <c r="M5" s="39"/>
      <c r="N5" s="39"/>
      <c r="O5" s="39"/>
      <c r="P5" s="39"/>
      <c r="Q5" s="39"/>
      <c r="R5" s="39"/>
    </row>
    <row r="6" spans="1:18" x14ac:dyDescent="0.3">
      <c r="A6" s="313"/>
      <c r="B6" s="241" t="s">
        <v>122</v>
      </c>
      <c r="C6" s="244" t="s">
        <v>123</v>
      </c>
      <c r="D6" s="158">
        <f>IF(Entree_resultats!D7=0,0,IF(J27&gt;0,J27,IF(Entree_resultats!D7=1,Input_herbicides!D2,IF(Entree_resultats!D7=2,Input_herbicides!D3,IF(Entree_resultats!D7=3,Input_herbicides!D4,)))))</f>
        <v>0</v>
      </c>
      <c r="E6" s="155"/>
      <c r="F6" s="155"/>
      <c r="G6" s="39"/>
      <c r="H6" s="39"/>
      <c r="I6" s="40"/>
      <c r="J6" s="39"/>
      <c r="K6" s="39"/>
      <c r="L6" s="39"/>
      <c r="M6" s="39"/>
      <c r="N6" s="39"/>
      <c r="O6" s="39"/>
      <c r="P6" s="39"/>
      <c r="Q6" s="39"/>
      <c r="R6" s="39"/>
    </row>
    <row r="7" spans="1:18" ht="63.65" customHeight="1" x14ac:dyDescent="0.3">
      <c r="A7" s="313"/>
      <c r="E7" s="39"/>
      <c r="F7" s="39"/>
      <c r="G7" s="39"/>
      <c r="H7" s="39"/>
      <c r="I7" s="40"/>
      <c r="J7" s="39"/>
      <c r="K7" s="39"/>
      <c r="L7" s="39"/>
      <c r="M7" s="39"/>
      <c r="N7" s="39"/>
      <c r="O7" s="39"/>
      <c r="P7" s="39"/>
      <c r="Q7" s="39"/>
      <c r="R7" s="39"/>
    </row>
    <row r="8" spans="1:18" ht="44.25" customHeight="1" x14ac:dyDescent="0.3">
      <c r="A8" s="313"/>
      <c r="B8" s="309" t="s">
        <v>119</v>
      </c>
      <c r="C8" s="238" t="s">
        <v>112</v>
      </c>
      <c r="D8" s="72" t="s">
        <v>113</v>
      </c>
      <c r="E8" s="273" t="s">
        <v>97</v>
      </c>
      <c r="F8" s="273" t="s">
        <v>114</v>
      </c>
      <c r="G8" s="273"/>
      <c r="H8" s="72" t="s">
        <v>115</v>
      </c>
      <c r="I8" s="72" t="s">
        <v>116</v>
      </c>
      <c r="J8" s="72" t="s">
        <v>117</v>
      </c>
      <c r="K8" s="36" t="s">
        <v>118</v>
      </c>
      <c r="L8" s="39"/>
      <c r="M8" s="39"/>
      <c r="N8" s="39"/>
      <c r="O8" s="39"/>
      <c r="P8" s="39"/>
      <c r="Q8" s="39"/>
      <c r="R8" s="39"/>
    </row>
    <row r="9" spans="1:18" x14ac:dyDescent="0.3">
      <c r="A9" s="313"/>
      <c r="B9" s="310"/>
      <c r="C9" s="290" t="s">
        <v>32</v>
      </c>
      <c r="D9" s="184">
        <v>0</v>
      </c>
      <c r="E9" s="161" t="s">
        <v>52</v>
      </c>
      <c r="F9" s="294">
        <v>26.5</v>
      </c>
      <c r="G9" s="186" t="s">
        <v>16</v>
      </c>
      <c r="H9" s="173">
        <v>0</v>
      </c>
      <c r="I9" s="120">
        <f>Input_exploitation!$B$12/Input_exploitation!$B$9</f>
        <v>0.2857142857142857</v>
      </c>
      <c r="J9" s="127">
        <f t="shared" ref="J9:J26" si="0">D9*F9*H9*I9</f>
        <v>0</v>
      </c>
      <c r="K9" s="289" t="s">
        <v>32</v>
      </c>
      <c r="L9" s="39"/>
      <c r="M9" s="39"/>
      <c r="N9" s="39"/>
      <c r="O9" s="39"/>
      <c r="P9" s="39"/>
      <c r="Q9" s="39"/>
      <c r="R9" s="39"/>
    </row>
    <row r="10" spans="1:18" s="289" customFormat="1" x14ac:dyDescent="0.3">
      <c r="A10" s="313"/>
      <c r="B10" s="310"/>
      <c r="C10" s="290" t="s">
        <v>35</v>
      </c>
      <c r="D10" s="293">
        <v>0</v>
      </c>
      <c r="E10" s="161" t="s">
        <v>52</v>
      </c>
      <c r="F10" s="294">
        <v>13.466666666666667</v>
      </c>
      <c r="G10" s="186" t="s">
        <v>16</v>
      </c>
      <c r="H10" s="173">
        <v>0</v>
      </c>
      <c r="I10" s="120">
        <f>[1]Input_Betrieb!$B$12/[1]Input_Betrieb!$B$9</f>
        <v>0.2857142857142857</v>
      </c>
      <c r="J10" s="127">
        <f t="shared" si="0"/>
        <v>0</v>
      </c>
      <c r="K10" s="289" t="s">
        <v>211</v>
      </c>
      <c r="L10" s="39"/>
      <c r="M10" s="39"/>
      <c r="N10" s="39"/>
      <c r="O10" s="39"/>
      <c r="P10" s="39"/>
      <c r="Q10" s="39"/>
      <c r="R10" s="39"/>
    </row>
    <row r="11" spans="1:18" x14ac:dyDescent="0.3">
      <c r="A11" s="313"/>
      <c r="B11" s="310"/>
      <c r="C11" s="290" t="s">
        <v>208</v>
      </c>
      <c r="D11" s="184">
        <v>0</v>
      </c>
      <c r="E11" s="161" t="s">
        <v>53</v>
      </c>
      <c r="F11" s="294">
        <v>54.6</v>
      </c>
      <c r="G11" s="186" t="s">
        <v>21</v>
      </c>
      <c r="H11" s="173">
        <v>0</v>
      </c>
      <c r="I11" s="120">
        <f>Input_exploitation!$B$12/Input_exploitation!$B$9</f>
        <v>0.2857142857142857</v>
      </c>
      <c r="J11" s="127">
        <f t="shared" si="0"/>
        <v>0</v>
      </c>
      <c r="K11" s="289" t="s">
        <v>43</v>
      </c>
      <c r="L11" s="39"/>
      <c r="M11" s="39"/>
      <c r="N11" s="39"/>
      <c r="O11" s="39"/>
      <c r="P11" s="39"/>
      <c r="Q11" s="39"/>
      <c r="R11" s="39"/>
    </row>
    <row r="12" spans="1:18" x14ac:dyDescent="0.3">
      <c r="A12" s="313"/>
      <c r="B12" s="310"/>
      <c r="C12" s="290" t="s">
        <v>209</v>
      </c>
      <c r="D12" s="184">
        <v>0</v>
      </c>
      <c r="E12" s="161" t="s">
        <v>52</v>
      </c>
      <c r="F12" s="294">
        <v>19.8</v>
      </c>
      <c r="G12" s="186" t="s">
        <v>16</v>
      </c>
      <c r="H12" s="173">
        <v>0</v>
      </c>
      <c r="I12" s="120">
        <f>Input_exploitation!$B$12/Input_exploitation!$B$9</f>
        <v>0.2857142857142857</v>
      </c>
      <c r="J12" s="127">
        <f t="shared" si="0"/>
        <v>0</v>
      </c>
      <c r="K12" s="289" t="s">
        <v>205</v>
      </c>
      <c r="L12" s="39"/>
      <c r="M12" s="39"/>
      <c r="N12" s="39"/>
      <c r="O12" s="39"/>
      <c r="P12" s="39"/>
      <c r="Q12" s="39"/>
      <c r="R12" s="39"/>
    </row>
    <row r="13" spans="1:18" x14ac:dyDescent="0.3">
      <c r="A13" s="313"/>
      <c r="B13" s="310"/>
      <c r="C13" s="290" t="s">
        <v>36</v>
      </c>
      <c r="D13" s="184">
        <v>0</v>
      </c>
      <c r="E13" s="161" t="s">
        <v>52</v>
      </c>
      <c r="F13" s="294">
        <v>34</v>
      </c>
      <c r="G13" s="186" t="s">
        <v>16</v>
      </c>
      <c r="H13" s="173">
        <v>0</v>
      </c>
      <c r="I13" s="120">
        <f>Input_exploitation!$B$12/Input_exploitation!$B$9</f>
        <v>0.2857142857142857</v>
      </c>
      <c r="J13" s="127">
        <f t="shared" si="0"/>
        <v>0</v>
      </c>
      <c r="K13" s="289" t="s">
        <v>44</v>
      </c>
      <c r="L13" s="39"/>
      <c r="M13" s="39"/>
      <c r="N13" s="39"/>
      <c r="O13" s="39"/>
      <c r="P13" s="39"/>
      <c r="Q13" s="39"/>
      <c r="R13" s="39"/>
    </row>
    <row r="14" spans="1:18" x14ac:dyDescent="0.3">
      <c r="A14" s="313"/>
      <c r="B14" s="310"/>
      <c r="C14" s="290" t="s">
        <v>37</v>
      </c>
      <c r="D14" s="184">
        <v>0</v>
      </c>
      <c r="E14" s="161" t="s">
        <v>52</v>
      </c>
      <c r="F14" s="294">
        <v>79</v>
      </c>
      <c r="G14" s="186" t="s">
        <v>16</v>
      </c>
      <c r="H14" s="173">
        <v>0</v>
      </c>
      <c r="I14" s="120">
        <f>Input_exploitation!$B$12/Input_exploitation!$B$9</f>
        <v>0.2857142857142857</v>
      </c>
      <c r="J14" s="127">
        <f t="shared" si="0"/>
        <v>0</v>
      </c>
      <c r="K14" s="289" t="s">
        <v>48</v>
      </c>
      <c r="L14" s="39"/>
      <c r="M14" s="39"/>
      <c r="N14" s="39"/>
      <c r="O14" s="39"/>
      <c r="P14" s="39"/>
      <c r="Q14" s="39"/>
      <c r="R14" s="39"/>
    </row>
    <row r="15" spans="1:18" x14ac:dyDescent="0.3">
      <c r="A15" s="313"/>
      <c r="B15" s="310"/>
      <c r="C15" s="290" t="s">
        <v>38</v>
      </c>
      <c r="D15" s="184">
        <v>0</v>
      </c>
      <c r="E15" s="161" t="s">
        <v>52</v>
      </c>
      <c r="F15" s="294">
        <v>34.56</v>
      </c>
      <c r="G15" s="186" t="s">
        <v>16</v>
      </c>
      <c r="H15" s="173">
        <v>0</v>
      </c>
      <c r="I15" s="120">
        <f>Input_exploitation!$B$12/Input_exploitation!$B$9</f>
        <v>0.2857142857142857</v>
      </c>
      <c r="J15" s="127">
        <f t="shared" si="0"/>
        <v>0</v>
      </c>
      <c r="K15" s="289" t="s">
        <v>47</v>
      </c>
      <c r="L15" s="39"/>
      <c r="M15" s="39"/>
      <c r="N15" s="39"/>
      <c r="O15" s="39"/>
      <c r="P15" s="39"/>
      <c r="Q15" s="39"/>
      <c r="R15" s="39"/>
    </row>
    <row r="16" spans="1:18" x14ac:dyDescent="0.3">
      <c r="A16" s="313"/>
      <c r="B16" s="310"/>
      <c r="C16" s="290" t="s">
        <v>39</v>
      </c>
      <c r="D16" s="184">
        <v>0</v>
      </c>
      <c r="E16" s="161" t="s">
        <v>52</v>
      </c>
      <c r="F16" s="294">
        <v>48.5</v>
      </c>
      <c r="G16" s="186" t="s">
        <v>16</v>
      </c>
      <c r="H16" s="173">
        <v>0</v>
      </c>
      <c r="I16" s="120">
        <f>Input_exploitation!$B$12/Input_exploitation!$B$9</f>
        <v>0.2857142857142857</v>
      </c>
      <c r="J16" s="127">
        <f t="shared" si="0"/>
        <v>0</v>
      </c>
      <c r="K16" s="289" t="s">
        <v>46</v>
      </c>
      <c r="L16" s="39"/>
      <c r="M16" s="39"/>
      <c r="N16" s="39"/>
      <c r="O16" s="39"/>
      <c r="P16" s="39"/>
      <c r="Q16" s="39"/>
      <c r="R16" s="39"/>
    </row>
    <row r="17" spans="1:18" x14ac:dyDescent="0.3">
      <c r="A17" s="313"/>
      <c r="B17" s="310"/>
      <c r="C17" s="290" t="s">
        <v>41</v>
      </c>
      <c r="D17" s="184">
        <v>0</v>
      </c>
      <c r="E17" s="161" t="s">
        <v>52</v>
      </c>
      <c r="F17" s="294">
        <v>67.599999999999994</v>
      </c>
      <c r="G17" s="186" t="s">
        <v>16</v>
      </c>
      <c r="H17" s="173">
        <v>0</v>
      </c>
      <c r="I17" s="120">
        <f>Input_exploitation!$B$12/Input_exploitation!$B$9</f>
        <v>0.2857142857142857</v>
      </c>
      <c r="J17" s="127">
        <f t="shared" si="0"/>
        <v>0</v>
      </c>
      <c r="K17" s="289" t="s">
        <v>45</v>
      </c>
      <c r="L17" s="39"/>
      <c r="M17" s="39"/>
      <c r="N17" s="39"/>
      <c r="O17" s="39"/>
      <c r="P17" s="39"/>
      <c r="Q17" s="39"/>
      <c r="R17" s="39"/>
    </row>
    <row r="18" spans="1:18" x14ac:dyDescent="0.3">
      <c r="A18" s="313"/>
      <c r="B18" s="310"/>
      <c r="C18" s="290" t="s">
        <v>42</v>
      </c>
      <c r="D18" s="184">
        <v>0</v>
      </c>
      <c r="E18" s="161" t="s">
        <v>52</v>
      </c>
      <c r="F18" s="294">
        <v>63</v>
      </c>
      <c r="G18" s="186" t="s">
        <v>16</v>
      </c>
      <c r="H18" s="173">
        <v>0</v>
      </c>
      <c r="I18" s="120">
        <f>Input_exploitation!$B$12/Input_exploitation!$B$9</f>
        <v>0.2857142857142857</v>
      </c>
      <c r="J18" s="127">
        <f t="shared" si="0"/>
        <v>0</v>
      </c>
      <c r="K18" s="289" t="s">
        <v>50</v>
      </c>
      <c r="L18" s="39"/>
      <c r="M18" s="39"/>
      <c r="N18" s="39"/>
      <c r="O18" s="39"/>
      <c r="P18" s="39"/>
      <c r="Q18" s="39"/>
      <c r="R18" s="39"/>
    </row>
    <row r="19" spans="1:18" x14ac:dyDescent="0.3">
      <c r="A19" s="313"/>
      <c r="B19" s="310"/>
      <c r="C19" s="293"/>
      <c r="D19" s="184"/>
      <c r="E19" s="291"/>
      <c r="F19" s="294"/>
      <c r="G19" s="186"/>
      <c r="H19" s="173"/>
      <c r="I19" s="120">
        <f>Input_exploitation!$B$12/Input_exploitation!$B$9</f>
        <v>0.2857142857142857</v>
      </c>
      <c r="J19" s="127">
        <f t="shared" si="0"/>
        <v>0</v>
      </c>
      <c r="L19" s="39"/>
      <c r="M19" s="39"/>
      <c r="N19" s="39"/>
      <c r="O19" s="39"/>
      <c r="P19" s="39"/>
      <c r="Q19" s="39"/>
      <c r="R19" s="39"/>
    </row>
    <row r="20" spans="1:18" ht="15.75" customHeight="1" x14ac:dyDescent="0.3">
      <c r="A20" s="313"/>
      <c r="B20" s="310"/>
      <c r="C20" s="293"/>
      <c r="D20" s="184"/>
      <c r="E20" s="291"/>
      <c r="F20" s="185"/>
      <c r="G20" s="186"/>
      <c r="H20" s="173"/>
      <c r="I20" s="120">
        <f>Input_exploitation!$B$12/Input_exploitation!$B$9</f>
        <v>0.2857142857142857</v>
      </c>
      <c r="J20" s="127">
        <f t="shared" si="0"/>
        <v>0</v>
      </c>
      <c r="L20" s="39"/>
      <c r="M20" s="39"/>
      <c r="N20" s="39"/>
      <c r="O20" s="39"/>
      <c r="P20" s="39"/>
      <c r="Q20" s="39"/>
      <c r="R20" s="39"/>
    </row>
    <row r="21" spans="1:18" x14ac:dyDescent="0.3">
      <c r="A21" s="313"/>
      <c r="B21" s="310"/>
      <c r="C21" s="293"/>
      <c r="D21" s="184"/>
      <c r="E21" s="291"/>
      <c r="F21" s="185"/>
      <c r="G21" s="186"/>
      <c r="H21" s="173"/>
      <c r="I21" s="120">
        <f>Input_exploitation!$B$12/Input_exploitation!$B$9</f>
        <v>0.2857142857142857</v>
      </c>
      <c r="J21" s="127">
        <f t="shared" si="0"/>
        <v>0</v>
      </c>
      <c r="L21" s="39"/>
      <c r="M21" s="39"/>
      <c r="N21" s="39"/>
      <c r="O21" s="39"/>
      <c r="P21" s="39"/>
      <c r="Q21" s="39"/>
      <c r="R21" s="39"/>
    </row>
    <row r="22" spans="1:18" x14ac:dyDescent="0.3">
      <c r="A22" s="313"/>
      <c r="B22" s="310"/>
      <c r="C22" s="184"/>
      <c r="D22" s="184"/>
      <c r="E22" s="107"/>
      <c r="F22" s="185"/>
      <c r="G22" s="186"/>
      <c r="H22" s="186"/>
      <c r="I22" s="120">
        <f>Input_exploitation!$B$12/Input_exploitation!$B$9</f>
        <v>0.2857142857142857</v>
      </c>
      <c r="J22" s="127">
        <f t="shared" si="0"/>
        <v>0</v>
      </c>
      <c r="L22" s="39"/>
      <c r="M22" s="39"/>
      <c r="N22" s="39"/>
      <c r="O22" s="39"/>
      <c r="P22" s="39"/>
      <c r="Q22" s="39"/>
      <c r="R22" s="39"/>
    </row>
    <row r="23" spans="1:18" x14ac:dyDescent="0.3">
      <c r="A23" s="313"/>
      <c r="B23" s="310"/>
      <c r="C23" s="184"/>
      <c r="D23" s="184"/>
      <c r="E23" s="107"/>
      <c r="F23" s="185"/>
      <c r="G23" s="186"/>
      <c r="H23" s="186"/>
      <c r="I23" s="120">
        <f>Input_exploitation!$B$12/Input_exploitation!$B$9</f>
        <v>0.2857142857142857</v>
      </c>
      <c r="J23" s="127">
        <f t="shared" si="0"/>
        <v>0</v>
      </c>
      <c r="L23" s="39"/>
      <c r="M23" s="39"/>
      <c r="N23" s="39"/>
      <c r="O23" s="39"/>
      <c r="P23" s="39"/>
      <c r="Q23" s="39"/>
      <c r="R23" s="39"/>
    </row>
    <row r="24" spans="1:18" x14ac:dyDescent="0.3">
      <c r="A24" s="313"/>
      <c r="B24" s="310"/>
      <c r="C24" s="184"/>
      <c r="D24" s="184"/>
      <c r="E24" s="107"/>
      <c r="F24" s="185"/>
      <c r="G24" s="186"/>
      <c r="H24" s="186"/>
      <c r="I24" s="120">
        <f>Input_exploitation!$B$12/Input_exploitation!$B$9</f>
        <v>0.2857142857142857</v>
      </c>
      <c r="J24" s="127">
        <f t="shared" si="0"/>
        <v>0</v>
      </c>
      <c r="L24" s="39"/>
      <c r="M24" s="39"/>
      <c r="N24" s="39"/>
      <c r="O24" s="39"/>
      <c r="P24" s="39"/>
      <c r="Q24" s="39"/>
      <c r="R24" s="39"/>
    </row>
    <row r="25" spans="1:18" x14ac:dyDescent="0.3">
      <c r="A25" s="313"/>
      <c r="B25" s="310"/>
      <c r="C25" s="184"/>
      <c r="D25" s="184"/>
      <c r="E25" s="107"/>
      <c r="F25" s="185"/>
      <c r="G25" s="186"/>
      <c r="H25" s="186"/>
      <c r="I25" s="120">
        <f>Input_exploitation!$B$12/Input_exploitation!$B$9</f>
        <v>0.2857142857142857</v>
      </c>
      <c r="J25" s="127">
        <f t="shared" si="0"/>
        <v>0</v>
      </c>
      <c r="L25" s="39"/>
      <c r="M25" s="39"/>
      <c r="N25" s="39"/>
      <c r="O25" s="39"/>
      <c r="P25" s="39"/>
      <c r="Q25" s="39"/>
      <c r="R25" s="39"/>
    </row>
    <row r="26" spans="1:18" x14ac:dyDescent="0.3">
      <c r="A26" s="313"/>
      <c r="B26" s="310"/>
      <c r="C26" s="184"/>
      <c r="D26" s="184"/>
      <c r="E26" s="107"/>
      <c r="F26" s="185"/>
      <c r="G26" s="186"/>
      <c r="H26" s="186"/>
      <c r="I26" s="120">
        <f>Input_exploitation!$B$12/Input_exploitation!$B$9</f>
        <v>0.2857142857142857</v>
      </c>
      <c r="J26" s="127">
        <f t="shared" si="0"/>
        <v>0</v>
      </c>
      <c r="L26" s="39"/>
      <c r="M26" s="39"/>
      <c r="N26" s="39"/>
      <c r="O26" s="39"/>
      <c r="P26" s="39"/>
      <c r="Q26" s="39"/>
      <c r="R26" s="39"/>
    </row>
    <row r="27" spans="1:18" x14ac:dyDescent="0.3">
      <c r="A27" s="313"/>
      <c r="B27" s="310"/>
      <c r="C27" s="108" t="s">
        <v>120</v>
      </c>
      <c r="D27" s="1"/>
      <c r="E27" s="1"/>
      <c r="F27" s="109"/>
      <c r="G27" s="23"/>
      <c r="H27" s="23"/>
      <c r="I27" s="121"/>
      <c r="J27" s="109">
        <f>SUM(J9:J26)</f>
        <v>0</v>
      </c>
      <c r="L27" s="39"/>
      <c r="M27" s="39"/>
      <c r="N27" s="39"/>
      <c r="O27" s="39"/>
      <c r="P27" s="39"/>
      <c r="Q27" s="39"/>
      <c r="R27" s="39"/>
    </row>
    <row r="28" spans="1:18" ht="15" customHeight="1" x14ac:dyDescent="0.3">
      <c r="A28" s="313"/>
      <c r="B28" s="311"/>
      <c r="C28" s="315" t="s">
        <v>121</v>
      </c>
      <c r="D28" s="315"/>
      <c r="E28" s="315"/>
      <c r="F28" s="315"/>
      <c r="G28" s="315"/>
      <c r="H28" s="315"/>
      <c r="I28" s="315"/>
      <c r="J28" s="64">
        <f>Entree_resultats!D7</f>
        <v>0</v>
      </c>
      <c r="L28" s="39"/>
      <c r="M28" s="39"/>
      <c r="N28" s="39"/>
      <c r="O28" s="39"/>
      <c r="P28" s="39"/>
      <c r="Q28" s="39"/>
      <c r="R28" s="39"/>
    </row>
    <row r="29" spans="1:18" ht="111" customHeight="1" x14ac:dyDescent="0.3">
      <c r="A29" s="159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39"/>
      <c r="M29" s="39"/>
      <c r="N29" s="39"/>
      <c r="O29" s="39"/>
      <c r="P29" s="39"/>
      <c r="Q29" s="39"/>
      <c r="R29" s="39"/>
    </row>
    <row r="30" spans="1:18" x14ac:dyDescent="0.3">
      <c r="A30" s="314" t="s">
        <v>125</v>
      </c>
      <c r="B30" s="318" t="str">
        <f>B1</f>
        <v>Stratégie standard herbicides</v>
      </c>
      <c r="C30" s="23" t="str">
        <f>C1</f>
        <v>nombre de passages</v>
      </c>
      <c r="D30" s="23" t="str">
        <f>D1</f>
        <v>Prix Fr./ha par année</v>
      </c>
      <c r="E30" s="316" t="str">
        <f>E1</f>
        <v>Produits phytosanitaires dans la stratégie standard</v>
      </c>
      <c r="F30" s="316"/>
      <c r="G30" s="316"/>
      <c r="H30" s="316"/>
      <c r="I30" s="316"/>
      <c r="J30" s="316"/>
      <c r="K30" s="316"/>
      <c r="L30" s="39"/>
      <c r="M30" s="39"/>
      <c r="N30" s="39"/>
      <c r="O30" s="39"/>
      <c r="P30" s="39"/>
      <c r="Q30" s="39"/>
      <c r="R30" s="39"/>
    </row>
    <row r="31" spans="1:18" x14ac:dyDescent="0.3">
      <c r="A31" s="314"/>
      <c r="B31" s="318"/>
      <c r="C31" s="110">
        <v>1</v>
      </c>
      <c r="D31" s="115">
        <f>(6*7.4)*Input_exploitation!$B$12/Input_exploitation!$B$9</f>
        <v>12.685714285714287</v>
      </c>
      <c r="E31" s="319" t="s">
        <v>60</v>
      </c>
      <c r="F31" s="320"/>
      <c r="G31" s="320"/>
      <c r="H31" s="320"/>
      <c r="I31" s="320"/>
      <c r="J31" s="320"/>
      <c r="K31" s="321"/>
      <c r="L31" s="39"/>
      <c r="M31" s="39"/>
      <c r="N31" s="39"/>
      <c r="O31" s="39"/>
      <c r="P31" s="39"/>
      <c r="Q31" s="39"/>
      <c r="R31" s="39"/>
    </row>
    <row r="32" spans="1:18" x14ac:dyDescent="0.3">
      <c r="A32" s="314"/>
      <c r="B32" s="318"/>
      <c r="C32" s="110">
        <v>2</v>
      </c>
      <c r="D32" s="292">
        <f>(10*F38)*Input_exploitation!$B$12/Input_exploitation!$B$9</f>
        <v>75.714285714285708</v>
      </c>
      <c r="E32" s="317" t="s">
        <v>206</v>
      </c>
      <c r="F32" s="317"/>
      <c r="G32" s="317"/>
      <c r="H32" s="317"/>
      <c r="I32" s="317"/>
      <c r="J32" s="317"/>
      <c r="K32" s="317"/>
      <c r="L32" s="39"/>
      <c r="M32" s="39"/>
      <c r="N32" s="39"/>
      <c r="O32" s="39"/>
      <c r="P32" s="39"/>
      <c r="Q32" s="39"/>
      <c r="R32" s="39"/>
    </row>
    <row r="33" spans="1:18" x14ac:dyDescent="0.3">
      <c r="A33" s="314"/>
      <c r="B33" s="318"/>
      <c r="C33" s="110">
        <v>3</v>
      </c>
      <c r="D33" s="292">
        <f>(10*F38+3.25*F42+1*F43)*Input_exploitation!$B$12/Input_exploitation!$B$9</f>
        <v>129.85714285714286</v>
      </c>
      <c r="E33" s="317" t="s">
        <v>207</v>
      </c>
      <c r="F33" s="317"/>
      <c r="G33" s="317"/>
      <c r="H33" s="317"/>
      <c r="I33" s="317"/>
      <c r="J33" s="317"/>
      <c r="K33" s="317"/>
      <c r="L33" s="39"/>
      <c r="M33" s="39"/>
      <c r="N33" s="39"/>
      <c r="O33" s="39"/>
      <c r="P33" s="39"/>
      <c r="Q33" s="39"/>
      <c r="R33" s="39"/>
    </row>
    <row r="34" spans="1:18" x14ac:dyDescent="0.3">
      <c r="A34" s="314"/>
      <c r="B34" s="318"/>
      <c r="C34" s="112" t="s">
        <v>51</v>
      </c>
      <c r="D34" s="113"/>
      <c r="E34" s="317" t="str">
        <f>E5</f>
        <v>stratégies propres définis</v>
      </c>
      <c r="F34" s="317"/>
      <c r="G34" s="317"/>
      <c r="H34" s="317"/>
      <c r="I34" s="317"/>
      <c r="J34" s="317"/>
      <c r="K34" s="317"/>
      <c r="L34" s="39"/>
      <c r="M34" s="39"/>
      <c r="N34" s="39"/>
      <c r="O34" s="39"/>
      <c r="P34" s="39"/>
      <c r="Q34" s="39"/>
      <c r="R34" s="39"/>
    </row>
    <row r="35" spans="1:18" x14ac:dyDescent="0.3">
      <c r="A35" s="314"/>
      <c r="B35" s="160" t="str">
        <f>B6</f>
        <v xml:space="preserve">Coûts </v>
      </c>
      <c r="C35" s="65"/>
      <c r="D35" s="116">
        <f>IF(Entree_resultats!D25=0,0,IF(J56&gt;0,J56,IF(Entree_resultats!D25=1,Input_herbicides!D31,IF(Entree_resultats!D25=2,Input_herbicides!D32,IF(Entree_resultats!D25=3,Input_herbicides!D33,)))))</f>
        <v>0</v>
      </c>
      <c r="E35" s="39"/>
      <c r="F35" s="39"/>
      <c r="G35" s="39"/>
      <c r="H35" s="39"/>
      <c r="I35" s="40"/>
      <c r="J35" s="39"/>
      <c r="K35" s="39"/>
      <c r="L35" s="39"/>
      <c r="M35" s="39"/>
      <c r="N35" s="39"/>
      <c r="O35" s="39"/>
      <c r="P35" s="39"/>
      <c r="Q35" s="39"/>
      <c r="R35" s="39"/>
    </row>
    <row r="36" spans="1:18" s="39" customFormat="1" x14ac:dyDescent="0.3">
      <c r="A36" s="314"/>
      <c r="B36" s="243"/>
      <c r="C36" s="154"/>
      <c r="D36" s="155"/>
      <c r="E36" s="155"/>
      <c r="F36" s="155"/>
      <c r="I36" s="40"/>
    </row>
    <row r="37" spans="1:18" ht="42" x14ac:dyDescent="0.3">
      <c r="A37" s="314"/>
      <c r="B37" s="309" t="str">
        <f>B8</f>
        <v>propre stratégie/
pour plus de trois trajèts</v>
      </c>
      <c r="C37" s="273" t="str">
        <f>C8</f>
        <v>Substance active</v>
      </c>
      <c r="D37" s="72" t="str">
        <f>D8</f>
        <v xml:space="preserve">Quantité appliquée par ha  </v>
      </c>
      <c r="E37" s="273" t="str">
        <f>E8</f>
        <v>Unité</v>
      </c>
      <c r="F37" s="273" t="str">
        <f>F8</f>
        <v>Prix</v>
      </c>
      <c r="G37" s="273"/>
      <c r="H37" s="72" t="str">
        <f>H8</f>
        <v>Nombre d'applications</v>
      </c>
      <c r="I37" s="72" t="str">
        <f>I8</f>
        <v>Proportion de bandes d'arbres</v>
      </c>
      <c r="J37" s="72" t="str">
        <f>J8</f>
        <v>Coûts Fr./ha</v>
      </c>
      <c r="K37" s="274" t="str">
        <f>K8</f>
        <v>Produits phytosanitaire pour le prix cible</v>
      </c>
      <c r="L37" s="39"/>
      <c r="M37" s="39"/>
      <c r="N37" s="39"/>
      <c r="O37" s="39"/>
      <c r="P37" s="39"/>
      <c r="Q37" s="39"/>
      <c r="R37" s="39"/>
    </row>
    <row r="38" spans="1:18" x14ac:dyDescent="0.3">
      <c r="A38" s="314"/>
      <c r="B38" s="310"/>
      <c r="C38" s="290" t="s">
        <v>32</v>
      </c>
      <c r="D38" s="184">
        <v>0</v>
      </c>
      <c r="E38" s="184" t="s">
        <v>52</v>
      </c>
      <c r="F38" s="294">
        <v>26.5</v>
      </c>
      <c r="G38" s="186" t="s">
        <v>16</v>
      </c>
      <c r="H38" s="173">
        <v>0</v>
      </c>
      <c r="I38" s="120">
        <f>Input_exploitation!$B$12/Input_exploitation!$B$9</f>
        <v>0.2857142857142857</v>
      </c>
      <c r="J38" s="127">
        <f t="shared" ref="J38:J55" si="1">D38*F38*H38*I38</f>
        <v>0</v>
      </c>
      <c r="K38" s="289" t="s">
        <v>32</v>
      </c>
      <c r="L38" s="39"/>
      <c r="M38" s="39"/>
      <c r="N38" s="39"/>
      <c r="O38" s="39"/>
      <c r="P38" s="39"/>
      <c r="Q38" s="39"/>
      <c r="R38" s="39"/>
    </row>
    <row r="39" spans="1:18" s="289" customFormat="1" x14ac:dyDescent="0.3">
      <c r="A39" s="314"/>
      <c r="B39" s="310"/>
      <c r="C39" s="290" t="s">
        <v>35</v>
      </c>
      <c r="D39" s="293">
        <v>0</v>
      </c>
      <c r="E39" s="293" t="s">
        <v>52</v>
      </c>
      <c r="F39" s="294">
        <v>13.466666666666667</v>
      </c>
      <c r="G39" s="186" t="s">
        <v>16</v>
      </c>
      <c r="H39" s="173">
        <v>0</v>
      </c>
      <c r="I39" s="120">
        <f>[1]Input_Betrieb!$B$12/[1]Input_Betrieb!$B$9</f>
        <v>0.2857142857142857</v>
      </c>
      <c r="J39" s="127">
        <f t="shared" si="1"/>
        <v>0</v>
      </c>
      <c r="K39" s="289" t="s">
        <v>211</v>
      </c>
      <c r="L39" s="39"/>
      <c r="M39" s="39"/>
      <c r="N39" s="39"/>
      <c r="O39" s="39"/>
      <c r="P39" s="39"/>
      <c r="Q39" s="39"/>
      <c r="R39" s="39"/>
    </row>
    <row r="40" spans="1:18" x14ac:dyDescent="0.3">
      <c r="A40" s="314"/>
      <c r="B40" s="310"/>
      <c r="C40" s="290" t="s">
        <v>208</v>
      </c>
      <c r="D40" s="184">
        <v>0</v>
      </c>
      <c r="E40" s="184" t="s">
        <v>53</v>
      </c>
      <c r="F40" s="294">
        <v>54.6</v>
      </c>
      <c r="G40" s="186" t="s">
        <v>21</v>
      </c>
      <c r="H40" s="173">
        <v>0</v>
      </c>
      <c r="I40" s="120">
        <f>Input_exploitation!$B$12/Input_exploitation!$B$9</f>
        <v>0.2857142857142857</v>
      </c>
      <c r="J40" s="127">
        <f t="shared" si="1"/>
        <v>0</v>
      </c>
      <c r="K40" s="289" t="s">
        <v>43</v>
      </c>
      <c r="L40" s="39"/>
      <c r="M40" s="39"/>
      <c r="N40" s="39"/>
      <c r="O40" s="39"/>
      <c r="P40" s="39"/>
      <c r="Q40" s="39"/>
      <c r="R40" s="39"/>
    </row>
    <row r="41" spans="1:18" x14ac:dyDescent="0.3">
      <c r="A41" s="314"/>
      <c r="B41" s="310"/>
      <c r="C41" s="290" t="s">
        <v>209</v>
      </c>
      <c r="D41" s="184">
        <v>0</v>
      </c>
      <c r="E41" s="184" t="s">
        <v>52</v>
      </c>
      <c r="F41" s="294">
        <v>19.8</v>
      </c>
      <c r="G41" s="186" t="s">
        <v>16</v>
      </c>
      <c r="H41" s="173">
        <v>0</v>
      </c>
      <c r="I41" s="120">
        <f>Input_exploitation!$B$12/Input_exploitation!$B$9</f>
        <v>0.2857142857142857</v>
      </c>
      <c r="J41" s="127">
        <f t="shared" si="1"/>
        <v>0</v>
      </c>
      <c r="K41" s="289" t="s">
        <v>205</v>
      </c>
      <c r="L41" s="39"/>
      <c r="M41" s="39"/>
      <c r="N41" s="39"/>
      <c r="O41" s="39"/>
      <c r="P41" s="39"/>
      <c r="Q41" s="39"/>
      <c r="R41" s="39"/>
    </row>
    <row r="42" spans="1:18" x14ac:dyDescent="0.3">
      <c r="A42" s="314"/>
      <c r="B42" s="310"/>
      <c r="C42" s="290" t="s">
        <v>36</v>
      </c>
      <c r="D42" s="184">
        <v>0</v>
      </c>
      <c r="E42" s="184" t="s">
        <v>52</v>
      </c>
      <c r="F42" s="294">
        <v>34</v>
      </c>
      <c r="G42" s="186" t="s">
        <v>16</v>
      </c>
      <c r="H42" s="173">
        <v>0</v>
      </c>
      <c r="I42" s="120">
        <f>Input_exploitation!$B$12/Input_exploitation!$B$9</f>
        <v>0.2857142857142857</v>
      </c>
      <c r="J42" s="127">
        <f t="shared" si="1"/>
        <v>0</v>
      </c>
      <c r="K42" s="289" t="s">
        <v>44</v>
      </c>
      <c r="L42" s="39"/>
      <c r="M42" s="39"/>
      <c r="N42" s="39"/>
      <c r="O42" s="39"/>
      <c r="P42" s="39"/>
      <c r="Q42" s="39"/>
      <c r="R42" s="39"/>
    </row>
    <row r="43" spans="1:18" x14ac:dyDescent="0.3">
      <c r="A43" s="314"/>
      <c r="B43" s="310"/>
      <c r="C43" s="290" t="s">
        <v>37</v>
      </c>
      <c r="D43" s="184">
        <v>0</v>
      </c>
      <c r="E43" s="184" t="s">
        <v>52</v>
      </c>
      <c r="F43" s="294">
        <v>79</v>
      </c>
      <c r="G43" s="186" t="s">
        <v>16</v>
      </c>
      <c r="H43" s="173">
        <v>0</v>
      </c>
      <c r="I43" s="120">
        <f>Input_exploitation!$B$12/Input_exploitation!$B$9</f>
        <v>0.2857142857142857</v>
      </c>
      <c r="J43" s="127">
        <f t="shared" si="1"/>
        <v>0</v>
      </c>
      <c r="K43" s="289" t="s">
        <v>48</v>
      </c>
      <c r="L43" s="39"/>
      <c r="M43" s="39"/>
      <c r="N43" s="39"/>
      <c r="O43" s="39"/>
      <c r="P43" s="39"/>
      <c r="Q43" s="39"/>
      <c r="R43" s="39"/>
    </row>
    <row r="44" spans="1:18" x14ac:dyDescent="0.3">
      <c r="A44" s="314"/>
      <c r="B44" s="310"/>
      <c r="C44" s="290" t="s">
        <v>38</v>
      </c>
      <c r="D44" s="184">
        <v>0</v>
      </c>
      <c r="E44" s="184" t="s">
        <v>52</v>
      </c>
      <c r="F44" s="294">
        <v>34.56</v>
      </c>
      <c r="G44" s="186" t="s">
        <v>16</v>
      </c>
      <c r="H44" s="173">
        <v>0</v>
      </c>
      <c r="I44" s="120">
        <f>Input_exploitation!$B$12/Input_exploitation!$B$9</f>
        <v>0.2857142857142857</v>
      </c>
      <c r="J44" s="127">
        <f t="shared" si="1"/>
        <v>0</v>
      </c>
      <c r="K44" s="289" t="s">
        <v>47</v>
      </c>
      <c r="L44" s="39"/>
      <c r="M44" s="39"/>
      <c r="N44" s="39"/>
      <c r="O44" s="39"/>
      <c r="P44" s="39"/>
      <c r="Q44" s="39"/>
      <c r="R44" s="39"/>
    </row>
    <row r="45" spans="1:18" x14ac:dyDescent="0.3">
      <c r="A45" s="314"/>
      <c r="B45" s="310"/>
      <c r="C45" s="290" t="s">
        <v>39</v>
      </c>
      <c r="D45" s="184">
        <v>0</v>
      </c>
      <c r="E45" s="184" t="s">
        <v>52</v>
      </c>
      <c r="F45" s="294">
        <v>48.5</v>
      </c>
      <c r="G45" s="186" t="s">
        <v>16</v>
      </c>
      <c r="H45" s="173">
        <v>0</v>
      </c>
      <c r="I45" s="120">
        <f>Input_exploitation!$B$12/Input_exploitation!$B$9</f>
        <v>0.2857142857142857</v>
      </c>
      <c r="J45" s="127">
        <f t="shared" si="1"/>
        <v>0</v>
      </c>
      <c r="K45" s="289" t="s">
        <v>46</v>
      </c>
      <c r="L45" s="39"/>
      <c r="M45" s="39"/>
      <c r="N45" s="39"/>
      <c r="O45" s="39"/>
      <c r="P45" s="39"/>
      <c r="Q45" s="39"/>
      <c r="R45" s="39"/>
    </row>
    <row r="46" spans="1:18" x14ac:dyDescent="0.3">
      <c r="A46" s="314"/>
      <c r="B46" s="310"/>
      <c r="C46" s="290" t="s">
        <v>41</v>
      </c>
      <c r="D46" s="184">
        <v>0</v>
      </c>
      <c r="E46" s="184" t="s">
        <v>52</v>
      </c>
      <c r="F46" s="294">
        <v>67.599999999999994</v>
      </c>
      <c r="G46" s="186" t="s">
        <v>16</v>
      </c>
      <c r="H46" s="173">
        <v>0</v>
      </c>
      <c r="I46" s="120">
        <f>Input_exploitation!$B$12/Input_exploitation!$B$9</f>
        <v>0.2857142857142857</v>
      </c>
      <c r="J46" s="127">
        <f t="shared" si="1"/>
        <v>0</v>
      </c>
      <c r="K46" s="289" t="s">
        <v>45</v>
      </c>
      <c r="L46" s="39"/>
      <c r="M46" s="39"/>
      <c r="N46" s="39"/>
      <c r="O46" s="39"/>
      <c r="P46" s="39"/>
      <c r="Q46" s="39"/>
      <c r="R46" s="39"/>
    </row>
    <row r="47" spans="1:18" x14ac:dyDescent="0.3">
      <c r="A47" s="314"/>
      <c r="B47" s="310"/>
      <c r="C47" s="290" t="s">
        <v>42</v>
      </c>
      <c r="D47" s="184">
        <v>0</v>
      </c>
      <c r="E47" s="184" t="s">
        <v>52</v>
      </c>
      <c r="F47" s="294">
        <v>63</v>
      </c>
      <c r="G47" s="186" t="s">
        <v>16</v>
      </c>
      <c r="H47" s="173">
        <v>0</v>
      </c>
      <c r="I47" s="120">
        <f>Input_exploitation!$B$12/Input_exploitation!$B$9</f>
        <v>0.2857142857142857</v>
      </c>
      <c r="J47" s="127">
        <f t="shared" si="1"/>
        <v>0</v>
      </c>
      <c r="K47" s="289" t="s">
        <v>50</v>
      </c>
      <c r="L47" s="39"/>
      <c r="M47" s="39"/>
      <c r="N47" s="39"/>
      <c r="O47" s="39"/>
      <c r="P47" s="39"/>
      <c r="Q47" s="39"/>
      <c r="R47" s="39"/>
    </row>
    <row r="48" spans="1:18" x14ac:dyDescent="0.3">
      <c r="A48" s="314"/>
      <c r="B48" s="310"/>
      <c r="C48" s="293"/>
      <c r="D48" s="184"/>
      <c r="E48" s="184"/>
      <c r="F48" s="185"/>
      <c r="G48" s="186"/>
      <c r="H48" s="173"/>
      <c r="I48" s="120">
        <f>Input_exploitation!$B$12/Input_exploitation!$B$9</f>
        <v>0.2857142857142857</v>
      </c>
      <c r="J48" s="127">
        <f t="shared" si="1"/>
        <v>0</v>
      </c>
      <c r="L48" s="39"/>
      <c r="M48" s="39"/>
      <c r="N48" s="39"/>
      <c r="O48" s="39"/>
      <c r="P48" s="39"/>
      <c r="Q48" s="39"/>
      <c r="R48" s="39"/>
    </row>
    <row r="49" spans="1:18" x14ac:dyDescent="0.3">
      <c r="A49" s="314"/>
      <c r="B49" s="310"/>
      <c r="C49" s="293"/>
      <c r="D49" s="184"/>
      <c r="E49" s="184"/>
      <c r="F49" s="185"/>
      <c r="G49" s="186"/>
      <c r="H49" s="173"/>
      <c r="I49" s="120">
        <f>Input_exploitation!$B$12/Input_exploitation!$B$9</f>
        <v>0.2857142857142857</v>
      </c>
      <c r="J49" s="127">
        <f t="shared" si="1"/>
        <v>0</v>
      </c>
      <c r="L49" s="39"/>
      <c r="M49" s="39"/>
      <c r="N49" s="39"/>
      <c r="O49" s="39"/>
      <c r="P49" s="39"/>
      <c r="Q49" s="39"/>
      <c r="R49" s="39"/>
    </row>
    <row r="50" spans="1:18" x14ac:dyDescent="0.3">
      <c r="A50" s="314"/>
      <c r="B50" s="310"/>
      <c r="C50" s="293"/>
      <c r="D50" s="184"/>
      <c r="E50" s="184"/>
      <c r="F50" s="185"/>
      <c r="G50" s="186"/>
      <c r="H50" s="173"/>
      <c r="I50" s="120">
        <f>Input_exploitation!$B$12/Input_exploitation!$B$9</f>
        <v>0.2857142857142857</v>
      </c>
      <c r="J50" s="127">
        <f t="shared" si="1"/>
        <v>0</v>
      </c>
      <c r="L50" s="39"/>
      <c r="M50" s="39"/>
      <c r="N50" s="39"/>
      <c r="O50" s="39"/>
      <c r="P50" s="39"/>
      <c r="Q50" s="39"/>
      <c r="R50" s="39"/>
    </row>
    <row r="51" spans="1:18" x14ac:dyDescent="0.3">
      <c r="A51" s="314"/>
      <c r="B51" s="310"/>
      <c r="C51" s="184"/>
      <c r="D51" s="184"/>
      <c r="E51" s="184"/>
      <c r="F51" s="185"/>
      <c r="G51" s="186"/>
      <c r="H51" s="173"/>
      <c r="I51" s="120">
        <f>Input_exploitation!$B$12/Input_exploitation!$B$9</f>
        <v>0.2857142857142857</v>
      </c>
      <c r="J51" s="127">
        <f t="shared" si="1"/>
        <v>0</v>
      </c>
      <c r="L51" s="39"/>
      <c r="M51" s="39"/>
      <c r="N51" s="39"/>
      <c r="O51" s="39"/>
      <c r="P51" s="39"/>
      <c r="Q51" s="39"/>
      <c r="R51" s="39"/>
    </row>
    <row r="52" spans="1:18" x14ac:dyDescent="0.3">
      <c r="A52" s="314"/>
      <c r="B52" s="310"/>
      <c r="C52" s="184"/>
      <c r="D52" s="184"/>
      <c r="E52" s="184"/>
      <c r="F52" s="185"/>
      <c r="G52" s="186"/>
      <c r="H52" s="173"/>
      <c r="I52" s="120">
        <f>Input_exploitation!$B$12/Input_exploitation!$B$9</f>
        <v>0.2857142857142857</v>
      </c>
      <c r="J52" s="127">
        <f t="shared" si="1"/>
        <v>0</v>
      </c>
      <c r="L52" s="39"/>
      <c r="M52" s="39"/>
      <c r="N52" s="39"/>
      <c r="O52" s="39"/>
      <c r="P52" s="39"/>
      <c r="Q52" s="39"/>
      <c r="R52" s="39"/>
    </row>
    <row r="53" spans="1:18" x14ac:dyDescent="0.3">
      <c r="A53" s="314"/>
      <c r="B53" s="310"/>
      <c r="C53" s="184"/>
      <c r="D53" s="184"/>
      <c r="E53" s="184"/>
      <c r="F53" s="185"/>
      <c r="G53" s="186"/>
      <c r="H53" s="173"/>
      <c r="I53" s="120">
        <f>Input_exploitation!$B$12/Input_exploitation!$B$9</f>
        <v>0.2857142857142857</v>
      </c>
      <c r="J53" s="127">
        <f t="shared" si="1"/>
        <v>0</v>
      </c>
      <c r="L53" s="39"/>
      <c r="M53" s="39"/>
      <c r="N53" s="39"/>
      <c r="O53" s="39"/>
      <c r="P53" s="39"/>
      <c r="Q53" s="39"/>
      <c r="R53" s="39"/>
    </row>
    <row r="54" spans="1:18" x14ac:dyDescent="0.3">
      <c r="A54" s="314"/>
      <c r="B54" s="310"/>
      <c r="C54" s="184"/>
      <c r="D54" s="184"/>
      <c r="E54" s="184"/>
      <c r="F54" s="185"/>
      <c r="G54" s="186"/>
      <c r="H54" s="173"/>
      <c r="I54" s="120">
        <f>Input_exploitation!$B$12/Input_exploitation!$B$9</f>
        <v>0.2857142857142857</v>
      </c>
      <c r="J54" s="127">
        <f t="shared" si="1"/>
        <v>0</v>
      </c>
      <c r="L54" s="39"/>
      <c r="M54" s="39"/>
      <c r="N54" s="39"/>
      <c r="O54" s="39"/>
      <c r="P54" s="39"/>
      <c r="Q54" s="39"/>
      <c r="R54" s="39"/>
    </row>
    <row r="55" spans="1:18" x14ac:dyDescent="0.3">
      <c r="A55" s="314"/>
      <c r="B55" s="310"/>
      <c r="C55" s="184"/>
      <c r="D55" s="184"/>
      <c r="E55" s="184"/>
      <c r="F55" s="185"/>
      <c r="G55" s="186"/>
      <c r="H55" s="173"/>
      <c r="I55" s="120">
        <f>Input_exploitation!$B$12/Input_exploitation!$B$9</f>
        <v>0.2857142857142857</v>
      </c>
      <c r="J55" s="127">
        <f t="shared" si="1"/>
        <v>0</v>
      </c>
      <c r="L55" s="39"/>
      <c r="M55" s="39"/>
      <c r="N55" s="39"/>
      <c r="O55" s="39"/>
      <c r="P55" s="39"/>
      <c r="Q55" s="39"/>
      <c r="R55" s="39"/>
    </row>
    <row r="56" spans="1:18" x14ac:dyDescent="0.3">
      <c r="A56" s="314"/>
      <c r="B56" s="310"/>
      <c r="C56" s="108" t="str">
        <f>C27</f>
        <v>coûts herbicides</v>
      </c>
      <c r="D56" s="1"/>
      <c r="E56" s="1"/>
      <c r="F56" s="109"/>
      <c r="G56" s="23"/>
      <c r="H56" s="73"/>
      <c r="I56" s="121"/>
      <c r="J56" s="109">
        <f>SUM(J38:J55)</f>
        <v>0</v>
      </c>
      <c r="L56" s="39"/>
      <c r="M56" s="39"/>
      <c r="N56" s="39"/>
      <c r="O56" s="39"/>
      <c r="P56" s="39"/>
      <c r="Q56" s="39"/>
      <c r="R56" s="39"/>
    </row>
    <row r="57" spans="1:18" x14ac:dyDescent="0.3">
      <c r="A57" s="314"/>
      <c r="B57" s="311"/>
      <c r="C57" s="312" t="str">
        <f>C28</f>
        <v>Numero de trajets effectives</v>
      </c>
      <c r="D57" s="312"/>
      <c r="E57" s="312"/>
      <c r="F57" s="312"/>
      <c r="G57" s="312"/>
      <c r="H57" s="312"/>
      <c r="I57" s="312"/>
      <c r="J57" s="1">
        <f>Entree_resultats!D25</f>
        <v>0</v>
      </c>
      <c r="L57" s="39"/>
      <c r="M57" s="39"/>
      <c r="N57" s="39"/>
      <c r="O57" s="39"/>
      <c r="P57" s="39"/>
      <c r="Q57" s="39"/>
      <c r="R57" s="39"/>
    </row>
    <row r="58" spans="1:18" s="39" customFormat="1" x14ac:dyDescent="0.3">
      <c r="B58" s="243"/>
      <c r="I58" s="40"/>
    </row>
    <row r="59" spans="1:18" s="39" customFormat="1" x14ac:dyDescent="0.3">
      <c r="B59" s="243"/>
      <c r="I59" s="40"/>
    </row>
    <row r="60" spans="1:18" s="39" customFormat="1" x14ac:dyDescent="0.3">
      <c r="B60" s="243"/>
      <c r="I60" s="40"/>
    </row>
    <row r="61" spans="1:18" s="39" customFormat="1" x14ac:dyDescent="0.3">
      <c r="B61" s="243"/>
      <c r="I61" s="40"/>
    </row>
    <row r="62" spans="1:18" s="39" customFormat="1" x14ac:dyDescent="0.3">
      <c r="B62" s="243"/>
      <c r="I62" s="40"/>
    </row>
    <row r="63" spans="1:18" s="39" customFormat="1" x14ac:dyDescent="0.3">
      <c r="B63" s="243"/>
      <c r="I63" s="40"/>
    </row>
    <row r="64" spans="1:18" s="39" customFormat="1" x14ac:dyDescent="0.3">
      <c r="B64" s="243"/>
      <c r="I64" s="40"/>
    </row>
    <row r="65" spans="2:9" s="39" customFormat="1" x14ac:dyDescent="0.3">
      <c r="B65" s="243"/>
      <c r="I65" s="40"/>
    </row>
    <row r="66" spans="2:9" s="39" customFormat="1" x14ac:dyDescent="0.3">
      <c r="B66" s="243"/>
      <c r="I66" s="40"/>
    </row>
    <row r="67" spans="2:9" s="39" customFormat="1" x14ac:dyDescent="0.3">
      <c r="B67" s="243"/>
      <c r="I67" s="40"/>
    </row>
    <row r="68" spans="2:9" s="39" customFormat="1" x14ac:dyDescent="0.3">
      <c r="B68" s="243"/>
      <c r="I68" s="40"/>
    </row>
    <row r="69" spans="2:9" s="39" customFormat="1" x14ac:dyDescent="0.3">
      <c r="B69" s="243"/>
      <c r="I69" s="40"/>
    </row>
    <row r="70" spans="2:9" s="39" customFormat="1" x14ac:dyDescent="0.3">
      <c r="B70" s="243"/>
      <c r="I70" s="40"/>
    </row>
    <row r="71" spans="2:9" s="39" customFormat="1" x14ac:dyDescent="0.3">
      <c r="B71" s="243"/>
      <c r="I71" s="40"/>
    </row>
    <row r="72" spans="2:9" s="39" customFormat="1" x14ac:dyDescent="0.3">
      <c r="B72" s="243"/>
      <c r="I72" s="40"/>
    </row>
    <row r="73" spans="2:9" s="39" customFormat="1" x14ac:dyDescent="0.3">
      <c r="B73" s="243"/>
      <c r="I73" s="40"/>
    </row>
    <row r="74" spans="2:9" s="39" customFormat="1" x14ac:dyDescent="0.3">
      <c r="B74" s="243"/>
      <c r="I74" s="40"/>
    </row>
    <row r="75" spans="2:9" s="39" customFormat="1" x14ac:dyDescent="0.3">
      <c r="B75" s="243"/>
      <c r="I75" s="40"/>
    </row>
    <row r="76" spans="2:9" s="39" customFormat="1" x14ac:dyDescent="0.3">
      <c r="B76" s="243"/>
      <c r="I76" s="40"/>
    </row>
    <row r="77" spans="2:9" s="39" customFormat="1" x14ac:dyDescent="0.3">
      <c r="B77" s="243"/>
      <c r="I77" s="40"/>
    </row>
    <row r="78" spans="2:9" s="39" customFormat="1" x14ac:dyDescent="0.3">
      <c r="B78" s="243"/>
      <c r="I78" s="40"/>
    </row>
    <row r="79" spans="2:9" s="39" customFormat="1" x14ac:dyDescent="0.3">
      <c r="B79" s="243"/>
      <c r="I79" s="40"/>
    </row>
    <row r="80" spans="2:9" s="39" customFormat="1" x14ac:dyDescent="0.3">
      <c r="B80" s="243"/>
      <c r="I80" s="40"/>
    </row>
    <row r="81" spans="2:9" s="39" customFormat="1" x14ac:dyDescent="0.3">
      <c r="B81" s="243"/>
      <c r="I81" s="40"/>
    </row>
    <row r="82" spans="2:9" s="39" customFormat="1" x14ac:dyDescent="0.3">
      <c r="B82" s="243"/>
      <c r="I82" s="40"/>
    </row>
    <row r="83" spans="2:9" s="39" customFormat="1" x14ac:dyDescent="0.3">
      <c r="B83" s="243"/>
      <c r="I83" s="40"/>
    </row>
    <row r="84" spans="2:9" s="39" customFormat="1" x14ac:dyDescent="0.3">
      <c r="B84" s="243"/>
      <c r="I84" s="40"/>
    </row>
    <row r="85" spans="2:9" s="39" customFormat="1" x14ac:dyDescent="0.3">
      <c r="B85" s="243"/>
      <c r="I85" s="40"/>
    </row>
    <row r="86" spans="2:9" s="39" customFormat="1" x14ac:dyDescent="0.3">
      <c r="B86" s="243"/>
      <c r="I86" s="40"/>
    </row>
    <row r="87" spans="2:9" s="39" customFormat="1" x14ac:dyDescent="0.3">
      <c r="B87" s="243"/>
      <c r="I87" s="40"/>
    </row>
  </sheetData>
  <sheetProtection selectLockedCells="1"/>
  <mergeCells count="18">
    <mergeCell ref="E34:K34"/>
    <mergeCell ref="B8:B28"/>
    <mergeCell ref="B37:B57"/>
    <mergeCell ref="C57:I57"/>
    <mergeCell ref="A1:A28"/>
    <mergeCell ref="A30:A57"/>
    <mergeCell ref="C28:I28"/>
    <mergeCell ref="E1:K1"/>
    <mergeCell ref="E2:K2"/>
    <mergeCell ref="E3:K3"/>
    <mergeCell ref="E4:K4"/>
    <mergeCell ref="B1:B5"/>
    <mergeCell ref="E5:K5"/>
    <mergeCell ref="B30:B34"/>
    <mergeCell ref="E30:K30"/>
    <mergeCell ref="E31:K31"/>
    <mergeCell ref="E32:K32"/>
    <mergeCell ref="E33:K33"/>
  </mergeCells>
  <dataValidations count="1">
    <dataValidation allowBlank="1" showInputMessage="1" showErrorMessage="1" sqref="G56:I56 G27:I27"/>
  </dataValidations>
  <pageMargins left="0.70866141732283472" right="0.70866141732283472" top="0.78740157480314965" bottom="0.78740157480314965" header="0.31496062992125984" footer="0.31496062992125984"/>
  <pageSetup paperSize="9" scale="8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listes!$J$9:$J$27</xm:f>
          </x14:formula1>
          <xm:sqref>D9 D38</xm:sqref>
        </x14:dataValidation>
        <x14:dataValidation type="list" allowBlank="1" showInputMessage="1" showErrorMessage="1">
          <x14:formula1>
            <xm:f>listes!$K$9:$K$10</xm:f>
          </x14:formula1>
          <xm:sqref>D11 D40</xm:sqref>
        </x14:dataValidation>
        <x14:dataValidation type="list" allowBlank="1" showInputMessage="1" showErrorMessage="1">
          <x14:formula1>
            <xm:f>listes!$L$9:$L$13</xm:f>
          </x14:formula1>
          <xm:sqref>D12 D41</xm:sqref>
        </x14:dataValidation>
        <x14:dataValidation type="list" allowBlank="1" showInputMessage="1" showErrorMessage="1">
          <x14:formula1>
            <xm:f>listes!$M$9:$M$10</xm:f>
          </x14:formula1>
          <xm:sqref>D13 D42</xm:sqref>
        </x14:dataValidation>
        <x14:dataValidation type="list" allowBlank="1" showInputMessage="1" showErrorMessage="1">
          <x14:formula1>
            <xm:f>listes!$N$9:$N$17</xm:f>
          </x14:formula1>
          <xm:sqref>D14 D43</xm:sqref>
        </x14:dataValidation>
        <x14:dataValidation type="list" allowBlank="1" showInputMessage="1" showErrorMessage="1">
          <x14:formula1>
            <xm:f>listes!$O$9:$O$10</xm:f>
          </x14:formula1>
          <xm:sqref>D15 D44</xm:sqref>
        </x14:dataValidation>
        <x14:dataValidation type="list" allowBlank="1" showInputMessage="1" showErrorMessage="1">
          <x14:formula1>
            <xm:f>listes!$T$9:$T$15</xm:f>
          </x14:formula1>
          <xm:sqref>D20 D49</xm:sqref>
        </x14:dataValidation>
        <x14:dataValidation type="list" allowBlank="1" showInputMessage="1" showErrorMessage="1">
          <x14:formula1>
            <xm:f>listes!$U$9:$U$15</xm:f>
          </x14:formula1>
          <xm:sqref>D21 D50:D52</xm:sqref>
        </x14:dataValidation>
        <x14:dataValidation type="list" allowBlank="1" showInputMessage="1" showErrorMessage="1">
          <x14:formula1>
            <xm:f>listes!$F$9:$F$10</xm:f>
          </x14:formula1>
          <xm:sqref>H14:H26 H43:H55 H40:H41 H11:H12</xm:sqref>
        </x14:dataValidation>
        <x14:dataValidation type="list" allowBlank="1" showInputMessage="1" showErrorMessage="1">
          <x14:formula1>
            <xm:f>listes!$F$9:$F$11</xm:f>
          </x14:formula1>
          <xm:sqref>H42 H13</xm:sqref>
        </x14:dataValidation>
        <x14:dataValidation type="list" allowBlank="1" showInputMessage="1" showErrorMessage="1">
          <x14:formula1>
            <xm:f>listes!$F$9:$F$14</xm:f>
          </x14:formula1>
          <xm:sqref>H9 H38</xm:sqref>
        </x14:dataValidation>
        <x14:dataValidation type="list" allowBlank="1" showInputMessage="1" showErrorMessage="1">
          <x14:formula1>
            <xm:f>listes!$P$9:$P$11</xm:f>
          </x14:formula1>
          <xm:sqref>D16 D45</xm:sqref>
        </x14:dataValidation>
        <x14:dataValidation type="list" allowBlank="1" showInputMessage="1" showErrorMessage="1">
          <x14:formula1>
            <xm:f>listes!$Q$9:$Q$16</xm:f>
          </x14:formula1>
          <xm:sqref>D17 D46</xm:sqref>
        </x14:dataValidation>
        <x14:dataValidation type="list" allowBlank="1" showInputMessage="1" showErrorMessage="1">
          <x14:formula1>
            <xm:f>listes!$R$9:$R$14</xm:f>
          </x14:formula1>
          <xm:sqref>D18 D47</xm:sqref>
        </x14:dataValidation>
        <x14:dataValidation type="list" allowBlank="1" showInputMessage="1" showErrorMessage="1">
          <x14:formula1>
            <xm:f>listes!$S$9:$S$14</xm:f>
          </x14:formula1>
          <xm:sqref>D19 D48</xm:sqref>
        </x14:dataValidation>
        <x14:dataValidation type="list" allowBlank="1" showInputMessage="1" showErrorMessage="1">
          <x14:formula1>
            <xm:f>listes!$H$9:$H$29</xm:f>
          </x14:formula1>
          <xm:sqref>G36:I36 G6:I6</xm:sqref>
        </x14:dataValidation>
        <x14:dataValidation type="list" allowBlank="1" showInputMessage="1" showErrorMessage="1">
          <x14:formula1>
            <xm:f>'O:\Data-Work\22_Plant_Production-CH\226.14_Ökonomie\01_Projekte\012_Internationale_Projekte\Interreg V\Unkrautregulierung\Herbocost\[Unkrautregulierung_HERBOCOST_1.2_ohne_Blattschutz.xlsx]Listen'!#REF!</xm:f>
          </x14:formula1>
          <xm:sqref>H10 H39</xm:sqref>
        </x14:dataValidation>
        <x14:dataValidation type="list" allowBlank="1" showInputMessage="1" showErrorMessage="1">
          <x14:formula1>
            <xm:f>'O:\Data-Work\22_Plant_Production-CH\226.14_Ökonomie\01_Projekte\012_Internationale_Projekte\Interreg V\Unkrautregulierung\Herbocost\[Unkrautregulierung_HERBOCOST_1.2_ohne_Blattschutz.xlsx]Listen'!#REF!</xm:f>
          </x14:formula1>
          <xm:sqref>D10 D39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T36"/>
  <sheetViews>
    <sheetView showGridLines="0" workbookViewId="0">
      <selection activeCell="B4" sqref="B4"/>
    </sheetView>
  </sheetViews>
  <sheetFormatPr baseColWidth="10" defaultRowHeight="14" x14ac:dyDescent="0.3"/>
  <cols>
    <col min="1" max="1" width="23.75" customWidth="1"/>
    <col min="2" max="2" width="10.08203125" customWidth="1"/>
    <col min="3" max="3" width="3.75" bestFit="1" customWidth="1"/>
    <col min="4" max="4" width="12.5" bestFit="1" customWidth="1"/>
    <col min="5" max="5" width="3.75" bestFit="1" customWidth="1"/>
    <col min="7" max="7" width="28.08203125" customWidth="1"/>
    <col min="8" max="8" width="7.75" style="156" customWidth="1"/>
    <col min="9" max="9" width="14.5" style="156" bestFit="1" customWidth="1"/>
    <col min="10" max="10" width="13" style="156" customWidth="1"/>
    <col min="11" max="11" width="4.75" style="124" customWidth="1"/>
  </cols>
  <sheetData>
    <row r="1" spans="1:20" x14ac:dyDescent="0.3">
      <c r="A1" s="39"/>
      <c r="B1" s="39"/>
      <c r="C1" s="39"/>
      <c r="D1" s="39"/>
      <c r="E1" s="39"/>
      <c r="G1" s="155" t="str">
        <f>Entree_resultats!B3</f>
        <v>Surface fruitière de l'exploitation</v>
      </c>
      <c r="H1" s="165">
        <f>Input_exploitation!B2</f>
        <v>6</v>
      </c>
      <c r="I1" s="40"/>
      <c r="J1" s="40"/>
      <c r="K1" s="38"/>
      <c r="Q1" s="39"/>
      <c r="R1" s="39"/>
      <c r="S1" s="39"/>
      <c r="T1" s="39"/>
    </row>
    <row r="2" spans="1:20" x14ac:dyDescent="0.3">
      <c r="A2" s="39"/>
      <c r="B2" s="39"/>
      <c r="C2" s="39"/>
      <c r="D2" s="39"/>
      <c r="E2" s="39"/>
      <c r="G2" s="155"/>
      <c r="H2" s="165"/>
      <c r="I2" s="40"/>
      <c r="J2" s="40"/>
      <c r="K2" s="38"/>
      <c r="Q2" s="39"/>
      <c r="R2" s="39"/>
      <c r="S2" s="39"/>
      <c r="T2" s="39"/>
    </row>
    <row r="3" spans="1:20" ht="42" customHeight="1" x14ac:dyDescent="0.3">
      <c r="A3" s="238" t="s">
        <v>126</v>
      </c>
      <c r="B3" s="275" t="s">
        <v>199</v>
      </c>
      <c r="C3" s="239"/>
      <c r="D3" s="239" t="s">
        <v>128</v>
      </c>
      <c r="E3" s="23"/>
      <c r="G3" s="214" t="str">
        <f>Entree_resultats!B5</f>
        <v>Désherbage chimique</v>
      </c>
      <c r="H3" s="277" t="s">
        <v>136</v>
      </c>
      <c r="I3" s="240" t="s">
        <v>137</v>
      </c>
      <c r="J3" s="277" t="str">
        <f>Entree_resultats!E6</f>
        <v>surface traité par passage (ha)</v>
      </c>
      <c r="K3" s="38"/>
      <c r="Q3" s="39"/>
      <c r="R3" s="39"/>
      <c r="S3" s="39"/>
      <c r="T3" s="39"/>
    </row>
    <row r="4" spans="1:20" x14ac:dyDescent="0.3">
      <c r="A4" s="23" t="s">
        <v>129</v>
      </c>
      <c r="B4" s="187">
        <v>10</v>
      </c>
      <c r="C4" s="23" t="s">
        <v>18</v>
      </c>
      <c r="D4" s="23"/>
      <c r="E4" s="23"/>
      <c r="G4" s="23" t="str">
        <f>Input_machines!A3</f>
        <v>Tracteur fruitier</v>
      </c>
      <c r="H4" s="276">
        <f>H5</f>
        <v>0</v>
      </c>
      <c r="I4" s="73">
        <f>Input_exploitation!$B$14</f>
        <v>350</v>
      </c>
      <c r="J4" s="73"/>
      <c r="K4" s="38"/>
      <c r="Q4" s="39"/>
      <c r="R4" s="39"/>
      <c r="S4" s="39"/>
      <c r="T4" s="39"/>
    </row>
    <row r="5" spans="1:20" x14ac:dyDescent="0.3">
      <c r="A5" s="23" t="s">
        <v>130</v>
      </c>
      <c r="B5" s="187">
        <v>5</v>
      </c>
      <c r="C5" s="23" t="s">
        <v>18</v>
      </c>
      <c r="D5" s="23"/>
      <c r="E5" s="23"/>
      <c r="G5" s="23" t="str">
        <f>Input_machines!A5</f>
        <v>Rampe de pulvérisation d’herbicides</v>
      </c>
      <c r="H5" s="73">
        <f>Entree_resultats!D7</f>
        <v>0</v>
      </c>
      <c r="I5" s="73">
        <f>H5*$H$1</f>
        <v>0</v>
      </c>
      <c r="J5" s="73">
        <f>IF(Entree_resultats!$E$7="bitte auswählen",1,Entree_resultats!$E$7)</f>
        <v>3</v>
      </c>
      <c r="K5" s="38"/>
      <c r="Q5" s="39"/>
      <c r="R5" s="39"/>
      <c r="S5" s="39"/>
      <c r="T5" s="39"/>
    </row>
    <row r="6" spans="1:20" x14ac:dyDescent="0.3">
      <c r="A6" s="23" t="s">
        <v>131</v>
      </c>
      <c r="B6" s="187">
        <v>5</v>
      </c>
      <c r="C6" s="23" t="s">
        <v>18</v>
      </c>
      <c r="D6" s="23"/>
      <c r="E6" s="23"/>
      <c r="G6" s="23" t="str">
        <f>Input_machines!A6</f>
        <v>Citerne à herbicides, pulvérisateur semi-porté  400 l</v>
      </c>
      <c r="H6" s="162">
        <f>H5</f>
        <v>0</v>
      </c>
      <c r="I6" s="73">
        <f>H6*$H$1</f>
        <v>0</v>
      </c>
      <c r="J6" s="73">
        <f>IF(Entree_resultats!$E$7="bitte auswählen",1,Entree_resultats!$E$7)</f>
        <v>3</v>
      </c>
      <c r="K6" s="38"/>
      <c r="Q6" s="39"/>
      <c r="R6" s="39"/>
      <c r="S6" s="39"/>
      <c r="T6" s="39"/>
    </row>
    <row r="7" spans="1:20" x14ac:dyDescent="0.3">
      <c r="A7" s="23" t="s">
        <v>132</v>
      </c>
      <c r="B7" s="187">
        <v>10</v>
      </c>
      <c r="C7" s="23" t="s">
        <v>18</v>
      </c>
      <c r="D7" s="23">
        <f>B7</f>
        <v>10</v>
      </c>
      <c r="E7" s="23" t="s">
        <v>18</v>
      </c>
      <c r="G7" s="124"/>
      <c r="H7" s="163"/>
      <c r="I7" s="163"/>
      <c r="J7" s="163"/>
      <c r="K7" s="38"/>
      <c r="Q7" s="39"/>
      <c r="R7" s="39"/>
      <c r="S7" s="39"/>
      <c r="T7" s="39"/>
    </row>
    <row r="8" spans="1:20" x14ac:dyDescent="0.3">
      <c r="A8" s="23" t="s">
        <v>133</v>
      </c>
      <c r="B8" s="187">
        <v>5</v>
      </c>
      <c r="C8" s="23" t="s">
        <v>18</v>
      </c>
      <c r="D8" s="23">
        <v>5</v>
      </c>
      <c r="E8" s="23" t="s">
        <v>18</v>
      </c>
      <c r="G8" s="124"/>
      <c r="H8" s="163"/>
      <c r="I8" s="163"/>
      <c r="J8" s="163"/>
      <c r="K8" s="38"/>
      <c r="Q8" s="39"/>
      <c r="R8" s="39"/>
      <c r="S8" s="39"/>
      <c r="T8" s="39"/>
    </row>
    <row r="9" spans="1:20" x14ac:dyDescent="0.3">
      <c r="A9" s="124"/>
      <c r="B9" s="164"/>
      <c r="C9" s="124"/>
      <c r="D9" s="124"/>
      <c r="E9" s="124"/>
      <c r="G9" s="124"/>
      <c r="H9" s="163"/>
      <c r="I9" s="163"/>
      <c r="J9" s="163"/>
      <c r="K9" s="38"/>
      <c r="Q9" s="39"/>
      <c r="R9" s="39"/>
      <c r="S9" s="39"/>
      <c r="T9" s="39"/>
    </row>
    <row r="10" spans="1:20" ht="44" customHeight="1" x14ac:dyDescent="0.3">
      <c r="A10" s="238" t="str">
        <f>A3</f>
        <v>Pré et post-traitement</v>
      </c>
      <c r="B10" s="275" t="s">
        <v>127</v>
      </c>
      <c r="C10" s="239"/>
      <c r="D10" s="239" t="str">
        <f>D3</f>
        <v>temps machines</v>
      </c>
      <c r="E10" s="23"/>
      <c r="G10" s="240" t="str">
        <f>Entree_resultats!B11</f>
        <v>Lutte mécanique contre les mauvaises herbes 1</v>
      </c>
      <c r="H10" s="277" t="str">
        <f>H3</f>
        <v>Numero de trajets</v>
      </c>
      <c r="I10" s="240" t="str">
        <f>I3</f>
        <v>Utilisation annuelle (ha)</v>
      </c>
      <c r="J10" s="240" t="str">
        <f>J3</f>
        <v>surface traité par passage (ha)</v>
      </c>
      <c r="K10" s="38"/>
      <c r="Q10" s="39"/>
      <c r="R10" s="39"/>
      <c r="S10" s="39"/>
      <c r="T10" s="39"/>
    </row>
    <row r="11" spans="1:20" x14ac:dyDescent="0.3">
      <c r="A11" s="23" t="s">
        <v>134</v>
      </c>
      <c r="B11" s="187">
        <v>15</v>
      </c>
      <c r="C11" s="23" t="s">
        <v>18</v>
      </c>
      <c r="D11" s="23"/>
      <c r="E11" s="23"/>
      <c r="G11" s="23" t="str">
        <f>Input_machines!A3</f>
        <v>Tracteur fruitier</v>
      </c>
      <c r="H11" s="73">
        <f>H12+H13</f>
        <v>0</v>
      </c>
      <c r="I11" s="73">
        <f>Input_exploitation!$B$14</f>
        <v>350</v>
      </c>
      <c r="J11" s="73"/>
      <c r="K11" s="38"/>
      <c r="Q11" s="39"/>
      <c r="R11" s="39"/>
      <c r="S11" s="39"/>
      <c r="T11" s="39"/>
    </row>
    <row r="12" spans="1:20" x14ac:dyDescent="0.3">
      <c r="A12" s="23" t="str">
        <f>A7</f>
        <v>Accrocher et decrocher la machine</v>
      </c>
      <c r="B12" s="187">
        <v>15</v>
      </c>
      <c r="C12" s="23" t="s">
        <v>18</v>
      </c>
      <c r="D12" s="23">
        <f>B12</f>
        <v>15</v>
      </c>
      <c r="E12" s="23" t="s">
        <v>18</v>
      </c>
      <c r="G12" s="23" t="str">
        <f>Input_machines!A8</f>
        <v>Sarcleuse pour rangée d'arbres</v>
      </c>
      <c r="H12" s="73">
        <f>Entree_resultats!D13</f>
        <v>0</v>
      </c>
      <c r="I12" s="73">
        <f>H12*$H$1</f>
        <v>0</v>
      </c>
      <c r="J12" s="73">
        <f>IF(Entree_resultats!$E$13="bitte auswählen",1,Entree_resultats!$E$13)</f>
        <v>3</v>
      </c>
      <c r="K12" s="38"/>
      <c r="Q12" s="39"/>
      <c r="R12" s="39"/>
      <c r="S12" s="39"/>
      <c r="T12" s="39"/>
    </row>
    <row r="13" spans="1:20" x14ac:dyDescent="0.3">
      <c r="A13" s="23" t="s">
        <v>135</v>
      </c>
      <c r="B13" s="187">
        <v>15</v>
      </c>
      <c r="C13" s="23" t="s">
        <v>18</v>
      </c>
      <c r="D13" s="23"/>
      <c r="E13" s="23"/>
      <c r="G13" s="23" t="str">
        <f>Input_machines!A9</f>
        <v>Faucheuse à fils</v>
      </c>
      <c r="H13" s="73">
        <f>Entree_resultats!D14</f>
        <v>0</v>
      </c>
      <c r="I13" s="73">
        <f>H13*$H$1</f>
        <v>0</v>
      </c>
      <c r="J13" s="73">
        <f>IF(Entree_resultats!$E$14="bitte auswählen",1,Entree_resultats!$E$14)</f>
        <v>3</v>
      </c>
      <c r="K13" s="38"/>
      <c r="Q13" s="39"/>
      <c r="R13" s="39"/>
      <c r="S13" s="39"/>
      <c r="T13" s="39"/>
    </row>
    <row r="14" spans="1:20" x14ac:dyDescent="0.3">
      <c r="A14" s="124"/>
      <c r="B14" s="164"/>
      <c r="C14" s="124"/>
      <c r="D14" s="124"/>
      <c r="E14" s="124"/>
      <c r="G14" s="23" t="str">
        <f>Input_machines!A10</f>
        <v xml:space="preserve">Disque émotteur avec étoile bineuse </v>
      </c>
      <c r="H14" s="73">
        <f>Entree_resultats!D15</f>
        <v>0</v>
      </c>
      <c r="I14" s="73">
        <f>$H$1*H14</f>
        <v>0</v>
      </c>
      <c r="J14" s="73">
        <f>IF(Entree_resultats!$E$15="bitte auswählen",1,Entree_resultats!$E$15)</f>
        <v>3</v>
      </c>
      <c r="K14" s="38"/>
      <c r="Q14" s="39"/>
      <c r="R14" s="39"/>
      <c r="S14" s="39"/>
      <c r="T14" s="39"/>
    </row>
    <row r="15" spans="1:20" x14ac:dyDescent="0.3">
      <c r="A15" s="124"/>
      <c r="B15" s="124"/>
      <c r="C15" s="124"/>
      <c r="D15" s="124"/>
      <c r="E15" s="124"/>
      <c r="G15" s="39"/>
      <c r="H15" s="40"/>
      <c r="I15" s="40"/>
      <c r="J15" s="40"/>
      <c r="K15" s="38"/>
      <c r="Q15" s="39"/>
      <c r="R15" s="39"/>
      <c r="S15" s="39"/>
      <c r="T15" s="39"/>
    </row>
    <row r="16" spans="1:20" ht="42" customHeight="1" x14ac:dyDescent="0.3">
      <c r="A16" s="238" t="str">
        <f>A3</f>
        <v>Pré et post-traitement</v>
      </c>
      <c r="B16" s="275" t="str">
        <f>B10</f>
        <v>temps de travail</v>
      </c>
      <c r="C16" s="239"/>
      <c r="D16" s="239" t="str">
        <f>D3</f>
        <v>temps machines</v>
      </c>
      <c r="E16" s="23"/>
      <c r="G16" s="240" t="str">
        <f>Entree_resultats!B17</f>
        <v>Lutte mécanique contre les mauvaises herbes 2</v>
      </c>
      <c r="H16" s="277" t="str">
        <f>H3</f>
        <v>Numero de trajets</v>
      </c>
      <c r="I16" s="240" t="str">
        <f>I3</f>
        <v>Utilisation annuelle (ha)</v>
      </c>
      <c r="J16" s="240" t="str">
        <f>J3</f>
        <v>surface traité par passage (ha)</v>
      </c>
      <c r="K16" s="38"/>
      <c r="Q16" s="39"/>
      <c r="R16" s="39"/>
      <c r="S16" s="39"/>
      <c r="T16" s="39"/>
    </row>
    <row r="17" spans="1:20" x14ac:dyDescent="0.3">
      <c r="A17" s="23" t="str">
        <f>A11</f>
        <v>Remplacer la bobine</v>
      </c>
      <c r="B17" s="187">
        <v>15</v>
      </c>
      <c r="C17" s="23" t="s">
        <v>18</v>
      </c>
      <c r="D17" s="23"/>
      <c r="E17" s="23"/>
      <c r="G17" s="23" t="str">
        <f>Input_machines!A3</f>
        <v>Tracteur fruitier</v>
      </c>
      <c r="H17" s="73">
        <f>H18+H19</f>
        <v>0</v>
      </c>
      <c r="I17" s="73">
        <f>Input_exploitation!$B$14</f>
        <v>350</v>
      </c>
      <c r="J17" s="73"/>
      <c r="K17" s="38"/>
      <c r="Q17" s="39"/>
      <c r="R17" s="39"/>
      <c r="S17" s="39"/>
      <c r="T17" s="39"/>
    </row>
    <row r="18" spans="1:20" x14ac:dyDescent="0.3">
      <c r="A18" s="23" t="str">
        <f>A12</f>
        <v>Accrocher et decrocher la machine</v>
      </c>
      <c r="B18" s="187">
        <v>15</v>
      </c>
      <c r="C18" s="23" t="s">
        <v>18</v>
      </c>
      <c r="D18" s="23">
        <f>B18</f>
        <v>15</v>
      </c>
      <c r="E18" s="23" t="s">
        <v>18</v>
      </c>
      <c r="G18" s="23" t="str">
        <f>Input_machines!A12</f>
        <v>Sarcleuse pour rangée d'arbres</v>
      </c>
      <c r="H18" s="73">
        <f>Entree_resultats!D19</f>
        <v>0</v>
      </c>
      <c r="I18" s="73">
        <f>H18*$H$1</f>
        <v>0</v>
      </c>
      <c r="J18" s="73">
        <f>IF(Entree_resultats!$E$19="bitte auswählen",1,Entree_resultats!$E$19)</f>
        <v>3</v>
      </c>
      <c r="K18" s="38"/>
      <c r="Q18" s="39"/>
      <c r="R18" s="39"/>
      <c r="S18" s="39"/>
      <c r="T18" s="39"/>
    </row>
    <row r="19" spans="1:20" x14ac:dyDescent="0.3">
      <c r="A19" s="23" t="str">
        <f>A13</f>
        <v>laver l' émotteuse</v>
      </c>
      <c r="B19" s="187">
        <v>15</v>
      </c>
      <c r="C19" s="23" t="s">
        <v>18</v>
      </c>
      <c r="D19" s="23"/>
      <c r="E19" s="23"/>
      <c r="G19" s="23" t="str">
        <f>Input_machines!A13</f>
        <v>Faucheuse à fils</v>
      </c>
      <c r="H19" s="73">
        <f>Entree_resultats!D20</f>
        <v>0</v>
      </c>
      <c r="I19" s="73">
        <f>H19*$H$1</f>
        <v>0</v>
      </c>
      <c r="J19" s="73">
        <f>IF(Entree_resultats!$E$20="bitte auswählen",1,Entree_resultats!$E$20)</f>
        <v>3</v>
      </c>
      <c r="K19" s="38"/>
      <c r="Q19" s="39"/>
      <c r="R19" s="39"/>
      <c r="S19" s="39"/>
      <c r="T19" s="39"/>
    </row>
    <row r="20" spans="1:20" x14ac:dyDescent="0.3">
      <c r="A20" s="39"/>
      <c r="B20" s="39"/>
      <c r="C20" s="39"/>
      <c r="D20" s="39"/>
      <c r="E20" s="39"/>
      <c r="G20" s="23" t="str">
        <f>Input_machines!A14</f>
        <v xml:space="preserve">Disque émotteur avec étoile bineuse </v>
      </c>
      <c r="H20" s="73">
        <f>Entree_resultats!D21</f>
        <v>0</v>
      </c>
      <c r="I20" s="73">
        <f>H1*H20</f>
        <v>0</v>
      </c>
      <c r="J20" s="73">
        <f>IF(Entree_resultats!$E$21="bitte auswählen",1,Entree_resultats!$E$21)</f>
        <v>3</v>
      </c>
      <c r="K20" s="38"/>
      <c r="Q20" s="39"/>
      <c r="R20" s="39"/>
      <c r="S20" s="39"/>
      <c r="T20" s="39"/>
    </row>
    <row r="21" spans="1:20" x14ac:dyDescent="0.3">
      <c r="A21" s="39"/>
      <c r="B21" s="39"/>
      <c r="C21" s="39"/>
      <c r="D21" s="39"/>
      <c r="E21" s="39"/>
      <c r="K21" s="38"/>
      <c r="Q21" s="39"/>
      <c r="R21" s="39"/>
      <c r="S21" s="39"/>
      <c r="T21" s="39"/>
    </row>
    <row r="22" spans="1:20" ht="45" customHeight="1" x14ac:dyDescent="0.3">
      <c r="A22" s="238" t="str">
        <f t="shared" ref="A22:A27" si="0">A3</f>
        <v>Pré et post-traitement</v>
      </c>
      <c r="B22" s="275" t="str">
        <f>B16</f>
        <v>temps de travail</v>
      </c>
      <c r="C22" s="239"/>
      <c r="D22" s="239" t="str">
        <f>D3</f>
        <v>temps machines</v>
      </c>
      <c r="E22" s="23"/>
      <c r="G22" s="240" t="str">
        <f>Entree_resultats!B23</f>
        <v>Lutte mécanique et chimique contre les mauvaises herbes</v>
      </c>
      <c r="H22" s="277" t="str">
        <f>H3</f>
        <v>Numero de trajets</v>
      </c>
      <c r="I22" s="240" t="s">
        <v>25</v>
      </c>
      <c r="J22" s="240" t="str">
        <f>J3</f>
        <v>surface traité par passage (ha)</v>
      </c>
      <c r="K22" s="38"/>
      <c r="Q22" s="39"/>
      <c r="R22" s="39"/>
      <c r="S22" s="39"/>
      <c r="T22" s="39"/>
    </row>
    <row r="23" spans="1:20" x14ac:dyDescent="0.3">
      <c r="A23" s="23" t="str">
        <f t="shared" si="0"/>
        <v>Mélanger le produit</v>
      </c>
      <c r="B23" s="187">
        <v>15</v>
      </c>
      <c r="C23" s="23" t="s">
        <v>18</v>
      </c>
      <c r="D23" s="23"/>
      <c r="E23" s="23"/>
      <c r="G23" s="23" t="str">
        <f>Input_machines!A3</f>
        <v>Tracteur fruitier</v>
      </c>
      <c r="H23" s="73">
        <f>H25+H26</f>
        <v>0</v>
      </c>
      <c r="I23" s="73">
        <f>Input_exploitation!$B$14</f>
        <v>350</v>
      </c>
      <c r="J23" s="73"/>
      <c r="K23" s="38"/>
      <c r="Q23" s="39"/>
      <c r="R23" s="39"/>
      <c r="S23" s="39"/>
      <c r="T23" s="39"/>
    </row>
    <row r="24" spans="1:20" x14ac:dyDescent="0.3">
      <c r="A24" s="23" t="str">
        <f t="shared" si="0"/>
        <v>Remplir le réservoir d'eau</v>
      </c>
      <c r="B24" s="187">
        <v>10</v>
      </c>
      <c r="C24" s="23" t="s">
        <v>18</v>
      </c>
      <c r="D24" s="23"/>
      <c r="E24" s="23"/>
      <c r="G24" s="23" t="str">
        <f>Input_machines!A16</f>
        <v>Rampe de pulvérisation d’herbicides</v>
      </c>
      <c r="H24" s="73">
        <f>Entree_resultats!D25</f>
        <v>0</v>
      </c>
      <c r="I24" s="73">
        <f>H24*$H$1</f>
        <v>0</v>
      </c>
      <c r="J24" s="73">
        <f>IF(Entree_resultats!$E$25="bitte auswählen",1,Entree_resultats!$E$25)</f>
        <v>3</v>
      </c>
      <c r="K24" s="38"/>
      <c r="Q24" s="39"/>
      <c r="R24" s="39"/>
      <c r="S24" s="39"/>
      <c r="T24" s="39"/>
    </row>
    <row r="25" spans="1:20" x14ac:dyDescent="0.3">
      <c r="A25" s="23" t="str">
        <f t="shared" si="0"/>
        <v>Preparer le pulvérisateur</v>
      </c>
      <c r="B25" s="187">
        <v>5</v>
      </c>
      <c r="C25" s="23" t="s">
        <v>18</v>
      </c>
      <c r="D25" s="23"/>
      <c r="E25" s="23"/>
      <c r="G25" s="23" t="str">
        <f>Input_machines!A17</f>
        <v>Citerne à herbicides, pulvérisateur semi-porté  400 l</v>
      </c>
      <c r="H25" s="162">
        <f>H24</f>
        <v>0</v>
      </c>
      <c r="I25" s="73">
        <f>H25*$H$1</f>
        <v>0</v>
      </c>
      <c r="J25" s="73">
        <f>IF(Entree_resultats!$E$25="bitte auswählen",1,Entree_resultats!$E$25)</f>
        <v>3</v>
      </c>
      <c r="K25" s="38"/>
      <c r="Q25" s="39"/>
      <c r="R25" s="39"/>
      <c r="S25" s="39"/>
      <c r="T25" s="39"/>
    </row>
    <row r="26" spans="1:20" x14ac:dyDescent="0.3">
      <c r="A26" s="23" t="str">
        <f t="shared" si="0"/>
        <v>Accrocher et decrocher la machine</v>
      </c>
      <c r="B26" s="187">
        <v>10</v>
      </c>
      <c r="C26" s="23" t="s">
        <v>18</v>
      </c>
      <c r="D26" s="23">
        <f>B26</f>
        <v>10</v>
      </c>
      <c r="E26" s="23" t="s">
        <v>18</v>
      </c>
      <c r="G26" s="23" t="str">
        <f>Input_machines!A18</f>
        <v>Faucheuse à fils</v>
      </c>
      <c r="H26" s="73">
        <f>Entree_resultats!D29</f>
        <v>0</v>
      </c>
      <c r="I26" s="73">
        <f>H26*$H$1</f>
        <v>0</v>
      </c>
      <c r="J26" s="73">
        <f>IF(Entree_resultats!$E$29="bitte auswählen",1,Entree_resultats!$E$29)</f>
        <v>3</v>
      </c>
      <c r="K26" s="38"/>
      <c r="Q26" s="39"/>
      <c r="R26" s="39"/>
      <c r="S26" s="39"/>
      <c r="T26" s="39"/>
    </row>
    <row r="27" spans="1:20" x14ac:dyDescent="0.3">
      <c r="A27" s="23" t="str">
        <f t="shared" si="0"/>
        <v>Laver le pulvérisateur</v>
      </c>
      <c r="B27" s="187">
        <v>5</v>
      </c>
      <c r="C27" s="23" t="s">
        <v>18</v>
      </c>
      <c r="D27" s="23">
        <v>5</v>
      </c>
      <c r="E27" s="23" t="s">
        <v>18</v>
      </c>
      <c r="G27" s="39"/>
      <c r="H27" s="40"/>
      <c r="I27" s="40"/>
      <c r="J27" s="40"/>
      <c r="K27" s="38"/>
      <c r="Q27" s="39"/>
      <c r="R27" s="39"/>
      <c r="S27" s="39"/>
      <c r="T27" s="39"/>
    </row>
    <row r="28" spans="1:20" x14ac:dyDescent="0.3">
      <c r="A28" s="23" t="str">
        <f>A17</f>
        <v>Remplacer la bobine</v>
      </c>
      <c r="B28" s="187">
        <v>15</v>
      </c>
      <c r="C28" s="22" t="s">
        <v>18</v>
      </c>
      <c r="D28" s="23"/>
      <c r="E28" s="23"/>
      <c r="G28" s="39"/>
      <c r="H28" s="40"/>
      <c r="I28" s="40"/>
      <c r="J28" s="40"/>
      <c r="K28" s="38"/>
      <c r="Q28" s="39"/>
      <c r="R28" s="39"/>
      <c r="S28" s="39"/>
      <c r="T28" s="39"/>
    </row>
    <row r="29" spans="1:20" x14ac:dyDescent="0.3">
      <c r="A29" s="22" t="str">
        <f>A18</f>
        <v>Accrocher et decrocher la machine</v>
      </c>
      <c r="B29" s="187">
        <v>15</v>
      </c>
      <c r="C29" s="22" t="s">
        <v>18</v>
      </c>
      <c r="D29" s="23">
        <v>15</v>
      </c>
      <c r="E29" s="23" t="s">
        <v>18</v>
      </c>
      <c r="G29" s="39"/>
      <c r="H29" s="40"/>
      <c r="I29" s="40"/>
      <c r="J29" s="40"/>
      <c r="K29" s="38"/>
      <c r="Q29" s="39"/>
      <c r="R29" s="39"/>
      <c r="S29" s="39"/>
      <c r="T29" s="39"/>
    </row>
    <row r="30" spans="1:20" x14ac:dyDescent="0.3">
      <c r="A30" s="39"/>
      <c r="B30" s="39"/>
      <c r="C30" s="39"/>
      <c r="D30" s="39"/>
      <c r="E30" s="39"/>
      <c r="G30" s="39"/>
      <c r="H30" s="40"/>
      <c r="I30" s="40"/>
      <c r="J30" s="40"/>
      <c r="K30" s="38"/>
      <c r="Q30" s="39"/>
      <c r="R30" s="39"/>
      <c r="S30" s="39"/>
      <c r="T30" s="39"/>
    </row>
    <row r="31" spans="1:20" x14ac:dyDescent="0.3">
      <c r="A31" s="39"/>
      <c r="B31" s="39"/>
      <c r="C31" s="39"/>
      <c r="D31" s="39"/>
      <c r="E31" s="39"/>
      <c r="G31" s="39"/>
      <c r="H31" s="40"/>
      <c r="I31" s="40"/>
      <c r="J31" s="40"/>
      <c r="Q31" s="39"/>
    </row>
    <row r="32" spans="1:20" x14ac:dyDescent="0.3">
      <c r="A32" s="39"/>
      <c r="B32" s="39"/>
      <c r="C32" s="39"/>
      <c r="D32" s="39"/>
      <c r="E32" s="39"/>
      <c r="G32" s="39"/>
      <c r="H32" s="40"/>
      <c r="I32" s="40"/>
      <c r="J32" s="40"/>
      <c r="Q32" s="39"/>
    </row>
    <row r="33" spans="1:17" x14ac:dyDescent="0.3">
      <c r="A33" s="39"/>
      <c r="B33" s="39"/>
      <c r="C33" s="39"/>
      <c r="D33" s="39"/>
      <c r="E33" s="39"/>
      <c r="G33" s="39"/>
      <c r="H33" s="40"/>
      <c r="I33" s="40"/>
      <c r="J33" s="40"/>
      <c r="Q33" s="39"/>
    </row>
    <row r="34" spans="1:17" x14ac:dyDescent="0.3">
      <c r="A34" s="39"/>
      <c r="B34" s="39"/>
      <c r="C34" s="39"/>
      <c r="D34" s="39"/>
      <c r="E34" s="39"/>
      <c r="G34" s="39"/>
      <c r="H34" s="40"/>
      <c r="I34" s="40"/>
      <c r="J34" s="40"/>
      <c r="Q34" s="39"/>
    </row>
    <row r="35" spans="1:17" x14ac:dyDescent="0.3">
      <c r="A35" s="39"/>
      <c r="B35" s="39"/>
      <c r="C35" s="39"/>
      <c r="D35" s="39"/>
      <c r="E35" s="39"/>
      <c r="J35" s="40"/>
      <c r="Q35" s="39"/>
    </row>
    <row r="36" spans="1:17" x14ac:dyDescent="0.3">
      <c r="A36" s="39"/>
      <c r="B36" s="39"/>
      <c r="C36" s="39"/>
      <c r="D36" s="39"/>
      <c r="E36" s="39"/>
      <c r="J36" s="40"/>
      <c r="Q36" s="39"/>
    </row>
  </sheetData>
  <sheetProtection selectLockedCells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56"/>
  <sheetViews>
    <sheetView showGridLines="0" workbookViewId="0">
      <selection activeCell="C11" sqref="C11"/>
    </sheetView>
  </sheetViews>
  <sheetFormatPr baseColWidth="10" defaultColWidth="11" defaultRowHeight="14" x14ac:dyDescent="0.3"/>
  <cols>
    <col min="1" max="1" width="27.25" style="176" customWidth="1"/>
    <col min="2" max="2" width="6.25" style="176" bestFit="1" customWidth="1"/>
    <col min="3" max="3" width="11.58203125" style="176" customWidth="1"/>
    <col min="4" max="4" width="10.25" style="176" customWidth="1"/>
    <col min="5" max="5" width="11.58203125" style="176" customWidth="1"/>
    <col min="6" max="6" width="6.75" style="176" bestFit="1" customWidth="1"/>
    <col min="7" max="7" width="11.58203125" style="176" customWidth="1"/>
    <col min="8" max="8" width="11.75" style="176" customWidth="1"/>
    <col min="9" max="16384" width="11" style="176"/>
  </cols>
  <sheetData>
    <row r="1" spans="1:19" ht="51.65" customHeight="1" x14ac:dyDescent="0.3">
      <c r="A1" s="329" t="s">
        <v>151</v>
      </c>
      <c r="B1" s="330"/>
      <c r="C1" s="322" t="str">
        <f>'Input_pre- et post-traitements'!G4</f>
        <v>Tracteur fruitier</v>
      </c>
      <c r="D1" s="323"/>
      <c r="E1" s="324" t="str">
        <f>'Input_pre- et post-traitements'!G5</f>
        <v>Rampe de pulvérisation d’herbicides</v>
      </c>
      <c r="F1" s="325"/>
      <c r="G1" s="322" t="str">
        <f>'Input_pre- et post-traitements'!G6</f>
        <v>Citerne à herbicides, pulvérisateur semi-porté  400 l</v>
      </c>
      <c r="H1" s="323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</row>
    <row r="2" spans="1:19" ht="14.5" thickBot="1" x14ac:dyDescent="0.35">
      <c r="A2" s="41" t="s">
        <v>152</v>
      </c>
      <c r="B2" s="4" t="s">
        <v>0</v>
      </c>
      <c r="C2" s="5"/>
      <c r="D2" s="3"/>
      <c r="E2" s="5"/>
      <c r="F2" s="3"/>
      <c r="G2" s="5"/>
      <c r="H2" s="3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</row>
    <row r="3" spans="1:19" x14ac:dyDescent="0.3">
      <c r="A3" s="5" t="s">
        <v>153</v>
      </c>
      <c r="B3" s="42" t="s">
        <v>16</v>
      </c>
      <c r="C3" s="191">
        <f>Input_exploitation!B16</f>
        <v>1.43</v>
      </c>
      <c r="D3" s="2"/>
      <c r="E3" s="191"/>
      <c r="F3" s="2"/>
      <c r="G3" s="191"/>
      <c r="H3" s="2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</row>
    <row r="4" spans="1:19" x14ac:dyDescent="0.3">
      <c r="A4" s="278" t="str">
        <f>Input_machines!C2</f>
        <v>Prix d'acquisition</v>
      </c>
      <c r="B4" s="42" t="s">
        <v>10</v>
      </c>
      <c r="C4" s="192">
        <f>IF(Input_machines!E3="",Input_machines!C3,Input_machines!E3)</f>
        <v>62000</v>
      </c>
      <c r="D4" s="3"/>
      <c r="E4" s="192">
        <f>IF(Input_machines!E5="",Input_machines!C5,Input_machines!E5)</f>
        <v>7000</v>
      </c>
      <c r="F4" s="3"/>
      <c r="G4" s="192">
        <f>IF(Input_machines!E6="",Input_machines!C6,Input_machines!E6)</f>
        <v>3400</v>
      </c>
      <c r="H4" s="3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</row>
    <row r="5" spans="1:19" x14ac:dyDescent="0.3">
      <c r="A5" s="5" t="s">
        <v>155</v>
      </c>
      <c r="B5" s="42" t="s">
        <v>11</v>
      </c>
      <c r="C5" s="193">
        <f>'Input_pre- et post-traitements'!I4</f>
        <v>350</v>
      </c>
      <c r="D5" s="3" t="s">
        <v>17</v>
      </c>
      <c r="E5" s="193">
        <f>'Input_pre- et post-traitements'!I5</f>
        <v>0</v>
      </c>
      <c r="F5" s="3" t="s">
        <v>1</v>
      </c>
      <c r="G5" s="193">
        <f>'Input_pre- et post-traitements'!I6</f>
        <v>0</v>
      </c>
      <c r="H5" s="3" t="s">
        <v>1</v>
      </c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</row>
    <row r="6" spans="1:19" x14ac:dyDescent="0.3">
      <c r="A6" s="5" t="s">
        <v>156</v>
      </c>
      <c r="B6" s="42" t="s">
        <v>5</v>
      </c>
      <c r="C6" s="193">
        <f>Input_machines!G3</f>
        <v>15</v>
      </c>
      <c r="D6" s="6"/>
      <c r="E6" s="193">
        <f>Input_machines!G5</f>
        <v>10</v>
      </c>
      <c r="F6" s="6"/>
      <c r="G6" s="193">
        <f>Input_machines!G6</f>
        <v>10</v>
      </c>
      <c r="H6" s="6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</row>
    <row r="7" spans="1:19" x14ac:dyDescent="0.3">
      <c r="A7" s="5" t="s">
        <v>157</v>
      </c>
      <c r="B7" s="42" t="s">
        <v>11</v>
      </c>
      <c r="C7" s="75">
        <v>10000</v>
      </c>
      <c r="D7" s="3" t="s">
        <v>17</v>
      </c>
      <c r="E7" s="75">
        <v>1500</v>
      </c>
      <c r="F7" s="3" t="s">
        <v>1</v>
      </c>
      <c r="G7" s="75">
        <v>1500</v>
      </c>
      <c r="H7" s="3" t="s">
        <v>1</v>
      </c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</row>
    <row r="8" spans="1:19" x14ac:dyDescent="0.3">
      <c r="A8" s="5" t="s">
        <v>158</v>
      </c>
      <c r="B8" s="42" t="s">
        <v>4</v>
      </c>
      <c r="C8" s="193">
        <f>C5*C6/C7</f>
        <v>0.52500000000000002</v>
      </c>
      <c r="D8" s="3"/>
      <c r="E8" s="193">
        <f>E5*E6/E7</f>
        <v>0</v>
      </c>
      <c r="F8" s="3"/>
      <c r="G8" s="193">
        <f>G5*G6/G7</f>
        <v>0</v>
      </c>
      <c r="H8" s="3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</row>
    <row r="9" spans="1:19" x14ac:dyDescent="0.3">
      <c r="A9" s="5" t="s">
        <v>159</v>
      </c>
      <c r="B9" s="42" t="s">
        <v>12</v>
      </c>
      <c r="C9" s="188">
        <v>0.25</v>
      </c>
      <c r="D9" s="3"/>
      <c r="E9" s="188">
        <v>0.25</v>
      </c>
      <c r="F9" s="3"/>
      <c r="G9" s="188">
        <v>0.25</v>
      </c>
      <c r="H9" s="3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</row>
    <row r="10" spans="1:19" x14ac:dyDescent="0.3">
      <c r="A10" s="5" t="s">
        <v>160</v>
      </c>
      <c r="B10" s="42" t="s">
        <v>58</v>
      </c>
      <c r="C10" s="209"/>
      <c r="D10" s="210">
        <v>5.4</v>
      </c>
      <c r="E10" s="211"/>
      <c r="F10" s="7"/>
      <c r="G10" s="212"/>
      <c r="H10" s="7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</row>
    <row r="11" spans="1:19" x14ac:dyDescent="0.3">
      <c r="A11" s="5" t="s">
        <v>161</v>
      </c>
      <c r="B11" s="42" t="s">
        <v>12</v>
      </c>
      <c r="C11" s="75">
        <v>1</v>
      </c>
      <c r="D11" s="8"/>
      <c r="E11" s="75">
        <v>1.45</v>
      </c>
      <c r="F11" s="8"/>
      <c r="G11" s="75">
        <v>2</v>
      </c>
      <c r="H11" s="8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</row>
    <row r="12" spans="1:19" x14ac:dyDescent="0.3">
      <c r="A12" s="5" t="s">
        <v>162</v>
      </c>
      <c r="B12" s="42" t="s">
        <v>13</v>
      </c>
      <c r="C12" s="75">
        <v>29</v>
      </c>
      <c r="D12" s="3"/>
      <c r="E12" s="75">
        <v>9</v>
      </c>
      <c r="F12" s="3"/>
      <c r="G12" s="75">
        <v>11</v>
      </c>
      <c r="H12" s="3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</row>
    <row r="13" spans="1:19" x14ac:dyDescent="0.3">
      <c r="A13" s="5" t="s">
        <v>163</v>
      </c>
      <c r="B13" s="42" t="s">
        <v>4</v>
      </c>
      <c r="C13" s="76">
        <v>0.1</v>
      </c>
      <c r="D13" s="3"/>
      <c r="E13" s="76">
        <v>0.1</v>
      </c>
      <c r="F13" s="3"/>
      <c r="G13" s="76">
        <v>0.1</v>
      </c>
      <c r="H13" s="3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</row>
    <row r="14" spans="1:19" x14ac:dyDescent="0.3">
      <c r="A14" s="5" t="s">
        <v>164</v>
      </c>
      <c r="B14" s="42"/>
      <c r="C14" s="76">
        <v>0</v>
      </c>
      <c r="D14" s="3"/>
      <c r="E14" s="76">
        <v>0</v>
      </c>
      <c r="F14" s="3"/>
      <c r="G14" s="76">
        <v>0</v>
      </c>
      <c r="H14" s="3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</row>
    <row r="15" spans="1:19" x14ac:dyDescent="0.3">
      <c r="A15" s="5"/>
      <c r="B15" s="42"/>
      <c r="C15" s="5"/>
      <c r="D15" s="9"/>
      <c r="E15" s="5"/>
      <c r="F15" s="9"/>
      <c r="G15" s="5"/>
      <c r="H15" s="9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</row>
    <row r="16" spans="1:19" x14ac:dyDescent="0.3">
      <c r="A16" s="43" t="s">
        <v>165</v>
      </c>
      <c r="B16" s="10"/>
      <c r="C16" s="11" t="s">
        <v>14</v>
      </c>
      <c r="D16" s="12" t="s">
        <v>15</v>
      </c>
      <c r="E16" s="11" t="s">
        <v>14</v>
      </c>
      <c r="F16" s="12" t="s">
        <v>15</v>
      </c>
      <c r="G16" s="11" t="s">
        <v>14</v>
      </c>
      <c r="H16" s="12" t="s">
        <v>15</v>
      </c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</row>
    <row r="17" spans="1:19" x14ac:dyDescent="0.3">
      <c r="A17" s="5" t="s">
        <v>166</v>
      </c>
      <c r="B17" s="42"/>
      <c r="C17" s="193">
        <f>(C4-(C4*C9))/C6</f>
        <v>3100</v>
      </c>
      <c r="D17" s="3"/>
      <c r="E17" s="193">
        <f>(E4-(E4*E9))/E6</f>
        <v>525</v>
      </c>
      <c r="F17" s="3"/>
      <c r="G17" s="193">
        <f>(G4-(G4*G9))/G6</f>
        <v>255</v>
      </c>
      <c r="H17" s="3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</row>
    <row r="18" spans="1:19" x14ac:dyDescent="0.3">
      <c r="A18" s="5" t="s">
        <v>167</v>
      </c>
      <c r="B18" s="42"/>
      <c r="C18" s="193">
        <f>(C4-(C9*C4))*Input_exploitation!$B$13/100*0.6+(C9*C4*Input_exploitation!$B$13/100)</f>
        <v>651</v>
      </c>
      <c r="D18" s="3"/>
      <c r="E18" s="193">
        <f>(E4-(E9*E4))*Input_exploitation!$B$13/100*0.6+(E9*E4*Input_exploitation!$B$13/100)</f>
        <v>73.5</v>
      </c>
      <c r="F18" s="3"/>
      <c r="G18" s="193">
        <f>(G4-(G9*G4))*Input_exploitation!$B$13/100*0.6+(G9*G4*Input_exploitation!$B$13/100)</f>
        <v>35.700000000000003</v>
      </c>
      <c r="H18" s="3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</row>
    <row r="19" spans="1:19" x14ac:dyDescent="0.3">
      <c r="A19" s="5" t="s">
        <v>168</v>
      </c>
      <c r="B19" s="42"/>
      <c r="C19" s="193">
        <f>C12*Input_exploitation!$B$15</f>
        <v>174</v>
      </c>
      <c r="D19" s="3"/>
      <c r="E19" s="193">
        <f>E12*Input_exploitation!$B$15</f>
        <v>54</v>
      </c>
      <c r="F19" s="3"/>
      <c r="G19" s="193">
        <f>G12*Input_exploitation!$B$15</f>
        <v>66</v>
      </c>
      <c r="H19" s="3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</row>
    <row r="20" spans="1:19" x14ac:dyDescent="0.3">
      <c r="A20" s="44" t="s">
        <v>169</v>
      </c>
      <c r="B20" s="13"/>
      <c r="C20" s="193">
        <f>Input_machines!K3</f>
        <v>574</v>
      </c>
      <c r="D20" s="3"/>
      <c r="E20" s="193">
        <f>Input_machines!K5</f>
        <v>8</v>
      </c>
      <c r="F20" s="3"/>
      <c r="G20" s="193">
        <f>'Input_pre- et post-traitements'!S7</f>
        <v>0</v>
      </c>
      <c r="H20" s="3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</row>
    <row r="21" spans="1:19" ht="14.5" thickBot="1" x14ac:dyDescent="0.35">
      <c r="A21" s="45" t="s">
        <v>170</v>
      </c>
      <c r="B21" s="42"/>
      <c r="C21" s="79">
        <f>SUM(C17:C20)</f>
        <v>4499</v>
      </c>
      <c r="D21" s="80">
        <f>C21/C5</f>
        <v>12.854285714285714</v>
      </c>
      <c r="E21" s="79">
        <f>SUM(E17:E20)</f>
        <v>660.5</v>
      </c>
      <c r="F21" s="80" t="e">
        <f>E21/E5</f>
        <v>#DIV/0!</v>
      </c>
      <c r="G21" s="79">
        <f>SUM(G17:G20)</f>
        <v>356.7</v>
      </c>
      <c r="H21" s="80" t="e">
        <f>G21/G5</f>
        <v>#DIV/0!</v>
      </c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</row>
    <row r="22" spans="1:19" ht="14.5" thickTop="1" x14ac:dyDescent="0.3">
      <c r="A22" s="5"/>
      <c r="B22" s="42"/>
      <c r="C22" s="14"/>
      <c r="D22" s="15"/>
      <c r="E22" s="14"/>
      <c r="F22" s="15"/>
      <c r="G22" s="14"/>
      <c r="H22" s="1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</row>
    <row r="23" spans="1:19" x14ac:dyDescent="0.3">
      <c r="A23" s="46" t="s">
        <v>171</v>
      </c>
      <c r="B23" s="42"/>
      <c r="C23" s="5"/>
      <c r="D23" s="194">
        <f>C4/C7*C11</f>
        <v>6.2</v>
      </c>
      <c r="E23" s="5"/>
      <c r="F23" s="194">
        <f>E4/E7*E11</f>
        <v>6.7666666666666666</v>
      </c>
      <c r="G23" s="5"/>
      <c r="H23" s="195">
        <f>G4/G7*G11</f>
        <v>4.5333333333333332</v>
      </c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</row>
    <row r="24" spans="1:19" x14ac:dyDescent="0.3">
      <c r="A24" s="46" t="s">
        <v>172</v>
      </c>
      <c r="B24" s="42"/>
      <c r="C24" s="5"/>
      <c r="D24" s="196">
        <f>C3*D10</f>
        <v>7.7220000000000004</v>
      </c>
      <c r="E24" s="5"/>
      <c r="F24" s="196"/>
      <c r="G24" s="5"/>
      <c r="H24" s="197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</row>
    <row r="25" spans="1:19" x14ac:dyDescent="0.3">
      <c r="A25" s="46" t="s">
        <v>173</v>
      </c>
      <c r="B25" s="42"/>
      <c r="C25" s="5"/>
      <c r="D25" s="92">
        <v>0</v>
      </c>
      <c r="E25" s="5"/>
      <c r="F25" s="92">
        <v>0</v>
      </c>
      <c r="G25" s="5"/>
      <c r="H25" s="94">
        <v>0</v>
      </c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</row>
    <row r="26" spans="1:19" ht="21" customHeight="1" thickBot="1" x14ac:dyDescent="0.35">
      <c r="A26" s="62" t="s">
        <v>174</v>
      </c>
      <c r="B26" s="42"/>
      <c r="C26" s="5"/>
      <c r="D26" s="83">
        <f>SUM(D23:D25)</f>
        <v>13.922000000000001</v>
      </c>
      <c r="E26" s="5"/>
      <c r="F26" s="83">
        <f>SUM(F23:F25)</f>
        <v>6.7666666666666666</v>
      </c>
      <c r="G26" s="5"/>
      <c r="H26" s="89">
        <f>SUM(H23:H25)</f>
        <v>4.5333333333333332</v>
      </c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</row>
    <row r="27" spans="1:19" ht="14.5" thickTop="1" x14ac:dyDescent="0.3">
      <c r="A27" s="5"/>
      <c r="B27" s="42"/>
      <c r="C27" s="5"/>
      <c r="D27" s="18"/>
      <c r="E27" s="5"/>
      <c r="F27" s="18"/>
      <c r="G27" s="5"/>
      <c r="H27" s="47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</row>
    <row r="28" spans="1:19" x14ac:dyDescent="0.3">
      <c r="A28" s="5" t="s">
        <v>175</v>
      </c>
      <c r="B28" s="42"/>
      <c r="C28" s="16" t="s">
        <v>8</v>
      </c>
      <c r="D28" s="83">
        <f>D21+D26</f>
        <v>26.776285714285713</v>
      </c>
      <c r="E28" s="16" t="s">
        <v>8</v>
      </c>
      <c r="F28" s="83" t="e">
        <f>F21+F26</f>
        <v>#DIV/0!</v>
      </c>
      <c r="G28" s="16" t="s">
        <v>8</v>
      </c>
      <c r="H28" s="89" t="e">
        <f>H21+H26</f>
        <v>#DIV/0!</v>
      </c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</row>
    <row r="29" spans="1:19" ht="14.5" thickBot="1" x14ac:dyDescent="0.35">
      <c r="A29" s="48" t="s">
        <v>176</v>
      </c>
      <c r="B29" s="49"/>
      <c r="C29" s="17" t="s">
        <v>8</v>
      </c>
      <c r="D29" s="85">
        <f>D28*(1+C13+C14)</f>
        <v>29.453914285714287</v>
      </c>
      <c r="E29" s="17" t="s">
        <v>8</v>
      </c>
      <c r="F29" s="85" t="e">
        <f>F28*(1+E13+E14)</f>
        <v>#DIV/0!</v>
      </c>
      <c r="G29" s="17" t="s">
        <v>8</v>
      </c>
      <c r="H29" s="91" t="e">
        <f>H28*(1+G13+G14)</f>
        <v>#DIV/0!</v>
      </c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</row>
    <row r="30" spans="1:19" x14ac:dyDescent="0.3">
      <c r="A30" s="175"/>
      <c r="B30" s="175"/>
      <c r="C30" s="175" t="s">
        <v>8</v>
      </c>
      <c r="D30" s="175" t="s">
        <v>8</v>
      </c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</row>
    <row r="31" spans="1:19" x14ac:dyDescent="0.3">
      <c r="A31" s="175" t="s">
        <v>8</v>
      </c>
      <c r="B31" s="175"/>
      <c r="C31" s="175" t="s">
        <v>8</v>
      </c>
      <c r="D31" s="175" t="s">
        <v>8</v>
      </c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  <row r="32" spans="1:19" x14ac:dyDescent="0.3">
      <c r="A32" s="326" t="s">
        <v>177</v>
      </c>
      <c r="B32" s="327"/>
      <c r="C32" s="328"/>
      <c r="D32" s="198">
        <f>D23*C5</f>
        <v>2170</v>
      </c>
      <c r="E32" s="198"/>
      <c r="F32" s="198">
        <f>F23*E5</f>
        <v>0</v>
      </c>
      <c r="G32" s="198"/>
      <c r="H32" s="198">
        <f>H23*G5</f>
        <v>0</v>
      </c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</row>
    <row r="33" spans="1:19" x14ac:dyDescent="0.3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</row>
    <row r="34" spans="1:19" x14ac:dyDescent="0.3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</row>
    <row r="35" spans="1:19" x14ac:dyDescent="0.3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</row>
    <row r="36" spans="1:19" x14ac:dyDescent="0.3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</row>
    <row r="37" spans="1:19" x14ac:dyDescent="0.3">
      <c r="A37" s="175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</row>
    <row r="38" spans="1:19" x14ac:dyDescent="0.3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</row>
    <row r="39" spans="1:19" x14ac:dyDescent="0.3">
      <c r="A39" s="175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</row>
    <row r="40" spans="1:19" x14ac:dyDescent="0.3">
      <c r="A40" s="175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</row>
    <row r="41" spans="1:19" x14ac:dyDescent="0.3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</row>
    <row r="42" spans="1:19" x14ac:dyDescent="0.3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</row>
    <row r="43" spans="1:19" x14ac:dyDescent="0.3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</row>
    <row r="44" spans="1:19" x14ac:dyDescent="0.3">
      <c r="A44" s="175"/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</row>
    <row r="45" spans="1:19" x14ac:dyDescent="0.3">
      <c r="A45" s="175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</row>
    <row r="46" spans="1:19" x14ac:dyDescent="0.3">
      <c r="A46" s="175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</row>
    <row r="47" spans="1:19" x14ac:dyDescent="0.3">
      <c r="A47" s="175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</row>
    <row r="48" spans="1:19" x14ac:dyDescent="0.3">
      <c r="A48" s="175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</row>
    <row r="49" spans="1:19" x14ac:dyDescent="0.3">
      <c r="A49" s="175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</row>
    <row r="50" spans="1:19" x14ac:dyDescent="0.3">
      <c r="A50" s="175"/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</row>
    <row r="51" spans="1:19" x14ac:dyDescent="0.3">
      <c r="A51" s="175"/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</row>
    <row r="52" spans="1:19" x14ac:dyDescent="0.3"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</row>
    <row r="53" spans="1:19" x14ac:dyDescent="0.3"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</row>
    <row r="54" spans="1:19" x14ac:dyDescent="0.3"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</row>
    <row r="55" spans="1:19" x14ac:dyDescent="0.3"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</row>
    <row r="56" spans="1:19" x14ac:dyDescent="0.3"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</row>
  </sheetData>
  <sheetProtection selectLockedCells="1"/>
  <mergeCells count="5">
    <mergeCell ref="C1:D1"/>
    <mergeCell ref="E1:F1"/>
    <mergeCell ref="G1:H1"/>
    <mergeCell ref="A32:C32"/>
    <mergeCell ref="A1:B1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Y66"/>
  <sheetViews>
    <sheetView showGridLines="0" workbookViewId="0">
      <selection activeCell="E1" sqref="E1:F1"/>
    </sheetView>
  </sheetViews>
  <sheetFormatPr baseColWidth="10" defaultColWidth="11" defaultRowHeight="14" x14ac:dyDescent="0.3"/>
  <cols>
    <col min="1" max="1" width="30.5" style="176" customWidth="1"/>
    <col min="2" max="2" width="6.25" style="176" bestFit="1" customWidth="1"/>
    <col min="3" max="3" width="11.5" style="176" customWidth="1"/>
    <col min="4" max="4" width="10.08203125" style="176" customWidth="1"/>
    <col min="5" max="5" width="11.5" style="176" customWidth="1"/>
    <col min="6" max="6" width="7.9140625" style="176" customWidth="1"/>
    <col min="7" max="7" width="11.5" style="176" customWidth="1"/>
    <col min="8" max="8" width="7.5" style="176" customWidth="1"/>
    <col min="9" max="9" width="11.5" style="176" customWidth="1"/>
    <col min="10" max="10" width="11.25" style="176" customWidth="1"/>
    <col min="11" max="25" width="10.58203125" style="175"/>
    <col min="26" max="16384" width="11" style="176"/>
  </cols>
  <sheetData>
    <row r="1" spans="1:25" s="199" customFormat="1" ht="34.25" customHeight="1" x14ac:dyDescent="0.3">
      <c r="A1" s="329" t="str">
        <f>Input_masch_couts_herbicides!A1</f>
        <v>calcul coûts de machines</v>
      </c>
      <c r="B1" s="330"/>
      <c r="C1" s="331" t="str">
        <f>'Input_pre- et post-traitements'!G4</f>
        <v>Tracteur fruitier</v>
      </c>
      <c r="D1" s="332"/>
      <c r="E1" s="331" t="str">
        <f>Input_machines!A8</f>
        <v>Sarcleuse pour rangée d'arbres</v>
      </c>
      <c r="F1" s="332"/>
      <c r="G1" s="333" t="str">
        <f>Input_machines!A9</f>
        <v>Faucheuse à fils</v>
      </c>
      <c r="H1" s="334"/>
      <c r="I1" s="331" t="str">
        <f>Input_machines!A10</f>
        <v xml:space="preserve">Disque émotteur avec étoile bineuse </v>
      </c>
      <c r="J1" s="332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</row>
    <row r="2" spans="1:25" ht="14.5" thickBot="1" x14ac:dyDescent="0.35">
      <c r="A2" s="41" t="str">
        <f>Input_masch_couts_herbicides!A2</f>
        <v>Position d'entrée</v>
      </c>
      <c r="B2" s="4" t="s">
        <v>0</v>
      </c>
      <c r="C2" s="5"/>
      <c r="D2" s="3"/>
      <c r="E2" s="5"/>
      <c r="F2" s="42"/>
      <c r="G2" s="5"/>
      <c r="H2" s="3"/>
      <c r="I2" s="54"/>
      <c r="J2" s="9"/>
    </row>
    <row r="3" spans="1:25" x14ac:dyDescent="0.3">
      <c r="A3" s="5" t="str">
        <f>Input_masch_couts_herbicides!A3</f>
        <v>prix du carburant</v>
      </c>
      <c r="B3" s="42" t="s">
        <v>16</v>
      </c>
      <c r="C3" s="191">
        <f>Input_exploitation!B16</f>
        <v>1.43</v>
      </c>
      <c r="D3" s="2"/>
      <c r="E3" s="191"/>
      <c r="F3" s="50"/>
      <c r="G3" s="191"/>
      <c r="H3" s="2"/>
      <c r="I3" s="200"/>
      <c r="J3" s="3"/>
    </row>
    <row r="4" spans="1:25" x14ac:dyDescent="0.3">
      <c r="A4" s="5" t="str">
        <f>Input_masch_couts_herbicides!A4</f>
        <v>Prix d'acquisition</v>
      </c>
      <c r="B4" s="42" t="s">
        <v>10</v>
      </c>
      <c r="C4" s="192">
        <f>IF(Input_machines!E3=0,Input_machines!C3,Input_machines!E3)</f>
        <v>62000</v>
      </c>
      <c r="D4" s="3"/>
      <c r="E4" s="192">
        <f>IF(Input_machines!E8=0,Input_machines!C8,Input_machines!E8)</f>
        <v>27000</v>
      </c>
      <c r="F4" s="42"/>
      <c r="G4" s="192">
        <f>IF(Input_machines!E9="",Input_machines!C9,Input_machines!E9)</f>
        <v>26000</v>
      </c>
      <c r="H4" s="3"/>
      <c r="I4" s="201">
        <f>Input_machines!C10</f>
        <v>15000</v>
      </c>
      <c r="J4" s="3"/>
    </row>
    <row r="5" spans="1:25" x14ac:dyDescent="0.3">
      <c r="A5" s="5" t="str">
        <f>Input_masch_couts_herbicides!A5</f>
        <v>Utilisation par an</v>
      </c>
      <c r="B5" s="42" t="s">
        <v>11</v>
      </c>
      <c r="C5" s="193">
        <f>'Input_pre- et post-traitements'!I11</f>
        <v>350</v>
      </c>
      <c r="D5" s="3" t="s">
        <v>17</v>
      </c>
      <c r="E5" s="193">
        <f>'Input_pre- et post-traitements'!I12</f>
        <v>0</v>
      </c>
      <c r="F5" s="42" t="s">
        <v>1</v>
      </c>
      <c r="G5" s="193">
        <f>'Input_pre- et post-traitements'!I13</f>
        <v>0</v>
      </c>
      <c r="H5" s="3" t="s">
        <v>1</v>
      </c>
      <c r="I5" s="202">
        <f>'Input_pre- et post-traitements'!I14</f>
        <v>0</v>
      </c>
      <c r="J5" s="3" t="s">
        <v>1</v>
      </c>
    </row>
    <row r="6" spans="1:25" x14ac:dyDescent="0.3">
      <c r="A6" s="5" t="str">
        <f>Input_masch_couts_herbicides!A6</f>
        <v>Durée d'amortisation</v>
      </c>
      <c r="B6" s="42" t="s">
        <v>5</v>
      </c>
      <c r="C6" s="193">
        <f>Input_machines!G3</f>
        <v>15</v>
      </c>
      <c r="D6" s="6"/>
      <c r="E6" s="193">
        <f>Input_machines!G8</f>
        <v>10</v>
      </c>
      <c r="F6" s="51"/>
      <c r="G6" s="193">
        <f>Input_machines!G9</f>
        <v>10</v>
      </c>
      <c r="H6" s="6"/>
      <c r="I6" s="202">
        <f>Input_machines!G10</f>
        <v>10</v>
      </c>
      <c r="J6" s="6"/>
    </row>
    <row r="7" spans="1:25" x14ac:dyDescent="0.3">
      <c r="A7" s="5" t="str">
        <f>Input_masch_couts_herbicides!A7</f>
        <v>durée d'utilisation technique</v>
      </c>
      <c r="B7" s="42" t="s">
        <v>11</v>
      </c>
      <c r="C7" s="75">
        <v>10000</v>
      </c>
      <c r="D7" s="3" t="s">
        <v>17</v>
      </c>
      <c r="E7" s="75">
        <v>1000</v>
      </c>
      <c r="F7" s="42" t="s">
        <v>1</v>
      </c>
      <c r="G7" s="75">
        <v>1000</v>
      </c>
      <c r="H7" s="3" t="s">
        <v>1</v>
      </c>
      <c r="I7" s="75">
        <v>1000</v>
      </c>
      <c r="J7" s="3" t="s">
        <v>1</v>
      </c>
    </row>
    <row r="8" spans="1:25" x14ac:dyDescent="0.3">
      <c r="A8" s="5" t="str">
        <f>Input_masch_couts_herbicides!A8</f>
        <v>Taux d'utilisation</v>
      </c>
      <c r="B8" s="42" t="s">
        <v>4</v>
      </c>
      <c r="C8" s="193">
        <f>C5*C6/C7</f>
        <v>0.52500000000000002</v>
      </c>
      <c r="D8" s="3"/>
      <c r="E8" s="193">
        <f>E5*E6/E7</f>
        <v>0</v>
      </c>
      <c r="F8" s="42"/>
      <c r="G8" s="193">
        <f>G5*G6/G7</f>
        <v>0</v>
      </c>
      <c r="H8" s="3"/>
      <c r="I8" s="202">
        <f>I5*I6/I7</f>
        <v>0</v>
      </c>
      <c r="J8" s="3"/>
    </row>
    <row r="9" spans="1:25" x14ac:dyDescent="0.3">
      <c r="A9" s="5" t="str">
        <f>Input_masch_couts_herbicides!A9</f>
        <v>Valeurs reste</v>
      </c>
      <c r="B9" s="42" t="s">
        <v>12</v>
      </c>
      <c r="C9" s="75">
        <v>0.25</v>
      </c>
      <c r="D9" s="3"/>
      <c r="E9" s="75">
        <v>0.25</v>
      </c>
      <c r="F9" s="42"/>
      <c r="G9" s="75">
        <v>0.25</v>
      </c>
      <c r="H9" s="3"/>
      <c r="I9" s="75">
        <v>0.25</v>
      </c>
      <c r="J9" s="3"/>
    </row>
    <row r="10" spans="1:25" x14ac:dyDescent="0.3">
      <c r="A10" s="5" t="str">
        <f>Input_masch_couts_herbicides!A10</f>
        <v>Consommation de carburant</v>
      </c>
      <c r="B10" s="42" t="s">
        <v>58</v>
      </c>
      <c r="C10" s="209"/>
      <c r="D10" s="210">
        <v>5.4</v>
      </c>
      <c r="E10" s="209"/>
      <c r="F10" s="52"/>
      <c r="G10" s="209"/>
      <c r="H10" s="7"/>
      <c r="I10" s="209"/>
      <c r="J10" s="3"/>
    </row>
    <row r="11" spans="1:25" x14ac:dyDescent="0.3">
      <c r="A11" s="5" t="str">
        <f>Input_masch_couts_herbicides!A11</f>
        <v>Facteur de reparation</v>
      </c>
      <c r="B11" s="42" t="s">
        <v>12</v>
      </c>
      <c r="C11" s="75">
        <v>1</v>
      </c>
      <c r="D11" s="8"/>
      <c r="E11" s="75">
        <v>1</v>
      </c>
      <c r="F11" s="53"/>
      <c r="G11" s="75">
        <v>0.8</v>
      </c>
      <c r="H11" s="8"/>
      <c r="I11" s="77">
        <v>2</v>
      </c>
      <c r="J11" s="7"/>
    </row>
    <row r="12" spans="1:25" x14ac:dyDescent="0.3">
      <c r="A12" s="5" t="str">
        <f>Input_masch_couts_herbicides!A12</f>
        <v>Exigences en matière de construction</v>
      </c>
      <c r="B12" s="42" t="s">
        <v>13</v>
      </c>
      <c r="C12" s="75">
        <v>29</v>
      </c>
      <c r="D12" s="3"/>
      <c r="E12" s="75">
        <v>33</v>
      </c>
      <c r="F12" s="42"/>
      <c r="G12" s="75">
        <v>29</v>
      </c>
      <c r="H12" s="3"/>
      <c r="I12" s="77">
        <v>30</v>
      </c>
      <c r="J12" s="8"/>
    </row>
    <row r="13" spans="1:25" x14ac:dyDescent="0.3">
      <c r="A13" s="5" t="str">
        <f>Input_masch_couts_herbicides!A13</f>
        <v>Gestion et prime de risque</v>
      </c>
      <c r="B13" s="42" t="s">
        <v>4</v>
      </c>
      <c r="C13" s="76">
        <v>0.1</v>
      </c>
      <c r="D13" s="3"/>
      <c r="E13" s="76">
        <v>0.1</v>
      </c>
      <c r="F13" s="42"/>
      <c r="G13" s="76">
        <v>0.1</v>
      </c>
      <c r="H13" s="3"/>
      <c r="I13" s="78">
        <v>0.1</v>
      </c>
      <c r="J13" s="3"/>
    </row>
    <row r="14" spans="1:25" x14ac:dyDescent="0.3">
      <c r="A14" s="5" t="str">
        <f>Input_masch_couts_herbicides!A14</f>
        <v>Autres surcharges</v>
      </c>
      <c r="B14" s="42"/>
      <c r="C14" s="76">
        <v>0</v>
      </c>
      <c r="D14" s="3"/>
      <c r="E14" s="76">
        <v>0</v>
      </c>
      <c r="F14" s="42"/>
      <c r="G14" s="76">
        <v>0</v>
      </c>
      <c r="H14" s="3"/>
      <c r="I14" s="78">
        <v>0</v>
      </c>
      <c r="J14" s="3"/>
    </row>
    <row r="15" spans="1:25" x14ac:dyDescent="0.3">
      <c r="A15" s="5"/>
      <c r="B15" s="42"/>
      <c r="C15" s="5"/>
      <c r="D15" s="9"/>
      <c r="E15" s="5"/>
      <c r="F15" s="54"/>
      <c r="G15" s="5"/>
      <c r="H15" s="9"/>
      <c r="I15" s="206"/>
      <c r="J15" s="3"/>
    </row>
    <row r="16" spans="1:25" x14ac:dyDescent="0.3">
      <c r="A16" s="43" t="str">
        <f>Input_masch_couts_herbicides!A16</f>
        <v>Calcul des coûts in Fr.</v>
      </c>
      <c r="B16" s="10"/>
      <c r="C16" s="11" t="s">
        <v>14</v>
      </c>
      <c r="D16" s="12" t="s">
        <v>15</v>
      </c>
      <c r="E16" s="11" t="s">
        <v>14</v>
      </c>
      <c r="F16" s="55" t="s">
        <v>15</v>
      </c>
      <c r="G16" s="11" t="s">
        <v>14</v>
      </c>
      <c r="H16" s="12" t="s">
        <v>15</v>
      </c>
      <c r="I16" s="57" t="s">
        <v>14</v>
      </c>
      <c r="J16" s="12" t="s">
        <v>29</v>
      </c>
    </row>
    <row r="17" spans="1:10" x14ac:dyDescent="0.3">
      <c r="A17" s="5" t="str">
        <f>Input_masch_couts_herbicides!A17</f>
        <v>Amortissement</v>
      </c>
      <c r="B17" s="42"/>
      <c r="C17" s="193">
        <f>(C4-(C4*C9))/C6</f>
        <v>3100</v>
      </c>
      <c r="D17" s="3"/>
      <c r="E17" s="193">
        <f>(E4-(E4*E9))/E6</f>
        <v>2025</v>
      </c>
      <c r="F17" s="42"/>
      <c r="G17" s="193">
        <f>(G4-(G4*G9))/G6</f>
        <v>1950</v>
      </c>
      <c r="H17" s="3"/>
      <c r="I17" s="202">
        <f>(I4-(I4*I9))/I6</f>
        <v>1125</v>
      </c>
      <c r="J17" s="3"/>
    </row>
    <row r="18" spans="1:10" x14ac:dyDescent="0.3">
      <c r="A18" s="5" t="str">
        <f>Input_masch_couts_herbicides!A18</f>
        <v>Frais d'intérêt</v>
      </c>
      <c r="B18" s="42"/>
      <c r="C18" s="193">
        <f>(C4-(C9*C4))*Input_exploitation!$B$13/100*0.6+(C9*C4*Input_exploitation!$B$13/100)</f>
        <v>651</v>
      </c>
      <c r="D18" s="3"/>
      <c r="E18" s="193">
        <f>(E4-(E9*E4))*Input_exploitation!$B$13/100*0.6+(E9*E4*Input_exploitation!$B$13/100)</f>
        <v>283.5</v>
      </c>
      <c r="F18" s="42"/>
      <c r="G18" s="193">
        <f>(G4-(G9*G4))*Input_exploitation!$B$13/100*0.6+(G9*G4*Input_exploitation!$B$13/100)</f>
        <v>273</v>
      </c>
      <c r="H18" s="3"/>
      <c r="I18" s="202">
        <f>(I4-(I9*I4))*Input_exploitation!$B$13/100*0.6+(I9*I4*Input_exploitation!$B$13/100)</f>
        <v>157.5</v>
      </c>
      <c r="J18" s="3"/>
    </row>
    <row r="19" spans="1:10" x14ac:dyDescent="0.3">
      <c r="A19" s="5" t="str">
        <f>Input_masch_couts_herbicides!A19</f>
        <v>Coûts de construction</v>
      </c>
      <c r="B19" s="42"/>
      <c r="C19" s="193">
        <f>C12*Input_exploitation!$B$15</f>
        <v>174</v>
      </c>
      <c r="D19" s="3"/>
      <c r="E19" s="193">
        <f>E12*Input_exploitation!$B$15</f>
        <v>198</v>
      </c>
      <c r="F19" s="42"/>
      <c r="G19" s="193">
        <f>G12*Input_exploitation!$B$15</f>
        <v>174</v>
      </c>
      <c r="H19" s="3"/>
      <c r="I19" s="202">
        <f>I12*Input_exploitation!$B$15</f>
        <v>180</v>
      </c>
      <c r="J19" s="3"/>
    </row>
    <row r="20" spans="1:10" x14ac:dyDescent="0.3">
      <c r="A20" s="44" t="str">
        <f>Input_masch_couts_herbicides!A20</f>
        <v>Assurances et frais</v>
      </c>
      <c r="B20" s="13"/>
      <c r="C20" s="193">
        <f>Input_machines!K3</f>
        <v>574</v>
      </c>
      <c r="D20" s="3"/>
      <c r="E20" s="193">
        <f>Input_machines!K8</f>
        <v>64</v>
      </c>
      <c r="F20" s="42"/>
      <c r="G20" s="193">
        <f>Input_machines!K9</f>
        <v>30</v>
      </c>
      <c r="H20" s="3"/>
      <c r="I20" s="202">
        <f>Input_machines!K10</f>
        <v>30</v>
      </c>
      <c r="J20" s="3"/>
    </row>
    <row r="21" spans="1:10" ht="14.5" thickBot="1" x14ac:dyDescent="0.35">
      <c r="A21" s="45" t="str">
        <f>Input_masch_couts_herbicides!A21</f>
        <v>Coûts fixes</v>
      </c>
      <c r="B21" s="42"/>
      <c r="C21" s="79">
        <f>SUM(C17:C20)</f>
        <v>4499</v>
      </c>
      <c r="D21" s="80">
        <f>C21/C5</f>
        <v>12.854285714285714</v>
      </c>
      <c r="E21" s="79">
        <f>SUM(E17:E20)</f>
        <v>2570.5</v>
      </c>
      <c r="F21" s="82" t="e">
        <f>E21/E5</f>
        <v>#DIV/0!</v>
      </c>
      <c r="G21" s="79">
        <f>SUM(G17:G20)</f>
        <v>2427</v>
      </c>
      <c r="H21" s="80" t="e">
        <f>G21/G5</f>
        <v>#DIV/0!</v>
      </c>
      <c r="I21" s="81">
        <f>SUM(I17:I20)</f>
        <v>1492.5</v>
      </c>
      <c r="J21" s="80" t="e">
        <f>I21/I5</f>
        <v>#DIV/0!</v>
      </c>
    </row>
    <row r="22" spans="1:10" ht="14.5" thickTop="1" x14ac:dyDescent="0.3">
      <c r="A22" s="5"/>
      <c r="B22" s="42"/>
      <c r="C22" s="14"/>
      <c r="D22" s="15"/>
      <c r="E22" s="14"/>
      <c r="F22" s="56"/>
      <c r="G22" s="14"/>
      <c r="H22" s="15"/>
      <c r="I22" s="58"/>
      <c r="J22" s="15"/>
    </row>
    <row r="23" spans="1:10" x14ac:dyDescent="0.3">
      <c r="A23" s="46" t="str">
        <f>Input_masch_couts_herbicides!A23</f>
        <v>Réparations et entretien</v>
      </c>
      <c r="B23" s="42"/>
      <c r="C23" s="5"/>
      <c r="D23" s="194">
        <f>C4/C7*C11</f>
        <v>6.2</v>
      </c>
      <c r="E23" s="5"/>
      <c r="F23" s="203">
        <f>E4/E7*E11</f>
        <v>27</v>
      </c>
      <c r="G23" s="5"/>
      <c r="H23" s="195">
        <f>G4/G7*G11</f>
        <v>20.8</v>
      </c>
      <c r="I23" s="42"/>
      <c r="J23" s="195">
        <f>I4/I7*I11</f>
        <v>30</v>
      </c>
    </row>
    <row r="24" spans="1:10" x14ac:dyDescent="0.3">
      <c r="A24" s="46" t="str">
        <f>Input_masch_couts_herbicides!A24</f>
        <v>Carburant</v>
      </c>
      <c r="B24" s="42"/>
      <c r="C24" s="5"/>
      <c r="D24" s="196">
        <f>C3*D10</f>
        <v>7.7220000000000004</v>
      </c>
      <c r="E24" s="5"/>
      <c r="F24" s="204"/>
      <c r="G24" s="5"/>
      <c r="H24" s="197"/>
      <c r="I24" s="42"/>
      <c r="J24" s="197"/>
    </row>
    <row r="25" spans="1:10" x14ac:dyDescent="0.3">
      <c r="A25" s="279" t="str">
        <f>Input_masch_couts_herbicides!A25</f>
        <v>Matériaux auxiliaires</v>
      </c>
      <c r="B25" s="42"/>
      <c r="C25" s="5"/>
      <c r="D25" s="92">
        <v>0</v>
      </c>
      <c r="E25" s="5"/>
      <c r="F25" s="92">
        <v>0</v>
      </c>
      <c r="G25" s="5"/>
      <c r="H25" s="89">
        <f>Input_machines!M9</f>
        <v>2.3333333333333335</v>
      </c>
      <c r="I25" s="42"/>
      <c r="J25" s="92">
        <v>0</v>
      </c>
    </row>
    <row r="26" spans="1:10" ht="21" customHeight="1" x14ac:dyDescent="0.3">
      <c r="A26" s="46" t="str">
        <f>Input_masch_couts_herbicides!A26</f>
        <v>Total des coûts variables</v>
      </c>
      <c r="B26" s="42"/>
      <c r="C26" s="5"/>
      <c r="D26" s="83">
        <f>SUM(D23:D25)</f>
        <v>13.922000000000001</v>
      </c>
      <c r="E26" s="5"/>
      <c r="F26" s="86">
        <f>SUM(F23:F25)</f>
        <v>27</v>
      </c>
      <c r="G26" s="5"/>
      <c r="H26" s="89">
        <f>SUM(H23:H25)</f>
        <v>23.133333333333333</v>
      </c>
      <c r="I26" s="42"/>
      <c r="J26" s="89">
        <f>SUM(J23:J25)</f>
        <v>30</v>
      </c>
    </row>
    <row r="27" spans="1:10" x14ac:dyDescent="0.3">
      <c r="A27" s="5"/>
      <c r="B27" s="42"/>
      <c r="C27" s="5"/>
      <c r="D27" s="84"/>
      <c r="E27" s="5"/>
      <c r="F27" s="87"/>
      <c r="G27" s="5"/>
      <c r="H27" s="90"/>
      <c r="I27" s="42"/>
      <c r="J27" s="90"/>
    </row>
    <row r="28" spans="1:10" x14ac:dyDescent="0.3">
      <c r="A28" s="5" t="str">
        <f>Input_masch_couts_herbicides!$A$28</f>
        <v>Compensation nette (sans surcharges)</v>
      </c>
      <c r="B28" s="42"/>
      <c r="C28" s="16" t="s">
        <v>8</v>
      </c>
      <c r="D28" s="83">
        <f>D21+D26</f>
        <v>26.776285714285713</v>
      </c>
      <c r="E28" s="16" t="s">
        <v>8</v>
      </c>
      <c r="F28" s="86" t="e">
        <f>F21+F26</f>
        <v>#DIV/0!</v>
      </c>
      <c r="G28" s="16" t="s">
        <v>8</v>
      </c>
      <c r="H28" s="89" t="e">
        <f>H21+H26</f>
        <v>#DIV/0!</v>
      </c>
      <c r="I28" s="59" t="s">
        <v>8</v>
      </c>
      <c r="J28" s="89" t="e">
        <f>J21+J26</f>
        <v>#DIV/0!</v>
      </c>
    </row>
    <row r="29" spans="1:10" ht="14.5" thickBot="1" x14ac:dyDescent="0.35">
      <c r="A29" s="48" t="str">
        <f>Input_masch_couts_herbicides!$A$29</f>
        <v>Compensation avec</v>
      </c>
      <c r="B29" s="49"/>
      <c r="C29" s="17" t="s">
        <v>8</v>
      </c>
      <c r="D29" s="85">
        <f>D28*(1+C13+C14)</f>
        <v>29.453914285714287</v>
      </c>
      <c r="E29" s="17" t="s">
        <v>8</v>
      </c>
      <c r="F29" s="88" t="e">
        <f>F28*(1+E13+E14)</f>
        <v>#DIV/0!</v>
      </c>
      <c r="G29" s="17" t="s">
        <v>8</v>
      </c>
      <c r="H29" s="91" t="e">
        <f>H28*(1+G13+G14)</f>
        <v>#DIV/0!</v>
      </c>
      <c r="I29" s="205"/>
      <c r="J29" s="91" t="e">
        <f>J28*(1+I13+I14)</f>
        <v>#DIV/0!</v>
      </c>
    </row>
    <row r="30" spans="1:10" s="175" customFormat="1" x14ac:dyDescent="0.3">
      <c r="C30" s="175" t="s">
        <v>8</v>
      </c>
      <c r="D30" s="175" t="s">
        <v>8</v>
      </c>
    </row>
    <row r="31" spans="1:10" s="175" customFormat="1" x14ac:dyDescent="0.3">
      <c r="A31" s="175" t="s">
        <v>8</v>
      </c>
      <c r="C31" s="175" t="s">
        <v>8</v>
      </c>
      <c r="D31" s="175" t="s">
        <v>8</v>
      </c>
    </row>
    <row r="32" spans="1:10" x14ac:dyDescent="0.3">
      <c r="A32" s="335" t="str">
        <f>Input_masch_couts_herbicides!A32</f>
        <v>Réparation et entretien par entreprise et par an</v>
      </c>
      <c r="B32" s="335"/>
      <c r="C32" s="335"/>
      <c r="D32" s="198">
        <f>D23*C5</f>
        <v>2170</v>
      </c>
      <c r="E32" s="198"/>
      <c r="F32" s="198">
        <f>F23*E5</f>
        <v>0</v>
      </c>
      <c r="G32" s="198"/>
      <c r="H32" s="198">
        <f>H23*G5</f>
        <v>0</v>
      </c>
      <c r="I32" s="198"/>
      <c r="J32" s="198">
        <f>J23*I5</f>
        <v>0</v>
      </c>
    </row>
    <row r="33" s="175" customFormat="1" x14ac:dyDescent="0.3"/>
    <row r="34" s="175" customFormat="1" x14ac:dyDescent="0.3"/>
    <row r="35" s="175" customFormat="1" x14ac:dyDescent="0.3"/>
    <row r="36" s="175" customFormat="1" x14ac:dyDescent="0.3"/>
    <row r="37" s="175" customFormat="1" x14ac:dyDescent="0.3"/>
    <row r="38" s="175" customFormat="1" x14ac:dyDescent="0.3"/>
    <row r="39" s="175" customFormat="1" x14ac:dyDescent="0.3"/>
    <row r="40" s="175" customFormat="1" x14ac:dyDescent="0.3"/>
    <row r="41" s="175" customFormat="1" x14ac:dyDescent="0.3"/>
    <row r="42" s="175" customFormat="1" x14ac:dyDescent="0.3"/>
    <row r="43" s="175" customFormat="1" x14ac:dyDescent="0.3"/>
    <row r="44" s="175" customFormat="1" x14ac:dyDescent="0.3"/>
    <row r="45" s="175" customFormat="1" x14ac:dyDescent="0.3"/>
    <row r="46" s="175" customFormat="1" x14ac:dyDescent="0.3"/>
    <row r="47" s="175" customFormat="1" x14ac:dyDescent="0.3"/>
    <row r="48" s="175" customFormat="1" x14ac:dyDescent="0.3"/>
    <row r="49" s="175" customFormat="1" x14ac:dyDescent="0.3"/>
    <row r="50" s="175" customFormat="1" x14ac:dyDescent="0.3"/>
    <row r="51" s="175" customFormat="1" x14ac:dyDescent="0.3"/>
    <row r="52" s="175" customFormat="1" x14ac:dyDescent="0.3"/>
    <row r="53" s="175" customFormat="1" x14ac:dyDescent="0.3"/>
    <row r="54" s="175" customFormat="1" x14ac:dyDescent="0.3"/>
    <row r="55" s="175" customFormat="1" x14ac:dyDescent="0.3"/>
    <row r="56" s="175" customFormat="1" x14ac:dyDescent="0.3"/>
    <row r="57" s="175" customFormat="1" x14ac:dyDescent="0.3"/>
    <row r="58" s="175" customFormat="1" x14ac:dyDescent="0.3"/>
    <row r="59" s="175" customFormat="1" x14ac:dyDescent="0.3"/>
    <row r="60" s="175" customFormat="1" x14ac:dyDescent="0.3"/>
    <row r="61" s="175" customFormat="1" x14ac:dyDescent="0.3"/>
    <row r="62" s="175" customFormat="1" x14ac:dyDescent="0.3"/>
    <row r="63" s="175" customFormat="1" x14ac:dyDescent="0.3"/>
    <row r="64" s="175" customFormat="1" x14ac:dyDescent="0.3"/>
    <row r="65" s="175" customFormat="1" x14ac:dyDescent="0.3"/>
    <row r="66" s="175" customFormat="1" x14ac:dyDescent="0.3"/>
  </sheetData>
  <sheetProtection selectLockedCells="1"/>
  <mergeCells count="6">
    <mergeCell ref="C1:D1"/>
    <mergeCell ref="E1:F1"/>
    <mergeCell ref="G1:H1"/>
    <mergeCell ref="I1:J1"/>
    <mergeCell ref="A32:C32"/>
    <mergeCell ref="A1:B1"/>
  </mergeCells>
  <dataValidations count="5">
    <dataValidation allowBlank="1" showInputMessage="1" showErrorMessage="1" prompt="Welche Arbeit führe ich aus? Arbeiten mit sehr hoher Belastung sind z.B. Pflügen, Grubbern &gt; Motorbelastung = 60%; Arbeiten mit eher tiefer Belastung sind z.B. Säen, Walzen, Kreislern, Schwaden, leichtere Transportfahrten &gt; Motorbelastung = 20%. " sqref="I11"/>
    <dataValidation allowBlank="1" showInputMessage="1" showErrorMessage="1" prompt="Wie hoch kann der Eintauschpreis nach Ablauf der Abschreibungszeit geschätzt werden?" sqref="I10"/>
    <dataValidation allowBlank="1" showInputMessage="1" showErrorMessage="1" prompt="Wie häufig wird die Maschine jährlich genutzt? (evtl. Schätzung)_x000a_Eingabe in AE (Stunden, Hektaren, m3, Fuder etc.)" sqref="I6:I7"/>
    <dataValidation allowBlank="1" showInputMessage="1" showErrorMessage="1" prompt="Dieser Wert muss bei Occasionsmaschinen oder abgeschriebenen Maschinen erhöht werden!" sqref="I12"/>
    <dataValidation allowBlank="1" showInputMessage="1" showErrorMessage="1" prompt="Darunter zählen zum Beispiel:_x000a_Wegpauschaulen für längere Anfahrtszeiten; Rüstpauschalen für längere Rüstzeiten auf Hof und Feld." sqref="I15"/>
  </dataValidations>
  <pageMargins left="0.70866141732283472" right="0.70866141732283472" top="0.78740157480314965" bottom="0.78740157480314965" header="0.31496062992125984" footer="0.31496062992125984"/>
  <pageSetup paperSize="9" scale="8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Y44"/>
  <sheetViews>
    <sheetView showGridLines="0" workbookViewId="0">
      <selection activeCell="E1" sqref="E1:F1"/>
    </sheetView>
  </sheetViews>
  <sheetFormatPr baseColWidth="10" defaultColWidth="11" defaultRowHeight="14" x14ac:dyDescent="0.3"/>
  <cols>
    <col min="1" max="1" width="39.25" style="176" bestFit="1" customWidth="1"/>
    <col min="2" max="2" width="6.25" style="176" bestFit="1" customWidth="1"/>
    <col min="3" max="3" width="11" style="176"/>
    <col min="4" max="4" width="11.58203125" style="176" customWidth="1"/>
    <col min="5" max="5" width="11" style="176"/>
    <col min="6" max="6" width="10.4140625" style="176" customWidth="1"/>
    <col min="7" max="7" width="11" style="176"/>
    <col min="8" max="8" width="8.08203125" style="176" customWidth="1"/>
    <col min="9" max="9" width="9.25" style="176" customWidth="1"/>
    <col min="10" max="10" width="17.25" style="176" customWidth="1"/>
    <col min="11" max="25" width="10.58203125" style="175"/>
    <col min="26" max="16384" width="11" style="176"/>
  </cols>
  <sheetData>
    <row r="1" spans="1:25" s="199" customFormat="1" ht="34.5" customHeight="1" thickBot="1" x14ac:dyDescent="0.35">
      <c r="A1" s="329" t="str">
        <f>Input_masch_couts_herbicides!A1</f>
        <v>calcul coûts de machines</v>
      </c>
      <c r="B1" s="330"/>
      <c r="C1" s="331" t="str">
        <f>'Input_pre- et post-traitements'!G4</f>
        <v>Tracteur fruitier</v>
      </c>
      <c r="D1" s="332"/>
      <c r="E1" s="336" t="str">
        <f>Input_machines!A12</f>
        <v>Sarcleuse pour rangée d'arbres</v>
      </c>
      <c r="F1" s="337"/>
      <c r="G1" s="338" t="str">
        <f>Input_machines!A13</f>
        <v>Faucheuse à fils</v>
      </c>
      <c r="H1" s="339"/>
      <c r="I1" s="340" t="str">
        <f>Input_machines!A14</f>
        <v xml:space="preserve">Disque émotteur avec étoile bineuse </v>
      </c>
      <c r="J1" s="339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</row>
    <row r="2" spans="1:25" ht="14.5" thickBot="1" x14ac:dyDescent="0.35">
      <c r="A2" s="60" t="str">
        <f>Input_masch_couts_herbicides!A2</f>
        <v>Position d'entrée</v>
      </c>
      <c r="B2" s="61" t="s">
        <v>0</v>
      </c>
      <c r="C2" s="5"/>
      <c r="D2" s="3"/>
      <c r="E2" s="5"/>
      <c r="F2" s="42"/>
      <c r="G2" s="5"/>
      <c r="H2" s="3"/>
      <c r="I2" s="54"/>
      <c r="J2" s="9"/>
    </row>
    <row r="3" spans="1:25" x14ac:dyDescent="0.3">
      <c r="A3" s="5" t="str">
        <f>Input_masch_couts_herbicides!A3</f>
        <v>prix du carburant</v>
      </c>
      <c r="B3" s="42" t="s">
        <v>16</v>
      </c>
      <c r="C3" s="191">
        <f>Input_exploitation!B16</f>
        <v>1.43</v>
      </c>
      <c r="D3" s="2"/>
      <c r="E3" s="191"/>
      <c r="F3" s="50"/>
      <c r="G3" s="191"/>
      <c r="H3" s="2"/>
      <c r="I3" s="200"/>
      <c r="J3" s="3"/>
    </row>
    <row r="4" spans="1:25" x14ac:dyDescent="0.3">
      <c r="A4" s="5" t="str">
        <f>Input_masch_couts_herbicides!A4</f>
        <v>Prix d'acquisition</v>
      </c>
      <c r="B4" s="42" t="s">
        <v>10</v>
      </c>
      <c r="C4" s="192">
        <f>IF(Input_machines!E3=0,Input_machines!C3,Input_machines!E3)</f>
        <v>62000</v>
      </c>
      <c r="D4" s="3"/>
      <c r="E4" s="192">
        <f>IF(Input_machines!E12="",Input_machines!C12,Input_machines!E12)</f>
        <v>27000</v>
      </c>
      <c r="F4" s="42"/>
      <c r="G4" s="192">
        <f>IF(Input_machines!E13="",Input_machines!C13,Input_machines!E13)</f>
        <v>26000</v>
      </c>
      <c r="H4" s="3"/>
      <c r="I4" s="201">
        <f>Input_machines!C10</f>
        <v>15000</v>
      </c>
      <c r="J4" s="3"/>
    </row>
    <row r="5" spans="1:25" x14ac:dyDescent="0.3">
      <c r="A5" s="5" t="str">
        <f>Input_masch_couts_herbicides!A5</f>
        <v>Utilisation par an</v>
      </c>
      <c r="B5" s="42" t="s">
        <v>11</v>
      </c>
      <c r="C5" s="193">
        <f>'Input_pre- et post-traitements'!I11</f>
        <v>350</v>
      </c>
      <c r="D5" s="3" t="s">
        <v>17</v>
      </c>
      <c r="E5" s="193">
        <f>'Input_pre- et post-traitements'!I18</f>
        <v>0</v>
      </c>
      <c r="F5" s="42" t="s">
        <v>1</v>
      </c>
      <c r="G5" s="193">
        <f>'Input_pre- et post-traitements'!I19</f>
        <v>0</v>
      </c>
      <c r="H5" s="3" t="s">
        <v>1</v>
      </c>
      <c r="I5" s="202">
        <f>'Input_pre- et post-traitements'!I20</f>
        <v>0</v>
      </c>
      <c r="J5" s="3" t="s">
        <v>1</v>
      </c>
    </row>
    <row r="6" spans="1:25" x14ac:dyDescent="0.3">
      <c r="A6" s="5" t="str">
        <f>Input_masch_couts_herbicides!A6</f>
        <v>Durée d'amortisation</v>
      </c>
      <c r="B6" s="42" t="s">
        <v>5</v>
      </c>
      <c r="C6" s="193">
        <f>Input_machines!G3</f>
        <v>15</v>
      </c>
      <c r="D6" s="6"/>
      <c r="E6" s="193">
        <f>Input_machines!G12</f>
        <v>10</v>
      </c>
      <c r="F6" s="51"/>
      <c r="G6" s="193">
        <f>Input_machines!G13</f>
        <v>10</v>
      </c>
      <c r="H6" s="6"/>
      <c r="I6" s="202">
        <f>Input_machines!G14</f>
        <v>10</v>
      </c>
      <c r="J6" s="6"/>
    </row>
    <row r="7" spans="1:25" x14ac:dyDescent="0.3">
      <c r="A7" s="5" t="str">
        <f>Input_masch_couts_herbicides!A7</f>
        <v>durée d'utilisation technique</v>
      </c>
      <c r="B7" s="42" t="s">
        <v>11</v>
      </c>
      <c r="C7" s="75">
        <v>10000</v>
      </c>
      <c r="D7" s="3" t="s">
        <v>17</v>
      </c>
      <c r="E7" s="75">
        <v>1000</v>
      </c>
      <c r="F7" s="42" t="s">
        <v>1</v>
      </c>
      <c r="G7" s="75">
        <v>1000</v>
      </c>
      <c r="H7" s="3" t="s">
        <v>1</v>
      </c>
      <c r="I7" s="77">
        <v>1000</v>
      </c>
      <c r="J7" s="3" t="s">
        <v>1</v>
      </c>
    </row>
    <row r="8" spans="1:25" x14ac:dyDescent="0.3">
      <c r="A8" s="5" t="str">
        <f>Input_masch_couts_herbicides!A8</f>
        <v>Taux d'utilisation</v>
      </c>
      <c r="B8" s="42" t="s">
        <v>4</v>
      </c>
      <c r="C8" s="193">
        <f>C5*C6/C7</f>
        <v>0.52500000000000002</v>
      </c>
      <c r="D8" s="3"/>
      <c r="E8" s="193">
        <f>E5*E6/E7</f>
        <v>0</v>
      </c>
      <c r="F8" s="42"/>
      <c r="G8" s="193">
        <f>G5*G6/G7</f>
        <v>0</v>
      </c>
      <c r="H8" s="3"/>
      <c r="I8" s="202">
        <f>I5*I6/I7</f>
        <v>0</v>
      </c>
      <c r="J8" s="3"/>
    </row>
    <row r="9" spans="1:25" x14ac:dyDescent="0.3">
      <c r="A9" s="5" t="str">
        <f>Input_masch_couts_herbicides!A9</f>
        <v>Valeurs reste</v>
      </c>
      <c r="B9" s="42" t="s">
        <v>12</v>
      </c>
      <c r="C9" s="188">
        <v>0.25</v>
      </c>
      <c r="D9" s="3"/>
      <c r="E9" s="188">
        <v>0.25</v>
      </c>
      <c r="F9" s="42"/>
      <c r="G9" s="188">
        <v>0.25</v>
      </c>
      <c r="H9" s="3"/>
      <c r="I9" s="189">
        <v>0.25</v>
      </c>
      <c r="J9" s="3"/>
    </row>
    <row r="10" spans="1:25" x14ac:dyDescent="0.3">
      <c r="A10" s="5" t="str">
        <f>Input_masch_couts_herbicides!A10</f>
        <v>Consommation de carburant</v>
      </c>
      <c r="B10" s="42" t="s">
        <v>58</v>
      </c>
      <c r="C10" s="209"/>
      <c r="D10" s="210">
        <v>5.4</v>
      </c>
      <c r="E10" s="209"/>
      <c r="F10" s="52"/>
      <c r="G10" s="209"/>
      <c r="H10" s="7"/>
      <c r="I10" s="209"/>
      <c r="J10" s="3"/>
    </row>
    <row r="11" spans="1:25" x14ac:dyDescent="0.3">
      <c r="A11" s="5" t="str">
        <f>Input_masch_couts_herbicides!A11</f>
        <v>Facteur de reparation</v>
      </c>
      <c r="B11" s="42" t="s">
        <v>12</v>
      </c>
      <c r="C11" s="75">
        <v>1</v>
      </c>
      <c r="D11" s="8"/>
      <c r="E11" s="75">
        <v>1</v>
      </c>
      <c r="F11" s="53"/>
      <c r="G11" s="75">
        <v>0.8</v>
      </c>
      <c r="H11" s="8"/>
      <c r="I11" s="77">
        <v>2</v>
      </c>
      <c r="J11" s="7"/>
    </row>
    <row r="12" spans="1:25" x14ac:dyDescent="0.3">
      <c r="A12" s="5" t="str">
        <f>Input_masch_couts_herbicides!A12</f>
        <v>Exigences en matière de construction</v>
      </c>
      <c r="B12" s="42" t="s">
        <v>13</v>
      </c>
      <c r="C12" s="75">
        <v>29</v>
      </c>
      <c r="D12" s="3"/>
      <c r="E12" s="75">
        <v>33</v>
      </c>
      <c r="F12" s="42"/>
      <c r="G12" s="75">
        <v>29</v>
      </c>
      <c r="H12" s="3"/>
      <c r="I12" s="77">
        <v>30</v>
      </c>
      <c r="J12" s="8"/>
    </row>
    <row r="13" spans="1:25" x14ac:dyDescent="0.3">
      <c r="A13" s="5" t="str">
        <f>Input_masch_couts_herbicides!A13</f>
        <v>Gestion et prime de risque</v>
      </c>
      <c r="B13" s="42" t="s">
        <v>4</v>
      </c>
      <c r="C13" s="76">
        <v>0.1</v>
      </c>
      <c r="D13" s="3"/>
      <c r="E13" s="76">
        <v>0.1</v>
      </c>
      <c r="F13" s="42"/>
      <c r="G13" s="76">
        <v>0.1</v>
      </c>
      <c r="H13" s="3"/>
      <c r="I13" s="78">
        <v>0.1</v>
      </c>
      <c r="J13" s="3"/>
    </row>
    <row r="14" spans="1:25" x14ac:dyDescent="0.3">
      <c r="A14" s="5" t="str">
        <f>Input_masch_couts_herbicides!A14</f>
        <v>Autres surcharges</v>
      </c>
      <c r="B14" s="42"/>
      <c r="C14" s="76">
        <v>0</v>
      </c>
      <c r="D14" s="3"/>
      <c r="E14" s="76">
        <v>0</v>
      </c>
      <c r="F14" s="42"/>
      <c r="G14" s="76">
        <v>0</v>
      </c>
      <c r="H14" s="3"/>
      <c r="I14" s="78">
        <v>0</v>
      </c>
      <c r="J14" s="3"/>
    </row>
    <row r="15" spans="1:25" x14ac:dyDescent="0.3">
      <c r="A15" s="5"/>
      <c r="B15" s="42"/>
      <c r="C15" s="5"/>
      <c r="D15" s="9"/>
      <c r="E15" s="5"/>
      <c r="F15" s="54"/>
      <c r="G15" s="5"/>
      <c r="H15" s="9"/>
      <c r="I15" s="42"/>
      <c r="J15" s="3"/>
    </row>
    <row r="16" spans="1:25" x14ac:dyDescent="0.3">
      <c r="A16" s="43" t="str">
        <f>Input_masch_couts_herbicides!A16</f>
        <v>Calcul des coûts in Fr.</v>
      </c>
      <c r="B16" s="10"/>
      <c r="C16" s="11" t="s">
        <v>14</v>
      </c>
      <c r="D16" s="12" t="s">
        <v>15</v>
      </c>
      <c r="E16" s="11" t="s">
        <v>14</v>
      </c>
      <c r="F16" s="55" t="s">
        <v>15</v>
      </c>
      <c r="G16" s="11" t="s">
        <v>14</v>
      </c>
      <c r="H16" s="12" t="s">
        <v>15</v>
      </c>
      <c r="I16" s="57" t="s">
        <v>14</v>
      </c>
      <c r="J16" s="12" t="s">
        <v>29</v>
      </c>
    </row>
    <row r="17" spans="1:10" x14ac:dyDescent="0.3">
      <c r="A17" s="5" t="str">
        <f>Input_masch_couts_herbicides!A17</f>
        <v>Amortissement</v>
      </c>
      <c r="B17" s="42"/>
      <c r="C17" s="193">
        <f>(C4-(C4*C9))/C6</f>
        <v>3100</v>
      </c>
      <c r="D17" s="3"/>
      <c r="E17" s="193">
        <f>(E4-(E4*E9))/E6</f>
        <v>2025</v>
      </c>
      <c r="F17" s="42"/>
      <c r="G17" s="193">
        <f>(G4-(G4*G9))/G6</f>
        <v>1950</v>
      </c>
      <c r="H17" s="3"/>
      <c r="I17" s="202">
        <f>(I4-(I4*I9))/I6</f>
        <v>1125</v>
      </c>
      <c r="J17" s="3"/>
    </row>
    <row r="18" spans="1:10" x14ac:dyDescent="0.3">
      <c r="A18" s="5" t="str">
        <f>Input_masch_couts_herbicides!A18</f>
        <v>Frais d'intérêt</v>
      </c>
      <c r="B18" s="42"/>
      <c r="C18" s="193">
        <f>(C4-(C9*C4))*Input_exploitation!$B$13/100*0.6+(C9*C4*Input_exploitation!$B$13/100)</f>
        <v>651</v>
      </c>
      <c r="D18" s="3"/>
      <c r="E18" s="193">
        <f>(E4-(E9*E4))*Input_exploitation!$B$13/100*0.6+(E9*E4*Input_exploitation!$B$13/100)</f>
        <v>283.5</v>
      </c>
      <c r="F18" s="42"/>
      <c r="G18" s="193">
        <f>(G4-(G9*G4))*Input_exploitation!$B$13/100*0.6+(G9*G4*Input_exploitation!$B$13/100)</f>
        <v>273</v>
      </c>
      <c r="H18" s="3"/>
      <c r="I18" s="202">
        <f>(I4-(I9*I4))*Input_exploitation!$B$13/100*0.6+(I9*I4*Input_exploitation!$B$13/100)</f>
        <v>157.5</v>
      </c>
      <c r="J18" s="3"/>
    </row>
    <row r="19" spans="1:10" x14ac:dyDescent="0.3">
      <c r="A19" s="5" t="str">
        <f>Input_masch_couts_herbicides!A19</f>
        <v>Coûts de construction</v>
      </c>
      <c r="B19" s="42"/>
      <c r="C19" s="193">
        <f>C12*Input_exploitation!$B$15</f>
        <v>174</v>
      </c>
      <c r="D19" s="3"/>
      <c r="E19" s="193">
        <f>E12*Input_exploitation!$B$15</f>
        <v>198</v>
      </c>
      <c r="F19" s="42"/>
      <c r="G19" s="193">
        <f>G12*Input_exploitation!$B$15</f>
        <v>174</v>
      </c>
      <c r="H19" s="3"/>
      <c r="I19" s="202">
        <f>I12*Input_exploitation!$B$15</f>
        <v>180</v>
      </c>
      <c r="J19" s="3"/>
    </row>
    <row r="20" spans="1:10" x14ac:dyDescent="0.3">
      <c r="A20" s="44" t="str">
        <f>Input_masch_couts_herbicides!A20</f>
        <v>Assurances et frais</v>
      </c>
      <c r="B20" s="13"/>
      <c r="C20" s="193">
        <f>Input_machines!K3</f>
        <v>574</v>
      </c>
      <c r="D20" s="3"/>
      <c r="E20" s="193">
        <f>Input_machines!K8</f>
        <v>64</v>
      </c>
      <c r="F20" s="42"/>
      <c r="G20" s="193">
        <f>Input_machines!K9</f>
        <v>30</v>
      </c>
      <c r="H20" s="3"/>
      <c r="I20" s="202">
        <f>Input_machines!K10</f>
        <v>30</v>
      </c>
      <c r="J20" s="3"/>
    </row>
    <row r="21" spans="1:10" ht="14.5" thickBot="1" x14ac:dyDescent="0.35">
      <c r="A21" s="45" t="str">
        <f>Input_masch_couts_herbicides!A21</f>
        <v>Coûts fixes</v>
      </c>
      <c r="B21" s="42"/>
      <c r="C21" s="79">
        <f>SUM(C17:C20)</f>
        <v>4499</v>
      </c>
      <c r="D21" s="80">
        <f>C21/C5</f>
        <v>12.854285714285714</v>
      </c>
      <c r="E21" s="79">
        <f>SUM(E17:E20)</f>
        <v>2570.5</v>
      </c>
      <c r="F21" s="82" t="e">
        <f>E21/E5</f>
        <v>#DIV/0!</v>
      </c>
      <c r="G21" s="79">
        <f>SUM(G17:G20)</f>
        <v>2427</v>
      </c>
      <c r="H21" s="80" t="e">
        <f>G21/G5</f>
        <v>#DIV/0!</v>
      </c>
      <c r="I21" s="81">
        <f>SUM(I17:I20)</f>
        <v>1492.5</v>
      </c>
      <c r="J21" s="80" t="e">
        <f>I21/I5</f>
        <v>#DIV/0!</v>
      </c>
    </row>
    <row r="22" spans="1:10" ht="14.5" thickTop="1" x14ac:dyDescent="0.3">
      <c r="A22" s="5"/>
      <c r="B22" s="42"/>
      <c r="C22" s="14"/>
      <c r="D22" s="15"/>
      <c r="E22" s="14"/>
      <c r="F22" s="56"/>
      <c r="G22" s="14"/>
      <c r="H22" s="15"/>
      <c r="I22" s="58"/>
      <c r="J22" s="15"/>
    </row>
    <row r="23" spans="1:10" x14ac:dyDescent="0.3">
      <c r="A23" s="46" t="str">
        <f>Input_masch_couts_herbicides!A23</f>
        <v>Réparations et entretien</v>
      </c>
      <c r="B23" s="42"/>
      <c r="C23" s="5"/>
      <c r="D23" s="194">
        <f>C4/C7*C11</f>
        <v>6.2</v>
      </c>
      <c r="E23" s="5"/>
      <c r="F23" s="203">
        <f>E4/E7*E11</f>
        <v>27</v>
      </c>
      <c r="G23" s="5"/>
      <c r="H23" s="195">
        <f>G4/G7*G11</f>
        <v>20.8</v>
      </c>
      <c r="I23" s="42"/>
      <c r="J23" s="195">
        <f>I4/I7*I11</f>
        <v>30</v>
      </c>
    </row>
    <row r="24" spans="1:10" x14ac:dyDescent="0.3">
      <c r="A24" s="46" t="str">
        <f>Input_masch_couts_herbicides!A24</f>
        <v>Carburant</v>
      </c>
      <c r="B24" s="42"/>
      <c r="C24" s="5"/>
      <c r="D24" s="196">
        <f>C3*D10</f>
        <v>7.7220000000000004</v>
      </c>
      <c r="E24" s="5"/>
      <c r="F24" s="204"/>
      <c r="G24" s="5"/>
      <c r="H24" s="197"/>
      <c r="I24" s="42"/>
      <c r="J24" s="197"/>
    </row>
    <row r="25" spans="1:10" x14ac:dyDescent="0.3">
      <c r="A25" s="279" t="str">
        <f>Input_masch_couts_herbicides!A25</f>
        <v>Matériaux auxiliaires</v>
      </c>
      <c r="B25" s="42"/>
      <c r="C25" s="5"/>
      <c r="D25" s="92">
        <v>0</v>
      </c>
      <c r="E25" s="5"/>
      <c r="F25" s="93">
        <v>0</v>
      </c>
      <c r="G25" s="5"/>
      <c r="H25" s="89">
        <f>Input_machines!M13</f>
        <v>2.3333333333333335</v>
      </c>
      <c r="I25" s="42"/>
      <c r="J25" s="94">
        <v>0</v>
      </c>
    </row>
    <row r="26" spans="1:10" ht="21" customHeight="1" x14ac:dyDescent="0.3">
      <c r="A26" s="46" t="str">
        <f>Input_masch_couts_herbicides!A26</f>
        <v>Total des coûts variables</v>
      </c>
      <c r="B26" s="42"/>
      <c r="C26" s="5"/>
      <c r="D26" s="83">
        <f>SUM(D23:D25)</f>
        <v>13.922000000000001</v>
      </c>
      <c r="E26" s="5"/>
      <c r="F26" s="86">
        <f>SUM(F23:F25)</f>
        <v>27</v>
      </c>
      <c r="G26" s="5"/>
      <c r="H26" s="89">
        <f>SUM(H23:H25)</f>
        <v>23.133333333333333</v>
      </c>
      <c r="I26" s="42"/>
      <c r="J26" s="89">
        <f>SUM(J23:J25)</f>
        <v>30</v>
      </c>
    </row>
    <row r="27" spans="1:10" x14ac:dyDescent="0.3">
      <c r="A27" s="5"/>
      <c r="B27" s="42"/>
      <c r="C27" s="5"/>
      <c r="D27" s="84"/>
      <c r="E27" s="5"/>
      <c r="F27" s="87"/>
      <c r="G27" s="5"/>
      <c r="H27" s="90"/>
      <c r="I27" s="42"/>
      <c r="J27" s="90"/>
    </row>
    <row r="28" spans="1:10" x14ac:dyDescent="0.3">
      <c r="A28" s="5" t="str">
        <f>Input_masch_couts_herbicides!$A$28</f>
        <v>Compensation nette (sans surcharges)</v>
      </c>
      <c r="B28" s="42"/>
      <c r="C28" s="16" t="s">
        <v>8</v>
      </c>
      <c r="D28" s="83">
        <f>D21+D26</f>
        <v>26.776285714285713</v>
      </c>
      <c r="E28" s="16" t="s">
        <v>8</v>
      </c>
      <c r="F28" s="86" t="e">
        <f>F21+F26</f>
        <v>#DIV/0!</v>
      </c>
      <c r="G28" s="16" t="s">
        <v>8</v>
      </c>
      <c r="H28" s="89" t="e">
        <f>H21+H26</f>
        <v>#DIV/0!</v>
      </c>
      <c r="I28" s="59" t="s">
        <v>8</v>
      </c>
      <c r="J28" s="89" t="e">
        <f>J21+J26</f>
        <v>#DIV/0!</v>
      </c>
    </row>
    <row r="29" spans="1:10" ht="14.5" thickBot="1" x14ac:dyDescent="0.35">
      <c r="A29" s="48" t="str">
        <f>Input_masch_couts_herbicides!$A$29</f>
        <v>Compensation avec</v>
      </c>
      <c r="B29" s="49"/>
      <c r="C29" s="17" t="s">
        <v>8</v>
      </c>
      <c r="D29" s="85">
        <f>D28*(1+C13+C14)</f>
        <v>29.453914285714287</v>
      </c>
      <c r="E29" s="17" t="s">
        <v>8</v>
      </c>
      <c r="F29" s="88" t="e">
        <f>F28*(1+E13+E14)</f>
        <v>#DIV/0!</v>
      </c>
      <c r="G29" s="17" t="s">
        <v>8</v>
      </c>
      <c r="H29" s="91" t="e">
        <f>H28*(1+G13+G14)</f>
        <v>#DIV/0!</v>
      </c>
      <c r="I29" s="205"/>
      <c r="J29" s="91" t="e">
        <f>J28*(1+I13+I14)</f>
        <v>#DIV/0!</v>
      </c>
    </row>
    <row r="30" spans="1:10" s="175" customFormat="1" x14ac:dyDescent="0.3">
      <c r="C30" s="175" t="s">
        <v>8</v>
      </c>
      <c r="D30" s="175" t="s">
        <v>8</v>
      </c>
    </row>
    <row r="31" spans="1:10" s="175" customFormat="1" x14ac:dyDescent="0.3">
      <c r="A31" s="175" t="s">
        <v>8</v>
      </c>
      <c r="C31" s="175" t="s">
        <v>8</v>
      </c>
      <c r="D31" s="175" t="s">
        <v>8</v>
      </c>
    </row>
    <row r="32" spans="1:10" x14ac:dyDescent="0.3">
      <c r="A32" s="335" t="str">
        <f>Input_masch_couts_herbicides!A32</f>
        <v>Réparation et entretien par entreprise et par an</v>
      </c>
      <c r="B32" s="335"/>
      <c r="C32" s="335"/>
      <c r="D32" s="198">
        <f>D23*C5</f>
        <v>2170</v>
      </c>
      <c r="E32" s="198"/>
      <c r="F32" s="198">
        <f>F23*E5</f>
        <v>0</v>
      </c>
      <c r="G32" s="198"/>
      <c r="H32" s="198">
        <f>H23*G5</f>
        <v>0</v>
      </c>
      <c r="I32" s="198"/>
      <c r="J32" s="198">
        <f>J23*I5</f>
        <v>0</v>
      </c>
    </row>
    <row r="33" s="175" customFormat="1" x14ac:dyDescent="0.3"/>
    <row r="34" s="175" customFormat="1" x14ac:dyDescent="0.3"/>
    <row r="35" s="175" customFormat="1" x14ac:dyDescent="0.3"/>
    <row r="36" s="175" customFormat="1" x14ac:dyDescent="0.3"/>
    <row r="37" s="175" customFormat="1" x14ac:dyDescent="0.3"/>
    <row r="38" s="175" customFormat="1" x14ac:dyDescent="0.3"/>
    <row r="39" s="175" customFormat="1" x14ac:dyDescent="0.3"/>
    <row r="40" s="175" customFormat="1" x14ac:dyDescent="0.3"/>
    <row r="41" s="175" customFormat="1" x14ac:dyDescent="0.3"/>
    <row r="42" s="175" customFormat="1" x14ac:dyDescent="0.3"/>
    <row r="43" s="175" customFormat="1" x14ac:dyDescent="0.3"/>
    <row r="44" s="175" customFormat="1" x14ac:dyDescent="0.3"/>
  </sheetData>
  <sheetProtection selectLockedCells="1"/>
  <mergeCells count="6">
    <mergeCell ref="C1:D1"/>
    <mergeCell ref="E1:F1"/>
    <mergeCell ref="G1:H1"/>
    <mergeCell ref="I1:J1"/>
    <mergeCell ref="A32:C32"/>
    <mergeCell ref="A1:B1"/>
  </mergeCells>
  <dataValidations count="5">
    <dataValidation allowBlank="1" showInputMessage="1" showErrorMessage="1" prompt="Darunter zählen zum Beispiel:_x000a_Wegpauschaulen für längere Anfahrtszeiten; Rüstpauschalen für längere Rüstzeiten auf Hof und Feld." sqref="I15"/>
    <dataValidation allowBlank="1" showInputMessage="1" showErrorMessage="1" prompt="Dieser Wert muss bei Occasionsmaschinen oder abgeschriebenen Maschinen erhöht werden!" sqref="I12"/>
    <dataValidation allowBlank="1" showInputMessage="1" showErrorMessage="1" prompt="Wie häufig wird die Maschine jährlich genutzt? (evtl. Schätzung)_x000a_Eingabe in AE (Stunden, Hektaren, m3, Fuder etc.)" sqref="I7"/>
    <dataValidation allowBlank="1" showInputMessage="1" showErrorMessage="1" prompt="Wie hoch kann der Eintauschpreis nach Ablauf der Abschreibungszeit geschätzt werden?" sqref="I10"/>
    <dataValidation allowBlank="1" showInputMessage="1" showErrorMessage="1" prompt="Welche Arbeit führe ich aus? Arbeiten mit sehr hoher Belastung sind z.B. Pflügen, Grubbern &gt; Motorbelastung = 60%; Arbeiten mit eher tiefer Belastung sind z.B. Säen, Walzen, Kreislern, Schwaden, leichtere Transportfahrten &gt; Motorbelastung = 20%. " sqref="I11"/>
  </dataValidations>
  <pageMargins left="0.70866141732283472" right="0.70866141732283472" top="0.78740157480314965" bottom="0.78740157480314965" header="0.31496062992125984" footer="0.31496062992125984"/>
  <pageSetup paperSize="9" scale="8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Introduction</vt:lpstr>
      <vt:lpstr>Entree_resultats</vt:lpstr>
      <vt:lpstr>Input_exploitation</vt:lpstr>
      <vt:lpstr>Input_machines</vt:lpstr>
      <vt:lpstr>Input_herbicides</vt:lpstr>
      <vt:lpstr>Input_pre- et post-traitements</vt:lpstr>
      <vt:lpstr>Input_masch_couts_herbicides</vt:lpstr>
      <vt:lpstr>Input_Masch_couts__meche1</vt:lpstr>
      <vt:lpstr>Input_Masch_couts_mech2</vt:lpstr>
      <vt:lpstr>Input_Masch_cosHer+Fad</vt:lpstr>
      <vt:lpstr>listes</vt:lpstr>
      <vt:lpstr>calculs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Bravin Esther Agroscope</dc:creator>
  <cp:lastModifiedBy>Bravin Esther</cp:lastModifiedBy>
  <cp:lastPrinted>2020-11-16T09:13:56Z</cp:lastPrinted>
  <dcterms:created xsi:type="dcterms:W3CDTF">2019-07-22T15:36:19Z</dcterms:created>
  <dcterms:modified xsi:type="dcterms:W3CDTF">2023-09-20T05:48:41Z</dcterms:modified>
</cp:coreProperties>
</file>