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harts/chart13.xml" ContentType="application/vnd.openxmlformats-officedocument.drawingml.chart+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xl/attachedToolbars.bin" ContentType="application/vnd.ms-excel.attachedToolbars"/>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O:\Data-Work\22_Plant_Production-CH\226.14_Ökonomie\01_Projekte\011_CH_Projekte\Arbokost\Endversionen_Internet\Arbokost_Internet_2023\Versionen_2023_ff\Deutsch\"/>
    </mc:Choice>
  </mc:AlternateContent>
  <xr:revisionPtr revIDLastSave="0" documentId="13_ncr:1_{CBC25A7C-0764-403E-A4F4-C76E0050AE77}" xr6:coauthVersionLast="47" xr6:coauthVersionMax="47" xr10:uidLastSave="{00000000-0000-0000-0000-000000000000}"/>
  <bookViews>
    <workbookView xWindow="-120" yWindow="-120" windowWidth="29040" windowHeight="17640" tabRatio="903" xr2:uid="{00000000-000D-0000-FFFF-FFFF00000000}"/>
  </bookViews>
  <sheets>
    <sheet name="Eingabeseite" sheetId="22715" r:id="rId1"/>
    <sheet name="Notizen" sheetId="22743" state="hidden" r:id="rId2"/>
    <sheet name="Variante Vorgaben" sheetId="22744" r:id="rId3"/>
    <sheet name="Variante Hagel" sheetId="22749" r:id="rId4"/>
    <sheet name="Variante Bewässerung" sheetId="22750" r:id="rId5"/>
    <sheet name="Variante Erstellung" sheetId="22745" r:id="rId6"/>
    <sheet name="Variante Standjahre" sheetId="22746" r:id="rId7"/>
    <sheet name="Variante Ertragsphase" sheetId="22747" r:id="rId8"/>
    <sheet name="Variante Cashflow" sheetId="22748" r:id="rId9"/>
    <sheet name="Standard Vorgaben" sheetId="1" r:id="rId10"/>
    <sheet name="Standard Hagel" sheetId="22752" r:id="rId11"/>
    <sheet name="Standard Bewässerung" sheetId="22751" r:id="rId12"/>
    <sheet name="Standard Erstellung" sheetId="2" r:id="rId13"/>
    <sheet name="Standard Standjahre" sheetId="3" r:id="rId14"/>
    <sheet name="Standard Ertragsphase" sheetId="4" r:id="rId15"/>
    <sheet name="Standard Cashflow" sheetId="22714" r:id="rId16"/>
  </sheets>
  <definedNames>
    <definedName name="Andere">#REF!</definedName>
    <definedName name="Andere_Auswahl">OFFSET(Andere,0,0,COUNTIF(Andere,"&gt; "),1)</definedName>
    <definedName name="Anzahl_Behandlungen">#REF!</definedName>
    <definedName name="Anzahl_Behandlungen2">#REF!</definedName>
    <definedName name="Bakterizid2">#REF!</definedName>
    <definedName name="Bakterizid2_Auswahl">OFFSET(Bakterizid2,0,0,COUNTIF(Bakterizid2,"&gt; "),1)</definedName>
    <definedName name="_xlnm.Print_Area" localSheetId="0">Eingabeseite!$A$1:$J$347</definedName>
    <definedName name="_xlnm.Print_Area" localSheetId="15">'Standard Cashflow'!$A$4:$J$45</definedName>
    <definedName name="_xlnm.Print_Area" localSheetId="14">'Standard Ertragsphase'!$A$1:$G$193</definedName>
    <definedName name="_xlnm.Print_Area" localSheetId="13">'Standard Standjahre'!$A$1:$DA$87</definedName>
    <definedName name="_xlnm.Print_Area" localSheetId="8">'Variante Cashflow'!$A$4:$J$45</definedName>
    <definedName name="_xlnm.Print_Area" localSheetId="7">'Variante Ertragsphase'!$A$1:$G$193</definedName>
    <definedName name="Fungizid">#REF!</definedName>
    <definedName name="Fungizid_Auswahl">OFFSET(Fungizid,0,0,COUNTIF(Fungizid,"&gt; "),1)</definedName>
    <definedName name="Herbizid">#REF!</definedName>
    <definedName name="Herbizid_Auswahl">OFFSET(Herbizid,0,0,COUNTIF(Herbizid,"&gt; "),1)</definedName>
    <definedName name="Insektizid">#REF!</definedName>
    <definedName name="Insektizid_Auswahl">OFFSET(Insektizid,0,0,COUNTIF(Insektizid,"&gt; "),1)</definedName>
    <definedName name="Regulatoren">#REF!</definedName>
    <definedName name="Regulatoren_Auswahl">OFFSET(Regulatoren,0,0,COUNTIF(Regulatoren,"&gt;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9" i="22747" l="1"/>
  <c r="F111" i="4"/>
  <c r="K59" i="4" l="1"/>
  <c r="K59" i="22747"/>
  <c r="K62" i="22747" s="1"/>
  <c r="F111" i="22747" s="1"/>
  <c r="K50" i="22747"/>
  <c r="K62" i="4"/>
  <c r="G134" i="1" l="1"/>
  <c r="D134" i="1"/>
  <c r="G134" i="22744"/>
  <c r="D134" i="22744"/>
  <c r="CV58" i="3" l="1"/>
  <c r="CO58" i="3"/>
  <c r="CH58" i="3"/>
  <c r="CA58" i="3"/>
  <c r="BT58" i="3"/>
  <c r="BM58" i="3"/>
  <c r="BF58" i="3"/>
  <c r="AY58" i="3"/>
  <c r="AR58" i="3"/>
  <c r="AK58" i="3"/>
  <c r="AD58" i="3"/>
  <c r="W58" i="3"/>
  <c r="P58" i="3"/>
  <c r="I58" i="3"/>
  <c r="C55" i="3"/>
  <c r="C57" i="3"/>
  <c r="C58" i="3"/>
  <c r="J55" i="3"/>
  <c r="J57" i="3"/>
  <c r="J58" i="3"/>
  <c r="D138" i="1" l="1"/>
  <c r="E56" i="4"/>
  <c r="M26" i="3"/>
  <c r="M27" i="3"/>
  <c r="M28" i="3"/>
  <c r="M29" i="3"/>
  <c r="M30" i="3"/>
  <c r="M25" i="3"/>
  <c r="D70" i="4"/>
  <c r="C97" i="22751"/>
  <c r="H97" i="22751" s="1"/>
  <c r="F103" i="22751"/>
  <c r="G91" i="22751"/>
  <c r="F6" i="22751"/>
  <c r="F14" i="22751" s="1"/>
  <c r="A6" i="22751"/>
  <c r="E24" i="22752"/>
  <c r="D14" i="22752"/>
  <c r="D60" i="22752"/>
  <c r="D59" i="22752"/>
  <c r="D58" i="22752"/>
  <c r="D33" i="22752"/>
  <c r="D30" i="22752"/>
  <c r="D29" i="22752"/>
  <c r="D28" i="22752"/>
  <c r="D27" i="22752"/>
  <c r="D26" i="22752"/>
  <c r="D23" i="22752"/>
  <c r="D22" i="22752"/>
  <c r="D21" i="22752"/>
  <c r="D20" i="22752"/>
  <c r="D19" i="22752"/>
  <c r="D18" i="22752"/>
  <c r="D17" i="22752"/>
  <c r="D16" i="22752"/>
  <c r="D15" i="22752"/>
  <c r="D11" i="22752"/>
  <c r="E24" i="22749"/>
  <c r="D11" i="22749"/>
  <c r="E11" i="22749" s="1"/>
  <c r="F26" i="4"/>
  <c r="A26" i="4"/>
  <c r="F25" i="4"/>
  <c r="F24" i="4"/>
  <c r="A24" i="4"/>
  <c r="F23" i="4"/>
  <c r="F22" i="4"/>
  <c r="A22" i="4"/>
  <c r="F21" i="4"/>
  <c r="D150" i="1"/>
  <c r="C140" i="1"/>
  <c r="CZ30" i="3"/>
  <c r="CU30" i="3"/>
  <c r="CZ29" i="3"/>
  <c r="CZ28" i="3"/>
  <c r="CU28" i="3"/>
  <c r="CZ27" i="3"/>
  <c r="CZ26" i="3"/>
  <c r="CU26" i="3"/>
  <c r="CZ25" i="3"/>
  <c r="CS30" i="3"/>
  <c r="CN30" i="3"/>
  <c r="CS29" i="3"/>
  <c r="CS28" i="3"/>
  <c r="CN28" i="3"/>
  <c r="CS27" i="3"/>
  <c r="CS26" i="3"/>
  <c r="CN26" i="3"/>
  <c r="CS25" i="3"/>
  <c r="CL30" i="3"/>
  <c r="CG30" i="3"/>
  <c r="CL29" i="3"/>
  <c r="CL28" i="3"/>
  <c r="CG28" i="3"/>
  <c r="CL27" i="3"/>
  <c r="CL26" i="3"/>
  <c r="CG26" i="3"/>
  <c r="CL25" i="3"/>
  <c r="CL31" i="3" s="1"/>
  <c r="CE30" i="3"/>
  <c r="BZ30" i="3"/>
  <c r="CE29" i="3"/>
  <c r="CE28" i="3"/>
  <c r="BZ28" i="3"/>
  <c r="CE27" i="3"/>
  <c r="CE26" i="3"/>
  <c r="BZ26" i="3"/>
  <c r="CE25" i="3"/>
  <c r="CE31" i="3" s="1"/>
  <c r="BX30" i="3"/>
  <c r="BS30" i="3"/>
  <c r="BX29" i="3"/>
  <c r="BX28" i="3"/>
  <c r="BS28" i="3"/>
  <c r="BX27" i="3"/>
  <c r="BX26" i="3"/>
  <c r="BS26" i="3"/>
  <c r="BX25" i="3"/>
  <c r="BX31" i="3" s="1"/>
  <c r="BQ30" i="3"/>
  <c r="BL30" i="3"/>
  <c r="BQ29" i="3"/>
  <c r="BQ28" i="3"/>
  <c r="BL28" i="3"/>
  <c r="BQ27" i="3"/>
  <c r="BQ26" i="3"/>
  <c r="BL26" i="3"/>
  <c r="BQ25" i="3"/>
  <c r="BQ31" i="3" s="1"/>
  <c r="BJ30" i="3"/>
  <c r="BE30" i="3"/>
  <c r="BJ29" i="3"/>
  <c r="BJ28" i="3"/>
  <c r="BE28" i="3"/>
  <c r="BJ27" i="3"/>
  <c r="BJ26" i="3"/>
  <c r="BE26" i="3"/>
  <c r="BJ25" i="3"/>
  <c r="BJ31" i="3" s="1"/>
  <c r="BC30" i="3"/>
  <c r="AX30" i="3"/>
  <c r="BC29" i="3"/>
  <c r="BC28" i="3"/>
  <c r="AX28" i="3"/>
  <c r="BC27" i="3"/>
  <c r="BC26" i="3"/>
  <c r="AX26" i="3"/>
  <c r="BC25" i="3"/>
  <c r="BC31" i="3" s="1"/>
  <c r="AV30" i="3"/>
  <c r="AQ30" i="3"/>
  <c r="AV29" i="3"/>
  <c r="AV28" i="3"/>
  <c r="AQ28" i="3"/>
  <c r="AV27" i="3"/>
  <c r="AV26" i="3"/>
  <c r="AQ26" i="3"/>
  <c r="AV25" i="3"/>
  <c r="AV31" i="3" s="1"/>
  <c r="AO30" i="3"/>
  <c r="AJ30" i="3"/>
  <c r="AO29" i="3"/>
  <c r="AO28" i="3"/>
  <c r="AJ28" i="3"/>
  <c r="AO27" i="3"/>
  <c r="AO26" i="3"/>
  <c r="AJ26" i="3"/>
  <c r="AO25" i="3"/>
  <c r="AO31" i="3" s="1"/>
  <c r="AH30" i="3"/>
  <c r="AC30" i="3"/>
  <c r="AH29" i="3"/>
  <c r="AH28" i="3"/>
  <c r="AC28" i="3"/>
  <c r="AH27" i="3"/>
  <c r="AH26" i="3"/>
  <c r="AC26" i="3"/>
  <c r="AH25" i="3"/>
  <c r="AH31" i="3" s="1"/>
  <c r="AA30" i="3"/>
  <c r="V30" i="3"/>
  <c r="AA29" i="3"/>
  <c r="AA28" i="3"/>
  <c r="V28" i="3"/>
  <c r="AA27" i="3"/>
  <c r="AA26" i="3"/>
  <c r="V26" i="3"/>
  <c r="AA25" i="3"/>
  <c r="AA31" i="3" s="1"/>
  <c r="T30" i="3"/>
  <c r="O30" i="3"/>
  <c r="T29" i="3"/>
  <c r="T28" i="3"/>
  <c r="O28" i="3"/>
  <c r="T27" i="3"/>
  <c r="T26" i="3"/>
  <c r="O26" i="3"/>
  <c r="T25" i="3"/>
  <c r="T31" i="3" s="1"/>
  <c r="H25" i="3"/>
  <c r="A27" i="3"/>
  <c r="F26" i="3"/>
  <c r="F27" i="3"/>
  <c r="F28" i="3"/>
  <c r="F29" i="3"/>
  <c r="F30" i="3"/>
  <c r="F25" i="3"/>
  <c r="A119" i="1"/>
  <c r="A26" i="3" s="1"/>
  <c r="A120" i="1"/>
  <c r="A23" i="4" s="1"/>
  <c r="A121" i="1"/>
  <c r="H28" i="3" s="1"/>
  <c r="A122" i="1"/>
  <c r="A25" i="4" s="1"/>
  <c r="A123" i="1"/>
  <c r="A30" i="3" s="1"/>
  <c r="A118" i="1"/>
  <c r="A21" i="4" s="1"/>
  <c r="F6" i="22750"/>
  <c r="F60" i="22750" s="1"/>
  <c r="C93" i="22750"/>
  <c r="G87" i="22750"/>
  <c r="F77" i="22750"/>
  <c r="F75" i="22750"/>
  <c r="F73" i="22750"/>
  <c r="F69" i="22750"/>
  <c r="F64" i="22750"/>
  <c r="F62" i="22750"/>
  <c r="F21" i="22750"/>
  <c r="H36" i="22750"/>
  <c r="F24" i="22750"/>
  <c r="F22" i="22750"/>
  <c r="F17" i="22750"/>
  <c r="F12" i="22750"/>
  <c r="F10" i="22750"/>
  <c r="A6" i="22750"/>
  <c r="D60" i="22749"/>
  <c r="D59" i="22749"/>
  <c r="D58" i="22749"/>
  <c r="D33" i="22749"/>
  <c r="D23" i="22749"/>
  <c r="D22" i="22749"/>
  <c r="D21" i="22749"/>
  <c r="D20" i="22749"/>
  <c r="D19" i="22749"/>
  <c r="D18" i="22749"/>
  <c r="D17" i="22749"/>
  <c r="D26" i="22749"/>
  <c r="D27" i="22749"/>
  <c r="D28" i="22749"/>
  <c r="D29" i="22749"/>
  <c r="D30" i="22749"/>
  <c r="D16" i="22749"/>
  <c r="D15" i="22749"/>
  <c r="D14" i="22749"/>
  <c r="D10" i="22745"/>
  <c r="A28" i="3" l="1"/>
  <c r="H26" i="3"/>
  <c r="H30" i="3"/>
  <c r="H29" i="3"/>
  <c r="A25" i="3"/>
  <c r="A29" i="3"/>
  <c r="H27" i="3"/>
  <c r="O25" i="3"/>
  <c r="O27" i="3"/>
  <c r="O29" i="3"/>
  <c r="V25" i="3"/>
  <c r="V27" i="3"/>
  <c r="V29" i="3"/>
  <c r="AC25" i="3"/>
  <c r="AC27" i="3"/>
  <c r="AC29" i="3"/>
  <c r="AJ25" i="3"/>
  <c r="AJ27" i="3"/>
  <c r="AJ29" i="3"/>
  <c r="AQ25" i="3"/>
  <c r="AQ27" i="3"/>
  <c r="AQ29" i="3"/>
  <c r="AX25" i="3"/>
  <c r="AX27" i="3"/>
  <c r="AX29" i="3"/>
  <c r="BE25" i="3"/>
  <c r="BE27" i="3"/>
  <c r="BE29" i="3"/>
  <c r="BL25" i="3"/>
  <c r="BL27" i="3"/>
  <c r="BL29" i="3"/>
  <c r="BS25" i="3"/>
  <c r="BS27" i="3"/>
  <c r="BS29" i="3"/>
  <c r="BZ25" i="3"/>
  <c r="BZ27" i="3"/>
  <c r="BZ29" i="3"/>
  <c r="CG25" i="3"/>
  <c r="CG27" i="3"/>
  <c r="CG29" i="3"/>
  <c r="CN25" i="3"/>
  <c r="CN27" i="3"/>
  <c r="CN29" i="3"/>
  <c r="CU25" i="3"/>
  <c r="CU27" i="3"/>
  <c r="CU29" i="3"/>
  <c r="CS31" i="3"/>
  <c r="CZ31" i="3"/>
  <c r="F27" i="4"/>
  <c r="M31" i="3"/>
  <c r="F16" i="22751"/>
  <c r="F21" i="22751"/>
  <c r="F25" i="22751"/>
  <c r="F27" i="22751"/>
  <c r="F29" i="22751"/>
  <c r="F65" i="22751"/>
  <c r="F67" i="22751"/>
  <c r="F72" i="22751"/>
  <c r="F76" i="22751"/>
  <c r="F78" i="22751"/>
  <c r="F80" i="22751"/>
  <c r="F12" i="22751"/>
  <c r="F15" i="22751"/>
  <c r="F20" i="22751"/>
  <c r="F24" i="22751"/>
  <c r="F26" i="22751"/>
  <c r="F28" i="22751"/>
  <c r="F64" i="22751"/>
  <c r="F66" i="22751"/>
  <c r="F68" i="22751"/>
  <c r="F73" i="22751"/>
  <c r="F77" i="22751"/>
  <c r="F79" i="22751"/>
  <c r="F81" i="22751"/>
  <c r="F8" i="22750"/>
  <c r="F11" i="22750"/>
  <c r="F16" i="22750"/>
  <c r="F20" i="22750"/>
  <c r="F23" i="22750"/>
  <c r="F25" i="22750"/>
  <c r="F61" i="22750"/>
  <c r="F63" i="22750"/>
  <c r="F68" i="22750"/>
  <c r="F72" i="22750"/>
  <c r="F74" i="22750"/>
  <c r="F76" i="22750"/>
  <c r="F31" i="3"/>
  <c r="J50" i="22747"/>
  <c r="A28" i="22747"/>
  <c r="A27" i="22747"/>
  <c r="A26" i="22747"/>
  <c r="A25" i="22747"/>
  <c r="A24" i="22747"/>
  <c r="A23" i="22747"/>
  <c r="CU30" i="22746"/>
  <c r="CU29" i="22746"/>
  <c r="CU28" i="22746"/>
  <c r="CU27" i="22746"/>
  <c r="CU26" i="22746"/>
  <c r="CU25" i="22746"/>
  <c r="CN30" i="22746"/>
  <c r="CN29" i="22746"/>
  <c r="CN28" i="22746"/>
  <c r="CN27" i="22746"/>
  <c r="CN26" i="22746"/>
  <c r="CN25" i="22746"/>
  <c r="CG30" i="22746"/>
  <c r="CG29" i="22746"/>
  <c r="CG28" i="22746"/>
  <c r="CG27" i="22746"/>
  <c r="CG26" i="22746"/>
  <c r="CG25" i="22746"/>
  <c r="BZ30" i="22746"/>
  <c r="BZ29" i="22746"/>
  <c r="BZ28" i="22746"/>
  <c r="BZ27" i="22746"/>
  <c r="BZ26" i="22746"/>
  <c r="BZ25" i="22746"/>
  <c r="BS30" i="22746"/>
  <c r="BS29" i="22746"/>
  <c r="BS28" i="22746"/>
  <c r="BS27" i="22746"/>
  <c r="BS26" i="22746"/>
  <c r="BS25" i="22746"/>
  <c r="BL30" i="22746"/>
  <c r="BL29" i="22746"/>
  <c r="BL28" i="22746"/>
  <c r="BL27" i="22746"/>
  <c r="BL26" i="22746"/>
  <c r="BL25" i="22746"/>
  <c r="BE30" i="22746"/>
  <c r="BE29" i="22746"/>
  <c r="BE28" i="22746"/>
  <c r="BE27" i="22746"/>
  <c r="BE26" i="22746"/>
  <c r="BE25" i="22746"/>
  <c r="AX30" i="22746"/>
  <c r="AX29" i="22746"/>
  <c r="AX28" i="22746"/>
  <c r="AX27" i="22746"/>
  <c r="AX26" i="22746"/>
  <c r="AX25" i="22746"/>
  <c r="AQ30" i="22746"/>
  <c r="AQ29" i="22746"/>
  <c r="AQ28" i="22746"/>
  <c r="AQ27" i="22746"/>
  <c r="AQ26" i="22746"/>
  <c r="AQ25" i="22746"/>
  <c r="AJ30" i="22746"/>
  <c r="AJ29" i="22746"/>
  <c r="AJ28" i="22746"/>
  <c r="AJ27" i="22746"/>
  <c r="AJ26" i="22746"/>
  <c r="AJ25" i="22746"/>
  <c r="AC30" i="22746"/>
  <c r="AC29" i="22746"/>
  <c r="AC28" i="22746"/>
  <c r="AC27" i="22746"/>
  <c r="AC26" i="22746"/>
  <c r="AC25" i="22746"/>
  <c r="V30" i="22746"/>
  <c r="V29" i="22746"/>
  <c r="V28" i="22746"/>
  <c r="V27" i="22746"/>
  <c r="V26" i="22746"/>
  <c r="V25" i="22746"/>
  <c r="O30" i="22746"/>
  <c r="O29" i="22746"/>
  <c r="O28" i="22746"/>
  <c r="O27" i="22746"/>
  <c r="O26" i="22746"/>
  <c r="O25" i="22746"/>
  <c r="H30" i="22746"/>
  <c r="H29" i="22746"/>
  <c r="H28" i="22746"/>
  <c r="H27" i="22746"/>
  <c r="H26" i="22746"/>
  <c r="H25" i="22746"/>
  <c r="A30" i="22746"/>
  <c r="A29" i="22746"/>
  <c r="A28" i="22746"/>
  <c r="A27" i="22746"/>
  <c r="A26" i="22746"/>
  <c r="A25" i="22746"/>
  <c r="B164" i="4" l="1"/>
  <c r="B31" i="22715"/>
  <c r="F49" i="22751"/>
  <c r="D130" i="22744" l="1"/>
  <c r="F45" i="22750" s="1"/>
  <c r="B58" i="3"/>
  <c r="B58" i="22746"/>
  <c r="CV58" i="22746" s="1"/>
  <c r="B61" i="4"/>
  <c r="D37" i="22749"/>
  <c r="D150" i="22744"/>
  <c r="C140" i="22744"/>
  <c r="B61" i="22747"/>
  <c r="AK58" i="22746" l="1"/>
  <c r="CO58" i="22746"/>
  <c r="I58" i="22746"/>
  <c r="BM58" i="22746"/>
  <c r="W58" i="22746"/>
  <c r="AY58" i="22746"/>
  <c r="CA58" i="22746"/>
  <c r="F98" i="22750"/>
  <c r="P58" i="22746"/>
  <c r="AD58" i="22746"/>
  <c r="AR58" i="22746"/>
  <c r="BF58" i="22746"/>
  <c r="BT58" i="22746"/>
  <c r="CH58" i="22746"/>
  <c r="A114" i="1" l="1"/>
  <c r="A23" i="3" s="1"/>
  <c r="A23" i="22746"/>
  <c r="B101" i="22744" l="1"/>
  <c r="D19" i="4" l="1"/>
  <c r="C19" i="4"/>
  <c r="B19" i="4"/>
  <c r="CX20" i="3"/>
  <c r="CW20" i="3"/>
  <c r="CV20" i="3"/>
  <c r="CQ20" i="3"/>
  <c r="CP20" i="3"/>
  <c r="CO20" i="3"/>
  <c r="CJ20" i="3"/>
  <c r="CI20" i="3"/>
  <c r="CH20" i="3"/>
  <c r="CC20" i="3"/>
  <c r="CB20" i="3"/>
  <c r="CA20" i="3"/>
  <c r="BV20" i="3"/>
  <c r="BU20" i="3"/>
  <c r="BT20" i="3"/>
  <c r="BO20" i="3"/>
  <c r="BN20" i="3"/>
  <c r="BM20" i="3"/>
  <c r="BH20" i="3"/>
  <c r="BG20" i="3"/>
  <c r="BF20" i="3"/>
  <c r="BA20" i="3"/>
  <c r="AZ20" i="3"/>
  <c r="AY20" i="3"/>
  <c r="AT20" i="3"/>
  <c r="AS20" i="3"/>
  <c r="AR20" i="3"/>
  <c r="AM20" i="3"/>
  <c r="AL20" i="3"/>
  <c r="AK20" i="3"/>
  <c r="AF20" i="3"/>
  <c r="AE20" i="3"/>
  <c r="AD20" i="3"/>
  <c r="W20" i="3"/>
  <c r="Y20" i="3"/>
  <c r="X20" i="3"/>
  <c r="R20" i="3"/>
  <c r="Q20" i="3"/>
  <c r="P20" i="3"/>
  <c r="K20" i="3"/>
  <c r="J20" i="3"/>
  <c r="I20" i="3"/>
  <c r="B20" i="3"/>
  <c r="D20" i="3"/>
  <c r="C20" i="3"/>
  <c r="D12" i="3"/>
  <c r="D19" i="22747" l="1"/>
  <c r="C19" i="22747"/>
  <c r="B19" i="22747"/>
  <c r="D101" i="1"/>
  <c r="CX20" i="22746"/>
  <c r="CW20" i="22746"/>
  <c r="CV20" i="22746"/>
  <c r="CQ20" i="22746"/>
  <c r="CP20" i="22746"/>
  <c r="CO20" i="22746"/>
  <c r="CJ20" i="22746"/>
  <c r="CI20" i="22746"/>
  <c r="CH20" i="22746"/>
  <c r="CC20" i="22746"/>
  <c r="CB20" i="22746"/>
  <c r="CA20" i="22746"/>
  <c r="BV20" i="22746"/>
  <c r="BU20" i="22746"/>
  <c r="BT20" i="22746"/>
  <c r="BO20" i="22746"/>
  <c r="BN20" i="22746"/>
  <c r="BM20" i="22746"/>
  <c r="BH20" i="22746"/>
  <c r="BG20" i="22746"/>
  <c r="BF20" i="22746"/>
  <c r="BA20" i="22746"/>
  <c r="AZ20" i="22746"/>
  <c r="AY20" i="22746"/>
  <c r="AT20" i="22746"/>
  <c r="AS20" i="22746"/>
  <c r="AR20" i="22746"/>
  <c r="AM20" i="22746"/>
  <c r="AL20" i="22746"/>
  <c r="AK20" i="22746"/>
  <c r="AF20" i="22746"/>
  <c r="AE20" i="22746"/>
  <c r="AD20" i="22746"/>
  <c r="Y20" i="22746"/>
  <c r="X20" i="22746"/>
  <c r="W20" i="22746"/>
  <c r="R20" i="22746"/>
  <c r="Q20" i="22746"/>
  <c r="P20" i="22746"/>
  <c r="K20" i="22746"/>
  <c r="J20" i="22746"/>
  <c r="I20" i="22746"/>
  <c r="B20" i="22746"/>
  <c r="D20" i="22746"/>
  <c r="C20" i="22746"/>
  <c r="D101" i="22744"/>
  <c r="CY20" i="22746" s="1"/>
  <c r="E20" i="22746" l="1"/>
  <c r="F20" i="22746" s="1"/>
  <c r="L20" i="22746"/>
  <c r="M20" i="22746" s="1"/>
  <c r="E19" i="22747"/>
  <c r="F19" i="22747" s="1"/>
  <c r="E19" i="4"/>
  <c r="F19" i="4" s="1"/>
  <c r="CY20" i="3"/>
  <c r="CZ20" i="3" s="1"/>
  <c r="CR20" i="3"/>
  <c r="CS20" i="3" s="1"/>
  <c r="CK20" i="3"/>
  <c r="CL20" i="3" s="1"/>
  <c r="CD20" i="3"/>
  <c r="CE20" i="3" s="1"/>
  <c r="BW20" i="3"/>
  <c r="BX20" i="3" s="1"/>
  <c r="BP20" i="3"/>
  <c r="BQ20" i="3" s="1"/>
  <c r="BI20" i="3"/>
  <c r="BJ20" i="3" s="1"/>
  <c r="BB20" i="3"/>
  <c r="BC20" i="3" s="1"/>
  <c r="AU20" i="3"/>
  <c r="AV20" i="3" s="1"/>
  <c r="AN20" i="3"/>
  <c r="AO20" i="3" s="1"/>
  <c r="AG20" i="3"/>
  <c r="AH20" i="3" s="1"/>
  <c r="S20" i="3"/>
  <c r="T20" i="3" s="1"/>
  <c r="L20" i="3"/>
  <c r="M20" i="3" s="1"/>
  <c r="Z20" i="3"/>
  <c r="AA20" i="3" s="1"/>
  <c r="E20" i="3"/>
  <c r="F20" i="3" s="1"/>
  <c r="S20" i="22746"/>
  <c r="T20" i="22746" s="1"/>
  <c r="Z20" i="22746"/>
  <c r="AA20" i="22746" s="1"/>
  <c r="AG20" i="22746"/>
  <c r="AH20" i="22746" s="1"/>
  <c r="AN20" i="22746"/>
  <c r="AO20" i="22746" s="1"/>
  <c r="AU20" i="22746"/>
  <c r="AV20" i="22746" s="1"/>
  <c r="BB20" i="22746"/>
  <c r="BC20" i="22746" s="1"/>
  <c r="BI20" i="22746"/>
  <c r="BJ20" i="22746" s="1"/>
  <c r="BP20" i="22746"/>
  <c r="BQ20" i="22746" s="1"/>
  <c r="BW20" i="22746"/>
  <c r="BX20" i="22746" s="1"/>
  <c r="CD20" i="22746"/>
  <c r="CE20" i="22746" s="1"/>
  <c r="CK20" i="22746"/>
  <c r="CL20" i="22746" s="1"/>
  <c r="CR20" i="22746"/>
  <c r="CS20" i="22746" s="1"/>
  <c r="CZ20" i="22746"/>
  <c r="G43" i="22744" l="1"/>
  <c r="E64" i="1" l="1"/>
  <c r="J50" i="4"/>
  <c r="O33" i="3"/>
  <c r="O38" i="3"/>
  <c r="O39" i="3"/>
  <c r="C188" i="1"/>
  <c r="CX66" i="3"/>
  <c r="CQ66" i="3"/>
  <c r="CJ66" i="3"/>
  <c r="CC66" i="3"/>
  <c r="BV66" i="3"/>
  <c r="BO66" i="3"/>
  <c r="BH66" i="3"/>
  <c r="BA66" i="3"/>
  <c r="AT66" i="3"/>
  <c r="AM66" i="3"/>
  <c r="AF66" i="3"/>
  <c r="Y66" i="3"/>
  <c r="R66" i="3"/>
  <c r="K66" i="3"/>
  <c r="K66" i="22746"/>
  <c r="F14" i="22747"/>
  <c r="D51" i="22715" s="1"/>
  <c r="D53" i="2"/>
  <c r="D52" i="2"/>
  <c r="CW68" i="3"/>
  <c r="CW67" i="3"/>
  <c r="CV66" i="3"/>
  <c r="CP68" i="3"/>
  <c r="CP67" i="3"/>
  <c r="CO66" i="3"/>
  <c r="CI68" i="3"/>
  <c r="CI67" i="3"/>
  <c r="CH66" i="3"/>
  <c r="CB68" i="3"/>
  <c r="CB67" i="3"/>
  <c r="CA66" i="3"/>
  <c r="BU68" i="3"/>
  <c r="BU67" i="3"/>
  <c r="BT66" i="3"/>
  <c r="BN68" i="3"/>
  <c r="BN67" i="3"/>
  <c r="BM66" i="3"/>
  <c r="BG68" i="3"/>
  <c r="BG67" i="3"/>
  <c r="BF66" i="3"/>
  <c r="AZ68" i="3"/>
  <c r="AZ67" i="3"/>
  <c r="AY66" i="3"/>
  <c r="AS68" i="3"/>
  <c r="AS67" i="3"/>
  <c r="AR66" i="3"/>
  <c r="AL68" i="3"/>
  <c r="AL67" i="3"/>
  <c r="AK66" i="3"/>
  <c r="AE68" i="3"/>
  <c r="AE67" i="3"/>
  <c r="AD66" i="3"/>
  <c r="X68" i="3"/>
  <c r="X67" i="3"/>
  <c r="W66" i="3"/>
  <c r="Q68" i="3"/>
  <c r="Q67" i="3"/>
  <c r="P66" i="3"/>
  <c r="J68" i="3"/>
  <c r="J67" i="3"/>
  <c r="I66" i="3"/>
  <c r="C37" i="1"/>
  <c r="B66" i="3"/>
  <c r="P66" i="22746"/>
  <c r="W66" i="22746"/>
  <c r="AD66" i="22746"/>
  <c r="AK66" i="22746"/>
  <c r="AR66" i="22746"/>
  <c r="AY66" i="22746"/>
  <c r="BF66" i="22746"/>
  <c r="BM66" i="22746"/>
  <c r="BT66" i="22746"/>
  <c r="CA66" i="22746"/>
  <c r="CH66" i="22746"/>
  <c r="CO66" i="22746"/>
  <c r="CV66" i="22746"/>
  <c r="I66" i="22746"/>
  <c r="B66" i="22746"/>
  <c r="CW50" i="3"/>
  <c r="CP50" i="3"/>
  <c r="CI50" i="3"/>
  <c r="CB50" i="3"/>
  <c r="BU50" i="3"/>
  <c r="BN50" i="3"/>
  <c r="BG50" i="3"/>
  <c r="AZ50" i="3"/>
  <c r="AS50" i="3"/>
  <c r="AL50" i="3"/>
  <c r="AE50" i="3"/>
  <c r="X50" i="3"/>
  <c r="Q50" i="3"/>
  <c r="J50" i="3"/>
  <c r="CW50" i="22746"/>
  <c r="CP50" i="22746"/>
  <c r="CI50" i="22746"/>
  <c r="CB50" i="22746"/>
  <c r="BU50" i="22746"/>
  <c r="BN50" i="22746"/>
  <c r="BG50" i="22746"/>
  <c r="AZ50" i="22746"/>
  <c r="AS50" i="22746"/>
  <c r="AL50" i="22746"/>
  <c r="AE50" i="22746"/>
  <c r="X50" i="22746"/>
  <c r="Q50" i="22746"/>
  <c r="J50" i="22746"/>
  <c r="C50" i="22746"/>
  <c r="B20" i="22715"/>
  <c r="C20" i="22715" s="1"/>
  <c r="B21" i="22715"/>
  <c r="C21" i="22715" s="1"/>
  <c r="B19" i="22715"/>
  <c r="C19" i="22715" s="1"/>
  <c r="B18" i="22715"/>
  <c r="C18" i="22715" s="1"/>
  <c r="B17" i="22715"/>
  <c r="C17" i="22715" s="1"/>
  <c r="G42" i="22744"/>
  <c r="CR39" i="22746" s="1"/>
  <c r="E37" i="22747"/>
  <c r="G41" i="22744"/>
  <c r="G39" i="22744"/>
  <c r="S37" i="22746" s="1"/>
  <c r="G38" i="22744"/>
  <c r="BC36" i="22746" s="1"/>
  <c r="B1" i="4"/>
  <c r="B1" i="3"/>
  <c r="B1" i="22747"/>
  <c r="B1" i="22746"/>
  <c r="B24" i="22744"/>
  <c r="AD6" i="22746" s="1"/>
  <c r="T77" i="22746"/>
  <c r="M77" i="22746"/>
  <c r="D47" i="22746"/>
  <c r="D48" i="22746"/>
  <c r="C18" i="22746"/>
  <c r="C19" i="22746"/>
  <c r="D49" i="22746"/>
  <c r="C52" i="22746"/>
  <c r="D52" i="22746"/>
  <c r="D53" i="22746"/>
  <c r="C51" i="22746"/>
  <c r="D64" i="22746"/>
  <c r="D66" i="22746"/>
  <c r="D74" i="22746"/>
  <c r="F77" i="22746"/>
  <c r="C78" i="22746"/>
  <c r="D18" i="22746"/>
  <c r="D19" i="22746"/>
  <c r="B33" i="22746"/>
  <c r="C33" i="22746"/>
  <c r="E33" i="22746"/>
  <c r="F14" i="22746"/>
  <c r="J78" i="22746"/>
  <c r="K74" i="22746"/>
  <c r="K47" i="22746"/>
  <c r="K48" i="22746"/>
  <c r="J18" i="22746"/>
  <c r="J19" i="22746"/>
  <c r="K49" i="22746"/>
  <c r="J52" i="22746"/>
  <c r="K52" i="22746"/>
  <c r="K53" i="22746"/>
  <c r="J51" i="22746"/>
  <c r="K64" i="22746"/>
  <c r="K18" i="22746"/>
  <c r="K19" i="22746"/>
  <c r="I33" i="22746"/>
  <c r="M14" i="22746"/>
  <c r="Q78" i="22746"/>
  <c r="R74" i="22746"/>
  <c r="R47" i="22746"/>
  <c r="R48" i="22746"/>
  <c r="Q18" i="22746"/>
  <c r="Q19" i="22746"/>
  <c r="R49" i="22746"/>
  <c r="Q52" i="22746"/>
  <c r="R52" i="22746"/>
  <c r="R53" i="22746"/>
  <c r="Q51" i="22746"/>
  <c r="R64" i="22746"/>
  <c r="R18" i="22746"/>
  <c r="R19" i="22746"/>
  <c r="P33" i="22746"/>
  <c r="T14" i="22746"/>
  <c r="T77" i="3"/>
  <c r="R78" i="3"/>
  <c r="M77" i="3"/>
  <c r="K78" i="3"/>
  <c r="D47" i="3"/>
  <c r="D48" i="3"/>
  <c r="C18" i="3"/>
  <c r="C19" i="3"/>
  <c r="D49" i="3"/>
  <c r="G9" i="3"/>
  <c r="G10" i="3"/>
  <c r="D10" i="3" s="1"/>
  <c r="C50" i="3"/>
  <c r="C52" i="3"/>
  <c r="D52" i="3"/>
  <c r="D53" i="3"/>
  <c r="C51" i="3"/>
  <c r="F59" i="3"/>
  <c r="D64" i="3"/>
  <c r="D66" i="3"/>
  <c r="C67" i="3"/>
  <c r="C68" i="3"/>
  <c r="D74" i="3"/>
  <c r="E74" i="3"/>
  <c r="F77" i="3"/>
  <c r="D78" i="3"/>
  <c r="C78" i="3"/>
  <c r="F36" i="3"/>
  <c r="E37" i="3"/>
  <c r="E38" i="3"/>
  <c r="E39" i="3"/>
  <c r="E40" i="3"/>
  <c r="D18" i="3"/>
  <c r="E18" i="3"/>
  <c r="D19" i="3"/>
  <c r="E19" i="3"/>
  <c r="B33" i="3"/>
  <c r="C33" i="3"/>
  <c r="E33" i="3"/>
  <c r="E9" i="3"/>
  <c r="E10" i="3"/>
  <c r="E11" i="3"/>
  <c r="F14" i="3"/>
  <c r="J78" i="3"/>
  <c r="K12" i="3"/>
  <c r="H24" i="22714" s="1"/>
  <c r="K74" i="3"/>
  <c r="L74" i="3"/>
  <c r="K47" i="3"/>
  <c r="K48" i="3"/>
  <c r="J18" i="3"/>
  <c r="J19" i="3"/>
  <c r="K49" i="3"/>
  <c r="J52" i="3"/>
  <c r="K52" i="3"/>
  <c r="K53" i="3"/>
  <c r="J51" i="3"/>
  <c r="M59" i="3"/>
  <c r="K64" i="3"/>
  <c r="M36" i="3"/>
  <c r="L37" i="3"/>
  <c r="L38" i="3"/>
  <c r="L39" i="3"/>
  <c r="L40" i="3"/>
  <c r="K18" i="3"/>
  <c r="L18" i="3"/>
  <c r="K19" i="3"/>
  <c r="L19" i="3"/>
  <c r="I33" i="3"/>
  <c r="M14" i="3"/>
  <c r="Q78" i="3"/>
  <c r="R12" i="3"/>
  <c r="H25" i="22714" s="1"/>
  <c r="R74" i="3"/>
  <c r="S74" i="3"/>
  <c r="R47" i="3"/>
  <c r="R48" i="3"/>
  <c r="Q18" i="3"/>
  <c r="Q19" i="3"/>
  <c r="R49" i="3"/>
  <c r="Q52" i="3"/>
  <c r="R52" i="3"/>
  <c r="R53" i="3"/>
  <c r="Q51" i="3"/>
  <c r="Q57" i="3"/>
  <c r="Q58" i="3"/>
  <c r="T59" i="3"/>
  <c r="R64" i="3"/>
  <c r="T36" i="3"/>
  <c r="S37" i="3"/>
  <c r="S38" i="3"/>
  <c r="S39" i="3"/>
  <c r="S40" i="3"/>
  <c r="R18" i="3"/>
  <c r="S18" i="3"/>
  <c r="R19" i="3"/>
  <c r="S19" i="3"/>
  <c r="P33" i="3"/>
  <c r="T14" i="3"/>
  <c r="C36" i="22745"/>
  <c r="D36" i="22745"/>
  <c r="E37" i="22745"/>
  <c r="E38" i="22745"/>
  <c r="C10" i="22745"/>
  <c r="E10" i="22745" s="1"/>
  <c r="C11" i="22745"/>
  <c r="D11" i="22745"/>
  <c r="C12" i="22745"/>
  <c r="D12" i="22745"/>
  <c r="C13" i="22745"/>
  <c r="D13" i="22745"/>
  <c r="C31" i="22744"/>
  <c r="D8" i="22745" s="1"/>
  <c r="C16" i="22745"/>
  <c r="D16" i="22745"/>
  <c r="C17" i="22745"/>
  <c r="D17" i="22745"/>
  <c r="C18" i="22745"/>
  <c r="D18" i="22745"/>
  <c r="C19" i="22745"/>
  <c r="D19" i="22745"/>
  <c r="C20" i="22745"/>
  <c r="D20" i="22745"/>
  <c r="C21" i="22745"/>
  <c r="D21" i="22745"/>
  <c r="C22" i="22745"/>
  <c r="D22" i="22745"/>
  <c r="C23" i="22745"/>
  <c r="D23" i="22745"/>
  <c r="C24" i="22745"/>
  <c r="D24" i="22745"/>
  <c r="C25" i="22745"/>
  <c r="D25" i="22745"/>
  <c r="C26" i="22745"/>
  <c r="D26" i="22745"/>
  <c r="C29" i="22745"/>
  <c r="D29" i="22745"/>
  <c r="C30" i="22745"/>
  <c r="D30" i="22745"/>
  <c r="C31" i="22745"/>
  <c r="D31" i="22745"/>
  <c r="C32" i="22745"/>
  <c r="D32" i="22745"/>
  <c r="C33" i="22745"/>
  <c r="D33" i="22745"/>
  <c r="C42" i="22745"/>
  <c r="D42" i="22745"/>
  <c r="C43" i="22745"/>
  <c r="D43" i="22745"/>
  <c r="C44" i="22745"/>
  <c r="D44" i="22745"/>
  <c r="C32" i="22744"/>
  <c r="C33" i="22744"/>
  <c r="D38" i="22749"/>
  <c r="E38" i="22749" s="1"/>
  <c r="B34" i="22715"/>
  <c r="C34" i="22715" s="1"/>
  <c r="C60" i="4"/>
  <c r="C61" i="4"/>
  <c r="D50" i="4"/>
  <c r="D51" i="4"/>
  <c r="C18" i="4"/>
  <c r="D52" i="4"/>
  <c r="C53" i="4"/>
  <c r="C55" i="4"/>
  <c r="D55" i="4"/>
  <c r="D56" i="4"/>
  <c r="C56" i="4"/>
  <c r="C54" i="4"/>
  <c r="F62" i="4"/>
  <c r="D17" i="4"/>
  <c r="E17" i="4"/>
  <c r="D18" i="4"/>
  <c r="E18" i="4"/>
  <c r="B35" i="22715"/>
  <c r="C35" i="22715" s="1"/>
  <c r="B49" i="1"/>
  <c r="L9" i="3" s="1"/>
  <c r="C185" i="22744"/>
  <c r="C186" i="22744"/>
  <c r="D129" i="22745" s="1"/>
  <c r="C183" i="22744"/>
  <c r="F52" i="22750" s="1"/>
  <c r="C184" i="22744"/>
  <c r="D59" i="22750"/>
  <c r="H59" i="22750"/>
  <c r="E106" i="22750"/>
  <c r="K70" i="22746" s="1"/>
  <c r="E107" i="22750"/>
  <c r="BV71" i="22746" s="1"/>
  <c r="B71" i="22744"/>
  <c r="C71" i="22744"/>
  <c r="D71" i="22744"/>
  <c r="D77" i="22744" s="1"/>
  <c r="E71" i="22744"/>
  <c r="E74" i="22744" s="1"/>
  <c r="G71" i="22744"/>
  <c r="G75" i="22744" s="1"/>
  <c r="AE73" i="22746" s="1"/>
  <c r="C179" i="22744"/>
  <c r="BG68" i="22746" s="1"/>
  <c r="F34" i="22744"/>
  <c r="D76" i="22715" s="1"/>
  <c r="C34" i="22744"/>
  <c r="C51" i="22745"/>
  <c r="C66" i="22745" s="1"/>
  <c r="C52" i="22745"/>
  <c r="C67" i="22745" s="1"/>
  <c r="C53" i="22745"/>
  <c r="C74" i="22745" s="1"/>
  <c r="C55" i="22745"/>
  <c r="C56" i="22745"/>
  <c r="C60" i="22745"/>
  <c r="C69" i="22745"/>
  <c r="C70" i="22745"/>
  <c r="C71" i="22745"/>
  <c r="C72" i="22745"/>
  <c r="C73" i="22745"/>
  <c r="C75" i="22745"/>
  <c r="C76" i="22745"/>
  <c r="C77" i="22745"/>
  <c r="C104" i="22745"/>
  <c r="C100" i="22745" s="1"/>
  <c r="C101" i="22745" s="1"/>
  <c r="C87" i="22745"/>
  <c r="C93" i="22745" s="1"/>
  <c r="C90" i="22745"/>
  <c r="D90" i="22745"/>
  <c r="C91" i="22745"/>
  <c r="D91" i="22745"/>
  <c r="C92" i="22745"/>
  <c r="D92" i="22745"/>
  <c r="D93" i="22745"/>
  <c r="D95" i="22745"/>
  <c r="E97" i="22745"/>
  <c r="C5" i="22750"/>
  <c r="C40" i="22744"/>
  <c r="BH78" i="22746" s="1"/>
  <c r="C77" i="22752"/>
  <c r="D33" i="3" s="1"/>
  <c r="B48" i="22744"/>
  <c r="B49" i="22744" s="1"/>
  <c r="C48" i="22744"/>
  <c r="E10" i="22746" s="1"/>
  <c r="D48" i="22744"/>
  <c r="D54" i="22744" s="1"/>
  <c r="AU11" i="22746" s="1"/>
  <c r="F55" i="22751"/>
  <c r="E55" i="22751"/>
  <c r="F112" i="22751"/>
  <c r="E112" i="22751"/>
  <c r="C63" i="22751"/>
  <c r="E110" i="22751"/>
  <c r="K70" i="3" s="1"/>
  <c r="E111" i="22751"/>
  <c r="BV71" i="3" s="1"/>
  <c r="C35" i="1"/>
  <c r="BI73" i="3" s="1"/>
  <c r="C8" i="2"/>
  <c r="D8" i="2"/>
  <c r="C10" i="2"/>
  <c r="D10" i="2"/>
  <c r="C11" i="2"/>
  <c r="D11" i="2"/>
  <c r="C12" i="2"/>
  <c r="D12" i="2"/>
  <c r="C13" i="2"/>
  <c r="D13" i="2"/>
  <c r="C36" i="2"/>
  <c r="D36" i="2"/>
  <c r="E37" i="2"/>
  <c r="E38" i="2"/>
  <c r="C42" i="2"/>
  <c r="D42" i="2"/>
  <c r="C43" i="2"/>
  <c r="D43" i="2"/>
  <c r="C44" i="2"/>
  <c r="D44" i="2"/>
  <c r="C51" i="2"/>
  <c r="C52" i="2"/>
  <c r="C67" i="2" s="1"/>
  <c r="C53" i="2"/>
  <c r="C74" i="2" s="1"/>
  <c r="C55" i="2"/>
  <c r="C56" i="2"/>
  <c r="C60" i="2"/>
  <c r="D60" i="2"/>
  <c r="E61" i="2"/>
  <c r="C69" i="2"/>
  <c r="C70" i="2"/>
  <c r="C71" i="2"/>
  <c r="C72" i="2"/>
  <c r="C73" i="2"/>
  <c r="C75" i="2"/>
  <c r="C76" i="2"/>
  <c r="C77" i="2"/>
  <c r="D79" i="2"/>
  <c r="C88" i="2"/>
  <c r="C90" i="2" s="1"/>
  <c r="C91" i="2"/>
  <c r="D91" i="2"/>
  <c r="C92" i="2"/>
  <c r="D92" i="2"/>
  <c r="C93" i="2"/>
  <c r="D93" i="2"/>
  <c r="D94" i="2"/>
  <c r="D96" i="2"/>
  <c r="E98" i="2"/>
  <c r="C105" i="2"/>
  <c r="C101" i="2" s="1"/>
  <c r="C16" i="2"/>
  <c r="D16" i="2"/>
  <c r="C17" i="2"/>
  <c r="D17" i="2"/>
  <c r="C18" i="2"/>
  <c r="D18" i="2"/>
  <c r="C19" i="2"/>
  <c r="D19" i="2"/>
  <c r="C20" i="2"/>
  <c r="D20" i="2"/>
  <c r="C21" i="2"/>
  <c r="D21" i="2"/>
  <c r="C22" i="2"/>
  <c r="D22" i="2"/>
  <c r="C23" i="2"/>
  <c r="D23" i="2"/>
  <c r="C24" i="2"/>
  <c r="D24" i="2"/>
  <c r="C25" i="2"/>
  <c r="D25" i="2"/>
  <c r="C26" i="2"/>
  <c r="D26" i="2"/>
  <c r="C29" i="2"/>
  <c r="D29" i="2"/>
  <c r="C30" i="2"/>
  <c r="D30" i="2"/>
  <c r="C31" i="2"/>
  <c r="D31" i="2"/>
  <c r="C32" i="2"/>
  <c r="D32" i="2"/>
  <c r="C33" i="2"/>
  <c r="D33" i="2"/>
  <c r="D119" i="2"/>
  <c r="D131" i="2"/>
  <c r="C9" i="22751"/>
  <c r="D168" i="1"/>
  <c r="D90" i="2" s="1"/>
  <c r="D167" i="1"/>
  <c r="D89" i="2" s="1"/>
  <c r="D166" i="1"/>
  <c r="D88" i="2" s="1"/>
  <c r="D167" i="22744"/>
  <c r="D89" i="22745" s="1"/>
  <c r="D166" i="22744"/>
  <c r="D88" i="22745" s="1"/>
  <c r="D165" i="22744"/>
  <c r="D87" i="22745" s="1"/>
  <c r="D57" i="2"/>
  <c r="E57" i="2" s="1"/>
  <c r="BP58" i="3"/>
  <c r="BQ58" i="3" s="1"/>
  <c r="CD49" i="3"/>
  <c r="CD52" i="3"/>
  <c r="D40" i="22749"/>
  <c r="E40" i="22749" s="1"/>
  <c r="H147" i="22744"/>
  <c r="H148" i="22744"/>
  <c r="D148" i="22744" s="1"/>
  <c r="D39" i="22749" s="1"/>
  <c r="E39" i="22749" s="1"/>
  <c r="CW58" i="3"/>
  <c r="CW57" i="3"/>
  <c r="CP58" i="3"/>
  <c r="CP57" i="3"/>
  <c r="CI58" i="3"/>
  <c r="CI57" i="3"/>
  <c r="CB58" i="3"/>
  <c r="CB57" i="3"/>
  <c r="BU58" i="3"/>
  <c r="BU57" i="3"/>
  <c r="BN58" i="3"/>
  <c r="BN57" i="3"/>
  <c r="BG58" i="3"/>
  <c r="BG57" i="3"/>
  <c r="AZ58" i="3"/>
  <c r="AZ57" i="3"/>
  <c r="AS58" i="3"/>
  <c r="AS57" i="3"/>
  <c r="AL58" i="3"/>
  <c r="AL57" i="3"/>
  <c r="AE58" i="3"/>
  <c r="AE57" i="3"/>
  <c r="X58" i="3"/>
  <c r="X57" i="3"/>
  <c r="C49" i="1"/>
  <c r="C50" i="1" s="1"/>
  <c r="B22" i="22715"/>
  <c r="C22" i="22715" s="1"/>
  <c r="H147" i="1"/>
  <c r="D147" i="1" s="1"/>
  <c r="H148" i="1"/>
  <c r="D49" i="1"/>
  <c r="L11" i="3" s="1"/>
  <c r="D50" i="1"/>
  <c r="S11" i="3" s="1"/>
  <c r="D83" i="4"/>
  <c r="C83" i="4"/>
  <c r="F82" i="4"/>
  <c r="B129" i="4" s="1"/>
  <c r="H101" i="22715" s="1"/>
  <c r="C71" i="4"/>
  <c r="C72" i="4"/>
  <c r="D68" i="4"/>
  <c r="D78" i="4"/>
  <c r="E78" i="4"/>
  <c r="E37" i="4"/>
  <c r="E33" i="4"/>
  <c r="F33" i="4" s="1"/>
  <c r="E34" i="4"/>
  <c r="E35" i="4"/>
  <c r="E36" i="4"/>
  <c r="C30" i="4"/>
  <c r="E30" i="4"/>
  <c r="D51" i="1"/>
  <c r="Z11" i="3" s="1"/>
  <c r="D52" i="1"/>
  <c r="AG11" i="3" s="1"/>
  <c r="D53" i="1"/>
  <c r="AN11" i="3" s="1"/>
  <c r="D54" i="1"/>
  <c r="AU11" i="3" s="1"/>
  <c r="D55" i="1"/>
  <c r="BB11" i="3" s="1"/>
  <c r="D56" i="1"/>
  <c r="BI11" i="3" s="1"/>
  <c r="D57" i="1"/>
  <c r="BP11" i="3" s="1"/>
  <c r="D58" i="1"/>
  <c r="BW11" i="3" s="1"/>
  <c r="D59" i="1"/>
  <c r="CD11" i="3" s="1"/>
  <c r="D60" i="1"/>
  <c r="CK11" i="3" s="1"/>
  <c r="D61" i="1"/>
  <c r="CR11" i="3" s="1"/>
  <c r="D62" i="1"/>
  <c r="CY11" i="3" s="1"/>
  <c r="F14" i="4"/>
  <c r="B51" i="22715" s="1"/>
  <c r="B39" i="22715"/>
  <c r="C39" i="22715" s="1"/>
  <c r="H138" i="22744"/>
  <c r="D138" i="22744" s="1"/>
  <c r="E93" i="22744"/>
  <c r="C83" i="22747"/>
  <c r="F82" i="22747"/>
  <c r="B129" i="22747" s="1"/>
  <c r="J101" i="22715" s="1"/>
  <c r="C18" i="22747"/>
  <c r="D52" i="22747"/>
  <c r="D50" i="22747"/>
  <c r="D51" i="22747"/>
  <c r="D68" i="22747"/>
  <c r="C55" i="22747"/>
  <c r="D55" i="22747"/>
  <c r="C56" i="22747"/>
  <c r="D56" i="22747"/>
  <c r="E65" i="22744"/>
  <c r="D12" i="22747" s="1"/>
  <c r="D78" i="22747"/>
  <c r="C53" i="22747"/>
  <c r="C54" i="22747"/>
  <c r="B30" i="22747"/>
  <c r="C30" i="22747"/>
  <c r="E30" i="22747"/>
  <c r="D17" i="22747"/>
  <c r="D18" i="22747"/>
  <c r="CV33" i="3"/>
  <c r="Y78" i="3"/>
  <c r="X78" i="3"/>
  <c r="AA77" i="3"/>
  <c r="Y12" i="3"/>
  <c r="Y74" i="3"/>
  <c r="Z74" i="3"/>
  <c r="Y47" i="3"/>
  <c r="Y48" i="3"/>
  <c r="X18" i="3"/>
  <c r="X19" i="3"/>
  <c r="Y49" i="3"/>
  <c r="X52" i="3"/>
  <c r="Y52" i="3"/>
  <c r="Y53" i="3"/>
  <c r="X53" i="3"/>
  <c r="X51" i="3"/>
  <c r="AA59" i="3"/>
  <c r="Y64" i="3"/>
  <c r="W33" i="3"/>
  <c r="Z40" i="3"/>
  <c r="AA36" i="3"/>
  <c r="Z37" i="3"/>
  <c r="Z38" i="3"/>
  <c r="Z39" i="3"/>
  <c r="Y18" i="3"/>
  <c r="Z18" i="3"/>
  <c r="Y19" i="3"/>
  <c r="Z19" i="3"/>
  <c r="AA14" i="3"/>
  <c r="AF78" i="3"/>
  <c r="AE78" i="3"/>
  <c r="AH77" i="3"/>
  <c r="AF12" i="3"/>
  <c r="H27" i="22714" s="1"/>
  <c r="AF74" i="3"/>
  <c r="AG74" i="3"/>
  <c r="AF47" i="3"/>
  <c r="AF48" i="3"/>
  <c r="AE18" i="3"/>
  <c r="AE19" i="3"/>
  <c r="AF49" i="3"/>
  <c r="AE52" i="3"/>
  <c r="AF52" i="3"/>
  <c r="AF53" i="3"/>
  <c r="AE53" i="3"/>
  <c r="AE51" i="3"/>
  <c r="AH59" i="3"/>
  <c r="AF64" i="3"/>
  <c r="AD33" i="3"/>
  <c r="AG40" i="3"/>
  <c r="AH36" i="3"/>
  <c r="AG37" i="3"/>
  <c r="AG38" i="3"/>
  <c r="AG39" i="3"/>
  <c r="AF18" i="3"/>
  <c r="AG18" i="3"/>
  <c r="AF19" i="3"/>
  <c r="AG19" i="3"/>
  <c r="AH14" i="3"/>
  <c r="AM78" i="3"/>
  <c r="AL78" i="3"/>
  <c r="AO77" i="3"/>
  <c r="AM12" i="3"/>
  <c r="H28" i="22714" s="1"/>
  <c r="AM74" i="3"/>
  <c r="AN74" i="3"/>
  <c r="AM47" i="3"/>
  <c r="AM48" i="3"/>
  <c r="AL18" i="3"/>
  <c r="AL19" i="3"/>
  <c r="AM49" i="3"/>
  <c r="AL52" i="3"/>
  <c r="AM52" i="3"/>
  <c r="AM53" i="3"/>
  <c r="AL53" i="3"/>
  <c r="AL51" i="3"/>
  <c r="AO59" i="3"/>
  <c r="AM64" i="3"/>
  <c r="AK33" i="3"/>
  <c r="AN40" i="3"/>
  <c r="AO36" i="3"/>
  <c r="AN37" i="3"/>
  <c r="AN38" i="3"/>
  <c r="AN39" i="3"/>
  <c r="AM18" i="3"/>
  <c r="AN18" i="3"/>
  <c r="AM19" i="3"/>
  <c r="AN19" i="3"/>
  <c r="AO14" i="3"/>
  <c r="AT78" i="3"/>
  <c r="AS78" i="3"/>
  <c r="AV77" i="3"/>
  <c r="AT12" i="3"/>
  <c r="H29" i="22714" s="1"/>
  <c r="AT74" i="3"/>
  <c r="AU74" i="3"/>
  <c r="AT47" i="3"/>
  <c r="AT48" i="3"/>
  <c r="AS18" i="3"/>
  <c r="AS19" i="3"/>
  <c r="AT49" i="3"/>
  <c r="AS52" i="3"/>
  <c r="AT52" i="3"/>
  <c r="AT53" i="3"/>
  <c r="AS53" i="3"/>
  <c r="AS51" i="3"/>
  <c r="AV59" i="3"/>
  <c r="AT64" i="3"/>
  <c r="AR33" i="3"/>
  <c r="AU40" i="3"/>
  <c r="AV36" i="3"/>
  <c r="AU37" i="3"/>
  <c r="AU38" i="3"/>
  <c r="AU39" i="3"/>
  <c r="AT18" i="3"/>
  <c r="AU18" i="3"/>
  <c r="AT19" i="3"/>
  <c r="AU19" i="3"/>
  <c r="AV14" i="3"/>
  <c r="BA78" i="3"/>
  <c r="AZ78" i="3"/>
  <c r="BC77" i="3"/>
  <c r="BA12" i="3"/>
  <c r="H30" i="22714" s="1"/>
  <c r="BA74" i="3"/>
  <c r="BB74" i="3"/>
  <c r="BA47" i="3"/>
  <c r="BA48" i="3"/>
  <c r="AZ18" i="3"/>
  <c r="AZ19" i="3"/>
  <c r="BA49" i="3"/>
  <c r="AZ52" i="3"/>
  <c r="BA52" i="3"/>
  <c r="BA53" i="3"/>
  <c r="AZ53" i="3"/>
  <c r="AZ51" i="3"/>
  <c r="BC59" i="3"/>
  <c r="BA64" i="3"/>
  <c r="AY33" i="3"/>
  <c r="BB40" i="3"/>
  <c r="BC36" i="3"/>
  <c r="BB37" i="3"/>
  <c r="BB38" i="3"/>
  <c r="BB39" i="3"/>
  <c r="BA18" i="3"/>
  <c r="BB18" i="3"/>
  <c r="BA19" i="3"/>
  <c r="BB19" i="3"/>
  <c r="BC14" i="3"/>
  <c r="BH78" i="3"/>
  <c r="BG78" i="3"/>
  <c r="BJ77" i="3"/>
  <c r="BH12" i="3"/>
  <c r="H31" i="22714" s="1"/>
  <c r="BH74" i="3"/>
  <c r="BI74" i="3"/>
  <c r="BH47" i="3"/>
  <c r="BH48" i="3"/>
  <c r="BG18" i="3"/>
  <c r="BG19" i="3"/>
  <c r="BH49" i="3"/>
  <c r="BG52" i="3"/>
  <c r="BH52" i="3"/>
  <c r="BH53" i="3"/>
  <c r="BG53" i="3"/>
  <c r="BG51" i="3"/>
  <c r="BJ59" i="3"/>
  <c r="BH64" i="3"/>
  <c r="BF33" i="3"/>
  <c r="BI40" i="3"/>
  <c r="BJ36" i="3"/>
  <c r="BI37" i="3"/>
  <c r="BI38" i="3"/>
  <c r="BI39" i="3"/>
  <c r="BH18" i="3"/>
  <c r="BI18" i="3"/>
  <c r="BH19" i="3"/>
  <c r="BI19" i="3"/>
  <c r="BJ14" i="3"/>
  <c r="BO78" i="3"/>
  <c r="BN78" i="3"/>
  <c r="BQ77" i="3"/>
  <c r="BO12" i="3"/>
  <c r="H32" i="22714" s="1"/>
  <c r="BO74" i="3"/>
  <c r="BP74" i="3"/>
  <c r="BO47" i="3"/>
  <c r="BO48" i="3"/>
  <c r="BN18" i="3"/>
  <c r="BN19" i="3"/>
  <c r="BO49" i="3"/>
  <c r="BN52" i="3"/>
  <c r="BO52" i="3"/>
  <c r="BO53" i="3"/>
  <c r="BN53" i="3"/>
  <c r="BN51" i="3"/>
  <c r="BQ59" i="3"/>
  <c r="BO64" i="3"/>
  <c r="BM33" i="3"/>
  <c r="BP40" i="3"/>
  <c r="BQ36" i="3"/>
  <c r="BP37" i="3"/>
  <c r="BP38" i="3"/>
  <c r="BP39" i="3"/>
  <c r="BO18" i="3"/>
  <c r="BP18" i="3"/>
  <c r="BO19" i="3"/>
  <c r="BP19" i="3"/>
  <c r="BQ14" i="3"/>
  <c r="BV78" i="3"/>
  <c r="BU78" i="3"/>
  <c r="BX77" i="3"/>
  <c r="BV12" i="3"/>
  <c r="H33" i="22714" s="1"/>
  <c r="BV74" i="3"/>
  <c r="BW74" i="3"/>
  <c r="BV47" i="3"/>
  <c r="BV48" i="3"/>
  <c r="BU18" i="3"/>
  <c r="BU19" i="3"/>
  <c r="BV49" i="3"/>
  <c r="BU52" i="3"/>
  <c r="BV52" i="3"/>
  <c r="BV53" i="3"/>
  <c r="BU53" i="3"/>
  <c r="BU51" i="3"/>
  <c r="BX59" i="3"/>
  <c r="BV64" i="3"/>
  <c r="BT33" i="3"/>
  <c r="BW40" i="3"/>
  <c r="BX36" i="3"/>
  <c r="BW37" i="3"/>
  <c r="BW38" i="3"/>
  <c r="BW39" i="3"/>
  <c r="BV18" i="3"/>
  <c r="BW18" i="3"/>
  <c r="BV19" i="3"/>
  <c r="BW19" i="3"/>
  <c r="BX14" i="3"/>
  <c r="CC78" i="3"/>
  <c r="CB78" i="3"/>
  <c r="CE77" i="3"/>
  <c r="CC12" i="3"/>
  <c r="CC74" i="3"/>
  <c r="CD74" i="3"/>
  <c r="CC47" i="3"/>
  <c r="CC48" i="3"/>
  <c r="CB18" i="3"/>
  <c r="CB19" i="3"/>
  <c r="CC49" i="3"/>
  <c r="CB52" i="3"/>
  <c r="CE52" i="3" s="1"/>
  <c r="CC52" i="3"/>
  <c r="CC53" i="3"/>
  <c r="CB53" i="3"/>
  <c r="CB51" i="3"/>
  <c r="CE59" i="3"/>
  <c r="CC64" i="3"/>
  <c r="CA33" i="3"/>
  <c r="CD40" i="3"/>
  <c r="CE36" i="3"/>
  <c r="CD37" i="3"/>
  <c r="CD38" i="3"/>
  <c r="CD39" i="3"/>
  <c r="CC18" i="3"/>
  <c r="CD18" i="3"/>
  <c r="CC19" i="3"/>
  <c r="CD19" i="3"/>
  <c r="CE14" i="3"/>
  <c r="CJ78" i="3"/>
  <c r="CI78" i="3"/>
  <c r="CL77" i="3"/>
  <c r="CJ12" i="3"/>
  <c r="H35" i="22714" s="1"/>
  <c r="CJ74" i="3"/>
  <c r="CK74" i="3"/>
  <c r="CJ47" i="3"/>
  <c r="CJ48" i="3"/>
  <c r="CI18" i="3"/>
  <c r="CI19" i="3"/>
  <c r="CJ49" i="3"/>
  <c r="CI52" i="3"/>
  <c r="CJ52" i="3"/>
  <c r="CJ53" i="3"/>
  <c r="CI53" i="3"/>
  <c r="CI51" i="3"/>
  <c r="CL59" i="3"/>
  <c r="CJ64" i="3"/>
  <c r="CH33" i="3"/>
  <c r="CK40" i="3"/>
  <c r="CL36" i="3"/>
  <c r="CK37" i="3"/>
  <c r="CK38" i="3"/>
  <c r="CK39" i="3"/>
  <c r="CJ18" i="3"/>
  <c r="CK18" i="3"/>
  <c r="CJ19" i="3"/>
  <c r="CK19" i="3"/>
  <c r="CL14" i="3"/>
  <c r="CQ78" i="3"/>
  <c r="CP78" i="3"/>
  <c r="CS77" i="3"/>
  <c r="CQ12" i="3"/>
  <c r="H36" i="22714" s="1"/>
  <c r="CQ74" i="3"/>
  <c r="CR74" i="3"/>
  <c r="CQ47" i="3"/>
  <c r="CQ48" i="3"/>
  <c r="CP18" i="3"/>
  <c r="CP19" i="3"/>
  <c r="CQ49" i="3"/>
  <c r="CP52" i="3"/>
  <c r="CQ52" i="3"/>
  <c r="CQ53" i="3"/>
  <c r="CP53" i="3"/>
  <c r="CP51" i="3"/>
  <c r="CS59" i="3"/>
  <c r="CQ64" i="3"/>
  <c r="CO33" i="3"/>
  <c r="CR40" i="3"/>
  <c r="CS36" i="3"/>
  <c r="CR37" i="3"/>
  <c r="CR38" i="3"/>
  <c r="CR39" i="3"/>
  <c r="CQ18" i="3"/>
  <c r="CR18" i="3"/>
  <c r="CQ19" i="3"/>
  <c r="CR19" i="3"/>
  <c r="CS14" i="3"/>
  <c r="CX78" i="3"/>
  <c r="CW78" i="3"/>
  <c r="CZ77" i="3"/>
  <c r="CX12" i="3"/>
  <c r="H37" i="22714" s="1"/>
  <c r="CX74" i="3"/>
  <c r="CY74" i="3"/>
  <c r="CX47" i="3"/>
  <c r="CX48" i="3"/>
  <c r="CW18" i="3"/>
  <c r="CW19" i="3"/>
  <c r="CX49" i="3"/>
  <c r="CW52" i="3"/>
  <c r="CX52" i="3"/>
  <c r="CX53" i="3"/>
  <c r="CW53" i="3"/>
  <c r="CW51" i="3"/>
  <c r="CZ59" i="3"/>
  <c r="CX64" i="3"/>
  <c r="CY40" i="3"/>
  <c r="CZ36" i="3"/>
  <c r="CY37" i="3"/>
  <c r="CY38" i="3"/>
  <c r="CY39" i="3"/>
  <c r="CX18" i="3"/>
  <c r="CY18" i="3"/>
  <c r="CX19" i="3"/>
  <c r="CY19" i="3"/>
  <c r="CV87" i="3"/>
  <c r="B51" i="2"/>
  <c r="C181" i="22744"/>
  <c r="CV33" i="22746"/>
  <c r="CX18" i="22746"/>
  <c r="CX19" i="22746"/>
  <c r="CO33" i="22746"/>
  <c r="CQ18" i="22746"/>
  <c r="CQ19" i="22746"/>
  <c r="CH33" i="22746"/>
  <c r="CJ18" i="22746"/>
  <c r="CJ19" i="22746"/>
  <c r="CA33" i="22746"/>
  <c r="CC18" i="22746"/>
  <c r="CC19" i="22746"/>
  <c r="BT33" i="22746"/>
  <c r="BV18" i="22746"/>
  <c r="BV19" i="22746"/>
  <c r="BM33" i="22746"/>
  <c r="BO18" i="22746"/>
  <c r="BO19" i="22746"/>
  <c r="BF33" i="22746"/>
  <c r="BH18" i="22746"/>
  <c r="BH19" i="22746"/>
  <c r="AY33" i="22746"/>
  <c r="BA18" i="22746"/>
  <c r="BA19" i="22746"/>
  <c r="AR33" i="22746"/>
  <c r="AT18" i="22746"/>
  <c r="AT19" i="22746"/>
  <c r="AK33" i="22746"/>
  <c r="AM18" i="22746"/>
  <c r="AM19" i="22746"/>
  <c r="AD33" i="22746"/>
  <c r="AF18" i="22746"/>
  <c r="AF19" i="22746"/>
  <c r="W33" i="22746"/>
  <c r="Y18" i="22746"/>
  <c r="Y19" i="22746"/>
  <c r="B38" i="22715"/>
  <c r="C38" i="22715" s="1"/>
  <c r="C23" i="1"/>
  <c r="C36" i="1"/>
  <c r="AG64" i="3" s="1"/>
  <c r="B74" i="1"/>
  <c r="AB9" i="3" s="1"/>
  <c r="B75" i="1"/>
  <c r="B76" i="1"/>
  <c r="AP9" i="3" s="1"/>
  <c r="B77" i="1"/>
  <c r="AW9" i="3" s="1"/>
  <c r="B78" i="1"/>
  <c r="BD9" i="3" s="1"/>
  <c r="B79" i="1"/>
  <c r="B80" i="1"/>
  <c r="BR9" i="3" s="1"/>
  <c r="B81" i="1"/>
  <c r="BY9" i="3" s="1"/>
  <c r="B82" i="1"/>
  <c r="CF9" i="3" s="1"/>
  <c r="B83" i="1"/>
  <c r="CM9" i="3" s="1"/>
  <c r="B84" i="1"/>
  <c r="B85" i="1"/>
  <c r="DA9" i="3" s="1"/>
  <c r="B72" i="1"/>
  <c r="N9" i="3" s="1"/>
  <c r="B73" i="1"/>
  <c r="U9" i="3" s="1"/>
  <c r="AN48" i="3"/>
  <c r="AO48" i="3" s="1"/>
  <c r="E65" i="1"/>
  <c r="D12" i="4" s="1"/>
  <c r="C74" i="1"/>
  <c r="C75" i="1"/>
  <c r="AI10" i="3" s="1"/>
  <c r="C76" i="1"/>
  <c r="C77" i="1"/>
  <c r="AW10" i="3" s="1"/>
  <c r="C78" i="1"/>
  <c r="BD10" i="3" s="1"/>
  <c r="C79" i="1"/>
  <c r="BK10" i="3" s="1"/>
  <c r="C80" i="1"/>
  <c r="C81" i="1"/>
  <c r="BY10" i="3" s="1"/>
  <c r="C82" i="1"/>
  <c r="CF10" i="3" s="1"/>
  <c r="C83" i="1"/>
  <c r="CM10" i="3" s="1"/>
  <c r="C84" i="1"/>
  <c r="CT10" i="3" s="1"/>
  <c r="C85" i="1"/>
  <c r="DA10" i="3" s="1"/>
  <c r="D74" i="1"/>
  <c r="D75" i="1"/>
  <c r="D76" i="1"/>
  <c r="D77" i="1"/>
  <c r="D78" i="1"/>
  <c r="D79" i="1"/>
  <c r="D80" i="1"/>
  <c r="D81" i="1"/>
  <c r="D82" i="1"/>
  <c r="D83" i="1"/>
  <c r="D84" i="1"/>
  <c r="D85" i="1"/>
  <c r="E74" i="1"/>
  <c r="E75" i="1"/>
  <c r="E76" i="1"/>
  <c r="E77" i="1"/>
  <c r="E78" i="1"/>
  <c r="E79" i="1"/>
  <c r="E80" i="1"/>
  <c r="E81" i="1"/>
  <c r="E82" i="1"/>
  <c r="E83" i="1"/>
  <c r="E84" i="1"/>
  <c r="E85" i="1"/>
  <c r="G74" i="1"/>
  <c r="G75" i="1"/>
  <c r="G76" i="1"/>
  <c r="G77" i="1"/>
  <c r="G78" i="1"/>
  <c r="G79" i="1"/>
  <c r="G80" i="1"/>
  <c r="G81" i="1"/>
  <c r="G82" i="1"/>
  <c r="G83" i="1"/>
  <c r="G84" i="1"/>
  <c r="G85" i="1"/>
  <c r="H12" i="22750"/>
  <c r="H16" i="22750"/>
  <c r="H17" i="22750"/>
  <c r="H20" i="22750"/>
  <c r="H21" i="22750"/>
  <c r="H22" i="22750"/>
  <c r="H23" i="22750"/>
  <c r="H24" i="22750"/>
  <c r="H25" i="22750"/>
  <c r="F41" i="22750"/>
  <c r="F42" i="22750" s="1"/>
  <c r="D45" i="22750" s="1"/>
  <c r="G35" i="22750"/>
  <c r="D35" i="22750"/>
  <c r="H40" i="22750"/>
  <c r="E41" i="22750"/>
  <c r="E42" i="22750" s="1"/>
  <c r="D46" i="22750" s="1"/>
  <c r="H68" i="22750"/>
  <c r="H69" i="22750"/>
  <c r="H72" i="22750"/>
  <c r="H73" i="22750"/>
  <c r="H74" i="22750"/>
  <c r="H75" i="22750"/>
  <c r="H76" i="22750"/>
  <c r="H77" i="22750"/>
  <c r="F94" i="22750"/>
  <c r="F95" i="22750" s="1"/>
  <c r="D98" i="22750" s="1"/>
  <c r="H98" i="22750" s="1"/>
  <c r="D87" i="22750"/>
  <c r="H87" i="22750"/>
  <c r="H95" i="22750" s="1"/>
  <c r="H88" i="22750"/>
  <c r="H93" i="22750"/>
  <c r="E94" i="22750"/>
  <c r="E95" i="22750"/>
  <c r="D99" i="22750" s="1"/>
  <c r="C157" i="1"/>
  <c r="E161" i="1"/>
  <c r="BX43" i="3" s="1"/>
  <c r="F71" i="1"/>
  <c r="CX47" i="22746"/>
  <c r="CW18" i="22746"/>
  <c r="CW19" i="22746"/>
  <c r="CX49" i="22746"/>
  <c r="CX48" i="22746"/>
  <c r="CX64" i="22746"/>
  <c r="CW52" i="22746"/>
  <c r="CX52" i="22746"/>
  <c r="CW53" i="22746"/>
  <c r="CX53" i="22746"/>
  <c r="C73" i="1"/>
  <c r="U10" i="3" s="1"/>
  <c r="C72" i="1"/>
  <c r="N10" i="3" s="1"/>
  <c r="CU33" i="3"/>
  <c r="CN33" i="3"/>
  <c r="CG33" i="3"/>
  <c r="BZ33" i="3"/>
  <c r="BS33" i="3"/>
  <c r="BL33" i="3"/>
  <c r="BE33" i="3"/>
  <c r="AX33" i="3"/>
  <c r="AQ33" i="3"/>
  <c r="AJ33" i="3"/>
  <c r="AC33" i="3"/>
  <c r="V33" i="3"/>
  <c r="H33" i="3"/>
  <c r="C180" i="22744"/>
  <c r="I55" i="3"/>
  <c r="P55" i="3"/>
  <c r="Q55" i="3"/>
  <c r="W55" i="3"/>
  <c r="X55" i="3"/>
  <c r="AD55" i="3"/>
  <c r="AE55" i="3"/>
  <c r="AK55" i="3"/>
  <c r="AL55" i="3"/>
  <c r="AR55" i="3"/>
  <c r="AS55" i="3"/>
  <c r="AY55" i="3"/>
  <c r="AZ55" i="3"/>
  <c r="BF55" i="3"/>
  <c r="BG55" i="3"/>
  <c r="BM55" i="3"/>
  <c r="BN55" i="3"/>
  <c r="BT55" i="3"/>
  <c r="BU55" i="3"/>
  <c r="CA55" i="3"/>
  <c r="CB55" i="3"/>
  <c r="CH55" i="3"/>
  <c r="CI55" i="3"/>
  <c r="CO55" i="3"/>
  <c r="CP55" i="3"/>
  <c r="CV55" i="3"/>
  <c r="CW55" i="3"/>
  <c r="P55" i="22746"/>
  <c r="W55" i="22746"/>
  <c r="AD55" i="22746"/>
  <c r="AK55" i="22746"/>
  <c r="AR55" i="22746"/>
  <c r="AY55" i="22746"/>
  <c r="BF55" i="22746"/>
  <c r="BM55" i="22746"/>
  <c r="BT55" i="22746"/>
  <c r="CA55" i="22746"/>
  <c r="CH55" i="22746"/>
  <c r="CO55" i="22746"/>
  <c r="CV55" i="22746"/>
  <c r="I55" i="22746"/>
  <c r="B56" i="22745"/>
  <c r="B56" i="2"/>
  <c r="C58" i="4"/>
  <c r="F98" i="22751"/>
  <c r="F99" i="22751" s="1"/>
  <c r="D102" i="22751" s="1"/>
  <c r="D91" i="22751"/>
  <c r="H91" i="22751" s="1"/>
  <c r="D107" i="22751" s="1"/>
  <c r="H107" i="22751" s="1"/>
  <c r="H92" i="22751"/>
  <c r="E98" i="22751"/>
  <c r="E99" i="22751" s="1"/>
  <c r="D103" i="22751" s="1"/>
  <c r="H16" i="22751"/>
  <c r="H20" i="22751"/>
  <c r="H21" i="22751"/>
  <c r="H24" i="22751"/>
  <c r="H25" i="22751"/>
  <c r="H26" i="22751"/>
  <c r="H27" i="22751"/>
  <c r="H28" i="22751"/>
  <c r="H29" i="22751"/>
  <c r="E44" i="22751"/>
  <c r="E45" i="22751" s="1"/>
  <c r="D49" i="22751" s="1"/>
  <c r="H49" i="22751" s="1"/>
  <c r="G38" i="22751"/>
  <c r="D38" i="22751"/>
  <c r="H38" i="22751" s="1"/>
  <c r="H45" i="22751" s="1"/>
  <c r="H39" i="22751"/>
  <c r="H43" i="22751"/>
  <c r="C54" i="22752"/>
  <c r="B55" i="3"/>
  <c r="C23" i="22744"/>
  <c r="E59" i="22750" s="1"/>
  <c r="C54" i="22749"/>
  <c r="C157" i="22744"/>
  <c r="AM45" i="22746" s="1"/>
  <c r="E161" i="22744"/>
  <c r="BJ43" i="22746" s="1"/>
  <c r="B28" i="1"/>
  <c r="B29" i="1" s="1"/>
  <c r="B80" i="22752"/>
  <c r="B81" i="22752"/>
  <c r="B82" i="22752"/>
  <c r="B83" i="22752"/>
  <c r="B84" i="22752"/>
  <c r="B85" i="22752"/>
  <c r="B86" i="22752"/>
  <c r="B87" i="22752"/>
  <c r="B88" i="22752"/>
  <c r="B89" i="22752"/>
  <c r="B90" i="22752"/>
  <c r="B91" i="22752"/>
  <c r="B58" i="4"/>
  <c r="B55" i="22746"/>
  <c r="B28" i="22744"/>
  <c r="B29" i="22744" s="1"/>
  <c r="D40" i="22747" s="1"/>
  <c r="B81" i="22749"/>
  <c r="B82" i="22749"/>
  <c r="B83" i="22749"/>
  <c r="B84" i="22749"/>
  <c r="B85" i="22749"/>
  <c r="B86" i="22749"/>
  <c r="B87" i="22749"/>
  <c r="B88" i="22749"/>
  <c r="B89" i="22749"/>
  <c r="B90" i="22749"/>
  <c r="B91" i="22749"/>
  <c r="B92" i="22749"/>
  <c r="B58" i="22747"/>
  <c r="A1" i="2"/>
  <c r="A1" i="22714" s="1"/>
  <c r="A1" i="22751"/>
  <c r="A1" i="22752"/>
  <c r="A1" i="1"/>
  <c r="A1" i="22745"/>
  <c r="A1" i="22746" s="1"/>
  <c r="A1" i="22750"/>
  <c r="A1" i="22749"/>
  <c r="A1" i="22744"/>
  <c r="H9" i="22751"/>
  <c r="G9" i="22751"/>
  <c r="H63" i="22751"/>
  <c r="G63" i="22751"/>
  <c r="F59" i="22750"/>
  <c r="C59" i="22750"/>
  <c r="H72" i="22751"/>
  <c r="H73" i="22751"/>
  <c r="H76" i="22751"/>
  <c r="H77" i="22751"/>
  <c r="H78" i="22751"/>
  <c r="H79" i="22751"/>
  <c r="H80" i="22751"/>
  <c r="H81" i="22751"/>
  <c r="D63" i="22751"/>
  <c r="D9" i="22751"/>
  <c r="F44" i="22751"/>
  <c r="B40" i="22715"/>
  <c r="C40" i="22715" s="1"/>
  <c r="B37" i="22715"/>
  <c r="C37" i="22715" s="1"/>
  <c r="B186" i="1"/>
  <c r="B187" i="1"/>
  <c r="B184" i="1"/>
  <c r="B181" i="1"/>
  <c r="B182" i="1"/>
  <c r="B180" i="1"/>
  <c r="B185" i="22744"/>
  <c r="B186" i="22744"/>
  <c r="B183" i="22744"/>
  <c r="B180" i="22744"/>
  <c r="B181" i="22744"/>
  <c r="B179" i="22744"/>
  <c r="A33" i="3"/>
  <c r="D81" i="22752"/>
  <c r="AE33" i="3" s="1"/>
  <c r="E81" i="22752"/>
  <c r="AG33" i="3" s="1"/>
  <c r="E92" i="22749"/>
  <c r="CY33" i="22746" s="1"/>
  <c r="D92" i="22749"/>
  <c r="CW33" i="22746" s="1"/>
  <c r="E91" i="22749"/>
  <c r="CR33" i="22746" s="1"/>
  <c r="D91" i="22749"/>
  <c r="CP33" i="22746" s="1"/>
  <c r="E90" i="22749"/>
  <c r="CK33" i="22746" s="1"/>
  <c r="D90" i="22749"/>
  <c r="CI33" i="22746" s="1"/>
  <c r="E89" i="22749"/>
  <c r="CD33" i="22746" s="1"/>
  <c r="D89" i="22749"/>
  <c r="CB33" i="22746" s="1"/>
  <c r="E88" i="22749"/>
  <c r="BW33" i="22746" s="1"/>
  <c r="D88" i="22749"/>
  <c r="BU33" i="22746" s="1"/>
  <c r="E87" i="22749"/>
  <c r="BP33" i="22746" s="1"/>
  <c r="D87" i="22749"/>
  <c r="BN33" i="22746" s="1"/>
  <c r="E86" i="22749"/>
  <c r="BI33" i="22746" s="1"/>
  <c r="D86" i="22749"/>
  <c r="BG33" i="22746" s="1"/>
  <c r="E85" i="22749"/>
  <c r="BB33" i="22746" s="1"/>
  <c r="D85" i="22749"/>
  <c r="AZ33" i="22746" s="1"/>
  <c r="E84" i="22749"/>
  <c r="AU33" i="22746" s="1"/>
  <c r="D84" i="22749"/>
  <c r="AS33" i="22746" s="1"/>
  <c r="E83" i="22749"/>
  <c r="AN33" i="22746" s="1"/>
  <c r="D83" i="22749"/>
  <c r="AL33" i="22746" s="1"/>
  <c r="E82" i="22749"/>
  <c r="AG33" i="22746" s="1"/>
  <c r="E81" i="22749"/>
  <c r="Z33" i="22746" s="1"/>
  <c r="E80" i="22749"/>
  <c r="S33" i="22746" s="1"/>
  <c r="E79" i="22749"/>
  <c r="L33" i="22746" s="1"/>
  <c r="D82" i="22749"/>
  <c r="AE33" i="22746" s="1"/>
  <c r="D81" i="22749"/>
  <c r="X33" i="22746" s="1"/>
  <c r="B80" i="22749"/>
  <c r="D80" i="22749"/>
  <c r="Q33" i="22746" s="1"/>
  <c r="B79" i="22749"/>
  <c r="D79" i="22749"/>
  <c r="J33" i="22746" s="1"/>
  <c r="CU33" i="22746"/>
  <c r="CN33" i="22746"/>
  <c r="CG33" i="22746"/>
  <c r="BZ33" i="22746"/>
  <c r="BS33" i="22746"/>
  <c r="BL33" i="22746"/>
  <c r="BE33" i="22746"/>
  <c r="AX33" i="22746"/>
  <c r="AQ33" i="22746"/>
  <c r="AJ33" i="22746"/>
  <c r="AC33" i="22746"/>
  <c r="V33" i="22746"/>
  <c r="O33" i="22746"/>
  <c r="H33" i="22746"/>
  <c r="A33" i="22746"/>
  <c r="A30" i="4"/>
  <c r="A30" i="22747"/>
  <c r="B78" i="22752"/>
  <c r="B79" i="22752"/>
  <c r="D80" i="22752"/>
  <c r="X33" i="3" s="1"/>
  <c r="D82" i="22752"/>
  <c r="AL33" i="3" s="1"/>
  <c r="D83" i="22752"/>
  <c r="AS33" i="3" s="1"/>
  <c r="D84" i="22752"/>
  <c r="AZ33" i="3" s="1"/>
  <c r="D85" i="22752"/>
  <c r="BG33" i="3" s="1"/>
  <c r="D86" i="22752"/>
  <c r="BN33" i="3" s="1"/>
  <c r="D87" i="22752"/>
  <c r="BU33" i="3" s="1"/>
  <c r="D88" i="22752"/>
  <c r="CB33" i="3" s="1"/>
  <c r="D89" i="22752"/>
  <c r="D90" i="22752"/>
  <c r="CP33" i="3" s="1"/>
  <c r="E91" i="22752"/>
  <c r="CY33" i="3" s="1"/>
  <c r="E90" i="22752"/>
  <c r="CR33" i="3" s="1"/>
  <c r="E89" i="22752"/>
  <c r="CK33" i="3" s="1"/>
  <c r="E88" i="22752"/>
  <c r="CD33" i="3" s="1"/>
  <c r="E87" i="22752"/>
  <c r="BW33" i="3" s="1"/>
  <c r="E86" i="22752"/>
  <c r="BP33" i="3" s="1"/>
  <c r="E85" i="22752"/>
  <c r="BI33" i="3" s="1"/>
  <c r="E84" i="22752"/>
  <c r="BB33" i="3" s="1"/>
  <c r="E83" i="22752"/>
  <c r="AU33" i="3" s="1"/>
  <c r="E82" i="22752"/>
  <c r="AN33" i="3" s="1"/>
  <c r="E80" i="22752"/>
  <c r="Z33" i="3" s="1"/>
  <c r="E79" i="22752"/>
  <c r="S33" i="3" s="1"/>
  <c r="D79" i="22752"/>
  <c r="Q33" i="3" s="1"/>
  <c r="E78" i="22752"/>
  <c r="L33" i="3" s="1"/>
  <c r="D78" i="22752"/>
  <c r="D93" i="22749"/>
  <c r="B3" i="22744"/>
  <c r="B3" i="22749" s="1"/>
  <c r="A3" i="22749"/>
  <c r="E14" i="22752"/>
  <c r="E15" i="22752"/>
  <c r="E16" i="22752"/>
  <c r="E17" i="22752"/>
  <c r="E18" i="22752"/>
  <c r="E19" i="22752"/>
  <c r="E20" i="22752"/>
  <c r="E21" i="22752"/>
  <c r="E22" i="22752"/>
  <c r="E23" i="22752"/>
  <c r="E26" i="22752"/>
  <c r="E27" i="22752"/>
  <c r="E28" i="22752"/>
  <c r="E29" i="22752"/>
  <c r="E30" i="22752"/>
  <c r="D38" i="22752"/>
  <c r="E38" i="22752" s="1"/>
  <c r="E58" i="22752"/>
  <c r="E59" i="22752"/>
  <c r="E60" i="22752"/>
  <c r="E12" i="22752"/>
  <c r="E11" i="22752"/>
  <c r="E10" i="22752"/>
  <c r="E9" i="22752"/>
  <c r="E14" i="22749"/>
  <c r="E15" i="22749"/>
  <c r="E16" i="22749"/>
  <c r="E17" i="22749"/>
  <c r="E18" i="22749"/>
  <c r="E19" i="22749"/>
  <c r="E20" i="22749"/>
  <c r="E21" i="22749"/>
  <c r="E22" i="22749"/>
  <c r="E23" i="22749"/>
  <c r="E26" i="22749"/>
  <c r="E27" i="22749"/>
  <c r="E28" i="22749"/>
  <c r="E29" i="22749"/>
  <c r="E30" i="22749"/>
  <c r="E58" i="22749"/>
  <c r="E59" i="22749"/>
  <c r="E60" i="22749"/>
  <c r="E12" i="22749"/>
  <c r="E10" i="22749"/>
  <c r="E9" i="22749"/>
  <c r="X78" i="22746"/>
  <c r="AA77" i="22746"/>
  <c r="Y74" i="22746"/>
  <c r="Y47" i="22746"/>
  <c r="Y48" i="22746"/>
  <c r="X18" i="22746"/>
  <c r="X19" i="22746"/>
  <c r="Y49" i="22746"/>
  <c r="X52" i="22746"/>
  <c r="Y52" i="22746"/>
  <c r="Y53" i="22746"/>
  <c r="X53" i="22746"/>
  <c r="X51" i="22746"/>
  <c r="Y64" i="22746"/>
  <c r="AE18" i="22746"/>
  <c r="AE19" i="22746"/>
  <c r="AF49" i="22746"/>
  <c r="AF47" i="22746"/>
  <c r="AF48" i="22746"/>
  <c r="AF64" i="22746"/>
  <c r="AE52" i="22746"/>
  <c r="AF52" i="22746"/>
  <c r="AE53" i="22746"/>
  <c r="AF53" i="22746"/>
  <c r="AL18" i="22746"/>
  <c r="AL19" i="22746"/>
  <c r="AM49" i="22746"/>
  <c r="AM47" i="22746"/>
  <c r="AM48" i="22746"/>
  <c r="AM64" i="22746"/>
  <c r="AL52" i="22746"/>
  <c r="AM52" i="22746"/>
  <c r="AL53" i="22746"/>
  <c r="AM53" i="22746"/>
  <c r="AA14" i="22746"/>
  <c r="AE78" i="22746"/>
  <c r="AH77" i="22746"/>
  <c r="AF74" i="22746"/>
  <c r="AE51" i="22746"/>
  <c r="AF45" i="22746"/>
  <c r="AH14" i="22746"/>
  <c r="AL78" i="22746"/>
  <c r="AO77" i="22746"/>
  <c r="AM74" i="22746"/>
  <c r="AL51" i="22746"/>
  <c r="AO14" i="22746"/>
  <c r="AS78" i="22746"/>
  <c r="AV77" i="22746"/>
  <c r="AT74" i="22746"/>
  <c r="AT47" i="22746"/>
  <c r="AT48" i="22746"/>
  <c r="AS18" i="22746"/>
  <c r="AS19" i="22746"/>
  <c r="AT49" i="22746"/>
  <c r="AS52" i="22746"/>
  <c r="AT52" i="22746"/>
  <c r="AT53" i="22746"/>
  <c r="AS53" i="22746"/>
  <c r="AS51" i="22746"/>
  <c r="AT64" i="22746"/>
  <c r="AV14" i="22746"/>
  <c r="AZ78" i="22746"/>
  <c r="BC77" i="22746"/>
  <c r="BA74" i="22746"/>
  <c r="BA47" i="22746"/>
  <c r="BA48" i="22746"/>
  <c r="AZ18" i="22746"/>
  <c r="AZ19" i="22746"/>
  <c r="BA49" i="22746"/>
  <c r="AZ52" i="22746"/>
  <c r="BA52" i="22746"/>
  <c r="BA53" i="22746"/>
  <c r="AZ53" i="22746"/>
  <c r="AZ51" i="22746"/>
  <c r="BA64" i="22746"/>
  <c r="BC14" i="22746"/>
  <c r="BG78" i="22746"/>
  <c r="BJ77" i="22746"/>
  <c r="BH74" i="22746"/>
  <c r="BH47" i="22746"/>
  <c r="BH48" i="22746"/>
  <c r="BG18" i="22746"/>
  <c r="BG19" i="22746"/>
  <c r="BH49" i="22746"/>
  <c r="BG52" i="22746"/>
  <c r="BH52" i="22746"/>
  <c r="BH53" i="22746"/>
  <c r="BG53" i="22746"/>
  <c r="BG51" i="22746"/>
  <c r="BH64" i="22746"/>
  <c r="BJ14" i="22746"/>
  <c r="BN78" i="22746"/>
  <c r="BQ77" i="22746"/>
  <c r="BO74" i="22746"/>
  <c r="BO47" i="22746"/>
  <c r="BO48" i="22746"/>
  <c r="BN18" i="22746"/>
  <c r="BN19" i="22746"/>
  <c r="BO49" i="22746"/>
  <c r="BN52" i="22746"/>
  <c r="BO52" i="22746"/>
  <c r="BO53" i="22746"/>
  <c r="BN53" i="22746"/>
  <c r="BN51" i="22746"/>
  <c r="BO64" i="22746"/>
  <c r="BU18" i="22746"/>
  <c r="BU19" i="22746"/>
  <c r="BV49" i="22746"/>
  <c r="BV47" i="22746"/>
  <c r="BV48" i="22746"/>
  <c r="BV64" i="22746"/>
  <c r="BU52" i="22746"/>
  <c r="BV52" i="22746"/>
  <c r="BU53" i="22746"/>
  <c r="BV53" i="22746"/>
  <c r="CB18" i="22746"/>
  <c r="CB19" i="22746"/>
  <c r="CC49" i="22746"/>
  <c r="CC47" i="22746"/>
  <c r="CC48" i="22746"/>
  <c r="CC64" i="22746"/>
  <c r="CB52" i="22746"/>
  <c r="CC52" i="22746"/>
  <c r="CB53" i="22746"/>
  <c r="CC53" i="22746"/>
  <c r="CI18" i="22746"/>
  <c r="CI19" i="22746"/>
  <c r="CJ49" i="22746"/>
  <c r="CJ47" i="22746"/>
  <c r="CJ48" i="22746"/>
  <c r="CJ64" i="22746"/>
  <c r="CI52" i="22746"/>
  <c r="CJ52" i="22746"/>
  <c r="CI53" i="22746"/>
  <c r="CJ53" i="22746"/>
  <c r="BQ14" i="22746"/>
  <c r="BU78" i="22746"/>
  <c r="BX77" i="22746"/>
  <c r="BV74" i="22746"/>
  <c r="BU51" i="22746"/>
  <c r="BX14" i="22746"/>
  <c r="CB78" i="22746"/>
  <c r="CE77" i="22746"/>
  <c r="CC74" i="22746"/>
  <c r="CB51" i="22746"/>
  <c r="CE14" i="22746"/>
  <c r="CI78" i="22746"/>
  <c r="CL77" i="22746"/>
  <c r="CJ74" i="22746"/>
  <c r="CI51" i="22746"/>
  <c r="CL14" i="22746"/>
  <c r="CP78" i="22746"/>
  <c r="CS77" i="22746"/>
  <c r="CQ74" i="22746"/>
  <c r="CQ47" i="22746"/>
  <c r="CQ48" i="22746"/>
  <c r="CP18" i="22746"/>
  <c r="CP19" i="22746"/>
  <c r="CQ49" i="22746"/>
  <c r="CP52" i="22746"/>
  <c r="CQ52" i="22746"/>
  <c r="CQ53" i="22746"/>
  <c r="CP53" i="22746"/>
  <c r="CP51" i="22746"/>
  <c r="CQ64" i="22746"/>
  <c r="CS14" i="22746"/>
  <c r="CW78" i="22746"/>
  <c r="CZ77" i="22746"/>
  <c r="CX74" i="22746"/>
  <c r="CW51" i="22746"/>
  <c r="CV87" i="22746"/>
  <c r="A129" i="4"/>
  <c r="G105" i="22715" s="1"/>
  <c r="K37" i="3"/>
  <c r="R37" i="3" s="1"/>
  <c r="Y37" i="3" s="1"/>
  <c r="AF37" i="3" s="1"/>
  <c r="AM37" i="3" s="1"/>
  <c r="AT37" i="3" s="1"/>
  <c r="BA37" i="3" s="1"/>
  <c r="BH37" i="3" s="1"/>
  <c r="BO37" i="3" s="1"/>
  <c r="BV37" i="3" s="1"/>
  <c r="CC37" i="3" s="1"/>
  <c r="CJ37" i="3" s="1"/>
  <c r="CQ37" i="3" s="1"/>
  <c r="CX37" i="3" s="1"/>
  <c r="K38" i="3"/>
  <c r="R38" i="3" s="1"/>
  <c r="Y38" i="3" s="1"/>
  <c r="AF38" i="3" s="1"/>
  <c r="AM38" i="3" s="1"/>
  <c r="AT38" i="3" s="1"/>
  <c r="BA38" i="3" s="1"/>
  <c r="BH38" i="3" s="1"/>
  <c r="BO38" i="3" s="1"/>
  <c r="BV38" i="3" s="1"/>
  <c r="CC38" i="3" s="1"/>
  <c r="CJ38" i="3" s="1"/>
  <c r="CQ38" i="3" s="1"/>
  <c r="CX38" i="3" s="1"/>
  <c r="K39" i="3"/>
  <c r="R39" i="3" s="1"/>
  <c r="Y39" i="3" s="1"/>
  <c r="AF39" i="3" s="1"/>
  <c r="AM39" i="3" s="1"/>
  <c r="AT39" i="3" s="1"/>
  <c r="BA39" i="3" s="1"/>
  <c r="BH39" i="3" s="1"/>
  <c r="BO39" i="3" s="1"/>
  <c r="BV39" i="3" s="1"/>
  <c r="CC39" i="3" s="1"/>
  <c r="CJ39" i="3" s="1"/>
  <c r="CQ39" i="3" s="1"/>
  <c r="CX39" i="3" s="1"/>
  <c r="K40" i="3"/>
  <c r="R40" i="3" s="1"/>
  <c r="Y40" i="3" s="1"/>
  <c r="AF40" i="3" s="1"/>
  <c r="AM40" i="3" s="1"/>
  <c r="AT40" i="3" s="1"/>
  <c r="BA40" i="3" s="1"/>
  <c r="BH40" i="3" s="1"/>
  <c r="BO40" i="3" s="1"/>
  <c r="BV40" i="3" s="1"/>
  <c r="CC40" i="3" s="1"/>
  <c r="CJ40" i="3" s="1"/>
  <c r="CQ40" i="3" s="1"/>
  <c r="CX40" i="3" s="1"/>
  <c r="K36" i="3"/>
  <c r="R36" i="3" s="1"/>
  <c r="Y36" i="3" s="1"/>
  <c r="AF36" i="3" s="1"/>
  <c r="AM36" i="3" s="1"/>
  <c r="AT36" i="3" s="1"/>
  <c r="BA36" i="3" s="1"/>
  <c r="BH36" i="3" s="1"/>
  <c r="BO36" i="3" s="1"/>
  <c r="BV36" i="3" s="1"/>
  <c r="CC36" i="3" s="1"/>
  <c r="CJ36" i="3" s="1"/>
  <c r="CQ36" i="3" s="1"/>
  <c r="CX36" i="3" s="1"/>
  <c r="E36" i="3"/>
  <c r="L36" i="3"/>
  <c r="S36" i="3"/>
  <c r="Z36" i="3"/>
  <c r="AG36" i="3"/>
  <c r="F51" i="1"/>
  <c r="F52" i="1"/>
  <c r="F53" i="1"/>
  <c r="F54" i="1"/>
  <c r="F55" i="1"/>
  <c r="F56" i="1"/>
  <c r="F57" i="1"/>
  <c r="F58" i="1"/>
  <c r="F59" i="1"/>
  <c r="F60" i="1"/>
  <c r="F61" i="1"/>
  <c r="F62" i="1"/>
  <c r="B19" i="3"/>
  <c r="B18" i="3"/>
  <c r="B10" i="1"/>
  <c r="B18" i="22714" s="1"/>
  <c r="A3" i="22745"/>
  <c r="B3" i="2"/>
  <c r="A3" i="2"/>
  <c r="AN36" i="3"/>
  <c r="AU36" i="3"/>
  <c r="BB36" i="3"/>
  <c r="BI36" i="3"/>
  <c r="BP36" i="3"/>
  <c r="BW36" i="3"/>
  <c r="CD36" i="3"/>
  <c r="CK36" i="3"/>
  <c r="CR36" i="3"/>
  <c r="CY36" i="3"/>
  <c r="J53" i="22747"/>
  <c r="J51" i="22747"/>
  <c r="J52" i="22747"/>
  <c r="J55" i="22747"/>
  <c r="J56" i="22747"/>
  <c r="B19" i="22746"/>
  <c r="B18" i="22746"/>
  <c r="I19" i="22746"/>
  <c r="I18" i="22746"/>
  <c r="B93" i="22745"/>
  <c r="B94" i="2"/>
  <c r="B27" i="22715"/>
  <c r="C27" i="22715" s="1"/>
  <c r="A33" i="22747"/>
  <c r="B23" i="22715"/>
  <c r="C23" i="22715" s="1"/>
  <c r="CZ14" i="22746"/>
  <c r="CZ14" i="3"/>
  <c r="B29" i="22715"/>
  <c r="C29" i="22715" s="1"/>
  <c r="G195" i="22715"/>
  <c r="G199" i="22715" s="1"/>
  <c r="G244" i="22715"/>
  <c r="G249" i="22715" s="1"/>
  <c r="G243" i="22715"/>
  <c r="G248" i="22715" s="1"/>
  <c r="G196" i="22715"/>
  <c r="G200" i="22715" s="1"/>
  <c r="G272" i="22715"/>
  <c r="G271" i="22715"/>
  <c r="G216" i="22715"/>
  <c r="G219" i="22715"/>
  <c r="G220" i="22715"/>
  <c r="G218" i="22715"/>
  <c r="G103" i="22715"/>
  <c r="G91" i="22715"/>
  <c r="G92" i="22715"/>
  <c r="G93" i="22715"/>
  <c r="G86" i="22715"/>
  <c r="G87" i="22715"/>
  <c r="G267" i="22715"/>
  <c r="G268" i="22715"/>
  <c r="G266" i="22715"/>
  <c r="G214" i="22715"/>
  <c r="G215" i="22715"/>
  <c r="G213" i="22715"/>
  <c r="B26" i="22715"/>
  <c r="C26" i="22715" s="1"/>
  <c r="B76" i="22715"/>
  <c r="B25" i="22715"/>
  <c r="C25" i="22715" s="1"/>
  <c r="B33" i="22715"/>
  <c r="C33" i="22715" s="1"/>
  <c r="B24" i="22715"/>
  <c r="C24" i="22715" s="1"/>
  <c r="A148" i="4"/>
  <c r="G142" i="22715" s="1"/>
  <c r="A149" i="4"/>
  <c r="G143" i="22715" s="1"/>
  <c r="A151" i="4"/>
  <c r="G145" i="22715" s="1"/>
  <c r="A143" i="4"/>
  <c r="G123" i="22715" s="1"/>
  <c r="A130" i="4"/>
  <c r="G106" i="22715" s="1"/>
  <c r="A147" i="4"/>
  <c r="G147" i="22715" s="1"/>
  <c r="J51" i="4"/>
  <c r="J52" i="4"/>
  <c r="J53" i="4"/>
  <c r="J55" i="4"/>
  <c r="J56" i="4"/>
  <c r="J59" i="4"/>
  <c r="C17" i="22714"/>
  <c r="D17" i="22714"/>
  <c r="E17" i="22714"/>
  <c r="B44" i="2"/>
  <c r="B43" i="2"/>
  <c r="B42" i="2"/>
  <c r="A41" i="2"/>
  <c r="B59" i="2"/>
  <c r="B17" i="2"/>
  <c r="B18" i="2"/>
  <c r="B19" i="2"/>
  <c r="B20" i="2"/>
  <c r="B21" i="2"/>
  <c r="B22" i="2"/>
  <c r="B23" i="2"/>
  <c r="B24" i="2"/>
  <c r="B25" i="2"/>
  <c r="B11" i="2"/>
  <c r="B12" i="2"/>
  <c r="B13" i="2"/>
  <c r="B10" i="2"/>
  <c r="B33" i="2"/>
  <c r="B26" i="2"/>
  <c r="B29" i="2"/>
  <c r="B30" i="2"/>
  <c r="B31" i="2"/>
  <c r="B32" i="2"/>
  <c r="B16" i="2"/>
  <c r="B54" i="2"/>
  <c r="B53" i="2"/>
  <c r="B52" i="2"/>
  <c r="B9" i="4"/>
  <c r="B10" i="4"/>
  <c r="B60" i="4"/>
  <c r="B37" i="4"/>
  <c r="B4" i="4"/>
  <c r="B53" i="4"/>
  <c r="A189" i="4" s="1"/>
  <c r="A193" i="4"/>
  <c r="A173" i="4"/>
  <c r="B51" i="4"/>
  <c r="A168" i="4" s="1"/>
  <c r="B50" i="4"/>
  <c r="A167" i="4" s="1"/>
  <c r="B62" i="4"/>
  <c r="B56" i="4"/>
  <c r="B55" i="4"/>
  <c r="B70" i="4"/>
  <c r="A138" i="4" s="1"/>
  <c r="B68" i="4"/>
  <c r="A136" i="4" s="1"/>
  <c r="A135" i="4"/>
  <c r="A137" i="4"/>
  <c r="A142" i="4"/>
  <c r="A134" i="4"/>
  <c r="A36" i="4"/>
  <c r="A155" i="4"/>
  <c r="A156" i="4"/>
  <c r="A157" i="4"/>
  <c r="A126" i="4"/>
  <c r="A35" i="4"/>
  <c r="B14" i="4"/>
  <c r="B18" i="4"/>
  <c r="B17" i="4"/>
  <c r="B59" i="4"/>
  <c r="B52" i="4"/>
  <c r="B33" i="4"/>
  <c r="B34" i="4"/>
  <c r="B11" i="4"/>
  <c r="F42" i="1"/>
  <c r="I39" i="3" s="1"/>
  <c r="F41" i="1"/>
  <c r="AY38" i="3" s="1"/>
  <c r="P64" i="3"/>
  <c r="CV40" i="3"/>
  <c r="CO40" i="3"/>
  <c r="CH40" i="3"/>
  <c r="CA40" i="3"/>
  <c r="BT40" i="3"/>
  <c r="BM40" i="3"/>
  <c r="BF40" i="3"/>
  <c r="AY40" i="3"/>
  <c r="AR40" i="3"/>
  <c r="AK40" i="3"/>
  <c r="AD40" i="3"/>
  <c r="W40" i="3"/>
  <c r="P40" i="3"/>
  <c r="I40" i="3"/>
  <c r="CV57" i="3"/>
  <c r="CO57" i="3"/>
  <c r="CH57" i="3"/>
  <c r="CA57" i="3"/>
  <c r="BT57" i="3"/>
  <c r="BM57" i="3"/>
  <c r="BF57" i="3"/>
  <c r="AY57" i="3"/>
  <c r="AR57" i="3"/>
  <c r="AK57" i="3"/>
  <c r="AD57" i="3"/>
  <c r="W57" i="3"/>
  <c r="P57" i="3"/>
  <c r="I57" i="3"/>
  <c r="B57" i="3"/>
  <c r="CV37" i="3"/>
  <c r="CV36" i="3"/>
  <c r="CO37" i="3"/>
  <c r="CO36" i="3"/>
  <c r="CH37" i="3"/>
  <c r="CH36" i="3"/>
  <c r="CA37" i="3"/>
  <c r="CA36" i="3"/>
  <c r="BT37" i="3"/>
  <c r="BT36" i="3"/>
  <c r="BM37" i="3"/>
  <c r="BM36" i="3"/>
  <c r="BF37" i="3"/>
  <c r="BF36" i="3"/>
  <c r="AY37" i="3"/>
  <c r="AY36" i="3"/>
  <c r="AR37" i="3"/>
  <c r="AR36" i="3"/>
  <c r="AK37" i="3"/>
  <c r="AK36" i="3"/>
  <c r="AD37" i="3"/>
  <c r="AD36" i="3"/>
  <c r="W37" i="3"/>
  <c r="W36" i="3"/>
  <c r="P37" i="3"/>
  <c r="P36" i="3"/>
  <c r="I37" i="3"/>
  <c r="I36" i="3"/>
  <c r="CU39" i="3"/>
  <c r="CU38" i="3"/>
  <c r="CN39" i="3"/>
  <c r="CN38" i="3"/>
  <c r="CG39" i="3"/>
  <c r="CG38" i="3"/>
  <c r="BZ39" i="3"/>
  <c r="BZ38" i="3"/>
  <c r="BS39" i="3"/>
  <c r="BS38" i="3"/>
  <c r="BL39" i="3"/>
  <c r="BL38" i="3"/>
  <c r="BE39" i="3"/>
  <c r="BE38" i="3"/>
  <c r="AX39" i="3"/>
  <c r="AX38" i="3"/>
  <c r="AQ39" i="3"/>
  <c r="AQ38" i="3"/>
  <c r="AJ39" i="3"/>
  <c r="AJ38" i="3"/>
  <c r="AC39" i="3"/>
  <c r="AC38" i="3"/>
  <c r="V39" i="3"/>
  <c r="V38" i="3"/>
  <c r="H39" i="3"/>
  <c r="H38" i="3"/>
  <c r="AD14" i="3"/>
  <c r="AD11" i="3"/>
  <c r="AD10" i="3"/>
  <c r="AD9" i="3"/>
  <c r="AK14" i="3"/>
  <c r="AK11" i="3"/>
  <c r="AK10" i="3"/>
  <c r="AK9" i="3"/>
  <c r="AR14" i="3"/>
  <c r="AR11" i="3"/>
  <c r="AR10" i="3"/>
  <c r="AR9" i="3"/>
  <c r="AY14" i="3"/>
  <c r="AY11" i="3"/>
  <c r="AY10" i="3"/>
  <c r="AY9" i="3"/>
  <c r="BF14" i="3"/>
  <c r="BF11" i="3"/>
  <c r="BF10" i="3"/>
  <c r="BF9" i="3"/>
  <c r="BM14" i="3"/>
  <c r="BM11" i="3"/>
  <c r="BM10" i="3"/>
  <c r="BM9" i="3"/>
  <c r="BT14" i="3"/>
  <c r="BT11" i="3"/>
  <c r="BT10" i="3"/>
  <c r="BT9" i="3"/>
  <c r="CA14" i="3"/>
  <c r="CA11" i="3"/>
  <c r="CA10" i="3"/>
  <c r="CA9" i="3"/>
  <c r="CH14" i="3"/>
  <c r="CH11" i="3"/>
  <c r="CH10" i="3"/>
  <c r="CH9" i="3"/>
  <c r="CO14" i="3"/>
  <c r="CO11" i="3"/>
  <c r="CO10" i="3"/>
  <c r="CO9" i="3"/>
  <c r="CV14" i="3"/>
  <c r="CV11" i="3"/>
  <c r="CV10" i="3"/>
  <c r="CV9" i="3"/>
  <c r="W14" i="3"/>
  <c r="W11" i="3"/>
  <c r="W10" i="3"/>
  <c r="W9" i="3"/>
  <c r="P14" i="3"/>
  <c r="P11" i="3"/>
  <c r="P10" i="3"/>
  <c r="P9" i="3"/>
  <c r="P6" i="3"/>
  <c r="B73" i="3"/>
  <c r="B40" i="3"/>
  <c r="CV6" i="3"/>
  <c r="CO6" i="3"/>
  <c r="CH6" i="3"/>
  <c r="CA6" i="3"/>
  <c r="BT6" i="3"/>
  <c r="BM6" i="3"/>
  <c r="BF6" i="3"/>
  <c r="AY6" i="3"/>
  <c r="AR6" i="3"/>
  <c r="AK6" i="3"/>
  <c r="AD6" i="3"/>
  <c r="W6" i="3"/>
  <c r="I6" i="3"/>
  <c r="B6" i="3"/>
  <c r="CV50" i="3"/>
  <c r="CO50" i="3"/>
  <c r="CH50" i="3"/>
  <c r="CA50" i="3"/>
  <c r="BT50" i="3"/>
  <c r="BM50" i="3"/>
  <c r="BF50" i="3"/>
  <c r="AY50" i="3"/>
  <c r="AR50" i="3"/>
  <c r="AK50" i="3"/>
  <c r="AD50" i="3"/>
  <c r="W50" i="3"/>
  <c r="P50" i="3"/>
  <c r="I50" i="3"/>
  <c r="B50" i="3"/>
  <c r="A39" i="3"/>
  <c r="A38" i="3"/>
  <c r="B36" i="3"/>
  <c r="I14" i="3"/>
  <c r="B14" i="3"/>
  <c r="CV64" i="3"/>
  <c r="CO64" i="3"/>
  <c r="CH64" i="3"/>
  <c r="CA64" i="3"/>
  <c r="BT64" i="3"/>
  <c r="BM64" i="3"/>
  <c r="BF64" i="3"/>
  <c r="AY64" i="3"/>
  <c r="AR64" i="3"/>
  <c r="AK64" i="3"/>
  <c r="AD64" i="3"/>
  <c r="W64" i="3"/>
  <c r="I64" i="3"/>
  <c r="B64" i="3"/>
  <c r="CV59" i="3"/>
  <c r="CV56" i="3"/>
  <c r="CV53" i="3"/>
  <c r="CV52" i="3"/>
  <c r="CV49" i="3"/>
  <c r="CV48" i="3"/>
  <c r="CV47" i="3"/>
  <c r="CO59" i="3"/>
  <c r="CO56" i="3"/>
  <c r="CO53" i="3"/>
  <c r="CO52" i="3"/>
  <c r="CO49" i="3"/>
  <c r="CO48" i="3"/>
  <c r="CO47" i="3"/>
  <c r="CH59" i="3"/>
  <c r="CH56" i="3"/>
  <c r="CH53" i="3"/>
  <c r="CH52" i="3"/>
  <c r="CH49" i="3"/>
  <c r="CH48" i="3"/>
  <c r="CH47" i="3"/>
  <c r="CA59" i="3"/>
  <c r="CA56" i="3"/>
  <c r="CA53" i="3"/>
  <c r="CA52" i="3"/>
  <c r="CA49" i="3"/>
  <c r="CA48" i="3"/>
  <c r="CA47" i="3"/>
  <c r="BT59" i="3"/>
  <c r="BT56" i="3"/>
  <c r="BT53" i="3"/>
  <c r="BT52" i="3"/>
  <c r="BT49" i="3"/>
  <c r="BT48" i="3"/>
  <c r="BT47" i="3"/>
  <c r="BM59" i="3"/>
  <c r="BM56" i="3"/>
  <c r="BM53" i="3"/>
  <c r="BM52" i="3"/>
  <c r="BM49" i="3"/>
  <c r="BM48" i="3"/>
  <c r="BM47" i="3"/>
  <c r="BF59" i="3"/>
  <c r="BF56" i="3"/>
  <c r="BF53" i="3"/>
  <c r="BF52" i="3"/>
  <c r="BF49" i="3"/>
  <c r="BF48" i="3"/>
  <c r="BF47" i="3"/>
  <c r="AY59" i="3"/>
  <c r="AY56" i="3"/>
  <c r="AY53" i="3"/>
  <c r="AY52" i="3"/>
  <c r="AY49" i="3"/>
  <c r="AY48" i="3"/>
  <c r="AY47" i="3"/>
  <c r="AR59" i="3"/>
  <c r="AR56" i="3"/>
  <c r="AR53" i="3"/>
  <c r="AR52" i="3"/>
  <c r="AR49" i="3"/>
  <c r="AR48" i="3"/>
  <c r="AR47" i="3"/>
  <c r="AK59" i="3"/>
  <c r="AK56" i="3"/>
  <c r="AK53" i="3"/>
  <c r="AK52" i="3"/>
  <c r="AK49" i="3"/>
  <c r="AK48" i="3"/>
  <c r="AK47" i="3"/>
  <c r="AD59" i="3"/>
  <c r="AD56" i="3"/>
  <c r="AD53" i="3"/>
  <c r="AD52" i="3"/>
  <c r="AD49" i="3"/>
  <c r="AD48" i="3"/>
  <c r="AD47" i="3"/>
  <c r="W59" i="3"/>
  <c r="W56" i="3"/>
  <c r="W53" i="3"/>
  <c r="W52" i="3"/>
  <c r="W49" i="3"/>
  <c r="W48" i="3"/>
  <c r="W47" i="3"/>
  <c r="P59" i="3"/>
  <c r="P56" i="3"/>
  <c r="P53" i="3"/>
  <c r="P52" i="3"/>
  <c r="P49" i="3"/>
  <c r="P48" i="3"/>
  <c r="P47" i="3"/>
  <c r="I59" i="3"/>
  <c r="I56" i="3"/>
  <c r="I53" i="3"/>
  <c r="I52" i="3"/>
  <c r="I49" i="3"/>
  <c r="I48" i="3"/>
  <c r="I47" i="3"/>
  <c r="B59" i="3"/>
  <c r="B56" i="3"/>
  <c r="B53" i="3"/>
  <c r="B52" i="3"/>
  <c r="B49" i="3"/>
  <c r="B48" i="3"/>
  <c r="B47" i="3"/>
  <c r="CV19" i="3"/>
  <c r="CO19" i="3"/>
  <c r="CH19" i="3"/>
  <c r="CA19" i="3"/>
  <c r="BT19" i="3"/>
  <c r="BM19" i="3"/>
  <c r="BF19" i="3"/>
  <c r="AY19" i="3"/>
  <c r="AR19" i="3"/>
  <c r="AK19" i="3"/>
  <c r="AD19" i="3"/>
  <c r="W19" i="3"/>
  <c r="CV18" i="3"/>
  <c r="CO18" i="3"/>
  <c r="CH18" i="3"/>
  <c r="CA18" i="3"/>
  <c r="BT18" i="3"/>
  <c r="BM18" i="3"/>
  <c r="BF18" i="3"/>
  <c r="AY18" i="3"/>
  <c r="AR18" i="3"/>
  <c r="AK18" i="3"/>
  <c r="AD18" i="3"/>
  <c r="W18" i="3"/>
  <c r="P19" i="3"/>
  <c r="P18" i="3"/>
  <c r="I19" i="3"/>
  <c r="I18" i="3"/>
  <c r="B37" i="3"/>
  <c r="I9" i="3"/>
  <c r="B9" i="3"/>
  <c r="I10" i="3"/>
  <c r="B10" i="3"/>
  <c r="B11" i="3"/>
  <c r="I11" i="3"/>
  <c r="D72" i="1"/>
  <c r="E72" i="1"/>
  <c r="D73" i="1"/>
  <c r="E73" i="1"/>
  <c r="F48" i="1"/>
  <c r="F49" i="1"/>
  <c r="F50" i="1"/>
  <c r="E63" i="1"/>
  <c r="C20" i="1"/>
  <c r="D20" i="1" s="1"/>
  <c r="B20" i="1"/>
  <c r="G73" i="1"/>
  <c r="G72" i="1"/>
  <c r="E66" i="1"/>
  <c r="E17" i="22748"/>
  <c r="D17" i="22748"/>
  <c r="C17" i="22748"/>
  <c r="B59" i="22745"/>
  <c r="B54" i="22745"/>
  <c r="B53" i="22745"/>
  <c r="B52" i="22745"/>
  <c r="B51" i="22745"/>
  <c r="B44" i="22745"/>
  <c r="B43" i="22745"/>
  <c r="B42" i="22745"/>
  <c r="A41" i="22745"/>
  <c r="B33" i="22745"/>
  <c r="B32" i="22745"/>
  <c r="B31" i="22745"/>
  <c r="B30" i="22745"/>
  <c r="B29" i="22745"/>
  <c r="B26" i="22745"/>
  <c r="B25" i="22745"/>
  <c r="B24" i="22745"/>
  <c r="B23" i="22745"/>
  <c r="B22" i="22745"/>
  <c r="B21" i="22745"/>
  <c r="B20" i="22745"/>
  <c r="B19" i="22745"/>
  <c r="B18" i="22745"/>
  <c r="B17" i="22745"/>
  <c r="B16" i="22745"/>
  <c r="B13" i="22745"/>
  <c r="B12" i="22745"/>
  <c r="B11" i="22745"/>
  <c r="B10" i="22745"/>
  <c r="B11" i="22747"/>
  <c r="B10" i="22747"/>
  <c r="B9" i="22747"/>
  <c r="B70" i="22747"/>
  <c r="A138" i="22747" s="1"/>
  <c r="B68" i="22747"/>
  <c r="A136" i="22747" s="1"/>
  <c r="B62" i="22747"/>
  <c r="B60" i="22747"/>
  <c r="B59" i="22747"/>
  <c r="B56" i="22747"/>
  <c r="B55" i="22747"/>
  <c r="B53" i="22747"/>
  <c r="A189" i="22747" s="1"/>
  <c r="B52" i="22747"/>
  <c r="B51" i="22747"/>
  <c r="A168" i="22747" s="1"/>
  <c r="B50" i="22747"/>
  <c r="A167" i="22747" s="1"/>
  <c r="B37" i="22747"/>
  <c r="A36" i="22747"/>
  <c r="A35" i="22747"/>
  <c r="B34" i="22747"/>
  <c r="B33" i="22747"/>
  <c r="B18" i="22747"/>
  <c r="B17" i="22747"/>
  <c r="B14" i="22747"/>
  <c r="A193" i="22747"/>
  <c r="A173" i="22747"/>
  <c r="A130" i="22747"/>
  <c r="A129" i="22747"/>
  <c r="A147" i="22747"/>
  <c r="A151" i="22747"/>
  <c r="A143" i="22747"/>
  <c r="A135" i="22747"/>
  <c r="A137" i="22747"/>
  <c r="A142" i="22747"/>
  <c r="A134" i="22747"/>
  <c r="A155" i="22747"/>
  <c r="A156" i="22747"/>
  <c r="A157" i="22747"/>
  <c r="A126" i="22747"/>
  <c r="A149" i="22747"/>
  <c r="A148" i="22747"/>
  <c r="F42" i="22744"/>
  <c r="CO39" i="22746" s="1"/>
  <c r="F41" i="22744"/>
  <c r="I38" i="22746" s="1"/>
  <c r="BF9" i="22746"/>
  <c r="B73" i="22746"/>
  <c r="CV64" i="22746"/>
  <c r="CO64" i="22746"/>
  <c r="CH64" i="22746"/>
  <c r="CA64" i="22746"/>
  <c r="BT64" i="22746"/>
  <c r="BM64" i="22746"/>
  <c r="BF64" i="22746"/>
  <c r="AY64" i="22746"/>
  <c r="AR64" i="22746"/>
  <c r="AK64" i="22746"/>
  <c r="AD64" i="22746"/>
  <c r="W64" i="22746"/>
  <c r="P64" i="22746"/>
  <c r="I64" i="22746"/>
  <c r="B64" i="22746"/>
  <c r="CV59" i="22746"/>
  <c r="CO59" i="22746"/>
  <c r="CH59" i="22746"/>
  <c r="CA59" i="22746"/>
  <c r="BT59" i="22746"/>
  <c r="BM59" i="22746"/>
  <c r="BF59" i="22746"/>
  <c r="AY59" i="22746"/>
  <c r="AR59" i="22746"/>
  <c r="AK59" i="22746"/>
  <c r="AD59" i="22746"/>
  <c r="W59" i="22746"/>
  <c r="P59" i="22746"/>
  <c r="I59" i="22746"/>
  <c r="B59" i="22746"/>
  <c r="CV57" i="22746"/>
  <c r="CO57" i="22746"/>
  <c r="CH57" i="22746"/>
  <c r="CA57" i="22746"/>
  <c r="BT57" i="22746"/>
  <c r="BM57" i="22746"/>
  <c r="BF57" i="22746"/>
  <c r="AY57" i="22746"/>
  <c r="AR57" i="22746"/>
  <c r="AK57" i="22746"/>
  <c r="AD57" i="22746"/>
  <c r="W57" i="22746"/>
  <c r="P57" i="22746"/>
  <c r="I57" i="22746"/>
  <c r="B57" i="22746"/>
  <c r="CV56" i="22746"/>
  <c r="CO56" i="22746"/>
  <c r="CH56" i="22746"/>
  <c r="CA56" i="22746"/>
  <c r="BT56" i="22746"/>
  <c r="BM56" i="22746"/>
  <c r="BF56" i="22746"/>
  <c r="AY56" i="22746"/>
  <c r="AR56" i="22746"/>
  <c r="AK56" i="22746"/>
  <c r="AD56" i="22746"/>
  <c r="W56" i="22746"/>
  <c r="P56" i="22746"/>
  <c r="I56" i="22746"/>
  <c r="B56" i="22746"/>
  <c r="CV53" i="22746"/>
  <c r="CO53" i="22746"/>
  <c r="CH53" i="22746"/>
  <c r="CA53" i="22746"/>
  <c r="BT53" i="22746"/>
  <c r="BM53" i="22746"/>
  <c r="BF53" i="22746"/>
  <c r="AY53" i="22746"/>
  <c r="AR53" i="22746"/>
  <c r="AK53" i="22746"/>
  <c r="AD53" i="22746"/>
  <c r="W53" i="22746"/>
  <c r="P53" i="22746"/>
  <c r="I53" i="22746"/>
  <c r="B53" i="22746"/>
  <c r="CV52" i="22746"/>
  <c r="CO52" i="22746"/>
  <c r="CH52" i="22746"/>
  <c r="CA52" i="22746"/>
  <c r="BT52" i="22746"/>
  <c r="BM52" i="22746"/>
  <c r="BF52" i="22746"/>
  <c r="AY52" i="22746"/>
  <c r="AR52" i="22746"/>
  <c r="AK52" i="22746"/>
  <c r="AD52" i="22746"/>
  <c r="W52" i="22746"/>
  <c r="P52" i="22746"/>
  <c r="I52" i="22746"/>
  <c r="B52" i="22746"/>
  <c r="CV50" i="22746"/>
  <c r="CO50" i="22746"/>
  <c r="CH50" i="22746"/>
  <c r="CA50" i="22746"/>
  <c r="BT50" i="22746"/>
  <c r="BM50" i="22746"/>
  <c r="BF50" i="22746"/>
  <c r="AY50" i="22746"/>
  <c r="AR50" i="22746"/>
  <c r="AK50" i="22746"/>
  <c r="AD50" i="22746"/>
  <c r="W50" i="22746"/>
  <c r="P50" i="22746"/>
  <c r="I50" i="22746"/>
  <c r="B50" i="22746"/>
  <c r="CV49" i="22746"/>
  <c r="CO49" i="22746"/>
  <c r="CH49" i="22746"/>
  <c r="CA49" i="22746"/>
  <c r="BT49" i="22746"/>
  <c r="BM49" i="22746"/>
  <c r="BF49" i="22746"/>
  <c r="AY49" i="22746"/>
  <c r="AR49" i="22746"/>
  <c r="AK49" i="22746"/>
  <c r="AD49" i="22746"/>
  <c r="W49" i="22746"/>
  <c r="P49" i="22746"/>
  <c r="I49" i="22746"/>
  <c r="B49" i="22746"/>
  <c r="CV48" i="22746"/>
  <c r="CO48" i="22746"/>
  <c r="CH48" i="22746"/>
  <c r="CA48" i="22746"/>
  <c r="BT48" i="22746"/>
  <c r="BM48" i="22746"/>
  <c r="BF48" i="22746"/>
  <c r="AY48" i="22746"/>
  <c r="AR48" i="22746"/>
  <c r="AK48" i="22746"/>
  <c r="AD48" i="22746"/>
  <c r="W48" i="22746"/>
  <c r="P48" i="22746"/>
  <c r="I48" i="22746"/>
  <c r="B48" i="22746"/>
  <c r="CV47" i="22746"/>
  <c r="CO47" i="22746"/>
  <c r="CH47" i="22746"/>
  <c r="CA47" i="22746"/>
  <c r="BT47" i="22746"/>
  <c r="BM47" i="22746"/>
  <c r="BF47" i="22746"/>
  <c r="AY47" i="22746"/>
  <c r="AR47" i="22746"/>
  <c r="AK47" i="22746"/>
  <c r="AD47" i="22746"/>
  <c r="W47" i="22746"/>
  <c r="P47" i="22746"/>
  <c r="I47" i="22746"/>
  <c r="B47" i="22746"/>
  <c r="CV40" i="22746"/>
  <c r="CO40" i="22746"/>
  <c r="CH40" i="22746"/>
  <c r="CA40" i="22746"/>
  <c r="BT40" i="22746"/>
  <c r="BM40" i="22746"/>
  <c r="BF40" i="22746"/>
  <c r="AY40" i="22746"/>
  <c r="AR40" i="22746"/>
  <c r="AK40" i="22746"/>
  <c r="AD40" i="22746"/>
  <c r="W40" i="22746"/>
  <c r="P40" i="22746"/>
  <c r="I40" i="22746"/>
  <c r="B40" i="22746"/>
  <c r="CU39" i="22746"/>
  <c r="CN39" i="22746"/>
  <c r="CG39" i="22746"/>
  <c r="BZ39" i="22746"/>
  <c r="BS39" i="22746"/>
  <c r="BL39" i="22746"/>
  <c r="BE39" i="22746"/>
  <c r="AX39" i="22746"/>
  <c r="AQ39" i="22746"/>
  <c r="AJ39" i="22746"/>
  <c r="AC39" i="22746"/>
  <c r="V39" i="22746"/>
  <c r="O39" i="22746"/>
  <c r="H39" i="22746"/>
  <c r="A39" i="22746"/>
  <c r="CU38" i="22746"/>
  <c r="CN38" i="22746"/>
  <c r="CG38" i="22746"/>
  <c r="BZ38" i="22746"/>
  <c r="BS38" i="22746"/>
  <c r="BL38" i="22746"/>
  <c r="BE38" i="22746"/>
  <c r="AX38" i="22746"/>
  <c r="AQ38" i="22746"/>
  <c r="AJ38" i="22746"/>
  <c r="AC38" i="22746"/>
  <c r="V38" i="22746"/>
  <c r="O38" i="22746"/>
  <c r="H38" i="22746"/>
  <c r="A38" i="22746"/>
  <c r="CV37" i="22746"/>
  <c r="CO37" i="22746"/>
  <c r="CH37" i="22746"/>
  <c r="CA37" i="22746"/>
  <c r="BT37" i="22746"/>
  <c r="BM37" i="22746"/>
  <c r="BF37" i="22746"/>
  <c r="AY37" i="22746"/>
  <c r="AR37" i="22746"/>
  <c r="AK37" i="22746"/>
  <c r="AD37" i="22746"/>
  <c r="W37" i="22746"/>
  <c r="P37" i="22746"/>
  <c r="I37" i="22746"/>
  <c r="B37" i="22746"/>
  <c r="CV36" i="22746"/>
  <c r="CO36" i="22746"/>
  <c r="CH36" i="22746"/>
  <c r="CA36" i="22746"/>
  <c r="BT36" i="22746"/>
  <c r="BM36" i="22746"/>
  <c r="BF36" i="22746"/>
  <c r="AY36" i="22746"/>
  <c r="AR36" i="22746"/>
  <c r="AK36" i="22746"/>
  <c r="AD36" i="22746"/>
  <c r="W36" i="22746"/>
  <c r="P36" i="22746"/>
  <c r="I36" i="22746"/>
  <c r="B36" i="22746"/>
  <c r="CV19" i="22746"/>
  <c r="CO19" i="22746"/>
  <c r="CH19" i="22746"/>
  <c r="CA19" i="22746"/>
  <c r="BT19" i="22746"/>
  <c r="BM19" i="22746"/>
  <c r="BF19" i="22746"/>
  <c r="AY19" i="22746"/>
  <c r="AR19" i="22746"/>
  <c r="AK19" i="22746"/>
  <c r="AD19" i="22746"/>
  <c r="W19" i="22746"/>
  <c r="P19" i="22746"/>
  <c r="CV18" i="22746"/>
  <c r="CO18" i="22746"/>
  <c r="CH18" i="22746"/>
  <c r="CA18" i="22746"/>
  <c r="BT18" i="22746"/>
  <c r="BM18" i="22746"/>
  <c r="BF18" i="22746"/>
  <c r="AY18" i="22746"/>
  <c r="AR18" i="22746"/>
  <c r="AK18" i="22746"/>
  <c r="AD18" i="22746"/>
  <c r="W18" i="22746"/>
  <c r="P18" i="22746"/>
  <c r="CV14" i="22746"/>
  <c r="CO14" i="22746"/>
  <c r="CH14" i="22746"/>
  <c r="CA14" i="22746"/>
  <c r="BT14" i="22746"/>
  <c r="BM14" i="22746"/>
  <c r="BF14" i="22746"/>
  <c r="AY14" i="22746"/>
  <c r="AR14" i="22746"/>
  <c r="AK14" i="22746"/>
  <c r="AD14" i="22746"/>
  <c r="W14" i="22746"/>
  <c r="P14" i="22746"/>
  <c r="I14" i="22746"/>
  <c r="B14" i="22746"/>
  <c r="CV11" i="22746"/>
  <c r="CO11" i="22746"/>
  <c r="CH11" i="22746"/>
  <c r="CA11" i="22746"/>
  <c r="BT11" i="22746"/>
  <c r="BM11" i="22746"/>
  <c r="BF11" i="22746"/>
  <c r="AY11" i="22746"/>
  <c r="AR11" i="22746"/>
  <c r="AK11" i="22746"/>
  <c r="AD11" i="22746"/>
  <c r="W11" i="22746"/>
  <c r="P11" i="22746"/>
  <c r="I11" i="22746"/>
  <c r="B11" i="22746"/>
  <c r="CV10" i="22746"/>
  <c r="CO10" i="22746"/>
  <c r="CH10" i="22746"/>
  <c r="CA10" i="22746"/>
  <c r="BT10" i="22746"/>
  <c r="BM10" i="22746"/>
  <c r="BF10" i="22746"/>
  <c r="AY10" i="22746"/>
  <c r="AR10" i="22746"/>
  <c r="AK10" i="22746"/>
  <c r="AD10" i="22746"/>
  <c r="W10" i="22746"/>
  <c r="P10" i="22746"/>
  <c r="I10" i="22746"/>
  <c r="B10" i="22746"/>
  <c r="CV9" i="22746"/>
  <c r="CO9" i="22746"/>
  <c r="CH9" i="22746"/>
  <c r="CA9" i="22746"/>
  <c r="BT9" i="22746"/>
  <c r="BM9" i="22746"/>
  <c r="AY9" i="22746"/>
  <c r="AR9" i="22746"/>
  <c r="AK9" i="22746"/>
  <c r="AD9" i="22746"/>
  <c r="W9" i="22746"/>
  <c r="P9" i="22746"/>
  <c r="I9" i="22746"/>
  <c r="B9" i="22746"/>
  <c r="C20" i="22744"/>
  <c r="B20" i="22744"/>
  <c r="R45" i="22746"/>
  <c r="BI69" i="3"/>
  <c r="C78" i="22745"/>
  <c r="G88" i="22715"/>
  <c r="A1" i="4"/>
  <c r="D91" i="22752"/>
  <c r="CW33" i="3" s="1"/>
  <c r="J33" i="3"/>
  <c r="A1" i="22747"/>
  <c r="C78" i="2"/>
  <c r="CI33" i="3"/>
  <c r="D92" i="22752"/>
  <c r="A1" i="22748"/>
  <c r="G148" i="22715"/>
  <c r="E22" i="2"/>
  <c r="E63" i="22751"/>
  <c r="D67" i="22751" s="1"/>
  <c r="H67" i="22751" s="1"/>
  <c r="K45" i="3"/>
  <c r="BF39" i="3"/>
  <c r="Q71" i="3"/>
  <c r="AL70" i="3"/>
  <c r="C71" i="3"/>
  <c r="AS70" i="3"/>
  <c r="Q69" i="3"/>
  <c r="I38" i="3"/>
  <c r="F85" i="1"/>
  <c r="DA11" i="3" s="1"/>
  <c r="AE70" i="3"/>
  <c r="BB64" i="3"/>
  <c r="BC64" i="3" s="1"/>
  <c r="CR69" i="3"/>
  <c r="AU70" i="3"/>
  <c r="F79" i="1"/>
  <c r="BK11" i="3" s="1"/>
  <c r="F80" i="1"/>
  <c r="BR11" i="3" s="1"/>
  <c r="AN62" i="3"/>
  <c r="BW63" i="3"/>
  <c r="D51" i="2"/>
  <c r="B39" i="3"/>
  <c r="L71" i="3"/>
  <c r="AG69" i="3"/>
  <c r="CD64" i="3"/>
  <c r="CE64" i="3" s="1"/>
  <c r="D75" i="2"/>
  <c r="E75" i="2" s="1"/>
  <c r="Z65" i="3"/>
  <c r="BW70" i="3"/>
  <c r="D69" i="2"/>
  <c r="Z64" i="3"/>
  <c r="BB62" i="3"/>
  <c r="CK64" i="3"/>
  <c r="D64" i="22752"/>
  <c r="E64" i="22752" s="1"/>
  <c r="L69" i="3"/>
  <c r="AG63" i="3"/>
  <c r="BP64" i="3"/>
  <c r="S71" i="3"/>
  <c r="D78" i="2"/>
  <c r="AU69" i="3"/>
  <c r="B35" i="4"/>
  <c r="AD38" i="3"/>
  <c r="D157" i="1"/>
  <c r="Z45" i="3" s="1"/>
  <c r="BH45" i="3"/>
  <c r="CA38" i="3"/>
  <c r="D59" i="2"/>
  <c r="D102" i="2" s="1"/>
  <c r="AB10" i="3"/>
  <c r="CV39" i="3"/>
  <c r="BV45" i="3"/>
  <c r="CC45" i="3"/>
  <c r="AT45" i="3"/>
  <c r="BI68" i="3"/>
  <c r="BJ68" i="3" s="1"/>
  <c r="CR66" i="3"/>
  <c r="AG67" i="3"/>
  <c r="E72" i="4"/>
  <c r="AU67" i="3"/>
  <c r="CD68" i="3"/>
  <c r="BW68" i="3"/>
  <c r="CY68" i="3"/>
  <c r="BB66" i="3"/>
  <c r="CY67" i="3"/>
  <c r="CR68" i="3"/>
  <c r="CK66" i="3"/>
  <c r="L68" i="3"/>
  <c r="E67" i="3"/>
  <c r="S66" i="3"/>
  <c r="BB67" i="3"/>
  <c r="BC67" i="3" s="1"/>
  <c r="CY66" i="3"/>
  <c r="CR67" i="3"/>
  <c r="E68" i="3"/>
  <c r="S67" i="3"/>
  <c r="AU68" i="3"/>
  <c r="AG68" i="3"/>
  <c r="AG66" i="3"/>
  <c r="CK62" i="3"/>
  <c r="AN71" i="3"/>
  <c r="AR39" i="3"/>
  <c r="F74" i="1"/>
  <c r="AB11" i="3" s="1"/>
  <c r="CY45" i="3"/>
  <c r="BR10" i="3"/>
  <c r="CV38" i="3"/>
  <c r="AM45" i="3"/>
  <c r="CQ45" i="3"/>
  <c r="CX45" i="3"/>
  <c r="F77" i="1"/>
  <c r="AW11" i="3" s="1"/>
  <c r="AN70" i="3"/>
  <c r="AU62" i="3"/>
  <c r="D67" i="2"/>
  <c r="CY64" i="3"/>
  <c r="Z70" i="3"/>
  <c r="AG65" i="3"/>
  <c r="CR65" i="3"/>
  <c r="D52" i="22752"/>
  <c r="E52" i="22752" s="1"/>
  <c r="BP63" i="3"/>
  <c r="CD70" i="3"/>
  <c r="CK65" i="3"/>
  <c r="CK58" i="3"/>
  <c r="CL58" i="3" s="1"/>
  <c r="AV43" i="3"/>
  <c r="F43" i="3"/>
  <c r="AH43" i="3"/>
  <c r="CQ70" i="3"/>
  <c r="BP52" i="3"/>
  <c r="CD47" i="3"/>
  <c r="CE47" i="3" s="1"/>
  <c r="BI47" i="3"/>
  <c r="BJ47" i="3" s="1"/>
  <c r="AG47" i="3"/>
  <c r="AH47" i="3" s="1"/>
  <c r="E50" i="3"/>
  <c r="CY48" i="3"/>
  <c r="CZ48" i="3" s="1"/>
  <c r="Z50" i="3"/>
  <c r="BB50" i="3"/>
  <c r="L50" i="3"/>
  <c r="AG55" i="3"/>
  <c r="AU55" i="3"/>
  <c r="L55" i="3"/>
  <c r="AU50" i="3"/>
  <c r="S50" i="3"/>
  <c r="CR47" i="3"/>
  <c r="CS47" i="3" s="1"/>
  <c r="BP47" i="3"/>
  <c r="BQ47" i="3" s="1"/>
  <c r="S49" i="3"/>
  <c r="CR49" i="3"/>
  <c r="BI49" i="3"/>
  <c r="AU49" i="3"/>
  <c r="BW52" i="3"/>
  <c r="Z47" i="3"/>
  <c r="AA47" i="3" s="1"/>
  <c r="AN47" i="3"/>
  <c r="AO47" i="3" s="1"/>
  <c r="L47" i="3"/>
  <c r="M47" i="3" s="1"/>
  <c r="CR58" i="3"/>
  <c r="CS58" i="3" s="1"/>
  <c r="S47" i="3"/>
  <c r="T47" i="3" s="1"/>
  <c r="CY58" i="3"/>
  <c r="CZ58" i="3" s="1"/>
  <c r="CR48" i="3"/>
  <c r="CS48" i="3" s="1"/>
  <c r="BW47" i="3"/>
  <c r="BX47" i="3" s="1"/>
  <c r="CY47" i="3"/>
  <c r="CZ47" i="3" s="1"/>
  <c r="BW48" i="3"/>
  <c r="BX48" i="3" s="1"/>
  <c r="S48" i="3"/>
  <c r="T48" i="3" s="1"/>
  <c r="E48" i="3"/>
  <c r="F48" i="3" s="1"/>
  <c r="AU48" i="3"/>
  <c r="AV48" i="3" s="1"/>
  <c r="L48" i="3"/>
  <c r="M48" i="3" s="1"/>
  <c r="Z52" i="3"/>
  <c r="CR52" i="3"/>
  <c r="AG52" i="3"/>
  <c r="E55" i="4"/>
  <c r="L52" i="3"/>
  <c r="E52" i="3"/>
  <c r="AN52" i="3"/>
  <c r="BB52" i="3"/>
  <c r="CY52" i="3"/>
  <c r="S52" i="3"/>
  <c r="CK52" i="3"/>
  <c r="BI52" i="3"/>
  <c r="AU52" i="3"/>
  <c r="CD58" i="3"/>
  <c r="CE58" i="3" s="1"/>
  <c r="S58" i="3"/>
  <c r="T58" i="3" s="1"/>
  <c r="AN58" i="3"/>
  <c r="AO58" i="3" s="1"/>
  <c r="BI58" i="3"/>
  <c r="BW58" i="3"/>
  <c r="BX58" i="3" s="1"/>
  <c r="BB45" i="3"/>
  <c r="BW66" i="3"/>
  <c r="L67" i="3"/>
  <c r="M67" i="3" s="1"/>
  <c r="AN68" i="3"/>
  <c r="BP68" i="3"/>
  <c r="BB68" i="3"/>
  <c r="E66" i="3"/>
  <c r="F66" i="3" s="1"/>
  <c r="E70" i="4"/>
  <c r="AU66" i="3"/>
  <c r="E71" i="4"/>
  <c r="AN67" i="3"/>
  <c r="AO67" i="3" s="1"/>
  <c r="BP67" i="3"/>
  <c r="BI66" i="3"/>
  <c r="BP66" i="3"/>
  <c r="BW67" i="3"/>
  <c r="CD67" i="3"/>
  <c r="BI67" i="3"/>
  <c r="L66" i="3"/>
  <c r="Z66" i="3"/>
  <c r="AN66" i="3"/>
  <c r="CK68" i="3"/>
  <c r="CL68" i="3" s="1"/>
  <c r="S68" i="3"/>
  <c r="T68" i="3" s="1"/>
  <c r="Z67" i="3"/>
  <c r="CK67" i="3"/>
  <c r="CD66" i="3"/>
  <c r="Z68" i="3"/>
  <c r="CK45" i="3"/>
  <c r="CL45" i="3" s="1"/>
  <c r="CR45" i="3"/>
  <c r="AG45" i="3"/>
  <c r="E47" i="4"/>
  <c r="CK55" i="3"/>
  <c r="CR55" i="3"/>
  <c r="CY55" i="3"/>
  <c r="BI55" i="3"/>
  <c r="S55" i="3"/>
  <c r="BB55" i="3"/>
  <c r="E55" i="3"/>
  <c r="BP55" i="3"/>
  <c r="Z55" i="3"/>
  <c r="AN55" i="3"/>
  <c r="CD55" i="3"/>
  <c r="CK49" i="3"/>
  <c r="CY49" i="3"/>
  <c r="BP49" i="3"/>
  <c r="BW49" i="3"/>
  <c r="D40" i="4"/>
  <c r="E44" i="4"/>
  <c r="F44" i="4" s="1"/>
  <c r="BI50" i="3"/>
  <c r="CD50" i="3"/>
  <c r="CY50" i="3"/>
  <c r="X71" i="3"/>
  <c r="BU70" i="3"/>
  <c r="CB69" i="3"/>
  <c r="CI69" i="3"/>
  <c r="J69" i="3"/>
  <c r="J70" i="3"/>
  <c r="AE71" i="3"/>
  <c r="AS69" i="3"/>
  <c r="CB71" i="3"/>
  <c r="Q70" i="3"/>
  <c r="X70" i="3"/>
  <c r="BG71" i="3"/>
  <c r="CP70" i="3"/>
  <c r="AZ69" i="3"/>
  <c r="BN71" i="3"/>
  <c r="BU71" i="3"/>
  <c r="CB70" i="3"/>
  <c r="CW71" i="3"/>
  <c r="C73" i="4"/>
  <c r="AZ71" i="3"/>
  <c r="CI70" i="3"/>
  <c r="C191" i="1"/>
  <c r="C135" i="2" s="1"/>
  <c r="C136" i="2" s="1"/>
  <c r="AE69" i="3"/>
  <c r="BN70" i="3"/>
  <c r="CW69" i="3"/>
  <c r="AS71" i="3"/>
  <c r="CP71" i="3"/>
  <c r="X69" i="3"/>
  <c r="BG70" i="3"/>
  <c r="CP69" i="3"/>
  <c r="AL71" i="3"/>
  <c r="BU69" i="3"/>
  <c r="J71" i="3"/>
  <c r="C70" i="3"/>
  <c r="CW70" i="3"/>
  <c r="AL69" i="3"/>
  <c r="CJ70" i="3"/>
  <c r="AF70" i="3"/>
  <c r="H23" i="22714"/>
  <c r="AK39" i="22746"/>
  <c r="E37" i="22749"/>
  <c r="CD40" i="22746"/>
  <c r="CR40" i="22746"/>
  <c r="CK40" i="22746"/>
  <c r="CY40" i="22746"/>
  <c r="BW40" i="22746"/>
  <c r="AU40" i="22746"/>
  <c r="Z40" i="22746"/>
  <c r="BB40" i="22746"/>
  <c r="BM38" i="22746"/>
  <c r="S40" i="22746"/>
  <c r="BP40" i="22746"/>
  <c r="AN40" i="22746"/>
  <c r="CH38" i="22746"/>
  <c r="D47" i="22747"/>
  <c r="E40" i="22746"/>
  <c r="D65" i="22749"/>
  <c r="E65" i="22749" s="1"/>
  <c r="W38" i="22746"/>
  <c r="BI40" i="22746"/>
  <c r="AG40" i="22746"/>
  <c r="L40" i="22746"/>
  <c r="Y45" i="22746"/>
  <c r="BV45" i="22746"/>
  <c r="BF39" i="22746" l="1"/>
  <c r="H35" i="22750"/>
  <c r="H42" i="22750" s="1"/>
  <c r="H45" i="22750" s="1"/>
  <c r="E118" i="22745" s="1"/>
  <c r="E16" i="2"/>
  <c r="E11" i="2"/>
  <c r="D103" i="22750"/>
  <c r="H103" i="22750" s="1"/>
  <c r="D148" i="1"/>
  <c r="D39" i="22752" s="1"/>
  <c r="E39" i="22752" s="1"/>
  <c r="F56" i="4"/>
  <c r="E12" i="22745"/>
  <c r="AT71" i="3"/>
  <c r="CQ69" i="3"/>
  <c r="F45" i="22751"/>
  <c r="D48" i="22751" s="1"/>
  <c r="H23" i="22751"/>
  <c r="E113" i="2" s="1"/>
  <c r="E13" i="2"/>
  <c r="E31" i="22752"/>
  <c r="H31" i="22751"/>
  <c r="E114" i="2" s="1"/>
  <c r="E78" i="2"/>
  <c r="H83" i="22751"/>
  <c r="E126" i="2" s="1"/>
  <c r="H75" i="22751"/>
  <c r="E125" i="2" s="1"/>
  <c r="E33" i="2"/>
  <c r="E31" i="2"/>
  <c r="E30" i="2"/>
  <c r="E29" i="2"/>
  <c r="E25" i="2"/>
  <c r="E23" i="2"/>
  <c r="E21" i="2"/>
  <c r="E20" i="2"/>
  <c r="E18" i="2"/>
  <c r="E17" i="2"/>
  <c r="E44" i="2"/>
  <c r="E43" i="2"/>
  <c r="E42" i="2"/>
  <c r="E36" i="2"/>
  <c r="E39" i="2" s="1"/>
  <c r="E43" i="22745"/>
  <c r="E31" i="22749"/>
  <c r="H71" i="22750"/>
  <c r="E124" i="22745" s="1"/>
  <c r="E42" i="22745"/>
  <c r="E32" i="22745"/>
  <c r="E29" i="22745"/>
  <c r="E20" i="22745"/>
  <c r="E13" i="22745"/>
  <c r="E11" i="22745"/>
  <c r="E36" i="22745"/>
  <c r="H79" i="22750"/>
  <c r="E125" i="22745" s="1"/>
  <c r="CS52" i="3"/>
  <c r="BQ52" i="3"/>
  <c r="BC52" i="3"/>
  <c r="AO52" i="3"/>
  <c r="AA52" i="3"/>
  <c r="F52" i="3"/>
  <c r="CZ52" i="3"/>
  <c r="CL52" i="3"/>
  <c r="BX52" i="3"/>
  <c r="BJ52" i="3"/>
  <c r="AV52" i="3"/>
  <c r="AH52" i="3"/>
  <c r="T52" i="3"/>
  <c r="M52" i="3"/>
  <c r="H99" i="22751"/>
  <c r="E61" i="22752"/>
  <c r="E69" i="22752"/>
  <c r="E12" i="2"/>
  <c r="E45" i="2"/>
  <c r="E32" i="2"/>
  <c r="E26" i="2"/>
  <c r="E24" i="2"/>
  <c r="E19" i="2"/>
  <c r="E10" i="2"/>
  <c r="E69" i="2"/>
  <c r="G102" i="22715"/>
  <c r="G101" i="22715"/>
  <c r="CZ66" i="3"/>
  <c r="D74" i="4"/>
  <c r="AU45" i="3"/>
  <c r="AV45" i="3" s="1"/>
  <c r="BW45" i="3"/>
  <c r="AN45" i="3"/>
  <c r="AO45" i="3" s="1"/>
  <c r="E45" i="3"/>
  <c r="BJ66" i="3"/>
  <c r="D65" i="1"/>
  <c r="E11" i="4" s="1"/>
  <c r="L73" i="3"/>
  <c r="CZ43" i="3"/>
  <c r="M43" i="3"/>
  <c r="BC43" i="3"/>
  <c r="BQ43" i="3"/>
  <c r="BF38" i="3"/>
  <c r="BK9" i="3"/>
  <c r="BK12" i="3" s="1"/>
  <c r="S45" i="3"/>
  <c r="T67" i="3"/>
  <c r="P38" i="3"/>
  <c r="W38" i="3"/>
  <c r="CX11" i="3"/>
  <c r="CZ37" i="3" s="1"/>
  <c r="E86" i="1"/>
  <c r="B13" i="22715" s="1"/>
  <c r="C13" i="22715" s="1"/>
  <c r="D86" i="1"/>
  <c r="B12" i="22715" s="1"/>
  <c r="C12" i="22715" s="1"/>
  <c r="F28" i="22747"/>
  <c r="CZ30" i="22746"/>
  <c r="CS30" i="22746"/>
  <c r="CL30" i="22746"/>
  <c r="CE30" i="22746"/>
  <c r="BX30" i="22746"/>
  <c r="BQ30" i="22746"/>
  <c r="BJ30" i="22746"/>
  <c r="BC30" i="22746"/>
  <c r="AV30" i="22746"/>
  <c r="AO30" i="22746"/>
  <c r="AH30" i="22746"/>
  <c r="AA30" i="22746"/>
  <c r="T30" i="22746"/>
  <c r="M30" i="22746"/>
  <c r="F30" i="22746"/>
  <c r="E87" i="1"/>
  <c r="CL43" i="3"/>
  <c r="CS43" i="3"/>
  <c r="BJ43" i="3"/>
  <c r="AA43" i="3"/>
  <c r="CE43" i="3"/>
  <c r="F42" i="4"/>
  <c r="D76" i="2"/>
  <c r="E76" i="2" s="1"/>
  <c r="BB63" i="3"/>
  <c r="S62" i="3"/>
  <c r="D72" i="2"/>
  <c r="E72" i="2" s="1"/>
  <c r="L62" i="3"/>
  <c r="E68" i="4"/>
  <c r="F68" i="4" s="1"/>
  <c r="B136" i="4" s="1"/>
  <c r="H120" i="22715" s="1"/>
  <c r="E71" i="3"/>
  <c r="BI64" i="3"/>
  <c r="BJ64" i="3" s="1"/>
  <c r="CD65" i="3"/>
  <c r="CH38" i="3"/>
  <c r="AR38" i="3"/>
  <c r="BI62" i="3"/>
  <c r="Z62" i="3"/>
  <c r="AO43" i="3"/>
  <c r="B38" i="3"/>
  <c r="BT38" i="3"/>
  <c r="BM38" i="3"/>
  <c r="CO38" i="3"/>
  <c r="AK38" i="3"/>
  <c r="AN65" i="3"/>
  <c r="D74" i="2"/>
  <c r="E74" i="2" s="1"/>
  <c r="S63" i="3"/>
  <c r="BB70" i="3"/>
  <c r="Z69" i="3"/>
  <c r="L65" i="3"/>
  <c r="F54" i="22751"/>
  <c r="H54" i="22751" s="1"/>
  <c r="CD69" i="3"/>
  <c r="AN64" i="3"/>
  <c r="AO64" i="3" s="1"/>
  <c r="E66" i="4"/>
  <c r="L63" i="3"/>
  <c r="BW62" i="3"/>
  <c r="AU71" i="3"/>
  <c r="AV71" i="3" s="1"/>
  <c r="CK63" i="3"/>
  <c r="AN63" i="3"/>
  <c r="CD71" i="3"/>
  <c r="E65" i="3"/>
  <c r="CK71" i="3"/>
  <c r="S65" i="3"/>
  <c r="CY62" i="3"/>
  <c r="BI71" i="3"/>
  <c r="T43" i="3"/>
  <c r="G87" i="1"/>
  <c r="CQ10" i="3"/>
  <c r="BO9" i="3"/>
  <c r="BN9" i="3" s="1"/>
  <c r="H19" i="22750"/>
  <c r="E114" i="22745" s="1"/>
  <c r="E127" i="22745"/>
  <c r="H27" i="22750"/>
  <c r="E115" i="22745" s="1"/>
  <c r="E33" i="22745"/>
  <c r="E31" i="22745"/>
  <c r="E26" i="22745"/>
  <c r="E24" i="22745"/>
  <c r="E61" i="22749"/>
  <c r="E44" i="22745"/>
  <c r="E30" i="22745"/>
  <c r="E25" i="22745"/>
  <c r="E23" i="22745"/>
  <c r="E22" i="22745"/>
  <c r="E21" i="22745"/>
  <c r="E19" i="22745"/>
  <c r="E18" i="22745"/>
  <c r="E17" i="22745"/>
  <c r="E16" i="22745"/>
  <c r="E45" i="22745"/>
  <c r="E39" i="22745"/>
  <c r="E69" i="22749"/>
  <c r="E14" i="22745"/>
  <c r="BV66" i="22746"/>
  <c r="D70" i="22747"/>
  <c r="AA43" i="22746"/>
  <c r="CC69" i="22746"/>
  <c r="CQ71" i="22746"/>
  <c r="CC45" i="22746"/>
  <c r="AY39" i="22746"/>
  <c r="I39" i="22746"/>
  <c r="AR39" i="22746"/>
  <c r="D69" i="22746"/>
  <c r="D45" i="22746"/>
  <c r="BA71" i="22746"/>
  <c r="B39" i="22746"/>
  <c r="CX45" i="22746"/>
  <c r="CO38" i="22746"/>
  <c r="CZ43" i="22746"/>
  <c r="AU36" i="22746"/>
  <c r="T43" i="22746"/>
  <c r="B38" i="22746"/>
  <c r="BF38" i="22746"/>
  <c r="E33" i="22747"/>
  <c r="F33" i="22747" s="1"/>
  <c r="B35" i="22747"/>
  <c r="D20" i="22744"/>
  <c r="AT45" i="22746"/>
  <c r="BA45" i="22746"/>
  <c r="BO45" i="22746"/>
  <c r="B36" i="22747"/>
  <c r="BM39" i="22746"/>
  <c r="CQ78" i="22746"/>
  <c r="CQ45" i="22746"/>
  <c r="K45" i="22746"/>
  <c r="D157" i="22744"/>
  <c r="E45" i="22746" s="1"/>
  <c r="BH45" i="22746"/>
  <c r="B5" i="22750"/>
  <c r="D11" i="22750" s="1"/>
  <c r="H11" i="22750" s="1"/>
  <c r="D147" i="22744"/>
  <c r="D66" i="22749" s="1"/>
  <c r="E66" i="22749" s="1"/>
  <c r="CJ71" i="22746"/>
  <c r="F42" i="22747"/>
  <c r="AF71" i="22746"/>
  <c r="CV39" i="22746"/>
  <c r="BT39" i="22746"/>
  <c r="CA39" i="22746"/>
  <c r="P39" i="22746"/>
  <c r="AD39" i="22746"/>
  <c r="BC43" i="22746"/>
  <c r="CE43" i="22746"/>
  <c r="W39" i="22746"/>
  <c r="CH39" i="22746"/>
  <c r="CS43" i="22746"/>
  <c r="E90" i="22745"/>
  <c r="S36" i="22746"/>
  <c r="A1" i="3"/>
  <c r="Z74" i="22746"/>
  <c r="AA74" i="22746" s="1"/>
  <c r="F46" i="22750"/>
  <c r="H46" i="22750" s="1"/>
  <c r="F99" i="22750"/>
  <c r="D55" i="2"/>
  <c r="D54" i="2"/>
  <c r="D101" i="2" s="1"/>
  <c r="E101" i="2" s="1"/>
  <c r="L53" i="3"/>
  <c r="M53" i="3" s="1"/>
  <c r="CH39" i="3"/>
  <c r="W39" i="3"/>
  <c r="BI45" i="3"/>
  <c r="BJ45" i="3" s="1"/>
  <c r="CD45" i="3"/>
  <c r="CE45" i="3" s="1"/>
  <c r="L45" i="3"/>
  <c r="M45" i="3" s="1"/>
  <c r="BP45" i="3"/>
  <c r="F81" i="1"/>
  <c r="BY11" i="3" s="1"/>
  <c r="BV11" i="3" s="1"/>
  <c r="F73" i="1"/>
  <c r="U11" i="3" s="1"/>
  <c r="R11" i="3" s="1"/>
  <c r="T11" i="3" s="1"/>
  <c r="F82" i="1"/>
  <c r="CF11" i="3" s="1"/>
  <c r="CC11" i="3" s="1"/>
  <c r="CE11" i="3" s="1"/>
  <c r="F84" i="1"/>
  <c r="CT11" i="3" s="1"/>
  <c r="CQ11" i="3" s="1"/>
  <c r="F83" i="1"/>
  <c r="CM11" i="3" s="1"/>
  <c r="BO45" i="3"/>
  <c r="R45" i="3"/>
  <c r="BA45" i="3"/>
  <c r="BC45" i="3" s="1"/>
  <c r="Y45" i="3"/>
  <c r="AA45" i="3" s="1"/>
  <c r="AF45" i="3"/>
  <c r="D45" i="3"/>
  <c r="D47" i="4"/>
  <c r="E58" i="4"/>
  <c r="BW55" i="3"/>
  <c r="C69" i="3"/>
  <c r="C134" i="2"/>
  <c r="AZ70" i="3"/>
  <c r="BN69" i="3"/>
  <c r="C74" i="4"/>
  <c r="CI71" i="3"/>
  <c r="BG69" i="3"/>
  <c r="P39" i="3"/>
  <c r="AY39" i="3"/>
  <c r="BT39" i="3"/>
  <c r="CO39" i="3"/>
  <c r="B36" i="4"/>
  <c r="AK39" i="3"/>
  <c r="AD39" i="3"/>
  <c r="CA39" i="3"/>
  <c r="BM39" i="3"/>
  <c r="D87" i="1"/>
  <c r="C24" i="1"/>
  <c r="D65" i="22751" s="1"/>
  <c r="H65" i="22751" s="1"/>
  <c r="E9" i="22751"/>
  <c r="D14" i="22751" s="1"/>
  <c r="H14" i="22751" s="1"/>
  <c r="AN50" i="3"/>
  <c r="E53" i="4"/>
  <c r="CK50" i="3"/>
  <c r="CR50" i="3"/>
  <c r="AG50" i="3"/>
  <c r="BP50" i="3"/>
  <c r="BW50" i="3"/>
  <c r="E47" i="3"/>
  <c r="F47" i="3" s="1"/>
  <c r="AU47" i="3"/>
  <c r="AV47" i="3" s="1"/>
  <c r="E50" i="4"/>
  <c r="F50" i="4" s="1"/>
  <c r="BB47" i="3"/>
  <c r="BC47" i="3" s="1"/>
  <c r="CK47" i="3"/>
  <c r="CL47" i="3" s="1"/>
  <c r="D130" i="1"/>
  <c r="D58" i="2"/>
  <c r="D18" i="1"/>
  <c r="AN49" i="3"/>
  <c r="E52" i="4"/>
  <c r="L49" i="3"/>
  <c r="Z49" i="3"/>
  <c r="AG49" i="3"/>
  <c r="BB58" i="3"/>
  <c r="BC58" i="3" s="1"/>
  <c r="AG58" i="3"/>
  <c r="AH58" i="3" s="1"/>
  <c r="D56" i="2"/>
  <c r="E56" i="2" s="1"/>
  <c r="E61" i="4"/>
  <c r="D40" i="22752"/>
  <c r="E40" i="22752" s="1"/>
  <c r="E51" i="4"/>
  <c r="F51" i="4" s="1"/>
  <c r="CK48" i="3"/>
  <c r="CL48" i="3" s="1"/>
  <c r="BI48" i="3"/>
  <c r="BJ48" i="3" s="1"/>
  <c r="AG48" i="3"/>
  <c r="AH48" i="3" s="1"/>
  <c r="BB48" i="3"/>
  <c r="BC48" i="3" s="1"/>
  <c r="E58" i="3"/>
  <c r="F58" i="3" s="1"/>
  <c r="CD48" i="3"/>
  <c r="CE48" i="3" s="1"/>
  <c r="L58" i="3"/>
  <c r="M58" i="3" s="1"/>
  <c r="BP48" i="3"/>
  <c r="BQ48" i="3" s="1"/>
  <c r="Z48" i="3"/>
  <c r="AA48" i="3" s="1"/>
  <c r="AU58" i="3"/>
  <c r="AV58" i="3" s="1"/>
  <c r="BB49" i="3"/>
  <c r="E49" i="3"/>
  <c r="CD53" i="3"/>
  <c r="CE53" i="3" s="1"/>
  <c r="BI53" i="3"/>
  <c r="BJ53" i="3" s="1"/>
  <c r="BW53" i="3"/>
  <c r="BX53" i="3" s="1"/>
  <c r="AU53" i="3"/>
  <c r="AV53" i="3" s="1"/>
  <c r="Z58" i="3"/>
  <c r="AA58" i="3" s="1"/>
  <c r="BB53" i="3"/>
  <c r="BC53" i="3" s="1"/>
  <c r="Z53" i="3"/>
  <c r="AA53" i="3" s="1"/>
  <c r="D81" i="22744"/>
  <c r="AY38" i="22746"/>
  <c r="BT38" i="22746"/>
  <c r="AD38" i="22746"/>
  <c r="BX43" i="22746"/>
  <c r="CL43" i="22746"/>
  <c r="BI45" i="22746"/>
  <c r="M43" i="22746"/>
  <c r="AH43" i="22746"/>
  <c r="F43" i="22746"/>
  <c r="AO43" i="22746"/>
  <c r="AV43" i="22746"/>
  <c r="CK45" i="22746"/>
  <c r="CL45" i="22746" s="1"/>
  <c r="AK38" i="22746"/>
  <c r="P38" i="22746"/>
  <c r="CA38" i="22746"/>
  <c r="D62" i="22744"/>
  <c r="CY11" i="22746" s="1"/>
  <c r="CV38" i="22746"/>
  <c r="BQ43" i="22746"/>
  <c r="D49" i="22744"/>
  <c r="L11" i="22746" s="1"/>
  <c r="AR38" i="22746"/>
  <c r="D18" i="22744"/>
  <c r="M19" i="3"/>
  <c r="BX68" i="3"/>
  <c r="BC68" i="3"/>
  <c r="BJ67" i="3"/>
  <c r="BA71" i="3"/>
  <c r="R70" i="3"/>
  <c r="BV10" i="3"/>
  <c r="BU10" i="3" s="1"/>
  <c r="CJ9" i="3"/>
  <c r="CI9" i="3" s="1"/>
  <c r="CP21" i="3"/>
  <c r="CP49" i="3" s="1"/>
  <c r="CS49" i="3" s="1"/>
  <c r="CB21" i="3"/>
  <c r="BN21" i="3"/>
  <c r="BN49" i="3" s="1"/>
  <c r="AO74" i="3"/>
  <c r="X21" i="3"/>
  <c r="X49" i="3" s="1"/>
  <c r="AA66" i="3"/>
  <c r="BO69" i="3"/>
  <c r="AT11" i="3"/>
  <c r="AS11" i="3" s="1"/>
  <c r="CX9" i="3"/>
  <c r="CW9" i="3" s="1"/>
  <c r="BQ68" i="3"/>
  <c r="CL67" i="3"/>
  <c r="M66" i="3"/>
  <c r="BQ64" i="3"/>
  <c r="CL64" i="3"/>
  <c r="M68" i="3"/>
  <c r="AH67" i="3"/>
  <c r="CS68" i="3"/>
  <c r="AO66" i="3"/>
  <c r="D73" i="4"/>
  <c r="CJ71" i="3"/>
  <c r="CL71" i="3" s="1"/>
  <c r="BV70" i="3"/>
  <c r="CC69" i="3"/>
  <c r="CE69" i="3" s="1"/>
  <c r="BX67" i="3"/>
  <c r="BA69" i="3"/>
  <c r="CQ71" i="3"/>
  <c r="BO70" i="3"/>
  <c r="CZ67" i="3"/>
  <c r="BX45" i="3"/>
  <c r="CZ74" i="3"/>
  <c r="CL74" i="3"/>
  <c r="BX74" i="3"/>
  <c r="AH74" i="3"/>
  <c r="E91" i="2"/>
  <c r="E60" i="2"/>
  <c r="Y69" i="3"/>
  <c r="H112" i="22751"/>
  <c r="F68" i="3"/>
  <c r="AH68" i="3"/>
  <c r="T66" i="3"/>
  <c r="E52" i="2"/>
  <c r="BH69" i="3"/>
  <c r="CC71" i="3"/>
  <c r="CE71" i="3" s="1"/>
  <c r="AM65" i="3"/>
  <c r="AA19" i="3"/>
  <c r="E93" i="2"/>
  <c r="AV66" i="3"/>
  <c r="E67" i="2"/>
  <c r="E55" i="2"/>
  <c r="CZ64" i="3"/>
  <c r="E90" i="2"/>
  <c r="R69" i="3"/>
  <c r="C89" i="2"/>
  <c r="E89" i="2" s="1"/>
  <c r="AT69" i="3"/>
  <c r="AV69" i="3" s="1"/>
  <c r="AA68" i="3"/>
  <c r="BJ58" i="3"/>
  <c r="H55" i="22751"/>
  <c r="CZ68" i="3"/>
  <c r="E53" i="2"/>
  <c r="AS21" i="3"/>
  <c r="AS49" i="3" s="1"/>
  <c r="D66" i="22751"/>
  <c r="H66" i="22751" s="1"/>
  <c r="CJ69" i="3"/>
  <c r="AF71" i="3"/>
  <c r="D71" i="3"/>
  <c r="AM70" i="3"/>
  <c r="AO70" i="3" s="1"/>
  <c r="BH71" i="3"/>
  <c r="D69" i="3"/>
  <c r="AA67" i="3"/>
  <c r="CE67" i="3"/>
  <c r="K71" i="3"/>
  <c r="M71" i="3" s="1"/>
  <c r="AM69" i="3"/>
  <c r="CX71" i="3"/>
  <c r="R71" i="3"/>
  <c r="T71" i="3" s="1"/>
  <c r="AH64" i="3"/>
  <c r="K56" i="4"/>
  <c r="BA10" i="3"/>
  <c r="AZ10" i="3" s="1"/>
  <c r="BC18" i="3"/>
  <c r="BA65" i="3"/>
  <c r="BC74" i="3"/>
  <c r="AV19" i="3"/>
  <c r="AO18" i="3"/>
  <c r="AH19" i="3"/>
  <c r="F72" i="4"/>
  <c r="B141" i="4" s="1"/>
  <c r="C58" i="2"/>
  <c r="E58" i="2" s="1"/>
  <c r="E8" i="2"/>
  <c r="Y70" i="3"/>
  <c r="B30" i="4"/>
  <c r="Q21" i="3"/>
  <c r="T74" i="3"/>
  <c r="I24" i="22714"/>
  <c r="F67" i="3"/>
  <c r="D65" i="3"/>
  <c r="CE68" i="3"/>
  <c r="CE66" i="3"/>
  <c r="BJ74" i="3"/>
  <c r="AV74" i="3"/>
  <c r="K69" i="3"/>
  <c r="M69" i="3" s="1"/>
  <c r="CX69" i="3"/>
  <c r="BV69" i="3"/>
  <c r="AM71" i="3"/>
  <c r="AO71" i="3" s="1"/>
  <c r="BO71" i="3"/>
  <c r="Y71" i="3"/>
  <c r="CS45" i="3"/>
  <c r="AO68" i="3"/>
  <c r="I27" i="22714"/>
  <c r="AF69" i="3"/>
  <c r="AH69" i="3" s="1"/>
  <c r="BH65" i="3"/>
  <c r="Y65" i="3"/>
  <c r="AA65" i="3" s="1"/>
  <c r="K65" i="3"/>
  <c r="F74" i="3"/>
  <c r="C137" i="2"/>
  <c r="C133" i="2" s="1"/>
  <c r="CS40" i="3"/>
  <c r="C94" i="2"/>
  <c r="E94" i="2" s="1"/>
  <c r="E88" i="2"/>
  <c r="F55" i="4"/>
  <c r="F71" i="4"/>
  <c r="B140" i="4" s="1"/>
  <c r="K9" i="3"/>
  <c r="J9" i="3" s="1"/>
  <c r="BX70" i="3"/>
  <c r="C102" i="2"/>
  <c r="E102" i="2" s="1"/>
  <c r="BH70" i="3"/>
  <c r="AT70" i="3"/>
  <c r="AV70" i="3" s="1"/>
  <c r="BC66" i="3"/>
  <c r="AV67" i="3"/>
  <c r="K10" i="3"/>
  <c r="J10" i="3" s="1"/>
  <c r="CC65" i="3"/>
  <c r="BO65" i="3"/>
  <c r="BC40" i="3"/>
  <c r="AZ21" i="3"/>
  <c r="AZ49" i="3" s="1"/>
  <c r="BC49" i="3" s="1"/>
  <c r="AA74" i="3"/>
  <c r="E92" i="2"/>
  <c r="BQ67" i="3"/>
  <c r="AH66" i="3"/>
  <c r="I28" i="22714"/>
  <c r="C66" i="2"/>
  <c r="E51" i="2"/>
  <c r="L10" i="3"/>
  <c r="M10" i="3" s="1"/>
  <c r="F47" i="4"/>
  <c r="AH45" i="3"/>
  <c r="CZ40" i="3"/>
  <c r="CX65" i="3"/>
  <c r="CQ65" i="3"/>
  <c r="CS65" i="3" s="1"/>
  <c r="CS74" i="3"/>
  <c r="I35" i="22714"/>
  <c r="CE74" i="3"/>
  <c r="BV65" i="3"/>
  <c r="I33" i="22714"/>
  <c r="AV40" i="3"/>
  <c r="AF65" i="3"/>
  <c r="AH65" i="3" s="1"/>
  <c r="AE21" i="3"/>
  <c r="AE49" i="3" s="1"/>
  <c r="CX70" i="3"/>
  <c r="BA70" i="3"/>
  <c r="CC70" i="3"/>
  <c r="CE70" i="3" s="1"/>
  <c r="D70" i="3"/>
  <c r="I25" i="22714"/>
  <c r="M18" i="3"/>
  <c r="F40" i="3"/>
  <c r="C21" i="3"/>
  <c r="F61" i="4"/>
  <c r="BO10" i="3"/>
  <c r="BN10" i="3" s="1"/>
  <c r="CL66" i="3"/>
  <c r="BO11" i="3"/>
  <c r="BN11" i="3" s="1"/>
  <c r="CZ18" i="3"/>
  <c r="CW21" i="3"/>
  <c r="CW49" i="3" s="1"/>
  <c r="CZ49" i="3" s="1"/>
  <c r="CL19" i="3"/>
  <c r="CJ65" i="3"/>
  <c r="CL65" i="3" s="1"/>
  <c r="CI21" i="3"/>
  <c r="CI49" i="3" s="1"/>
  <c r="CL49" i="3" s="1"/>
  <c r="BU21" i="3"/>
  <c r="BU49" i="3" s="1"/>
  <c r="BX49" i="3" s="1"/>
  <c r="BJ19" i="3"/>
  <c r="BG21" i="3"/>
  <c r="BG49" i="3" s="1"/>
  <c r="AL21" i="3"/>
  <c r="AL49" i="3" s="1"/>
  <c r="F78" i="4"/>
  <c r="B142" i="4" s="1"/>
  <c r="C20" i="4"/>
  <c r="C52" i="4" s="1"/>
  <c r="R65" i="3"/>
  <c r="M40" i="3"/>
  <c r="J21" i="3"/>
  <c r="J49" i="3" s="1"/>
  <c r="M49" i="3" s="1"/>
  <c r="M74" i="3"/>
  <c r="BX66" i="3"/>
  <c r="K63" i="3"/>
  <c r="F70" i="4"/>
  <c r="B138" i="4" s="1"/>
  <c r="H121" i="22715" s="1"/>
  <c r="K71" i="22746"/>
  <c r="D84" i="22744"/>
  <c r="CJ69" i="22746"/>
  <c r="R69" i="22746"/>
  <c r="AF69" i="22746"/>
  <c r="CC78" i="22746"/>
  <c r="BA69" i="22746"/>
  <c r="CX71" i="22746"/>
  <c r="D80" i="22744"/>
  <c r="D55" i="22744"/>
  <c r="BB11" i="22746" s="1"/>
  <c r="E9" i="22746"/>
  <c r="Y69" i="22746"/>
  <c r="D79" i="22744"/>
  <c r="AM69" i="22746"/>
  <c r="CC66" i="22746"/>
  <c r="CK37" i="22746"/>
  <c r="BO71" i="22746"/>
  <c r="D51" i="22744"/>
  <c r="Z11" i="22746" s="1"/>
  <c r="D72" i="22744"/>
  <c r="D85" i="22744"/>
  <c r="D58" i="22744"/>
  <c r="BW11" i="22746" s="1"/>
  <c r="R71" i="22746"/>
  <c r="AT69" i="22746"/>
  <c r="D50" i="22744"/>
  <c r="S11" i="22746" s="1"/>
  <c r="K69" i="22746"/>
  <c r="D71" i="22746"/>
  <c r="AM71" i="22746"/>
  <c r="AF70" i="22746"/>
  <c r="BO69" i="22746"/>
  <c r="AT71" i="22746"/>
  <c r="CJ78" i="22746"/>
  <c r="D57" i="22744"/>
  <c r="BP11" i="22746" s="1"/>
  <c r="D52" i="22744"/>
  <c r="AG11" i="22746" s="1"/>
  <c r="D73" i="22744"/>
  <c r="D82" i="22744"/>
  <c r="AG74" i="22746"/>
  <c r="AH74" i="22746" s="1"/>
  <c r="D73" i="22747"/>
  <c r="D56" i="22744"/>
  <c r="BI11" i="22746" s="1"/>
  <c r="E91" i="22745"/>
  <c r="E93" i="22745"/>
  <c r="C35" i="22744"/>
  <c r="BW73" i="22746" s="1"/>
  <c r="BH71" i="22746"/>
  <c r="B50" i="1"/>
  <c r="B51" i="1" s="1"/>
  <c r="C78" i="22752"/>
  <c r="K33" i="3" s="1"/>
  <c r="M33" i="3" s="1"/>
  <c r="D64" i="22751"/>
  <c r="D68" i="22751" s="1"/>
  <c r="H68" i="22751" s="1"/>
  <c r="CC63" i="3"/>
  <c r="R65" i="22746"/>
  <c r="BF6" i="22746"/>
  <c r="BH69" i="22746"/>
  <c r="D75" i="22744"/>
  <c r="D78" i="22746"/>
  <c r="AF78" i="22746"/>
  <c r="CQ69" i="22746"/>
  <c r="L39" i="22746"/>
  <c r="CC71" i="22746"/>
  <c r="Y71" i="22746"/>
  <c r="CX69" i="22746"/>
  <c r="AM78" i="22746"/>
  <c r="D60" i="22744"/>
  <c r="CK11" i="22746" s="1"/>
  <c r="BV69" i="22746"/>
  <c r="AN37" i="22746"/>
  <c r="D53" i="22744"/>
  <c r="AN11" i="22746" s="1"/>
  <c r="CP21" i="22746"/>
  <c r="CP49" i="22746" s="1"/>
  <c r="CQ62" i="22746" s="1"/>
  <c r="BN21" i="22746"/>
  <c r="BN49" i="22746" s="1"/>
  <c r="BO62" i="22746" s="1"/>
  <c r="AL21" i="22746"/>
  <c r="AL49" i="22746" s="1"/>
  <c r="AM62" i="22746" s="1"/>
  <c r="E41" i="22749"/>
  <c r="E70" i="22749" s="1"/>
  <c r="E82" i="22744"/>
  <c r="BW37" i="22746"/>
  <c r="J67" i="22746"/>
  <c r="C79" i="22745"/>
  <c r="C80" i="22745" s="1"/>
  <c r="CX70" i="22746"/>
  <c r="CR37" i="22746"/>
  <c r="L74" i="22746"/>
  <c r="M74" i="22746" s="1"/>
  <c r="BI37" i="22746"/>
  <c r="AT70" i="22746"/>
  <c r="L37" i="22746"/>
  <c r="BH70" i="22746"/>
  <c r="CD37" i="22746"/>
  <c r="AU37" i="22746"/>
  <c r="Q21" i="22746"/>
  <c r="Q49" i="22746" s="1"/>
  <c r="R62" i="22746" s="1"/>
  <c r="Y70" i="22746"/>
  <c r="F108" i="22750"/>
  <c r="F36" i="22746"/>
  <c r="E37" i="22746"/>
  <c r="AU74" i="22746"/>
  <c r="AV74" i="22746" s="1"/>
  <c r="B3" i="22745"/>
  <c r="Z37" i="22746"/>
  <c r="AG37" i="22746"/>
  <c r="AN74" i="22746"/>
  <c r="AO74" i="22746" s="1"/>
  <c r="CY37" i="22746"/>
  <c r="BO70" i="22746"/>
  <c r="BB37" i="22746"/>
  <c r="BP37" i="22746"/>
  <c r="E34" i="22747"/>
  <c r="E92" i="22745"/>
  <c r="BB36" i="22746"/>
  <c r="CY36" i="22746"/>
  <c r="CK36" i="22746"/>
  <c r="E108" i="22750"/>
  <c r="E52" i="22750"/>
  <c r="H52" i="22750" s="1"/>
  <c r="E73" i="22744"/>
  <c r="E72" i="22744"/>
  <c r="E78" i="22744"/>
  <c r="F71" i="22744"/>
  <c r="F82" i="22744" s="1"/>
  <c r="CF11" i="22746" s="1"/>
  <c r="E80" i="22744"/>
  <c r="E85" i="22744"/>
  <c r="E87" i="22745"/>
  <c r="BI36" i="22746"/>
  <c r="E76" i="22744"/>
  <c r="E75" i="22744"/>
  <c r="E77" i="22744"/>
  <c r="E79" i="22744"/>
  <c r="D74" i="22747"/>
  <c r="BV70" i="22746"/>
  <c r="CL36" i="22746"/>
  <c r="M36" i="22746"/>
  <c r="E84" i="22744"/>
  <c r="E83" i="22744"/>
  <c r="E81" i="22744"/>
  <c r="K65" i="22746"/>
  <c r="J21" i="22746"/>
  <c r="J49" i="22746" s="1"/>
  <c r="K62" i="22746" s="1"/>
  <c r="D65" i="22746"/>
  <c r="E11" i="22746"/>
  <c r="D61" i="22744"/>
  <c r="CR11" i="22746" s="1"/>
  <c r="D59" i="22744"/>
  <c r="CD11" i="22746" s="1"/>
  <c r="CD74" i="22746"/>
  <c r="CE74" i="22746" s="1"/>
  <c r="K56" i="22747"/>
  <c r="CJ65" i="22746"/>
  <c r="CC65" i="22746"/>
  <c r="BV65" i="22746"/>
  <c r="BO65" i="22746"/>
  <c r="AS21" i="22746"/>
  <c r="AS49" i="22746" s="1"/>
  <c r="AT62" i="22746" s="1"/>
  <c r="CX65" i="22746"/>
  <c r="C187" i="22744"/>
  <c r="CB70" i="22746" s="1"/>
  <c r="D63" i="22746"/>
  <c r="K63" i="22746"/>
  <c r="C78" i="22744"/>
  <c r="BD10" i="22746" s="1"/>
  <c r="C74" i="22744"/>
  <c r="AB10" i="22746" s="1"/>
  <c r="C83" i="22744"/>
  <c r="CM10" i="22746" s="1"/>
  <c r="C67" i="22746"/>
  <c r="BA66" i="22746"/>
  <c r="BH66" i="22746"/>
  <c r="AT66" i="22746"/>
  <c r="BO66" i="22746"/>
  <c r="CQ66" i="22746"/>
  <c r="AF66" i="22746"/>
  <c r="CJ66" i="22746"/>
  <c r="CB21" i="22746"/>
  <c r="CB49" i="22746" s="1"/>
  <c r="CC62" i="22746" s="1"/>
  <c r="C20" i="22747"/>
  <c r="C52" i="22747" s="1"/>
  <c r="BM6" i="22746"/>
  <c r="CA6" i="22746"/>
  <c r="B6" i="22746"/>
  <c r="CV6" i="22746"/>
  <c r="B4" i="22747"/>
  <c r="I6" i="22746"/>
  <c r="AZ68" i="22746"/>
  <c r="C71" i="22747"/>
  <c r="BG67" i="22746"/>
  <c r="CW68" i="22746"/>
  <c r="C68" i="22746"/>
  <c r="B78" i="22744"/>
  <c r="BD9" i="22746" s="1"/>
  <c r="B83" i="22744"/>
  <c r="CM9" i="22746" s="1"/>
  <c r="B82" i="22744"/>
  <c r="CF9" i="22746" s="1"/>
  <c r="BA70" i="22746"/>
  <c r="CQ70" i="22746"/>
  <c r="CJ70" i="22746"/>
  <c r="R70" i="22746"/>
  <c r="D70" i="22746"/>
  <c r="CD36" i="22746"/>
  <c r="CR36" i="22746"/>
  <c r="L36" i="22746"/>
  <c r="BQ36" i="22746"/>
  <c r="BX36" i="22746"/>
  <c r="CE36" i="22746"/>
  <c r="AV36" i="22746"/>
  <c r="BW36" i="22746"/>
  <c r="BP36" i="22746"/>
  <c r="AH36" i="22746"/>
  <c r="Z36" i="22746"/>
  <c r="T36" i="22746"/>
  <c r="AO36" i="22746"/>
  <c r="AG36" i="22746"/>
  <c r="CZ36" i="22746"/>
  <c r="AN36" i="22746"/>
  <c r="CW21" i="22746"/>
  <c r="CW49" i="22746" s="1"/>
  <c r="CX62" i="22746" s="1"/>
  <c r="CI67" i="22746"/>
  <c r="AE67" i="22746"/>
  <c r="AS68" i="22746"/>
  <c r="AZ67" i="22746"/>
  <c r="J68" i="22746"/>
  <c r="CW67" i="22746"/>
  <c r="Q67" i="22746"/>
  <c r="CP67" i="22746"/>
  <c r="BN68" i="22746"/>
  <c r="BU67" i="22746"/>
  <c r="AL68" i="22746"/>
  <c r="C72" i="22747"/>
  <c r="CP68" i="22746"/>
  <c r="CB67" i="22746"/>
  <c r="X67" i="22746"/>
  <c r="AL67" i="22746"/>
  <c r="AE68" i="22746"/>
  <c r="X68" i="22746"/>
  <c r="Q68" i="22746"/>
  <c r="BU68" i="22746"/>
  <c r="BN67" i="22746"/>
  <c r="CC70" i="22746"/>
  <c r="AM70" i="22746"/>
  <c r="BJ36" i="22746"/>
  <c r="AA36" i="22746"/>
  <c r="CS36" i="22746"/>
  <c r="E36" i="22746"/>
  <c r="D120" i="22745"/>
  <c r="CI68" i="22746"/>
  <c r="AS67" i="22746"/>
  <c r="AR6" i="22746"/>
  <c r="CB68" i="22746"/>
  <c r="C89" i="22745"/>
  <c r="E89" i="22745" s="1"/>
  <c r="C88" i="22745"/>
  <c r="E88" i="22745" s="1"/>
  <c r="C58" i="22745"/>
  <c r="C59" i="22745" s="1"/>
  <c r="BW74" i="22746"/>
  <c r="BX74" i="22746" s="1"/>
  <c r="CK74" i="22746"/>
  <c r="CL74" i="22746" s="1"/>
  <c r="BB74" i="22746"/>
  <c r="BC74" i="22746" s="1"/>
  <c r="AZ21" i="22746"/>
  <c r="AZ49" i="22746" s="1"/>
  <c r="BA62" i="22746" s="1"/>
  <c r="AE21" i="22746"/>
  <c r="AE49" i="22746" s="1"/>
  <c r="AF62" i="22746" s="1"/>
  <c r="C37" i="22744"/>
  <c r="E66" i="22746" s="1"/>
  <c r="F66" i="22746" s="1"/>
  <c r="S74" i="22746"/>
  <c r="T74" i="22746" s="1"/>
  <c r="CY74" i="22746"/>
  <c r="CZ74" i="22746" s="1"/>
  <c r="D79" i="22745"/>
  <c r="C21" i="22746"/>
  <c r="C49" i="22746" s="1"/>
  <c r="CQ65" i="22746"/>
  <c r="CI21" i="22746"/>
  <c r="CI49" i="22746" s="1"/>
  <c r="CJ62" i="22746" s="1"/>
  <c r="BU21" i="22746"/>
  <c r="BU49" i="22746" s="1"/>
  <c r="BV62" i="22746" s="1"/>
  <c r="BH65" i="22746"/>
  <c r="BG21" i="22746"/>
  <c r="BG49" i="22746" s="1"/>
  <c r="BH62" i="22746" s="1"/>
  <c r="BA65" i="22746"/>
  <c r="AT65" i="22746"/>
  <c r="AM65" i="22746"/>
  <c r="AF65" i="22746"/>
  <c r="Y65" i="22746"/>
  <c r="X21" i="22746"/>
  <c r="X49" i="22746" s="1"/>
  <c r="Y62" i="22746" s="1"/>
  <c r="J225" i="22715"/>
  <c r="C24" i="22744"/>
  <c r="D62" i="22750"/>
  <c r="H62" i="22750" s="1"/>
  <c r="D63" i="22750"/>
  <c r="H63" i="22750" s="1"/>
  <c r="D61" i="22750"/>
  <c r="H61" i="22750" s="1"/>
  <c r="D60" i="22750"/>
  <c r="CS69" i="3"/>
  <c r="CS66" i="3"/>
  <c r="BQ66" i="3"/>
  <c r="Y66" i="22746"/>
  <c r="R66" i="22746"/>
  <c r="AM66" i="22746"/>
  <c r="CX66" i="22746"/>
  <c r="E77" i="4"/>
  <c r="C76" i="22715"/>
  <c r="BQ37" i="3"/>
  <c r="G11" i="3"/>
  <c r="D11" i="3" s="1"/>
  <c r="F37" i="3" s="1"/>
  <c r="F76" i="1"/>
  <c r="AP11" i="3" s="1"/>
  <c r="AM11" i="3" s="1"/>
  <c r="F75" i="1"/>
  <c r="AI11" i="3" s="1"/>
  <c r="AF11" i="3" s="1"/>
  <c r="F72" i="1"/>
  <c r="F78" i="1"/>
  <c r="BD11" i="3" s="1"/>
  <c r="BA11" i="3" s="1"/>
  <c r="BC11" i="3" s="1"/>
  <c r="C87" i="1"/>
  <c r="R10" i="3"/>
  <c r="Q10" i="3" s="1"/>
  <c r="Y10" i="3"/>
  <c r="X10" i="3" s="1"/>
  <c r="C79" i="22744"/>
  <c r="BK10" i="22746" s="1"/>
  <c r="G10" i="22746"/>
  <c r="C82" i="22744"/>
  <c r="CF10" i="22746" s="1"/>
  <c r="C81" i="22744"/>
  <c r="BY10" i="22746" s="1"/>
  <c r="C76" i="22744"/>
  <c r="AP10" i="22746" s="1"/>
  <c r="C72" i="22744"/>
  <c r="N10" i="22746" s="1"/>
  <c r="C80" i="22744"/>
  <c r="BR10" i="22746" s="1"/>
  <c r="C85" i="22744"/>
  <c r="DA10" i="22746" s="1"/>
  <c r="C77" i="22744"/>
  <c r="AW10" i="22746" s="1"/>
  <c r="C84" i="22744"/>
  <c r="CT10" i="22746" s="1"/>
  <c r="C75" i="22744"/>
  <c r="AI10" i="22746" s="1"/>
  <c r="C73" i="22744"/>
  <c r="U10" i="22746" s="1"/>
  <c r="I29" i="22714"/>
  <c r="I37" i="22714"/>
  <c r="F63" i="1"/>
  <c r="I36" i="22714"/>
  <c r="I32" i="22714"/>
  <c r="I31" i="22714"/>
  <c r="I23" i="22714"/>
  <c r="I30" i="22714"/>
  <c r="CH6" i="22746"/>
  <c r="W6" i="22746"/>
  <c r="AK6" i="22746"/>
  <c r="CO6" i="22746"/>
  <c r="P6" i="22746"/>
  <c r="BT6" i="22746"/>
  <c r="C8" i="22745"/>
  <c r="E8" i="22745" s="1"/>
  <c r="AY6" i="22746"/>
  <c r="B10" i="22744"/>
  <c r="B18" i="22748" s="1"/>
  <c r="E73" i="3"/>
  <c r="BB73" i="3"/>
  <c r="BQ74" i="3"/>
  <c r="Z73" i="3"/>
  <c r="E64" i="3"/>
  <c r="F64" i="3" s="1"/>
  <c r="AU64" i="3"/>
  <c r="AV64" i="3" s="1"/>
  <c r="L70" i="3"/>
  <c r="BW69" i="3"/>
  <c r="D51" i="22752"/>
  <c r="E51" i="22752" s="1"/>
  <c r="S64" i="3"/>
  <c r="T64" i="3" s="1"/>
  <c r="CR64" i="3"/>
  <c r="CS64" i="3" s="1"/>
  <c r="D54" i="22752"/>
  <c r="E54" i="22752" s="1"/>
  <c r="D66" i="2"/>
  <c r="E66" i="2" s="1"/>
  <c r="E67" i="4"/>
  <c r="AU65" i="3"/>
  <c r="S69" i="3"/>
  <c r="AU63" i="3"/>
  <c r="CR63" i="3"/>
  <c r="L64" i="3"/>
  <c r="M64" i="3" s="1"/>
  <c r="D105" i="2"/>
  <c r="E105" i="2" s="1"/>
  <c r="AG62" i="3"/>
  <c r="BB69" i="3"/>
  <c r="E63" i="3"/>
  <c r="D53" i="22752"/>
  <c r="E53" i="22752" s="1"/>
  <c r="E62" i="3"/>
  <c r="D104" i="22745"/>
  <c r="E104" i="22745" s="1"/>
  <c r="BB71" i="3"/>
  <c r="AG71" i="3"/>
  <c r="CD62" i="3"/>
  <c r="D70" i="2"/>
  <c r="E70" i="2" s="1"/>
  <c r="BI70" i="3"/>
  <c r="CD63" i="3"/>
  <c r="BI65" i="3"/>
  <c r="E74" i="4"/>
  <c r="F74" i="4" s="1"/>
  <c r="F111" i="22751"/>
  <c r="H111" i="22751" s="1"/>
  <c r="CY63" i="3"/>
  <c r="CK70" i="3"/>
  <c r="CL70" i="3" s="1"/>
  <c r="CR70" i="3"/>
  <c r="CS70" i="3" s="1"/>
  <c r="Z71" i="3"/>
  <c r="D71" i="2"/>
  <c r="E71" i="2" s="1"/>
  <c r="F110" i="22751"/>
  <c r="H110" i="22751" s="1"/>
  <c r="BW71" i="3"/>
  <c r="BX71" i="3" s="1"/>
  <c r="F52" i="22751"/>
  <c r="H52" i="22751" s="1"/>
  <c r="H56" i="22751" s="1"/>
  <c r="CY69" i="3"/>
  <c r="D73" i="2"/>
  <c r="E73" i="2" s="1"/>
  <c r="Z63" i="3"/>
  <c r="BP70" i="3"/>
  <c r="D68" i="2"/>
  <c r="E68" i="2" s="1"/>
  <c r="CY71" i="3"/>
  <c r="BB65" i="3"/>
  <c r="D63" i="22752"/>
  <c r="E63" i="22752" s="1"/>
  <c r="BP71" i="3"/>
  <c r="AG70" i="3"/>
  <c r="AH70" i="3" s="1"/>
  <c r="BW65" i="3"/>
  <c r="S70" i="3"/>
  <c r="E70" i="3"/>
  <c r="H103" i="22751"/>
  <c r="E69" i="4"/>
  <c r="AN69" i="3"/>
  <c r="CK69" i="3"/>
  <c r="CL69" i="3" s="1"/>
  <c r="E73" i="4"/>
  <c r="F73" i="4" s="1"/>
  <c r="BW64" i="3"/>
  <c r="BX64" i="3" s="1"/>
  <c r="CR62" i="3"/>
  <c r="CY70" i="3"/>
  <c r="CR71" i="3"/>
  <c r="CY65" i="3"/>
  <c r="BP65" i="3"/>
  <c r="BP69" i="3"/>
  <c r="BP62" i="3"/>
  <c r="D77" i="2"/>
  <c r="E77" i="2" s="1"/>
  <c r="E69" i="3"/>
  <c r="BI63" i="3"/>
  <c r="S73" i="3"/>
  <c r="CY73" i="3"/>
  <c r="AG73" i="3"/>
  <c r="BW73" i="3"/>
  <c r="AN73" i="3"/>
  <c r="CD73" i="3"/>
  <c r="AU73" i="3"/>
  <c r="CR73" i="3"/>
  <c r="BP73" i="3"/>
  <c r="CK73" i="3"/>
  <c r="E118" i="2"/>
  <c r="AA70" i="3"/>
  <c r="M70" i="3"/>
  <c r="AA64" i="3"/>
  <c r="C36" i="22744"/>
  <c r="E74" i="22746"/>
  <c r="F74" i="22746" s="1"/>
  <c r="Z73" i="22746"/>
  <c r="BI74" i="22746"/>
  <c r="BJ74" i="22746" s="1"/>
  <c r="CR74" i="22746"/>
  <c r="CS74" i="22746" s="1"/>
  <c r="BP74" i="22746"/>
  <c r="BQ74" i="22746" s="1"/>
  <c r="E78" i="22747"/>
  <c r="F78" i="22747" s="1"/>
  <c r="B194" i="22747" s="1"/>
  <c r="G86" i="1"/>
  <c r="E39" i="22746"/>
  <c r="BP39" i="22746"/>
  <c r="BI39" i="22746"/>
  <c r="AN39" i="22746"/>
  <c r="AM9" i="3"/>
  <c r="AL9" i="3" s="1"/>
  <c r="CL40" i="3"/>
  <c r="T40" i="3"/>
  <c r="CJ11" i="3"/>
  <c r="B14" i="22715"/>
  <c r="C14" i="22715" s="1"/>
  <c r="E50" i="22744" s="1"/>
  <c r="F50" i="22744" s="1"/>
  <c r="BX40" i="3"/>
  <c r="D66" i="1"/>
  <c r="C51" i="1"/>
  <c r="S10" i="3"/>
  <c r="T10" i="3" s="1"/>
  <c r="C49" i="22744"/>
  <c r="B77" i="22744"/>
  <c r="AW9" i="22746" s="1"/>
  <c r="B81" i="22744"/>
  <c r="BY9" i="22746" s="1"/>
  <c r="E36" i="22747"/>
  <c r="BW39" i="22746"/>
  <c r="CK39" i="22746"/>
  <c r="Z39" i="22746"/>
  <c r="AG39" i="22746"/>
  <c r="BB39" i="22746"/>
  <c r="C86" i="1"/>
  <c r="B11" i="22715" s="1"/>
  <c r="C11" i="22715" s="1"/>
  <c r="AP10" i="3"/>
  <c r="AM10" i="3" s="1"/>
  <c r="AL10" i="3" s="1"/>
  <c r="AW12" i="3"/>
  <c r="R9" i="3"/>
  <c r="Q9" i="3" s="1"/>
  <c r="K55" i="4"/>
  <c r="H225" i="22715"/>
  <c r="D69" i="4"/>
  <c r="B194" i="4"/>
  <c r="F37" i="4"/>
  <c r="G141" i="22715"/>
  <c r="F18" i="4"/>
  <c r="C51" i="22715"/>
  <c r="G149" i="22715"/>
  <c r="I101" i="22715"/>
  <c r="F17" i="4"/>
  <c r="D63" i="3"/>
  <c r="Y63" i="3"/>
  <c r="CZ11" i="3"/>
  <c r="CZ45" i="3"/>
  <c r="AT65" i="3"/>
  <c r="AV65" i="3" s="1"/>
  <c r="AV68" i="3"/>
  <c r="CS67" i="3"/>
  <c r="H34" i="22714"/>
  <c r="I34" i="22714" s="1"/>
  <c r="H26" i="22714"/>
  <c r="I26" i="22714" s="1"/>
  <c r="Y11" i="3"/>
  <c r="AA11" i="3" s="1"/>
  <c r="CC9" i="3"/>
  <c r="CB9" i="3" s="1"/>
  <c r="CZ19" i="3"/>
  <c r="BJ18" i="3"/>
  <c r="AH18" i="3"/>
  <c r="AA18" i="3"/>
  <c r="Q49" i="3"/>
  <c r="F19" i="3"/>
  <c r="CE18" i="3"/>
  <c r="BX19" i="3"/>
  <c r="BQ18" i="3"/>
  <c r="BJ40" i="3"/>
  <c r="AV18" i="3"/>
  <c r="AH40" i="3"/>
  <c r="AA40" i="3"/>
  <c r="T19" i="3"/>
  <c r="BR12" i="3"/>
  <c r="AF10" i="3"/>
  <c r="AE10" i="3" s="1"/>
  <c r="CC10" i="3"/>
  <c r="CB10" i="3" s="1"/>
  <c r="CL18" i="3"/>
  <c r="CL21" i="3" s="1"/>
  <c r="CE19" i="3"/>
  <c r="CE40" i="3"/>
  <c r="BX18" i="3"/>
  <c r="BQ40" i="3"/>
  <c r="AO19" i="3"/>
  <c r="AO40" i="3"/>
  <c r="F33" i="3"/>
  <c r="T18" i="3"/>
  <c r="K55" i="22747"/>
  <c r="D69" i="22747"/>
  <c r="F37" i="22747"/>
  <c r="BQ19" i="3"/>
  <c r="CS19" i="3"/>
  <c r="CB49" i="3"/>
  <c r="CE49" i="3" s="1"/>
  <c r="BC19" i="3"/>
  <c r="C49" i="3"/>
  <c r="F18" i="3"/>
  <c r="CS18" i="3"/>
  <c r="CW73" i="3"/>
  <c r="CY51" i="3" s="1"/>
  <c r="C73" i="3"/>
  <c r="E51" i="3" s="1"/>
  <c r="B16" i="22715"/>
  <c r="C16" i="22715" s="1"/>
  <c r="C77" i="4"/>
  <c r="E54" i="4" s="1"/>
  <c r="Q73" i="3"/>
  <c r="X73" i="3"/>
  <c r="Z51" i="3" s="1"/>
  <c r="CI73" i="3"/>
  <c r="CK51" i="3" s="1"/>
  <c r="AZ73" i="3"/>
  <c r="BB51" i="3" s="1"/>
  <c r="BU73" i="3"/>
  <c r="BW51" i="3" s="1"/>
  <c r="CP73" i="3"/>
  <c r="CR51" i="3" s="1"/>
  <c r="AL73" i="3"/>
  <c r="AN51" i="3" s="1"/>
  <c r="AS73" i="3"/>
  <c r="AU51" i="3" s="1"/>
  <c r="J73" i="3"/>
  <c r="L51" i="3" s="1"/>
  <c r="BG73" i="3"/>
  <c r="BI51" i="3" s="1"/>
  <c r="AE73" i="3"/>
  <c r="AG51" i="3" s="1"/>
  <c r="CB73" i="3"/>
  <c r="CD51" i="3" s="1"/>
  <c r="BN73" i="3"/>
  <c r="BP51" i="3" s="1"/>
  <c r="G80" i="22744"/>
  <c r="BN73" i="22746" s="1"/>
  <c r="G84" i="22744"/>
  <c r="CP73" i="22746" s="1"/>
  <c r="G78" i="22744"/>
  <c r="AZ73" i="22746" s="1"/>
  <c r="G72" i="22744"/>
  <c r="J73" i="22746" s="1"/>
  <c r="G82" i="22744"/>
  <c r="CB73" i="22746" s="1"/>
  <c r="G73" i="22744"/>
  <c r="Q73" i="22746" s="1"/>
  <c r="G76" i="22744"/>
  <c r="AL73" i="22746" s="1"/>
  <c r="G85" i="22744"/>
  <c r="CW73" i="22746" s="1"/>
  <c r="G83" i="22744"/>
  <c r="CI73" i="22746" s="1"/>
  <c r="C73" i="22746"/>
  <c r="G81" i="22744"/>
  <c r="BU73" i="22746" s="1"/>
  <c r="G77" i="22744"/>
  <c r="AS73" i="22746" s="1"/>
  <c r="G74" i="22744"/>
  <c r="G79" i="22744"/>
  <c r="BG73" i="22746" s="1"/>
  <c r="E38" i="22746"/>
  <c r="AN38" i="22746"/>
  <c r="E35" i="22747"/>
  <c r="BP38" i="22746"/>
  <c r="S38" i="22746"/>
  <c r="CD38" i="22746"/>
  <c r="CR38" i="22746"/>
  <c r="CY38" i="22746"/>
  <c r="CK38" i="22746"/>
  <c r="AG38" i="22746"/>
  <c r="AU38" i="22746"/>
  <c r="BB38" i="22746"/>
  <c r="L38" i="22746"/>
  <c r="BW38" i="22746"/>
  <c r="BI38" i="22746"/>
  <c r="Z38" i="22746"/>
  <c r="CR68" i="22746"/>
  <c r="AT78" i="22746"/>
  <c r="BV78" i="22746"/>
  <c r="Y78" i="22746"/>
  <c r="BO78" i="22746"/>
  <c r="BA78" i="22746"/>
  <c r="R78" i="22746"/>
  <c r="E44" i="22747"/>
  <c r="F44" i="22747" s="1"/>
  <c r="CX78" i="22746"/>
  <c r="D83" i="22747"/>
  <c r="K78" i="22746"/>
  <c r="D74" i="22744"/>
  <c r="D78" i="22744"/>
  <c r="D76" i="22744"/>
  <c r="D83" i="22744"/>
  <c r="CD39" i="22746"/>
  <c r="S39" i="22746"/>
  <c r="CY39" i="22746"/>
  <c r="AU39" i="22746"/>
  <c r="CK64" i="22746"/>
  <c r="CL64" i="22746" s="1"/>
  <c r="Z9" i="3"/>
  <c r="B52" i="1"/>
  <c r="C80" i="22752"/>
  <c r="C79" i="22752"/>
  <c r="R33" i="3" s="1"/>
  <c r="T33" i="3" s="1"/>
  <c r="S9" i="3"/>
  <c r="L9" i="22746"/>
  <c r="B50" i="22744"/>
  <c r="DA12" i="3"/>
  <c r="CX10" i="3"/>
  <c r="G10" i="4"/>
  <c r="D10" i="4" s="1"/>
  <c r="F10" i="3"/>
  <c r="C10" i="3"/>
  <c r="CM12" i="3"/>
  <c r="CJ10" i="3"/>
  <c r="D9" i="3"/>
  <c r="C9" i="3" s="1"/>
  <c r="AI9" i="3"/>
  <c r="B86" i="1"/>
  <c r="B87" i="1"/>
  <c r="BA9" i="3"/>
  <c r="CT9" i="3"/>
  <c r="AB12" i="3"/>
  <c r="Y9" i="3"/>
  <c r="BV9" i="3"/>
  <c r="G9" i="22746"/>
  <c r="B73" i="22744"/>
  <c r="U9" i="22746" s="1"/>
  <c r="B75" i="22744"/>
  <c r="AI9" i="22746" s="1"/>
  <c r="B72" i="22744"/>
  <c r="N9" i="22746" s="1"/>
  <c r="B84" i="22744"/>
  <c r="CT9" i="22746" s="1"/>
  <c r="B74" i="22744"/>
  <c r="B85" i="22744"/>
  <c r="DA9" i="22746" s="1"/>
  <c r="B76" i="22744"/>
  <c r="AP9" i="22746" s="1"/>
  <c r="B80" i="22744"/>
  <c r="BR9" i="22746" s="1"/>
  <c r="B79" i="22744"/>
  <c r="CP10" i="3"/>
  <c r="AZ11" i="3"/>
  <c r="BH10" i="3"/>
  <c r="BH9" i="3"/>
  <c r="BH11" i="3"/>
  <c r="AT10" i="3"/>
  <c r="AT9" i="3"/>
  <c r="E51" i="22744"/>
  <c r="E62" i="22744"/>
  <c r="F64" i="1"/>
  <c r="F66" i="1"/>
  <c r="F65" i="1"/>
  <c r="E61" i="22744"/>
  <c r="E55" i="22744"/>
  <c r="E95" i="2" l="1"/>
  <c r="F48" i="22751"/>
  <c r="F102" i="22751"/>
  <c r="E27" i="22745"/>
  <c r="E27" i="2"/>
  <c r="H102" i="22751"/>
  <c r="E129" i="2" s="1"/>
  <c r="CD63" i="22746"/>
  <c r="E62" i="22746"/>
  <c r="E14" i="2"/>
  <c r="E34" i="2"/>
  <c r="H99" i="22750"/>
  <c r="E128" i="22745" s="1"/>
  <c r="E54" i="22744"/>
  <c r="E48" i="22744"/>
  <c r="D12" i="22746" s="1"/>
  <c r="F40" i="22746" s="1"/>
  <c r="E53" i="22744"/>
  <c r="AV37" i="3"/>
  <c r="AO39" i="3"/>
  <c r="M9" i="3"/>
  <c r="H48" i="22751"/>
  <c r="E117" i="2" s="1"/>
  <c r="D12" i="22751"/>
  <c r="H12" i="22751" s="1"/>
  <c r="BJ69" i="3"/>
  <c r="E34" i="22745"/>
  <c r="E47" i="22745" s="1"/>
  <c r="AV11" i="3"/>
  <c r="AM73" i="3"/>
  <c r="AK75" i="3" s="1"/>
  <c r="Y51" i="3"/>
  <c r="Y55" i="3" s="1"/>
  <c r="AA55" i="3" s="1"/>
  <c r="CF12" i="3"/>
  <c r="CJ51" i="3"/>
  <c r="CJ55" i="3" s="1"/>
  <c r="CL55" i="3" s="1"/>
  <c r="M38" i="3"/>
  <c r="F49" i="3"/>
  <c r="BC21" i="3"/>
  <c r="BQ11" i="3"/>
  <c r="AO69" i="3"/>
  <c r="T70" i="3"/>
  <c r="M63" i="3"/>
  <c r="AO49" i="3"/>
  <c r="M21" i="3"/>
  <c r="BC70" i="3"/>
  <c r="AH49" i="3"/>
  <c r="BJ71" i="3"/>
  <c r="BO73" i="3"/>
  <c r="BQ73" i="3" s="1"/>
  <c r="BQ75" i="3" s="1"/>
  <c r="AO21" i="3"/>
  <c r="AA21" i="3"/>
  <c r="BJ21" i="3"/>
  <c r="CW11" i="3"/>
  <c r="U12" i="3"/>
  <c r="BQ69" i="3"/>
  <c r="F70" i="3"/>
  <c r="BX69" i="3"/>
  <c r="CE65" i="3"/>
  <c r="M65" i="3"/>
  <c r="F45" i="3"/>
  <c r="T45" i="3"/>
  <c r="BO62" i="3"/>
  <c r="BQ49" i="3"/>
  <c r="K51" i="3"/>
  <c r="K55" i="3" s="1"/>
  <c r="M55" i="3" s="1"/>
  <c r="AT62" i="3"/>
  <c r="AV62" i="3" s="1"/>
  <c r="AV49" i="3"/>
  <c r="BH62" i="3"/>
  <c r="BJ62" i="3" s="1"/>
  <c r="BJ49" i="3"/>
  <c r="R62" i="3"/>
  <c r="T62" i="3" s="1"/>
  <c r="T49" i="3"/>
  <c r="Y62" i="3"/>
  <c r="AA62" i="3" s="1"/>
  <c r="AA49" i="3"/>
  <c r="D62" i="22746"/>
  <c r="BJ70" i="3"/>
  <c r="CZ69" i="3"/>
  <c r="AH71" i="3"/>
  <c r="BC69" i="3"/>
  <c r="D15" i="22751"/>
  <c r="H15" i="22751" s="1"/>
  <c r="H18" i="22751" s="1"/>
  <c r="E47" i="2"/>
  <c r="BX65" i="3"/>
  <c r="BQ38" i="3"/>
  <c r="T65" i="3"/>
  <c r="AA69" i="3"/>
  <c r="BX37" i="3"/>
  <c r="BX11" i="3"/>
  <c r="BU11" i="3"/>
  <c r="BY12" i="3"/>
  <c r="BQ39" i="3"/>
  <c r="BQ41" i="3" s="1"/>
  <c r="M39" i="3"/>
  <c r="AV21" i="3"/>
  <c r="AH21" i="3"/>
  <c r="BO51" i="3"/>
  <c r="BQ50" i="3" s="1"/>
  <c r="F69" i="3"/>
  <c r="BQ65" i="3"/>
  <c r="CS71" i="3"/>
  <c r="BQ70" i="3"/>
  <c r="AA71" i="3"/>
  <c r="BC71" i="3"/>
  <c r="F65" i="3"/>
  <c r="AO65" i="3"/>
  <c r="E103" i="2"/>
  <c r="F71" i="3"/>
  <c r="BA63" i="3"/>
  <c r="BC63" i="3" s="1"/>
  <c r="CJ73" i="3"/>
  <c r="CH75" i="3" s="1"/>
  <c r="D8" i="22750"/>
  <c r="H8" i="22750" s="1"/>
  <c r="AN45" i="22746"/>
  <c r="AO45" i="22746" s="1"/>
  <c r="CS68" i="22746"/>
  <c r="BJ45" i="22746"/>
  <c r="D65" i="22744"/>
  <c r="E11" i="22747" s="1"/>
  <c r="CD69" i="22746"/>
  <c r="CY73" i="22746"/>
  <c r="BP73" i="22746"/>
  <c r="S64" i="22746"/>
  <c r="T64" i="22746" s="1"/>
  <c r="E70" i="22746"/>
  <c r="E66" i="22747"/>
  <c r="F45" i="22746"/>
  <c r="AG63" i="22746"/>
  <c r="D63" i="22749"/>
  <c r="E63" i="22749" s="1"/>
  <c r="D68" i="22745"/>
  <c r="E68" i="22745" s="1"/>
  <c r="AN63" i="22746"/>
  <c r="E69" i="22747"/>
  <c r="F69" i="22747" s="1"/>
  <c r="B137" i="22747" s="1"/>
  <c r="L67" i="22746"/>
  <c r="M67" i="22746" s="1"/>
  <c r="CD66" i="22746"/>
  <c r="CE66" i="22746" s="1"/>
  <c r="CR73" i="22746"/>
  <c r="D10" i="22750"/>
  <c r="H10" i="22750" s="1"/>
  <c r="H14" i="22750" s="1"/>
  <c r="CD45" i="22746"/>
  <c r="CE45" i="22746" s="1"/>
  <c r="E47" i="22747"/>
  <c r="F47" i="22747" s="1"/>
  <c r="BP45" i="22746"/>
  <c r="BQ45" i="22746" s="1"/>
  <c r="CY45" i="22746"/>
  <c r="CZ45" i="22746" s="1"/>
  <c r="Z45" i="22746"/>
  <c r="AA45" i="22746" s="1"/>
  <c r="L45" i="22746"/>
  <c r="M45" i="22746" s="1"/>
  <c r="BW45" i="22746"/>
  <c r="BX45" i="22746" s="1"/>
  <c r="S45" i="22746"/>
  <c r="T45" i="22746" s="1"/>
  <c r="CR45" i="22746"/>
  <c r="CS45" i="22746" s="1"/>
  <c r="D78" i="22745"/>
  <c r="E78" i="22745" s="1"/>
  <c r="BP70" i="22746"/>
  <c r="BI63" i="22746"/>
  <c r="CK63" i="22746"/>
  <c r="BP64" i="22746"/>
  <c r="BQ64" i="22746" s="1"/>
  <c r="D53" i="22749"/>
  <c r="E53" i="22749" s="1"/>
  <c r="Z70" i="22746"/>
  <c r="E67" i="22747"/>
  <c r="L70" i="22746"/>
  <c r="BI71" i="22746"/>
  <c r="S68" i="22746"/>
  <c r="T68" i="22746" s="1"/>
  <c r="BI68" i="22746"/>
  <c r="BJ68" i="22746" s="1"/>
  <c r="AN66" i="22746"/>
  <c r="AO66" i="22746" s="1"/>
  <c r="CK73" i="22746"/>
  <c r="AN73" i="22746"/>
  <c r="S73" i="22746"/>
  <c r="CD73" i="22746"/>
  <c r="AG45" i="22746"/>
  <c r="AH45" i="22746" s="1"/>
  <c r="AU45" i="22746"/>
  <c r="AV45" i="22746" s="1"/>
  <c r="BB45" i="22746"/>
  <c r="BC45" i="22746" s="1"/>
  <c r="BK9" i="22746"/>
  <c r="AG69" i="22746"/>
  <c r="Z62" i="22746"/>
  <c r="AA62" i="22746" s="1"/>
  <c r="CD64" i="22746"/>
  <c r="CE64" i="22746" s="1"/>
  <c r="L71" i="22746"/>
  <c r="CR64" i="22746"/>
  <c r="CS64" i="22746" s="1"/>
  <c r="CY64" i="22746"/>
  <c r="CZ64" i="22746" s="1"/>
  <c r="E65" i="22746"/>
  <c r="F65" i="22746" s="1"/>
  <c r="S63" i="22746"/>
  <c r="CR70" i="22746"/>
  <c r="Z63" i="22746"/>
  <c r="AG70" i="22746"/>
  <c r="E74" i="22747"/>
  <c r="F106" i="22750"/>
  <c r="H106" i="22750" s="1"/>
  <c r="BB69" i="22746"/>
  <c r="S69" i="22746"/>
  <c r="Z69" i="22746"/>
  <c r="AN70" i="22746"/>
  <c r="L63" i="22746"/>
  <c r="M63" i="22746" s="1"/>
  <c r="F84" i="22744"/>
  <c r="CT11" i="22746" s="1"/>
  <c r="CT12" i="22746" s="1"/>
  <c r="E77" i="22747"/>
  <c r="BI73" i="22746"/>
  <c r="E73" i="22746"/>
  <c r="L73" i="22746"/>
  <c r="BB73" i="22746"/>
  <c r="AU73" i="22746"/>
  <c r="AG73" i="22746"/>
  <c r="C73" i="22747"/>
  <c r="E60" i="22744"/>
  <c r="F60" i="22744" s="1"/>
  <c r="E58" i="22744"/>
  <c r="BV12" i="22746" s="1"/>
  <c r="BX40" i="22746" s="1"/>
  <c r="E49" i="22744"/>
  <c r="E52" i="22744"/>
  <c r="AF12" i="22746" s="1"/>
  <c r="AH40" i="22746" s="1"/>
  <c r="E59" i="22744"/>
  <c r="F59" i="22744" s="1"/>
  <c r="E57" i="22744"/>
  <c r="F57" i="22744" s="1"/>
  <c r="E56" i="22744"/>
  <c r="F56" i="22744" s="1"/>
  <c r="F73" i="22744"/>
  <c r="F75" i="22744"/>
  <c r="AI11" i="22746" s="1"/>
  <c r="AI12" i="22746" s="1"/>
  <c r="F74" i="22744"/>
  <c r="AB11" i="22746" s="1"/>
  <c r="BN69" i="22746"/>
  <c r="J70" i="22746"/>
  <c r="H108" i="22750"/>
  <c r="Q69" i="22746"/>
  <c r="CI70" i="22746"/>
  <c r="CW69" i="22746"/>
  <c r="CW71" i="22746"/>
  <c r="CP70" i="22746"/>
  <c r="BG69" i="22746"/>
  <c r="E54" i="2"/>
  <c r="D66" i="22752"/>
  <c r="E66" i="22752" s="1"/>
  <c r="S53" i="3"/>
  <c r="T53" i="3" s="1"/>
  <c r="AG53" i="3"/>
  <c r="AH53" i="3" s="1"/>
  <c r="CK53" i="3"/>
  <c r="CL53" i="3" s="1"/>
  <c r="AN53" i="3"/>
  <c r="AO53" i="3" s="1"/>
  <c r="BP53" i="3"/>
  <c r="BQ53" i="3" s="1"/>
  <c r="CR53" i="3"/>
  <c r="CS53" i="3" s="1"/>
  <c r="E53" i="3"/>
  <c r="F53" i="3" s="1"/>
  <c r="CY53" i="3"/>
  <c r="CZ53" i="3" s="1"/>
  <c r="C59" i="2"/>
  <c r="E59" i="2" s="1"/>
  <c r="E62" i="2" s="1"/>
  <c r="CZ71" i="3"/>
  <c r="BB56" i="3"/>
  <c r="BP57" i="3"/>
  <c r="BQ57" i="3" s="1"/>
  <c r="AG57" i="3"/>
  <c r="AH57" i="3" s="1"/>
  <c r="BB57" i="3"/>
  <c r="BC57" i="3" s="1"/>
  <c r="CR57" i="3"/>
  <c r="CS57" i="3" s="1"/>
  <c r="D37" i="22752"/>
  <c r="E57" i="3"/>
  <c r="F57" i="3" s="1"/>
  <c r="CR56" i="3"/>
  <c r="Z56" i="3"/>
  <c r="AU57" i="3"/>
  <c r="AV57" i="3" s="1"/>
  <c r="CD56" i="3"/>
  <c r="AG56" i="3"/>
  <c r="BW57" i="3"/>
  <c r="BX57" i="3" s="1"/>
  <c r="AU56" i="3"/>
  <c r="L56" i="3"/>
  <c r="CD57" i="3"/>
  <c r="CE57" i="3" s="1"/>
  <c r="AN56" i="3"/>
  <c r="E56" i="3"/>
  <c r="BI57" i="3"/>
  <c r="BJ57" i="3" s="1"/>
  <c r="CK56" i="3"/>
  <c r="CY56" i="3"/>
  <c r="E59" i="4"/>
  <c r="B169" i="4" s="1"/>
  <c r="Z57" i="3"/>
  <c r="AA57" i="3" s="1"/>
  <c r="BI56" i="3"/>
  <c r="L57" i="3"/>
  <c r="M57" i="3" s="1"/>
  <c r="AN57" i="3"/>
  <c r="AO57" i="3" s="1"/>
  <c r="S56" i="3"/>
  <c r="S57" i="3"/>
  <c r="T57" i="3" s="1"/>
  <c r="D65" i="22752"/>
  <c r="E65" i="22752" s="1"/>
  <c r="E67" i="22752" s="1"/>
  <c r="E72" i="22752" s="1"/>
  <c r="E60" i="4"/>
  <c r="F60" i="4" s="1"/>
  <c r="BP56" i="3"/>
  <c r="BW56" i="3"/>
  <c r="CK57" i="3"/>
  <c r="CL57" i="3" s="1"/>
  <c r="CY57" i="3"/>
  <c r="CZ57" i="3" s="1"/>
  <c r="BQ45" i="3"/>
  <c r="BJ65" i="3"/>
  <c r="CZ65" i="3"/>
  <c r="BC65" i="3"/>
  <c r="E86" i="22744"/>
  <c r="CW70" i="22746"/>
  <c r="CP71" i="22746"/>
  <c r="AL71" i="22746"/>
  <c r="BG70" i="22746"/>
  <c r="X69" i="22746"/>
  <c r="AL70" i="22746"/>
  <c r="AZ70" i="22746"/>
  <c r="X70" i="22746"/>
  <c r="C74" i="22747"/>
  <c r="C190" i="22744"/>
  <c r="C133" i="22745" s="1"/>
  <c r="C134" i="22745" s="1"/>
  <c r="C71" i="22746"/>
  <c r="AL69" i="22746"/>
  <c r="CI71" i="22746"/>
  <c r="AS71" i="22746"/>
  <c r="J69" i="22746"/>
  <c r="C69" i="22746"/>
  <c r="CP69" i="22746"/>
  <c r="X71" i="22746"/>
  <c r="CB71" i="22746"/>
  <c r="CI69" i="22746"/>
  <c r="C132" i="22745"/>
  <c r="BU71" i="22746"/>
  <c r="Q70" i="22746"/>
  <c r="AZ69" i="22746"/>
  <c r="AS69" i="22746"/>
  <c r="Q71" i="22746"/>
  <c r="AZ71" i="22746"/>
  <c r="BQ71" i="3"/>
  <c r="T69" i="3"/>
  <c r="CZ70" i="3"/>
  <c r="K51" i="4"/>
  <c r="Y63" i="22746"/>
  <c r="CX63" i="22746"/>
  <c r="CJ63" i="22746"/>
  <c r="BV63" i="22746"/>
  <c r="R51" i="3"/>
  <c r="T50" i="3" s="1"/>
  <c r="T39" i="3"/>
  <c r="T9" i="3"/>
  <c r="T12" i="3" s="1"/>
  <c r="T15" i="3" s="1"/>
  <c r="CE38" i="3"/>
  <c r="CC51" i="3"/>
  <c r="CE39" i="3"/>
  <c r="T38" i="3"/>
  <c r="AM63" i="3"/>
  <c r="AO63" i="3" s="1"/>
  <c r="AF63" i="3"/>
  <c r="AH63" i="3" s="1"/>
  <c r="CQ63" i="3"/>
  <c r="CS63" i="3" s="1"/>
  <c r="BV63" i="3"/>
  <c r="BX63" i="3" s="1"/>
  <c r="CJ63" i="3"/>
  <c r="CL63" i="3" s="1"/>
  <c r="BO63" i="3"/>
  <c r="BQ63" i="3" s="1"/>
  <c r="K62" i="3"/>
  <c r="M62" i="3" s="1"/>
  <c r="BX21" i="3"/>
  <c r="F63" i="3"/>
  <c r="AO37" i="3"/>
  <c r="AO11" i="3"/>
  <c r="AA63" i="3"/>
  <c r="D66" i="4"/>
  <c r="F66" i="4" s="1"/>
  <c r="K52" i="4"/>
  <c r="F52" i="4"/>
  <c r="CS21" i="3"/>
  <c r="CJ62" i="3"/>
  <c r="CL62" i="3" s="1"/>
  <c r="CX62" i="3"/>
  <c r="CZ62" i="3" s="1"/>
  <c r="CL39" i="3"/>
  <c r="F20" i="4"/>
  <c r="B168" i="4"/>
  <c r="F69" i="4"/>
  <c r="B137" i="4" s="1"/>
  <c r="F21" i="3"/>
  <c r="D67" i="4"/>
  <c r="F67" i="4" s="1"/>
  <c r="B173" i="4" s="1"/>
  <c r="B181" i="4" s="1"/>
  <c r="H215" i="22715" s="1"/>
  <c r="AF62" i="3"/>
  <c r="AH62" i="3" s="1"/>
  <c r="BV62" i="3"/>
  <c r="BX62" i="3" s="1"/>
  <c r="AM62" i="3"/>
  <c r="AO62" i="3" s="1"/>
  <c r="BA62" i="3"/>
  <c r="BC62" i="3" s="1"/>
  <c r="CE21" i="3"/>
  <c r="E55" i="22752"/>
  <c r="E71" i="22752" s="1"/>
  <c r="H64" i="22751"/>
  <c r="H70" i="22751" s="1"/>
  <c r="H86" i="22751" s="1"/>
  <c r="H101" i="22751" s="1"/>
  <c r="H104" i="22751" s="1"/>
  <c r="CZ21" i="3"/>
  <c r="E96" i="2"/>
  <c r="E97" i="2" s="1"/>
  <c r="E99" i="2" s="1"/>
  <c r="BQ21" i="3"/>
  <c r="K50" i="4"/>
  <c r="T21" i="3"/>
  <c r="C79" i="2"/>
  <c r="E79" i="2" s="1"/>
  <c r="E80" i="2" s="1"/>
  <c r="R63" i="22746"/>
  <c r="AM63" i="22746"/>
  <c r="AT63" i="22746"/>
  <c r="AF63" i="22746"/>
  <c r="CQ63" i="22746"/>
  <c r="BH63" i="22746"/>
  <c r="F76" i="22744"/>
  <c r="AP11" i="22746" s="1"/>
  <c r="AP12" i="22746" s="1"/>
  <c r="G11" i="22746"/>
  <c r="G12" i="22746" s="1"/>
  <c r="F83" i="22744"/>
  <c r="CM11" i="22746" s="1"/>
  <c r="CM12" i="22746" s="1"/>
  <c r="C86" i="22744"/>
  <c r="G10" i="22747" s="1"/>
  <c r="D10" i="22747" s="1"/>
  <c r="C10" i="22747" s="1"/>
  <c r="R12" i="22746"/>
  <c r="T40" i="22746" s="1"/>
  <c r="F85" i="22744"/>
  <c r="DA11" i="22746" s="1"/>
  <c r="DA12" i="22746" s="1"/>
  <c r="F79" i="22744"/>
  <c r="BK11" i="22746" s="1"/>
  <c r="BO63" i="22746"/>
  <c r="F72" i="22744"/>
  <c r="N11" i="22746" s="1"/>
  <c r="N12" i="22746" s="1"/>
  <c r="E79" i="22745"/>
  <c r="D66" i="22744"/>
  <c r="E18" i="22748" s="1"/>
  <c r="F81" i="22744"/>
  <c r="BY11" i="22746" s="1"/>
  <c r="BY12" i="22746" s="1"/>
  <c r="F78" i="22744"/>
  <c r="BD11" i="22746" s="1"/>
  <c r="BD12" i="22746" s="1"/>
  <c r="B167" i="4"/>
  <c r="AT63" i="3"/>
  <c r="AV63" i="3" s="1"/>
  <c r="AV72" i="3" s="1"/>
  <c r="K51" i="22747"/>
  <c r="BA63" i="22746"/>
  <c r="AU67" i="22746"/>
  <c r="AV67" i="22746" s="1"/>
  <c r="CC63" i="22746"/>
  <c r="CE63" i="22746" s="1"/>
  <c r="S66" i="22746"/>
  <c r="T66" i="22746" s="1"/>
  <c r="BB68" i="22746"/>
  <c r="BC68" i="22746" s="1"/>
  <c r="L66" i="22746"/>
  <c r="M66" i="22746" s="1"/>
  <c r="CR67" i="22746"/>
  <c r="CS67" i="22746" s="1"/>
  <c r="BP66" i="22746"/>
  <c r="BQ66" i="22746" s="1"/>
  <c r="BI66" i="22746"/>
  <c r="BJ66" i="22746" s="1"/>
  <c r="CD67" i="22746"/>
  <c r="CE67" i="22746" s="1"/>
  <c r="CY68" i="22746"/>
  <c r="CZ68" i="22746" s="1"/>
  <c r="CY67" i="22746"/>
  <c r="CZ67" i="22746" s="1"/>
  <c r="CD68" i="22746"/>
  <c r="CE68" i="22746" s="1"/>
  <c r="BW67" i="22746"/>
  <c r="BX67" i="22746" s="1"/>
  <c r="S67" i="22746"/>
  <c r="T67" i="22746" s="1"/>
  <c r="CK66" i="22746"/>
  <c r="CL66" i="22746" s="1"/>
  <c r="CR66" i="22746"/>
  <c r="CS66" i="22746" s="1"/>
  <c r="BI67" i="22746"/>
  <c r="BJ67" i="22746" s="1"/>
  <c r="E94" i="22745"/>
  <c r="E95" i="22745" s="1"/>
  <c r="E96" i="22745" s="1"/>
  <c r="E98" i="22745" s="1"/>
  <c r="E87" i="22744"/>
  <c r="D67" i="22747"/>
  <c r="BG71" i="22746"/>
  <c r="J71" i="22746"/>
  <c r="AE70" i="22746"/>
  <c r="AS70" i="22746"/>
  <c r="BU70" i="22746"/>
  <c r="BN70" i="22746"/>
  <c r="BN71" i="22746"/>
  <c r="AE69" i="22746"/>
  <c r="BU69" i="22746"/>
  <c r="AE71" i="22746"/>
  <c r="F77" i="22744"/>
  <c r="AW11" i="22746" s="1"/>
  <c r="AW12" i="22746" s="1"/>
  <c r="F80" i="22744"/>
  <c r="BR11" i="22746" s="1"/>
  <c r="BR12" i="22746" s="1"/>
  <c r="CB69" i="22746"/>
  <c r="C70" i="22746"/>
  <c r="K52" i="22747"/>
  <c r="D66" i="22747"/>
  <c r="E68" i="22746"/>
  <c r="F68" i="22746" s="1"/>
  <c r="AG68" i="22746"/>
  <c r="AH68" i="22746" s="1"/>
  <c r="AG67" i="22746"/>
  <c r="AH67" i="22746" s="1"/>
  <c r="AG66" i="22746"/>
  <c r="AH66" i="22746" s="1"/>
  <c r="AN68" i="22746"/>
  <c r="AO68" i="22746" s="1"/>
  <c r="Z67" i="22746"/>
  <c r="AA67" i="22746" s="1"/>
  <c r="BP68" i="22746"/>
  <c r="BQ68" i="22746" s="1"/>
  <c r="E72" i="22747"/>
  <c r="F72" i="22747" s="1"/>
  <c r="B141" i="22747" s="1"/>
  <c r="AU66" i="22746"/>
  <c r="AV66" i="22746" s="1"/>
  <c r="CY66" i="22746"/>
  <c r="CZ66" i="22746" s="1"/>
  <c r="Z68" i="22746"/>
  <c r="AA68" i="22746" s="1"/>
  <c r="BW68" i="22746"/>
  <c r="BX68" i="22746" s="1"/>
  <c r="AN67" i="22746"/>
  <c r="AO67" i="22746" s="1"/>
  <c r="CK67" i="22746"/>
  <c r="CL67" i="22746" s="1"/>
  <c r="E70" i="22747"/>
  <c r="F70" i="22747" s="1"/>
  <c r="B138" i="22747" s="1"/>
  <c r="J121" i="22715" s="1"/>
  <c r="I121" i="22715" s="1"/>
  <c r="BP67" i="22746"/>
  <c r="BQ67" i="22746" s="1"/>
  <c r="BB66" i="22746"/>
  <c r="BC66" i="22746" s="1"/>
  <c r="CK68" i="22746"/>
  <c r="CL68" i="22746" s="1"/>
  <c r="BB67" i="22746"/>
  <c r="BC67" i="22746" s="1"/>
  <c r="E67" i="22746"/>
  <c r="F67" i="22746" s="1"/>
  <c r="L68" i="22746"/>
  <c r="M68" i="22746" s="1"/>
  <c r="AU68" i="22746"/>
  <c r="AV68" i="22746" s="1"/>
  <c r="BW66" i="22746"/>
  <c r="BX66" i="22746" s="1"/>
  <c r="Z66" i="22746"/>
  <c r="AA66" i="22746" s="1"/>
  <c r="E71" i="22747"/>
  <c r="F71" i="22747" s="1"/>
  <c r="B140" i="22747" s="1"/>
  <c r="D64" i="22750"/>
  <c r="H64" i="22750" s="1"/>
  <c r="H60" i="22750"/>
  <c r="D86" i="22744"/>
  <c r="CF12" i="22746"/>
  <c r="BD12" i="3"/>
  <c r="N11" i="3"/>
  <c r="F87" i="1"/>
  <c r="F86" i="1"/>
  <c r="G11" i="4" s="1"/>
  <c r="D11" i="4" s="1"/>
  <c r="C11" i="4" s="1"/>
  <c r="F11" i="3"/>
  <c r="AE11" i="3"/>
  <c r="AH37" i="3"/>
  <c r="G12" i="3"/>
  <c r="BC37" i="3"/>
  <c r="AH11" i="3"/>
  <c r="AM51" i="3"/>
  <c r="AM55" i="3" s="1"/>
  <c r="AO55" i="3" s="1"/>
  <c r="AO38" i="3"/>
  <c r="AP12" i="3"/>
  <c r="C87" i="22744"/>
  <c r="E106" i="2"/>
  <c r="E130" i="2"/>
  <c r="BQ62" i="3"/>
  <c r="CE63" i="3"/>
  <c r="B142" i="22747"/>
  <c r="E68" i="22747"/>
  <c r="F68" i="22747" s="1"/>
  <c r="B136" i="22747" s="1"/>
  <c r="J120" i="22715" s="1"/>
  <c r="I120" i="22715" s="1"/>
  <c r="CY65" i="22746"/>
  <c r="CZ65" i="22746" s="1"/>
  <c r="BI62" i="22746"/>
  <c r="BJ62" i="22746" s="1"/>
  <c r="AN65" i="22746"/>
  <c r="AO65" i="22746" s="1"/>
  <c r="AU64" i="22746"/>
  <c r="AV64" i="22746" s="1"/>
  <c r="BP63" i="22746"/>
  <c r="S65" i="22746"/>
  <c r="T65" i="22746" s="1"/>
  <c r="F51" i="22750"/>
  <c r="H51" i="22750" s="1"/>
  <c r="F107" i="22750"/>
  <c r="H107" i="22750" s="1"/>
  <c r="AU71" i="22746"/>
  <c r="AN62" i="22746"/>
  <c r="AO62" i="22746" s="1"/>
  <c r="Z71" i="22746"/>
  <c r="AG62" i="22746"/>
  <c r="AH62" i="22746" s="1"/>
  <c r="BW64" i="22746"/>
  <c r="BX64" i="22746" s="1"/>
  <c r="BP71" i="22746"/>
  <c r="CD71" i="22746"/>
  <c r="D72" i="22745"/>
  <c r="E72" i="22745" s="1"/>
  <c r="BB70" i="22746"/>
  <c r="L64" i="22746"/>
  <c r="M64" i="22746" s="1"/>
  <c r="BB64" i="22746"/>
  <c r="BC64" i="22746" s="1"/>
  <c r="BI64" i="22746"/>
  <c r="BJ64" i="22746" s="1"/>
  <c r="D75" i="22745"/>
  <c r="E75" i="22745" s="1"/>
  <c r="CR71" i="22746"/>
  <c r="BP69" i="22746"/>
  <c r="AU69" i="22746"/>
  <c r="S71" i="22746"/>
  <c r="CK65" i="22746"/>
  <c r="CL65" i="22746" s="1"/>
  <c r="CY62" i="22746"/>
  <c r="CZ62" i="22746" s="1"/>
  <c r="CK71" i="22746"/>
  <c r="D67" i="22745"/>
  <c r="E67" i="22745" s="1"/>
  <c r="CR63" i="22746"/>
  <c r="D66" i="22745"/>
  <c r="E66" i="22745" s="1"/>
  <c r="BB65" i="22746"/>
  <c r="BC65" i="22746" s="1"/>
  <c r="AU70" i="22746"/>
  <c r="F49" i="22750"/>
  <c r="H49" i="22750" s="1"/>
  <c r="E71" i="22746"/>
  <c r="BB71" i="22746"/>
  <c r="AU62" i="22746"/>
  <c r="AV62" i="22746" s="1"/>
  <c r="BI70" i="22746"/>
  <c r="CD62" i="22746"/>
  <c r="CE62" i="22746" s="1"/>
  <c r="CD70" i="22746"/>
  <c r="CE70" i="22746" s="1"/>
  <c r="AG71" i="22746"/>
  <c r="E63" i="22746"/>
  <c r="F63" i="22746" s="1"/>
  <c r="BW70" i="22746"/>
  <c r="BW65" i="22746"/>
  <c r="BX65" i="22746" s="1"/>
  <c r="CR65" i="22746"/>
  <c r="CS65" i="22746" s="1"/>
  <c r="L65" i="22746"/>
  <c r="M65" i="22746" s="1"/>
  <c r="BB62" i="22746"/>
  <c r="BC62" i="22746" s="1"/>
  <c r="E69" i="22746"/>
  <c r="AG65" i="22746"/>
  <c r="AH65" i="22746" s="1"/>
  <c r="BW63" i="22746"/>
  <c r="S62" i="22746"/>
  <c r="T62" i="22746" s="1"/>
  <c r="BP65" i="22746"/>
  <c r="BQ65" i="22746" s="1"/>
  <c r="BP62" i="22746"/>
  <c r="BQ62" i="22746" s="1"/>
  <c r="D76" i="22745"/>
  <c r="E76" i="22745" s="1"/>
  <c r="BB63" i="22746"/>
  <c r="CK69" i="22746"/>
  <c r="CY71" i="22746"/>
  <c r="AN71" i="22746"/>
  <c r="BW69" i="22746"/>
  <c r="CD65" i="22746"/>
  <c r="CE65" i="22746" s="1"/>
  <c r="Z64" i="22746"/>
  <c r="AA64" i="22746" s="1"/>
  <c r="D52" i="22749"/>
  <c r="E52" i="22749" s="1"/>
  <c r="CR62" i="22746"/>
  <c r="CS62" i="22746" s="1"/>
  <c r="CK70" i="22746"/>
  <c r="BI69" i="22746"/>
  <c r="CY63" i="22746"/>
  <c r="D64" i="22749"/>
  <c r="E64" i="22749" s="1"/>
  <c r="BW71" i="22746"/>
  <c r="L69" i="22746"/>
  <c r="CK62" i="22746"/>
  <c r="CL62" i="22746" s="1"/>
  <c r="D54" i="22749"/>
  <c r="E54" i="22749" s="1"/>
  <c r="D77" i="22745"/>
  <c r="E77" i="22745" s="1"/>
  <c r="AG64" i="22746"/>
  <c r="AH64" i="22746" s="1"/>
  <c r="BW62" i="22746"/>
  <c r="BX62" i="22746" s="1"/>
  <c r="Z65" i="22746"/>
  <c r="AA65" i="22746" s="1"/>
  <c r="E73" i="22747"/>
  <c r="F73" i="22747" s="1"/>
  <c r="D51" i="22749"/>
  <c r="E51" i="22749" s="1"/>
  <c r="CY69" i="22746"/>
  <c r="D74" i="22745"/>
  <c r="E74" i="22745" s="1"/>
  <c r="AU65" i="22746"/>
  <c r="AV65" i="22746" s="1"/>
  <c r="CY70" i="22746"/>
  <c r="AN64" i="22746"/>
  <c r="AO64" i="22746" s="1"/>
  <c r="D71" i="22745"/>
  <c r="E71" i="22745" s="1"/>
  <c r="CR69" i="22746"/>
  <c r="E64" i="22746"/>
  <c r="F64" i="22746" s="1"/>
  <c r="D70" i="22745"/>
  <c r="E70" i="22745" s="1"/>
  <c r="AU63" i="22746"/>
  <c r="S70" i="22746"/>
  <c r="BI65" i="22746"/>
  <c r="BJ65" i="22746" s="1"/>
  <c r="D69" i="22745"/>
  <c r="E69" i="22745" s="1"/>
  <c r="AN69" i="22746"/>
  <c r="F62" i="22746"/>
  <c r="D73" i="22745"/>
  <c r="E73" i="22745" s="1"/>
  <c r="L62" i="22746"/>
  <c r="M62" i="22746" s="1"/>
  <c r="CX73" i="3"/>
  <c r="CV75" i="3" s="1"/>
  <c r="K73" i="3"/>
  <c r="I75" i="3" s="1"/>
  <c r="CL11" i="3"/>
  <c r="CI11" i="3"/>
  <c r="CL37" i="3"/>
  <c r="AL11" i="3"/>
  <c r="AL12" i="3" s="1"/>
  <c r="Q11" i="3"/>
  <c r="Q12" i="3" s="1"/>
  <c r="T37" i="3"/>
  <c r="B9" i="22715"/>
  <c r="C9" i="22715" s="1"/>
  <c r="E18" i="22714"/>
  <c r="Z10" i="3"/>
  <c r="AA10" i="3" s="1"/>
  <c r="C52" i="1"/>
  <c r="L10" i="22746"/>
  <c r="C50" i="22744"/>
  <c r="CL38" i="3"/>
  <c r="CZ38" i="3"/>
  <c r="CX51" i="3"/>
  <c r="CZ50" i="3" s="1"/>
  <c r="C12" i="3"/>
  <c r="BN12" i="3"/>
  <c r="H224" i="22715"/>
  <c r="CQ62" i="3"/>
  <c r="CS62" i="3" s="1"/>
  <c r="X11" i="3"/>
  <c r="AA37" i="3"/>
  <c r="CB11" i="3"/>
  <c r="CB12" i="3" s="1"/>
  <c r="CE37" i="3"/>
  <c r="CX63" i="3"/>
  <c r="CZ63" i="3" s="1"/>
  <c r="R63" i="3"/>
  <c r="T63" i="3" s="1"/>
  <c r="BH63" i="3"/>
  <c r="BJ63" i="3" s="1"/>
  <c r="J224" i="22715"/>
  <c r="CC62" i="3"/>
  <c r="CE62" i="3" s="1"/>
  <c r="B134" i="4"/>
  <c r="D62" i="3"/>
  <c r="F62" i="3" s="1"/>
  <c r="CC73" i="3"/>
  <c r="R73" i="3"/>
  <c r="S51" i="3"/>
  <c r="D87" i="22744"/>
  <c r="G86" i="22744"/>
  <c r="C77" i="22747" s="1"/>
  <c r="X73" i="22746"/>
  <c r="G87" i="22744"/>
  <c r="E119" i="22745"/>
  <c r="U11" i="22746"/>
  <c r="U12" i="22746" s="1"/>
  <c r="F80" i="22752"/>
  <c r="Y33" i="3"/>
  <c r="AA33" i="3" s="1"/>
  <c r="AG9" i="3"/>
  <c r="B53" i="1"/>
  <c r="C81" i="22752"/>
  <c r="S9" i="22746"/>
  <c r="B51" i="22744"/>
  <c r="M50" i="3"/>
  <c r="M54" i="3" s="1"/>
  <c r="K54" i="3"/>
  <c r="K56" i="3" s="1"/>
  <c r="BM75" i="3"/>
  <c r="CI10" i="3"/>
  <c r="CW10" i="3"/>
  <c r="CZ39" i="3"/>
  <c r="AO73" i="3"/>
  <c r="AO75" i="3" s="1"/>
  <c r="CT12" i="3"/>
  <c r="CQ9" i="3"/>
  <c r="AF9" i="3"/>
  <c r="AI12" i="3"/>
  <c r="BA51" i="3"/>
  <c r="BA55" i="3" s="1"/>
  <c r="BC55" i="3" s="1"/>
  <c r="BA73" i="3"/>
  <c r="AZ9" i="3"/>
  <c r="AZ12" i="3" s="1"/>
  <c r="BC38" i="3"/>
  <c r="BC39" i="3"/>
  <c r="D51" i="3"/>
  <c r="D55" i="3" s="1"/>
  <c r="F55" i="3" s="1"/>
  <c r="D73" i="3"/>
  <c r="F9" i="3"/>
  <c r="F12" i="3" s="1"/>
  <c r="F15" i="3" s="1"/>
  <c r="F39" i="3"/>
  <c r="F38" i="3"/>
  <c r="BU9" i="3"/>
  <c r="BX39" i="3"/>
  <c r="BV51" i="3"/>
  <c r="BV55" i="3" s="1"/>
  <c r="BX55" i="3" s="1"/>
  <c r="BV73" i="3"/>
  <c r="BX38" i="3"/>
  <c r="AA9" i="3"/>
  <c r="X9" i="3"/>
  <c r="AA38" i="3"/>
  <c r="AA39" i="3"/>
  <c r="Y73" i="3"/>
  <c r="B10" i="22715"/>
  <c r="C10" i="22715" s="1"/>
  <c r="G9" i="4"/>
  <c r="B87" i="22744"/>
  <c r="B86" i="22744"/>
  <c r="G9" i="22747" s="1"/>
  <c r="AB9" i="22746"/>
  <c r="Y54" i="3"/>
  <c r="Y56" i="3" s="1"/>
  <c r="AA50" i="3"/>
  <c r="C10" i="4"/>
  <c r="CS37" i="3"/>
  <c r="CS11" i="3"/>
  <c r="CP11" i="3"/>
  <c r="AS10" i="3"/>
  <c r="CL50" i="3"/>
  <c r="CJ54" i="3"/>
  <c r="CJ56" i="3" s="1"/>
  <c r="BJ11" i="3"/>
  <c r="BJ37" i="3"/>
  <c r="BG11" i="3"/>
  <c r="BG9" i="3"/>
  <c r="BH51" i="3"/>
  <c r="BH55" i="3" s="1"/>
  <c r="BJ55" i="3" s="1"/>
  <c r="BJ39" i="3"/>
  <c r="BH73" i="3"/>
  <c r="BJ38" i="3"/>
  <c r="AV39" i="3"/>
  <c r="AV38" i="3"/>
  <c r="AT51" i="3"/>
  <c r="AT55" i="3" s="1"/>
  <c r="AV55" i="3" s="1"/>
  <c r="AS9" i="3"/>
  <c r="AT73" i="3"/>
  <c r="CE50" i="3"/>
  <c r="BG10" i="3"/>
  <c r="F53" i="22744"/>
  <c r="AM12" i="22746"/>
  <c r="AO40" i="22746" s="1"/>
  <c r="F62" i="22744"/>
  <c r="CX12" i="22746"/>
  <c r="CZ40" i="22746" s="1"/>
  <c r="Y12" i="22746"/>
  <c r="AA40" i="22746" s="1"/>
  <c r="F51" i="22744"/>
  <c r="F48" i="22744"/>
  <c r="AT12" i="22746"/>
  <c r="AV40" i="22746" s="1"/>
  <c r="F54" i="22744"/>
  <c r="BA12" i="22746"/>
  <c r="BC40" i="22746" s="1"/>
  <c r="F55" i="22744"/>
  <c r="CQ12" i="22746"/>
  <c r="CS40" i="22746" s="1"/>
  <c r="F61" i="22744"/>
  <c r="B32" i="22715" l="1"/>
  <c r="C32" i="22715" s="1"/>
  <c r="F34" i="4"/>
  <c r="CL73" i="3"/>
  <c r="CL75" i="3" s="1"/>
  <c r="E63" i="22744"/>
  <c r="F58" i="22744"/>
  <c r="BO12" i="22746"/>
  <c r="BQ40" i="22746" s="1"/>
  <c r="BJ72" i="3"/>
  <c r="E83" i="2"/>
  <c r="F66" i="2" s="1"/>
  <c r="E37" i="22752"/>
  <c r="E41" i="22752" s="1"/>
  <c r="E70" i="22752" s="1"/>
  <c r="E73" i="22752" s="1"/>
  <c r="E112" i="2"/>
  <c r="E116" i="2" s="1"/>
  <c r="E119" i="2" s="1"/>
  <c r="F118" i="2" s="1"/>
  <c r="H33" i="22751"/>
  <c r="H47" i="22751" s="1"/>
  <c r="H50" i="22751" s="1"/>
  <c r="R54" i="3"/>
  <c r="R56" i="3" s="1"/>
  <c r="BQ54" i="3"/>
  <c r="CL56" i="3"/>
  <c r="BU12" i="3"/>
  <c r="CW12" i="3"/>
  <c r="T72" i="3"/>
  <c r="CE41" i="3"/>
  <c r="T41" i="3"/>
  <c r="M72" i="3"/>
  <c r="BO54" i="3"/>
  <c r="BO56" i="3" s="1"/>
  <c r="BQ56" i="3" s="1"/>
  <c r="R55" i="3"/>
  <c r="T55" i="3" s="1"/>
  <c r="AA72" i="3"/>
  <c r="F75" i="4"/>
  <c r="BC72" i="3"/>
  <c r="M56" i="3"/>
  <c r="M60" i="3" s="1"/>
  <c r="CZ72" i="3"/>
  <c r="AO50" i="3"/>
  <c r="AA56" i="3"/>
  <c r="AM54" i="3"/>
  <c r="AM56" i="3" s="1"/>
  <c r="AO56" i="3" s="1"/>
  <c r="T56" i="3"/>
  <c r="AH72" i="3"/>
  <c r="BO55" i="3"/>
  <c r="BQ55" i="3" s="1"/>
  <c r="CZ41" i="3"/>
  <c r="CX55" i="3"/>
  <c r="CZ55" i="3" s="1"/>
  <c r="AO41" i="3"/>
  <c r="CC54" i="3"/>
  <c r="CC56" i="3" s="1"/>
  <c r="CE56" i="3" s="1"/>
  <c r="CC55" i="3"/>
  <c r="CE55" i="3" s="1"/>
  <c r="F70" i="22746"/>
  <c r="AH70" i="22746"/>
  <c r="BJ71" i="22746"/>
  <c r="CL63" i="22746"/>
  <c r="CS70" i="22746"/>
  <c r="T69" i="22746"/>
  <c r="M71" i="22746"/>
  <c r="F52" i="22744"/>
  <c r="CE69" i="22746"/>
  <c r="R10" i="22746"/>
  <c r="Q10" i="22746" s="1"/>
  <c r="AH63" i="22746"/>
  <c r="CZ70" i="22746"/>
  <c r="M69" i="22746"/>
  <c r="E67" i="22749"/>
  <c r="E72" i="22749" s="1"/>
  <c r="BC70" i="22746"/>
  <c r="CE71" i="22746"/>
  <c r="AH69" i="22746"/>
  <c r="BQ70" i="22746"/>
  <c r="F67" i="22747"/>
  <c r="B135" i="22747" s="1"/>
  <c r="AO70" i="22746"/>
  <c r="M70" i="22746"/>
  <c r="H30" i="22750"/>
  <c r="H44" i="22750" s="1"/>
  <c r="H47" i="22750" s="1"/>
  <c r="E113" i="22745"/>
  <c r="E117" i="22745" s="1"/>
  <c r="CL70" i="22746"/>
  <c r="F66" i="22747"/>
  <c r="AA69" i="22746"/>
  <c r="T63" i="22746"/>
  <c r="CJ12" i="22746"/>
  <c r="CL40" i="22746" s="1"/>
  <c r="H25" i="22748"/>
  <c r="I25" i="22748" s="1"/>
  <c r="K12" i="22746"/>
  <c r="M40" i="22746" s="1"/>
  <c r="E64" i="22744"/>
  <c r="E66" i="22744"/>
  <c r="CC12" i="22746"/>
  <c r="CC11" i="22746" s="1"/>
  <c r="CE37" i="22746" s="1"/>
  <c r="BK12" i="22746"/>
  <c r="AO63" i="22746"/>
  <c r="AA63" i="22746"/>
  <c r="BC69" i="22746"/>
  <c r="AA70" i="22746"/>
  <c r="F49" i="22744"/>
  <c r="F63" i="22744" s="1"/>
  <c r="F87" i="22744"/>
  <c r="BH12" i="22746"/>
  <c r="BJ40" i="22746" s="1"/>
  <c r="AO69" i="22746"/>
  <c r="BJ69" i="22746"/>
  <c r="CZ71" i="22746"/>
  <c r="AV70" i="22746"/>
  <c r="T71" i="22746"/>
  <c r="BQ69" i="22746"/>
  <c r="AA71" i="22746"/>
  <c r="AV71" i="22746"/>
  <c r="BJ63" i="22746"/>
  <c r="F74" i="22747"/>
  <c r="CZ63" i="22746"/>
  <c r="BX63" i="22746"/>
  <c r="C135" i="22745"/>
  <c r="C131" i="22745" s="1"/>
  <c r="CZ69" i="22746"/>
  <c r="BX71" i="22746"/>
  <c r="CL69" i="22746"/>
  <c r="F69" i="22746"/>
  <c r="T70" i="22746"/>
  <c r="CS69" i="22746"/>
  <c r="BJ70" i="22746"/>
  <c r="BC71" i="22746"/>
  <c r="CL71" i="22746"/>
  <c r="B170" i="4"/>
  <c r="B180" i="4" s="1"/>
  <c r="H214" i="22715" s="1"/>
  <c r="R9" i="22746"/>
  <c r="K75" i="3"/>
  <c r="AV69" i="22746"/>
  <c r="F71" i="22746"/>
  <c r="AO71" i="22746"/>
  <c r="CS71" i="22746"/>
  <c r="AH71" i="22746"/>
  <c r="BQ71" i="22746"/>
  <c r="E124" i="2"/>
  <c r="E128" i="2" s="1"/>
  <c r="E131" i="2" s="1"/>
  <c r="BO75" i="3"/>
  <c r="F72" i="3"/>
  <c r="B179" i="4"/>
  <c r="CL54" i="3"/>
  <c r="AO72" i="3"/>
  <c r="AM75" i="3"/>
  <c r="CZ73" i="3"/>
  <c r="CZ75" i="3" s="1"/>
  <c r="T54" i="3"/>
  <c r="CL41" i="3"/>
  <c r="CL72" i="3"/>
  <c r="BX72" i="3"/>
  <c r="CE72" i="3"/>
  <c r="BQ72" i="3"/>
  <c r="AO54" i="3"/>
  <c r="AO60" i="3" s="1"/>
  <c r="CS72" i="3"/>
  <c r="B135" i="4"/>
  <c r="CJ75" i="3"/>
  <c r="CZ54" i="3"/>
  <c r="CX75" i="3"/>
  <c r="C80" i="2"/>
  <c r="BC63" i="22746"/>
  <c r="R11" i="22746"/>
  <c r="T37" i="22746" s="1"/>
  <c r="AV63" i="22746"/>
  <c r="CS63" i="22746"/>
  <c r="BQ63" i="22746"/>
  <c r="AB12" i="22746"/>
  <c r="BX69" i="22746"/>
  <c r="BX70" i="22746"/>
  <c r="E55" i="22749"/>
  <c r="E71" i="22749" s="1"/>
  <c r="H66" i="22750"/>
  <c r="H82" i="22750" s="1"/>
  <c r="F86" i="22744"/>
  <c r="G11" i="22747" s="1"/>
  <c r="D11" i="22747" s="1"/>
  <c r="E80" i="22745"/>
  <c r="F117" i="22745"/>
  <c r="F11" i="4"/>
  <c r="B50" i="22715" s="1"/>
  <c r="M73" i="3"/>
  <c r="M75" i="3" s="1"/>
  <c r="K11" i="3"/>
  <c r="N12" i="3"/>
  <c r="AA12" i="3"/>
  <c r="Z12" i="3" s="1"/>
  <c r="F70" i="2"/>
  <c r="F71" i="2"/>
  <c r="X12" i="3"/>
  <c r="CI12" i="3"/>
  <c r="F68" i="2"/>
  <c r="F77" i="2"/>
  <c r="E81" i="2"/>
  <c r="F80" i="2"/>
  <c r="E107" i="2"/>
  <c r="E136" i="2" s="1"/>
  <c r="F24" i="2"/>
  <c r="F20" i="2"/>
  <c r="F56" i="2"/>
  <c r="F10" i="2"/>
  <c r="F8" i="2"/>
  <c r="F59" i="2"/>
  <c r="F53" i="2"/>
  <c r="F13" i="2"/>
  <c r="F61" i="2"/>
  <c r="F60" i="2"/>
  <c r="F34" i="2"/>
  <c r="F55" i="2"/>
  <c r="F27" i="2"/>
  <c r="F52" i="2"/>
  <c r="F23" i="2"/>
  <c r="F25" i="2"/>
  <c r="F36" i="2"/>
  <c r="F30" i="2"/>
  <c r="F16" i="2"/>
  <c r="F31" i="2"/>
  <c r="F72" i="2"/>
  <c r="F58" i="2"/>
  <c r="F12" i="2"/>
  <c r="F51" i="2"/>
  <c r="F11" i="2"/>
  <c r="F37" i="2"/>
  <c r="F17" i="2"/>
  <c r="F26" i="2"/>
  <c r="F47" i="2"/>
  <c r="F18" i="2"/>
  <c r="F32" i="2"/>
  <c r="F62" i="2"/>
  <c r="F83" i="2"/>
  <c r="F39" i="2"/>
  <c r="F22" i="2"/>
  <c r="F14" i="2"/>
  <c r="F57" i="2"/>
  <c r="F21" i="2"/>
  <c r="F19" i="2"/>
  <c r="F29" i="2"/>
  <c r="F69" i="2"/>
  <c r="F33" i="2"/>
  <c r="F38" i="2"/>
  <c r="F54" i="2"/>
  <c r="F75" i="2"/>
  <c r="F76" i="2"/>
  <c r="F79" i="2"/>
  <c r="F74" i="2"/>
  <c r="F67" i="2"/>
  <c r="F78" i="2"/>
  <c r="F73" i="2"/>
  <c r="H53" i="22750"/>
  <c r="CX54" i="3"/>
  <c r="CX56" i="3" s="1"/>
  <c r="CZ56" i="3" s="1"/>
  <c r="AG10" i="3"/>
  <c r="AH10" i="3" s="1"/>
  <c r="C53" i="1"/>
  <c r="C51" i="22744"/>
  <c r="S10" i="22746"/>
  <c r="AS12" i="3"/>
  <c r="CE54" i="3"/>
  <c r="S12" i="3"/>
  <c r="BO10" i="22746"/>
  <c r="BN10" i="22746" s="1"/>
  <c r="P75" i="3"/>
  <c r="R75" i="3"/>
  <c r="T73" i="3"/>
  <c r="T75" i="3" s="1"/>
  <c r="CC75" i="3"/>
  <c r="CE73" i="3"/>
  <c r="CE75" i="3" s="1"/>
  <c r="CA75" i="3"/>
  <c r="F41" i="3"/>
  <c r="C82" i="22752"/>
  <c r="B54" i="1"/>
  <c r="AN9" i="3"/>
  <c r="AO9" i="3" s="1"/>
  <c r="AF33" i="3"/>
  <c r="AH33" i="3" s="1"/>
  <c r="F81" i="22752"/>
  <c r="B52" i="22744"/>
  <c r="Z9" i="22746"/>
  <c r="AV41" i="3"/>
  <c r="T82" i="3"/>
  <c r="D25" i="22714"/>
  <c r="AA41" i="3"/>
  <c r="BX41" i="3"/>
  <c r="BX73" i="3"/>
  <c r="BX75" i="3" s="1"/>
  <c r="BV75" i="3"/>
  <c r="BT75" i="3"/>
  <c r="F82" i="3"/>
  <c r="D23" i="22714"/>
  <c r="G12" i="4"/>
  <c r="D9" i="4"/>
  <c r="BX50" i="3"/>
  <c r="BX54" i="3" s="1"/>
  <c r="BV54" i="3"/>
  <c r="BV56" i="3" s="1"/>
  <c r="BX56" i="3" s="1"/>
  <c r="B75" i="3"/>
  <c r="F73" i="3"/>
  <c r="D75" i="3"/>
  <c r="BC73" i="3"/>
  <c r="BC75" i="3" s="1"/>
  <c r="AY75" i="3"/>
  <c r="BA75" i="3"/>
  <c r="W75" i="3"/>
  <c r="AA73" i="3"/>
  <c r="AA75" i="3" s="1"/>
  <c r="Y75" i="3"/>
  <c r="F50" i="3"/>
  <c r="F54" i="3" s="1"/>
  <c r="D54" i="3"/>
  <c r="D56" i="3" s="1"/>
  <c r="F56" i="3" s="1"/>
  <c r="BC50" i="3"/>
  <c r="BC54" i="3" s="1"/>
  <c r="BA54" i="3"/>
  <c r="BA56" i="3" s="1"/>
  <c r="BC56" i="3" s="1"/>
  <c r="AE9" i="3"/>
  <c r="AE12" i="3" s="1"/>
  <c r="AH38" i="3"/>
  <c r="AH39" i="3"/>
  <c r="AF73" i="3"/>
  <c r="AH9" i="3"/>
  <c r="AF51" i="3"/>
  <c r="AF55" i="3" s="1"/>
  <c r="AH55" i="3" s="1"/>
  <c r="BC41" i="3"/>
  <c r="CP9" i="3"/>
  <c r="CP12" i="3" s="1"/>
  <c r="CQ73" i="3"/>
  <c r="CS39" i="3"/>
  <c r="CS38" i="3"/>
  <c r="CQ51" i="3"/>
  <c r="CQ55" i="3" s="1"/>
  <c r="CS55" i="3" s="1"/>
  <c r="D9" i="22747"/>
  <c r="F36" i="22747" s="1"/>
  <c r="H32" i="22748"/>
  <c r="I32" i="22748" s="1"/>
  <c r="AA54" i="3"/>
  <c r="BO9" i="22746"/>
  <c r="BJ41" i="3"/>
  <c r="BH54" i="3"/>
  <c r="BH56" i="3" s="1"/>
  <c r="BJ56" i="3" s="1"/>
  <c r="BJ50" i="3"/>
  <c r="BJ54" i="3" s="1"/>
  <c r="AT54" i="3"/>
  <c r="AT56" i="3" s="1"/>
  <c r="AV56" i="3" s="1"/>
  <c r="AV50" i="3"/>
  <c r="AV54" i="3" s="1"/>
  <c r="BF75" i="3"/>
  <c r="BJ73" i="3"/>
  <c r="BJ75" i="3" s="1"/>
  <c r="BH75" i="3"/>
  <c r="BG12" i="3"/>
  <c r="AR75" i="3"/>
  <c r="AV73" i="3"/>
  <c r="AV75" i="3" s="1"/>
  <c r="AT75" i="3"/>
  <c r="H26" i="22748"/>
  <c r="I26" i="22748" s="1"/>
  <c r="Y10" i="22746"/>
  <c r="Y9" i="22746"/>
  <c r="Y11" i="22746"/>
  <c r="AM10" i="22746"/>
  <c r="AM9" i="22746"/>
  <c r="H28" i="22748"/>
  <c r="I28" i="22748" s="1"/>
  <c r="AM11" i="22746"/>
  <c r="H37" i="22748"/>
  <c r="I37" i="22748" s="1"/>
  <c r="CX10" i="22746"/>
  <c r="CX9" i="22746"/>
  <c r="CX11" i="22746"/>
  <c r="AT9" i="22746"/>
  <c r="AT10" i="22746"/>
  <c r="AT11" i="22746"/>
  <c r="H29" i="22748"/>
  <c r="I29" i="22748" s="1"/>
  <c r="AF9" i="22746"/>
  <c r="H27" i="22748"/>
  <c r="I27" i="22748" s="1"/>
  <c r="AF10" i="22746"/>
  <c r="AF11" i="22746"/>
  <c r="H23" i="22748"/>
  <c r="I23" i="22748" s="1"/>
  <c r="D9" i="22746"/>
  <c r="D11" i="22746"/>
  <c r="D10" i="22746"/>
  <c r="H33" i="22748"/>
  <c r="I33" i="22748" s="1"/>
  <c r="BV9" i="22746"/>
  <c r="BV10" i="22746"/>
  <c r="BV11" i="22746"/>
  <c r="CQ11" i="22746"/>
  <c r="H36" i="22748"/>
  <c r="I36" i="22748" s="1"/>
  <c r="CQ9" i="22746"/>
  <c r="CQ10" i="22746"/>
  <c r="H30" i="22748"/>
  <c r="I30" i="22748" s="1"/>
  <c r="BA9" i="22746"/>
  <c r="BA10" i="22746"/>
  <c r="BA11" i="22746"/>
  <c r="BI19" i="22746" l="1"/>
  <c r="BJ19" i="22746" s="1"/>
  <c r="BB19" i="22746"/>
  <c r="BC19" i="22746" s="1"/>
  <c r="S18" i="22746"/>
  <c r="T18" i="22746" s="1"/>
  <c r="AN19" i="22746"/>
  <c r="AO19" i="22746" s="1"/>
  <c r="AO21" i="22746" s="1"/>
  <c r="BW18" i="22746"/>
  <c r="BX18" i="22746" s="1"/>
  <c r="E18" i="22747"/>
  <c r="F18" i="22747" s="1"/>
  <c r="BB18" i="22746"/>
  <c r="BC18" i="22746" s="1"/>
  <c r="AG19" i="22746"/>
  <c r="AH19" i="22746" s="1"/>
  <c r="CK19" i="22746"/>
  <c r="CL19" i="22746" s="1"/>
  <c r="AN18" i="22746"/>
  <c r="AO18" i="22746" s="1"/>
  <c r="CY18" i="22746"/>
  <c r="CZ18" i="22746" s="1"/>
  <c r="CD18" i="22746"/>
  <c r="CE18" i="22746" s="1"/>
  <c r="CE21" i="22746" s="1"/>
  <c r="BP19" i="22746"/>
  <c r="BQ19" i="22746" s="1"/>
  <c r="AU19" i="22746"/>
  <c r="AV19" i="22746" s="1"/>
  <c r="L19" i="22746"/>
  <c r="M19" i="22746" s="1"/>
  <c r="Z19" i="22746"/>
  <c r="AA19" i="22746" s="1"/>
  <c r="Z18" i="22746"/>
  <c r="AA18" i="22746" s="1"/>
  <c r="AU18" i="22746"/>
  <c r="AV18" i="22746" s="1"/>
  <c r="CR19" i="22746"/>
  <c r="CS19" i="22746" s="1"/>
  <c r="AG18" i="22746"/>
  <c r="AH18" i="22746" s="1"/>
  <c r="AH21" i="22746" s="1"/>
  <c r="CK18" i="22746"/>
  <c r="CL18" i="22746" s="1"/>
  <c r="BP18" i="22746"/>
  <c r="BQ18" i="22746" s="1"/>
  <c r="CD19" i="22746"/>
  <c r="CE19" i="22746" s="1"/>
  <c r="BW19" i="22746"/>
  <c r="BX19" i="22746" s="1"/>
  <c r="BX21" i="22746" s="1"/>
  <c r="S19" i="22746"/>
  <c r="T19" i="22746" s="1"/>
  <c r="T21" i="22746" s="1"/>
  <c r="CY19" i="22746"/>
  <c r="CZ19" i="22746" s="1"/>
  <c r="E17" i="22747"/>
  <c r="F17" i="22747" s="1"/>
  <c r="L18" i="22746"/>
  <c r="M18" i="22746" s="1"/>
  <c r="M21" i="22746" s="1"/>
  <c r="E19" i="22746"/>
  <c r="F19" i="22746" s="1"/>
  <c r="BI18" i="22746"/>
  <c r="BJ18" i="22746" s="1"/>
  <c r="BJ21" i="22746" s="1"/>
  <c r="E18" i="22746"/>
  <c r="F18" i="22746" s="1"/>
  <c r="CR18" i="22746"/>
  <c r="CS18" i="22746" s="1"/>
  <c r="F11" i="22747"/>
  <c r="D50" i="22715" s="1"/>
  <c r="F34" i="22747"/>
  <c r="CB11" i="22746"/>
  <c r="F65" i="22744"/>
  <c r="F60" i="3"/>
  <c r="F66" i="22744"/>
  <c r="BO11" i="22746"/>
  <c r="BQ37" i="22746" s="1"/>
  <c r="R51" i="22746"/>
  <c r="R55" i="22746" s="1"/>
  <c r="E73" i="22749"/>
  <c r="BQ60" i="3"/>
  <c r="T60" i="3"/>
  <c r="CL60" i="3"/>
  <c r="BQ11" i="22746"/>
  <c r="BH9" i="22746"/>
  <c r="BG9" i="22746" s="1"/>
  <c r="F72" i="22746"/>
  <c r="F20" i="22747"/>
  <c r="F113" i="22745"/>
  <c r="E120" i="22745"/>
  <c r="D133" i="2"/>
  <c r="E133" i="2" s="1"/>
  <c r="F117" i="2"/>
  <c r="F112" i="2"/>
  <c r="F114" i="2"/>
  <c r="F113" i="2"/>
  <c r="F119" i="2"/>
  <c r="F115" i="2"/>
  <c r="F116" i="2"/>
  <c r="D136" i="2"/>
  <c r="F21" i="22746"/>
  <c r="CE60" i="3"/>
  <c r="E123" i="22745"/>
  <c r="E126" i="22745" s="1"/>
  <c r="E129" i="22745" s="1"/>
  <c r="H97" i="22750"/>
  <c r="H100" i="22750" s="1"/>
  <c r="F119" i="22745"/>
  <c r="F116" i="22745"/>
  <c r="F115" i="22745"/>
  <c r="B134" i="22747"/>
  <c r="F75" i="22747"/>
  <c r="CL72" i="22746"/>
  <c r="M72" i="22746"/>
  <c r="AH72" i="22746"/>
  <c r="K11" i="22746"/>
  <c r="J11" i="22746" s="1"/>
  <c r="CJ11" i="22746"/>
  <c r="CL11" i="22746" s="1"/>
  <c r="R73" i="22746"/>
  <c r="T73" i="22746" s="1"/>
  <c r="T39" i="22746"/>
  <c r="T10" i="22746"/>
  <c r="CE40" i="22746"/>
  <c r="CE11" i="22746"/>
  <c r="B173" i="22747"/>
  <c r="B181" i="22747" s="1"/>
  <c r="J215" i="22715" s="1"/>
  <c r="I215" i="22715" s="1"/>
  <c r="F114" i="22745"/>
  <c r="F118" i="22745"/>
  <c r="BH11" i="22746"/>
  <c r="BJ11" i="22746" s="1"/>
  <c r="CE72" i="22746"/>
  <c r="T9" i="22746"/>
  <c r="K10" i="22746"/>
  <c r="J10" i="22746" s="1"/>
  <c r="CJ10" i="22746"/>
  <c r="CI10" i="22746" s="1"/>
  <c r="T72" i="22746"/>
  <c r="AA72" i="22746"/>
  <c r="Q9" i="22746"/>
  <c r="T38" i="22746"/>
  <c r="K9" i="22746"/>
  <c r="H24" i="22748"/>
  <c r="I24" i="22748" s="1"/>
  <c r="H35" i="22748"/>
  <c r="I35" i="22748" s="1"/>
  <c r="CJ9" i="22746"/>
  <c r="CI9" i="22746" s="1"/>
  <c r="BQ21" i="22746"/>
  <c r="AV21" i="22746"/>
  <c r="AO72" i="22746"/>
  <c r="CZ72" i="22746"/>
  <c r="BC72" i="22746"/>
  <c r="BJ72" i="22746"/>
  <c r="CC10" i="22746"/>
  <c r="CB10" i="22746" s="1"/>
  <c r="CC9" i="22746"/>
  <c r="CB9" i="22746" s="1"/>
  <c r="H34" i="22748"/>
  <c r="I34" i="22748" s="1"/>
  <c r="Q11" i="22746"/>
  <c r="Q12" i="22746" s="1"/>
  <c r="F64" i="22744"/>
  <c r="BH10" i="22746"/>
  <c r="BG10" i="22746" s="1"/>
  <c r="H31" i="22748"/>
  <c r="I31" i="22748" s="1"/>
  <c r="BQ72" i="22746"/>
  <c r="BC21" i="22746"/>
  <c r="AV72" i="22746"/>
  <c r="CS72" i="22746"/>
  <c r="CL21" i="22746"/>
  <c r="CZ21" i="22746"/>
  <c r="CS21" i="22746"/>
  <c r="D106" i="22751"/>
  <c r="AH12" i="3"/>
  <c r="AH15" i="3" s="1"/>
  <c r="AA15" i="3"/>
  <c r="AA82" i="3" s="1"/>
  <c r="CZ60" i="3"/>
  <c r="B175" i="4"/>
  <c r="F130" i="2"/>
  <c r="C50" i="22715"/>
  <c r="BJ39" i="22746"/>
  <c r="T11" i="22746"/>
  <c r="BX72" i="22746"/>
  <c r="BO73" i="22746"/>
  <c r="BO75" i="22746" s="1"/>
  <c r="C31" i="22715"/>
  <c r="BN11" i="22746"/>
  <c r="G12" i="22747"/>
  <c r="C11" i="22747"/>
  <c r="J11" i="3"/>
  <c r="J12" i="3" s="1"/>
  <c r="M37" i="3"/>
  <c r="M41" i="3" s="1"/>
  <c r="M11" i="3"/>
  <c r="M12" i="3" s="1"/>
  <c r="F81" i="2"/>
  <c r="E84" i="2"/>
  <c r="F89" i="2"/>
  <c r="F97" i="2"/>
  <c r="F99" i="2"/>
  <c r="F90" i="2"/>
  <c r="F95" i="2"/>
  <c r="F94" i="2"/>
  <c r="F92" i="2"/>
  <c r="F103" i="2"/>
  <c r="F91" i="2"/>
  <c r="F88" i="2"/>
  <c r="F107" i="2"/>
  <c r="F102" i="2"/>
  <c r="F98" i="2"/>
  <c r="F93" i="2"/>
  <c r="E109" i="2"/>
  <c r="F96" i="2"/>
  <c r="F101" i="2"/>
  <c r="F105" i="2"/>
  <c r="F127" i="2"/>
  <c r="F125" i="2"/>
  <c r="F129" i="2"/>
  <c r="F124" i="2"/>
  <c r="F128" i="2"/>
  <c r="F126" i="2"/>
  <c r="F131" i="2"/>
  <c r="D135" i="2"/>
  <c r="F106" i="2"/>
  <c r="AN10" i="3"/>
  <c r="AO10" i="3" s="1"/>
  <c r="AO12" i="3" s="1"/>
  <c r="C54" i="1"/>
  <c r="C52" i="22744"/>
  <c r="Z10" i="22746"/>
  <c r="AA10" i="22746" s="1"/>
  <c r="BQ39" i="22746"/>
  <c r="BQ38" i="22746"/>
  <c r="BN9" i="22746"/>
  <c r="BX60" i="3"/>
  <c r="BO51" i="22746"/>
  <c r="BO55" i="22746" s="1"/>
  <c r="H213" i="22715"/>
  <c r="B182" i="4"/>
  <c r="B55" i="1"/>
  <c r="AU9" i="3"/>
  <c r="AV9" i="3" s="1"/>
  <c r="C83" i="22752"/>
  <c r="F82" i="22752"/>
  <c r="AM33" i="3"/>
  <c r="AO33" i="3" s="1"/>
  <c r="AG9" i="22746"/>
  <c r="AH9" i="22746" s="1"/>
  <c r="B53" i="22744"/>
  <c r="AH41" i="3"/>
  <c r="CS41" i="3"/>
  <c r="CS50" i="3"/>
  <c r="CS54" i="3" s="1"/>
  <c r="CQ54" i="3"/>
  <c r="CQ56" i="3" s="1"/>
  <c r="CS56" i="3" s="1"/>
  <c r="CS73" i="3"/>
  <c r="CS75" i="3" s="1"/>
  <c r="CQ75" i="3"/>
  <c r="CO75" i="3"/>
  <c r="AF54" i="3"/>
  <c r="AF56" i="3" s="1"/>
  <c r="AH56" i="3" s="1"/>
  <c r="AH50" i="3"/>
  <c r="AH54" i="3" s="1"/>
  <c r="D77" i="4"/>
  <c r="F36" i="4"/>
  <c r="F35" i="4"/>
  <c r="C9" i="4"/>
  <c r="C12" i="4" s="1"/>
  <c r="D54" i="4"/>
  <c r="D58" i="4" s="1"/>
  <c r="F58" i="4" s="1"/>
  <c r="G33" i="3"/>
  <c r="AV60" i="3"/>
  <c r="F75" i="3"/>
  <c r="AF75" i="3"/>
  <c r="AD75" i="3"/>
  <c r="AH73" i="3"/>
  <c r="AH75" i="3" s="1"/>
  <c r="BJ60" i="3"/>
  <c r="BC60" i="3"/>
  <c r="D77" i="22747"/>
  <c r="D79" i="22747" s="1"/>
  <c r="C9" i="22747"/>
  <c r="F35" i="22747"/>
  <c r="D54" i="22747"/>
  <c r="AA60" i="3"/>
  <c r="AL9" i="22746"/>
  <c r="AM73" i="22746"/>
  <c r="AO38" i="22746"/>
  <c r="AO39" i="22746"/>
  <c r="AM51" i="22746"/>
  <c r="AM55" i="22746" s="1"/>
  <c r="X10" i="22746"/>
  <c r="CW11" i="22746"/>
  <c r="CZ37" i="22746"/>
  <c r="CZ11" i="22746"/>
  <c r="AL10" i="22746"/>
  <c r="CW10" i="22746"/>
  <c r="X9" i="22746"/>
  <c r="AA9" i="22746"/>
  <c r="AA38" i="22746"/>
  <c r="Y73" i="22746"/>
  <c r="AA39" i="22746"/>
  <c r="Y51" i="22746"/>
  <c r="Y55" i="22746" s="1"/>
  <c r="CX51" i="22746"/>
  <c r="CX55" i="22746" s="1"/>
  <c r="CZ38" i="22746"/>
  <c r="CW9" i="22746"/>
  <c r="CZ39" i="22746"/>
  <c r="CX73" i="22746"/>
  <c r="AL11" i="22746"/>
  <c r="AO11" i="22746"/>
  <c r="AO37" i="22746"/>
  <c r="AA11" i="22746"/>
  <c r="AA37" i="22746"/>
  <c r="X11" i="22746"/>
  <c r="BV73" i="22746"/>
  <c r="BV51" i="22746"/>
  <c r="BV55" i="22746" s="1"/>
  <c r="BU9" i="22746"/>
  <c r="BX39" i="22746"/>
  <c r="BX38" i="22746"/>
  <c r="C9" i="22746"/>
  <c r="D73" i="22746"/>
  <c r="F39" i="22746"/>
  <c r="F9" i="22746"/>
  <c r="F38" i="22746"/>
  <c r="D51" i="22746"/>
  <c r="AF51" i="22746"/>
  <c r="AF55" i="22746" s="1"/>
  <c r="AF73" i="22746"/>
  <c r="AE9" i="22746"/>
  <c r="AH39" i="22746"/>
  <c r="AH38" i="22746"/>
  <c r="AV37" i="22746"/>
  <c r="AV11" i="22746"/>
  <c r="AS11" i="22746"/>
  <c r="AZ11" i="22746"/>
  <c r="BC11" i="22746"/>
  <c r="BC37" i="22746"/>
  <c r="CP10" i="22746"/>
  <c r="AZ10" i="22746"/>
  <c r="CP9" i="22746"/>
  <c r="CS39" i="22746"/>
  <c r="CQ73" i="22746"/>
  <c r="CS38" i="22746"/>
  <c r="CQ51" i="22746"/>
  <c r="CQ55" i="22746" s="1"/>
  <c r="BU11" i="22746"/>
  <c r="BX37" i="22746"/>
  <c r="BX11" i="22746"/>
  <c r="F10" i="22746"/>
  <c r="C10" i="22746"/>
  <c r="M10" i="22746"/>
  <c r="AH11" i="22746"/>
  <c r="AH37" i="22746"/>
  <c r="AE11" i="22746"/>
  <c r="AS10" i="22746"/>
  <c r="CS11" i="22746"/>
  <c r="CS37" i="22746"/>
  <c r="CP11" i="22746"/>
  <c r="BC39" i="22746"/>
  <c r="BC38" i="22746"/>
  <c r="BA73" i="22746"/>
  <c r="BA51" i="22746"/>
  <c r="BA55" i="22746" s="1"/>
  <c r="AZ9" i="22746"/>
  <c r="BU10" i="22746"/>
  <c r="F37" i="22746"/>
  <c r="F11" i="22746"/>
  <c r="BM75" i="22746"/>
  <c r="AE10" i="22746"/>
  <c r="AT73" i="22746"/>
  <c r="AT51" i="22746"/>
  <c r="AT55" i="22746" s="1"/>
  <c r="AS9" i="22746"/>
  <c r="AV38" i="22746"/>
  <c r="AV39" i="22746"/>
  <c r="AA21" i="22746" l="1"/>
  <c r="M37" i="22746"/>
  <c r="D133" i="22745"/>
  <c r="AG12" i="3"/>
  <c r="D58" i="22747"/>
  <c r="F38" i="22747"/>
  <c r="M11" i="22746"/>
  <c r="R75" i="22746"/>
  <c r="D55" i="22746"/>
  <c r="P75" i="22746"/>
  <c r="BJ37" i="22746"/>
  <c r="BG11" i="22746"/>
  <c r="BG12" i="22746" s="1"/>
  <c r="D26" i="22714"/>
  <c r="F27" i="22747"/>
  <c r="F26" i="22747"/>
  <c r="F25" i="22747"/>
  <c r="F24" i="22747"/>
  <c r="F23" i="22747"/>
  <c r="CZ29" i="22746"/>
  <c r="CZ28" i="22746"/>
  <c r="CZ27" i="22746"/>
  <c r="CZ26" i="22746"/>
  <c r="CZ25" i="22746"/>
  <c r="CS29" i="22746"/>
  <c r="CS28" i="22746"/>
  <c r="CS27" i="22746"/>
  <c r="CS26" i="22746"/>
  <c r="CS25" i="22746"/>
  <c r="CL29" i="22746"/>
  <c r="CL28" i="22746"/>
  <c r="CL27" i="22746"/>
  <c r="CL26" i="22746"/>
  <c r="CL25" i="22746"/>
  <c r="CE29" i="22746"/>
  <c r="CE28" i="22746"/>
  <c r="CE27" i="22746"/>
  <c r="CE26" i="22746"/>
  <c r="CE25" i="22746"/>
  <c r="BX29" i="22746"/>
  <c r="BX28" i="22746"/>
  <c r="BX27" i="22746"/>
  <c r="BX26" i="22746"/>
  <c r="BX25" i="22746"/>
  <c r="BQ29" i="22746"/>
  <c r="BQ28" i="22746"/>
  <c r="BQ27" i="22746"/>
  <c r="BQ26" i="22746"/>
  <c r="BQ25" i="22746"/>
  <c r="BJ29" i="22746"/>
  <c r="BJ28" i="22746"/>
  <c r="BJ27" i="22746"/>
  <c r="BJ26" i="22746"/>
  <c r="BJ25" i="22746"/>
  <c r="BC29" i="22746"/>
  <c r="BC28" i="22746"/>
  <c r="BC27" i="22746"/>
  <c r="BC26" i="22746"/>
  <c r="BC25" i="22746"/>
  <c r="AV29" i="22746"/>
  <c r="AV28" i="22746"/>
  <c r="AV27" i="22746"/>
  <c r="AV26" i="22746"/>
  <c r="AV25" i="22746"/>
  <c r="AO29" i="22746"/>
  <c r="AO28" i="22746"/>
  <c r="AO27" i="22746"/>
  <c r="AO26" i="22746"/>
  <c r="AO25" i="22746"/>
  <c r="AH29" i="22746"/>
  <c r="AH28" i="22746"/>
  <c r="AH27" i="22746"/>
  <c r="AH26" i="22746"/>
  <c r="AH25" i="22746"/>
  <c r="AA29" i="22746"/>
  <c r="AA28" i="22746"/>
  <c r="AA27" i="22746"/>
  <c r="AA26" i="22746"/>
  <c r="AA25" i="22746"/>
  <c r="T28" i="22746"/>
  <c r="T26" i="22746"/>
  <c r="M28" i="22746"/>
  <c r="M26" i="22746"/>
  <c r="T29" i="22746"/>
  <c r="T25" i="22746"/>
  <c r="M27" i="22746"/>
  <c r="F28" i="22746"/>
  <c r="F26" i="22746"/>
  <c r="T27" i="22746"/>
  <c r="M29" i="22746"/>
  <c r="M25" i="22746"/>
  <c r="F29" i="22746"/>
  <c r="F27" i="22746"/>
  <c r="F25" i="22746"/>
  <c r="F120" i="22745"/>
  <c r="CL37" i="22746"/>
  <c r="CI11" i="22746"/>
  <c r="CI12" i="22746" s="1"/>
  <c r="CL39" i="22746"/>
  <c r="T41" i="22746"/>
  <c r="T12" i="22746"/>
  <c r="T15" i="22746" s="1"/>
  <c r="CJ73" i="22746"/>
  <c r="CH75" i="22746" s="1"/>
  <c r="K73" i="22746"/>
  <c r="I75" i="22746" s="1"/>
  <c r="M9" i="22746"/>
  <c r="CJ51" i="22746"/>
  <c r="CJ55" i="22746" s="1"/>
  <c r="CL38" i="22746"/>
  <c r="M39" i="22746"/>
  <c r="M38" i="22746"/>
  <c r="J9" i="22746"/>
  <c r="J12" i="22746" s="1"/>
  <c r="K51" i="22746"/>
  <c r="K55" i="22746" s="1"/>
  <c r="CE39" i="22746"/>
  <c r="CB12" i="22746"/>
  <c r="CC51" i="22746"/>
  <c r="CC55" i="22746" s="1"/>
  <c r="CC73" i="22746"/>
  <c r="CE73" i="22746" s="1"/>
  <c r="CE75" i="22746" s="1"/>
  <c r="CE38" i="22746"/>
  <c r="CE41" i="22746" s="1"/>
  <c r="BH51" i="22746"/>
  <c r="BH55" i="22746" s="1"/>
  <c r="BH73" i="22746"/>
  <c r="BJ38" i="22746"/>
  <c r="BQ73" i="22746"/>
  <c r="BQ75" i="22746" s="1"/>
  <c r="C108" i="22751"/>
  <c r="H108" i="22751" s="1"/>
  <c r="H106" i="22751"/>
  <c r="E135" i="2"/>
  <c r="B147" i="22747"/>
  <c r="J141" i="22715" s="1"/>
  <c r="BN12" i="22746"/>
  <c r="BQ41" i="22746"/>
  <c r="D102" i="22750"/>
  <c r="C12" i="22747"/>
  <c r="F126" i="22745"/>
  <c r="D134" i="22745"/>
  <c r="F128" i="22745"/>
  <c r="F124" i="22745"/>
  <c r="F125" i="22745"/>
  <c r="F127" i="22745"/>
  <c r="F123" i="22745"/>
  <c r="L12" i="3"/>
  <c r="M15" i="3"/>
  <c r="D134" i="2"/>
  <c r="E134" i="2" s="1"/>
  <c r="E85" i="2"/>
  <c r="F85" i="2" s="1"/>
  <c r="F84" i="2"/>
  <c r="AO15" i="3"/>
  <c r="AO82" i="3" s="1"/>
  <c r="AN12" i="3"/>
  <c r="C55" i="1"/>
  <c r="AU10" i="3"/>
  <c r="AV10" i="3" s="1"/>
  <c r="AV12" i="3" s="1"/>
  <c r="AG10" i="22746"/>
  <c r="AH10" i="22746" s="1"/>
  <c r="AH12" i="22746" s="1"/>
  <c r="C53" i="22744"/>
  <c r="F38" i="4"/>
  <c r="B147" i="4" s="1"/>
  <c r="H141" i="22715" s="1"/>
  <c r="F41" i="22746"/>
  <c r="C179" i="4"/>
  <c r="H218" i="22715" s="1"/>
  <c r="H216" i="22715"/>
  <c r="C180" i="4"/>
  <c r="H219" i="22715" s="1"/>
  <c r="H195" i="22715"/>
  <c r="C182" i="4"/>
  <c r="C181" i="4"/>
  <c r="H220" i="22715" s="1"/>
  <c r="F83" i="22752"/>
  <c r="AT33" i="3"/>
  <c r="AV33" i="3" s="1"/>
  <c r="C84" i="22752"/>
  <c r="B56" i="1"/>
  <c r="BB9" i="3"/>
  <c r="BC9" i="3" s="1"/>
  <c r="B54" i="22744"/>
  <c r="AN9" i="22746"/>
  <c r="AO9" i="22746" s="1"/>
  <c r="AH60" i="3"/>
  <c r="CS60" i="3"/>
  <c r="K53" i="4"/>
  <c r="F53" i="4"/>
  <c r="F57" i="4" s="1"/>
  <c r="B190" i="4"/>
  <c r="H59" i="4"/>
  <c r="D57" i="4"/>
  <c r="D59" i="4" s="1"/>
  <c r="F59" i="4" s="1"/>
  <c r="AH82" i="3"/>
  <c r="D27" i="22714"/>
  <c r="B79" i="4"/>
  <c r="B79" i="22715"/>
  <c r="F77" i="4"/>
  <c r="D79" i="4"/>
  <c r="K53" i="22747"/>
  <c r="B79" i="22747"/>
  <c r="F77" i="22747"/>
  <c r="F79" i="22747" s="1"/>
  <c r="D79" i="22715"/>
  <c r="AL12" i="22746"/>
  <c r="AO41" i="22746"/>
  <c r="AA12" i="22746"/>
  <c r="AM75" i="22746"/>
  <c r="AO73" i="22746"/>
  <c r="AO75" i="22746" s="1"/>
  <c r="AK75" i="22746"/>
  <c r="CV75" i="22746"/>
  <c r="CX75" i="22746"/>
  <c r="CZ73" i="22746"/>
  <c r="CZ75" i="22746" s="1"/>
  <c r="Y75" i="22746"/>
  <c r="AA73" i="22746"/>
  <c r="AA75" i="22746" s="1"/>
  <c r="W75" i="22746"/>
  <c r="F12" i="22746"/>
  <c r="F15" i="22746" s="1"/>
  <c r="D23" i="22748" s="1"/>
  <c r="AA41" i="22746"/>
  <c r="CW12" i="22746"/>
  <c r="X12" i="22746"/>
  <c r="CZ41" i="22746"/>
  <c r="AY75" i="22746"/>
  <c r="BC73" i="22746"/>
  <c r="BA75" i="22746"/>
  <c r="BX41" i="22746"/>
  <c r="BV75" i="22746"/>
  <c r="BT75" i="22746"/>
  <c r="BX73" i="22746"/>
  <c r="CS73" i="22746"/>
  <c r="CQ75" i="22746"/>
  <c r="CO75" i="22746"/>
  <c r="CS41" i="22746"/>
  <c r="AT75" i="22746"/>
  <c r="AR75" i="22746"/>
  <c r="AV73" i="22746"/>
  <c r="AZ12" i="22746"/>
  <c r="CP12" i="22746"/>
  <c r="B75" i="22746"/>
  <c r="F73" i="22746"/>
  <c r="D75" i="22746"/>
  <c r="AF75" i="22746"/>
  <c r="AD75" i="22746"/>
  <c r="AH73" i="22746"/>
  <c r="T75" i="22746"/>
  <c r="AS12" i="22746"/>
  <c r="AH41" i="22746"/>
  <c r="BC41" i="22746"/>
  <c r="AV41" i="22746"/>
  <c r="AE12" i="22746"/>
  <c r="C12" i="22746"/>
  <c r="BU12" i="22746"/>
  <c r="CL73" i="22746" l="1"/>
  <c r="S12" i="22746"/>
  <c r="H113" i="22751"/>
  <c r="C189" i="1" s="1"/>
  <c r="CZ34" i="3" s="1"/>
  <c r="K75" i="22746"/>
  <c r="BJ41" i="22746"/>
  <c r="M12" i="22746"/>
  <c r="L12" i="22746" s="1"/>
  <c r="CJ75" i="22746"/>
  <c r="F29" i="22747"/>
  <c r="B164" i="22747" s="1"/>
  <c r="B179" i="22747" s="1"/>
  <c r="J213" i="22715" s="1"/>
  <c r="I213" i="22715" s="1"/>
  <c r="AH31" i="22746"/>
  <c r="AV31" i="22746"/>
  <c r="BJ31" i="22746"/>
  <c r="BX31" i="22746"/>
  <c r="CL31" i="22746"/>
  <c r="CZ31" i="22746"/>
  <c r="M31" i="22746"/>
  <c r="AA31" i="22746"/>
  <c r="AO31" i="22746"/>
  <c r="BC31" i="22746"/>
  <c r="BQ31" i="22746"/>
  <c r="CE31" i="22746"/>
  <c r="CS31" i="22746"/>
  <c r="T31" i="22746"/>
  <c r="F31" i="22746"/>
  <c r="D28" i="22714"/>
  <c r="CL41" i="22746"/>
  <c r="M73" i="22746"/>
  <c r="M75" i="22746" s="1"/>
  <c r="M41" i="22746"/>
  <c r="CA75" i="22746"/>
  <c r="CC75" i="22746"/>
  <c r="BJ73" i="22746"/>
  <c r="BJ75" i="22746" s="1"/>
  <c r="BF75" i="22746"/>
  <c r="BH75" i="22746"/>
  <c r="E138" i="2"/>
  <c r="B57" i="22715" s="1"/>
  <c r="H102" i="22750"/>
  <c r="C104" i="22750"/>
  <c r="H104" i="22750" s="1"/>
  <c r="M82" i="3"/>
  <c r="D24" i="22714"/>
  <c r="AV15" i="3"/>
  <c r="AV82" i="3" s="1"/>
  <c r="AU12" i="3"/>
  <c r="I141" i="22715"/>
  <c r="C56" i="1"/>
  <c r="BB10" i="3"/>
  <c r="BC10" i="3" s="1"/>
  <c r="BC12" i="3" s="1"/>
  <c r="AN10" i="22746"/>
  <c r="AO10" i="22746" s="1"/>
  <c r="AO12" i="22746" s="1"/>
  <c r="AO15" i="22746" s="1"/>
  <c r="C54" i="22744"/>
  <c r="F82" i="22746"/>
  <c r="BI9" i="3"/>
  <c r="BJ9" i="3" s="1"/>
  <c r="B57" i="1"/>
  <c r="C85" i="22752"/>
  <c r="BA33" i="3"/>
  <c r="BC33" i="3" s="1"/>
  <c r="F84" i="22752"/>
  <c r="B55" i="22744"/>
  <c r="AU9" i="22746"/>
  <c r="AV9" i="22746" s="1"/>
  <c r="B73" i="22715"/>
  <c r="B77" i="22715"/>
  <c r="F114" i="4"/>
  <c r="H76" i="22715" s="1"/>
  <c r="C43" i="22714"/>
  <c r="C44" i="22714" s="1"/>
  <c r="B72" i="22715"/>
  <c r="B78" i="22715" s="1"/>
  <c r="B75" i="22715"/>
  <c r="B193" i="4"/>
  <c r="B200" i="4" s="1"/>
  <c r="H267" i="22715" s="1"/>
  <c r="F79" i="4"/>
  <c r="B139" i="4"/>
  <c r="B189" i="4"/>
  <c r="D77" i="22715"/>
  <c r="D73" i="22715"/>
  <c r="C79" i="22715"/>
  <c r="D75" i="22715"/>
  <c r="F114" i="22747"/>
  <c r="J76" i="22715" s="1"/>
  <c r="D72" i="22715"/>
  <c r="C43" i="22748"/>
  <c r="C44" i="22748" s="1"/>
  <c r="B139" i="22747"/>
  <c r="B193" i="22747"/>
  <c r="B200" i="22747" s="1"/>
  <c r="J267" i="22715" s="1"/>
  <c r="Z12" i="22746"/>
  <c r="AA15" i="22746"/>
  <c r="AH15" i="22746"/>
  <c r="AG12" i="22746"/>
  <c r="AV75" i="22746"/>
  <c r="CS75" i="22746"/>
  <c r="M15" i="22746"/>
  <c r="CL75" i="22746"/>
  <c r="BX75" i="22746"/>
  <c r="BC75" i="22746"/>
  <c r="D25" i="22748"/>
  <c r="T82" i="22746"/>
  <c r="AH75" i="22746"/>
  <c r="F75" i="22746"/>
  <c r="F84" i="3" l="1"/>
  <c r="AV34" i="3"/>
  <c r="AV44" i="3" s="1"/>
  <c r="BX34" i="3"/>
  <c r="BQ34" i="3"/>
  <c r="F31" i="4"/>
  <c r="AH34" i="3"/>
  <c r="AH44" i="3" s="1"/>
  <c r="M34" i="3"/>
  <c r="M44" i="3" s="1"/>
  <c r="BJ34" i="3"/>
  <c r="BC34" i="3"/>
  <c r="BC44" i="3" s="1"/>
  <c r="CS34" i="3"/>
  <c r="T34" i="3"/>
  <c r="T44" i="3" s="1"/>
  <c r="CL34" i="3"/>
  <c r="AO34" i="3"/>
  <c r="AO44" i="3" s="1"/>
  <c r="CE34" i="3"/>
  <c r="AA34" i="3"/>
  <c r="AA44" i="3" s="1"/>
  <c r="F34" i="3"/>
  <c r="F44" i="3" s="1"/>
  <c r="H109" i="22750"/>
  <c r="C188" i="22744" s="1"/>
  <c r="F31" i="22747" s="1"/>
  <c r="D29" i="22714"/>
  <c r="E78" i="3"/>
  <c r="F78" i="3" s="1"/>
  <c r="F79" i="3" s="1"/>
  <c r="F80" i="3" s="1"/>
  <c r="J22" i="22714"/>
  <c r="C22" i="22714"/>
  <c r="E22" i="22714" s="1"/>
  <c r="C77" i="22715"/>
  <c r="BB12" i="3"/>
  <c r="BC15" i="3"/>
  <c r="BC82" i="3" s="1"/>
  <c r="BI10" i="3"/>
  <c r="BJ10" i="3" s="1"/>
  <c r="BJ12" i="3" s="1"/>
  <c r="BJ15" i="3" s="1"/>
  <c r="C57" i="1"/>
  <c r="AN12" i="22746"/>
  <c r="C55" i="22744"/>
  <c r="AU10" i="22746"/>
  <c r="AV10" i="22746" s="1"/>
  <c r="AV12" i="22746" s="1"/>
  <c r="AU12" i="22746" s="1"/>
  <c r="H46" i="22715"/>
  <c r="I267" i="22715"/>
  <c r="C73" i="22715"/>
  <c r="I76" i="22715"/>
  <c r="F85" i="22752"/>
  <c r="BH33" i="3"/>
  <c r="BJ33" i="3" s="1"/>
  <c r="BP9" i="3"/>
  <c r="BQ9" i="3" s="1"/>
  <c r="C86" i="22752"/>
  <c r="B58" i="1"/>
  <c r="BB9" i="22746"/>
  <c r="BC9" i="22746" s="1"/>
  <c r="B56" i="22744"/>
  <c r="F63" i="4"/>
  <c r="F105" i="4"/>
  <c r="B123" i="4"/>
  <c r="H86" i="22715" s="1"/>
  <c r="C75" i="22715"/>
  <c r="B195" i="4"/>
  <c r="H243" i="22715" s="1"/>
  <c r="B199" i="4"/>
  <c r="H119" i="22715"/>
  <c r="B143" i="4"/>
  <c r="C72" i="22715"/>
  <c r="D78" i="22715"/>
  <c r="C78" i="22715" s="1"/>
  <c r="F105" i="22747"/>
  <c r="B123" i="22747"/>
  <c r="J86" i="22715" s="1"/>
  <c r="J119" i="22715"/>
  <c r="B143" i="22747"/>
  <c r="C139" i="22747" s="1"/>
  <c r="D26" i="22748"/>
  <c r="AA82" i="22746"/>
  <c r="D28" i="22748"/>
  <c r="AO82" i="22746"/>
  <c r="AH82" i="22746"/>
  <c r="D27" i="22748"/>
  <c r="M82" i="22746"/>
  <c r="D24" i="22748"/>
  <c r="BJ44" i="3" l="1"/>
  <c r="F81" i="3"/>
  <c r="G69" i="3" s="1"/>
  <c r="D30" i="22714"/>
  <c r="BJ34" i="22746"/>
  <c r="CL34" i="22746"/>
  <c r="T34" i="22746"/>
  <c r="AO34" i="22746"/>
  <c r="AA34" i="22746"/>
  <c r="M34" i="22746"/>
  <c r="BQ34" i="22746"/>
  <c r="BX34" i="22746"/>
  <c r="F34" i="22746"/>
  <c r="CS34" i="22746"/>
  <c r="BC34" i="22746"/>
  <c r="CZ34" i="22746"/>
  <c r="AH34" i="22746"/>
  <c r="AV34" i="22746"/>
  <c r="CE34" i="22746"/>
  <c r="F22" i="22714"/>
  <c r="G22" i="22714"/>
  <c r="BI12" i="3"/>
  <c r="BW10" i="3"/>
  <c r="BX10" i="3" s="1"/>
  <c r="C58" i="1"/>
  <c r="C59" i="1" s="1"/>
  <c r="BP10" i="3"/>
  <c r="BQ10" i="3" s="1"/>
  <c r="BQ12" i="3" s="1"/>
  <c r="BP12" i="3" s="1"/>
  <c r="AV15" i="22746"/>
  <c r="AV82" i="22746" s="1"/>
  <c r="BB10" i="22746"/>
  <c r="BC10" i="22746" s="1"/>
  <c r="BC12" i="22746" s="1"/>
  <c r="C56" i="22744"/>
  <c r="BJ82" i="3"/>
  <c r="D31" i="22714"/>
  <c r="F86" i="22752"/>
  <c r="BO33" i="3"/>
  <c r="BQ33" i="3" s="1"/>
  <c r="BQ44" i="3" s="1"/>
  <c r="C87" i="22752"/>
  <c r="BW9" i="3"/>
  <c r="BX9" i="3" s="1"/>
  <c r="B59" i="1"/>
  <c r="BI9" i="22746"/>
  <c r="BJ9" i="22746" s="1"/>
  <c r="B57" i="22744"/>
  <c r="C141" i="4"/>
  <c r="C143" i="4"/>
  <c r="C137" i="4"/>
  <c r="C138" i="4"/>
  <c r="C135" i="4"/>
  <c r="C136" i="4"/>
  <c r="C134" i="4"/>
  <c r="C142" i="4"/>
  <c r="H123" i="22715"/>
  <c r="C140" i="4"/>
  <c r="I86" i="22715"/>
  <c r="B149" i="4"/>
  <c r="H143" i="22715" s="1"/>
  <c r="B30" i="22715"/>
  <c r="C30" i="22715" s="1"/>
  <c r="B201" i="4"/>
  <c r="H266" i="22715"/>
  <c r="C139" i="4"/>
  <c r="I119" i="22715"/>
  <c r="C143" i="22747"/>
  <c r="C138" i="22747"/>
  <c r="J123" i="22715"/>
  <c r="J125" i="22715" s="1"/>
  <c r="C141" i="22747"/>
  <c r="C136" i="22747"/>
  <c r="C134" i="22747"/>
  <c r="C137" i="22747"/>
  <c r="C135" i="22747"/>
  <c r="C142" i="22747"/>
  <c r="C140" i="22747"/>
  <c r="E59" i="22747" l="1"/>
  <c r="E52" i="22746"/>
  <c r="F52" i="22746" s="1"/>
  <c r="BP48" i="22746"/>
  <c r="BQ48" i="22746" s="1"/>
  <c r="F59" i="22746"/>
  <c r="BP49" i="22746"/>
  <c r="BQ49" i="22746" s="1"/>
  <c r="BP47" i="22746"/>
  <c r="BQ47" i="22746" s="1"/>
  <c r="G55" i="3"/>
  <c r="G56" i="3"/>
  <c r="G66" i="3"/>
  <c r="G28" i="3"/>
  <c r="G67" i="3"/>
  <c r="G53" i="3"/>
  <c r="G60" i="3"/>
  <c r="G41" i="3"/>
  <c r="G81" i="3"/>
  <c r="G48" i="3"/>
  <c r="G79" i="3"/>
  <c r="G64" i="3"/>
  <c r="G52" i="3"/>
  <c r="G44" i="3"/>
  <c r="G73" i="3"/>
  <c r="G38" i="3"/>
  <c r="G43" i="3"/>
  <c r="G77" i="3"/>
  <c r="G47" i="3"/>
  <c r="G36" i="3"/>
  <c r="G65" i="3"/>
  <c r="E23" i="22714"/>
  <c r="G23" i="22714" s="1"/>
  <c r="G72" i="3"/>
  <c r="G63" i="3"/>
  <c r="G57" i="3"/>
  <c r="G37" i="3"/>
  <c r="G80" i="3"/>
  <c r="G54" i="3"/>
  <c r="G75" i="3"/>
  <c r="G50" i="3"/>
  <c r="F83" i="3"/>
  <c r="G39" i="3"/>
  <c r="G62" i="3"/>
  <c r="G21" i="3"/>
  <c r="G59" i="3"/>
  <c r="G29" i="3"/>
  <c r="G30" i="3"/>
  <c r="G68" i="3"/>
  <c r="G78" i="3"/>
  <c r="G40" i="3"/>
  <c r="G49" i="3"/>
  <c r="G74" i="3"/>
  <c r="G25" i="3"/>
  <c r="G58" i="3"/>
  <c r="G26" i="3"/>
  <c r="F85" i="3"/>
  <c r="C23" i="22714" s="1"/>
  <c r="G27" i="3"/>
  <c r="G19" i="3"/>
  <c r="G45" i="3"/>
  <c r="G71" i="3"/>
  <c r="G18" i="3"/>
  <c r="G70" i="3"/>
  <c r="E61" i="22747"/>
  <c r="F61" i="22747" s="1"/>
  <c r="E56" i="22746"/>
  <c r="E57" i="22746"/>
  <c r="F57" i="22746" s="1"/>
  <c r="BX12" i="3"/>
  <c r="BX15" i="3" s="1"/>
  <c r="D29" i="22748"/>
  <c r="BQ15" i="3"/>
  <c r="BQ82" i="3" s="1"/>
  <c r="C60" i="1"/>
  <c r="CD10" i="3"/>
  <c r="CE10" i="3" s="1"/>
  <c r="BC15" i="22746"/>
  <c r="D30" i="22748" s="1"/>
  <c r="BB12" i="22746"/>
  <c r="BI10" i="22746"/>
  <c r="BJ10" i="22746" s="1"/>
  <c r="BJ12" i="22746" s="1"/>
  <c r="C57" i="22744"/>
  <c r="F87" i="22752"/>
  <c r="BV33" i="3"/>
  <c r="BX33" i="3" s="1"/>
  <c r="BX44" i="3" s="1"/>
  <c r="CD9" i="3"/>
  <c r="CE9" i="3" s="1"/>
  <c r="C88" i="22752"/>
  <c r="B60" i="1"/>
  <c r="BP9" i="22746"/>
  <c r="BQ9" i="22746" s="1"/>
  <c r="B58" i="22744"/>
  <c r="BB56" i="22746"/>
  <c r="L56" i="22746"/>
  <c r="BW52" i="22746"/>
  <c r="BX52" i="22746" s="1"/>
  <c r="B169" i="22747"/>
  <c r="BI50" i="22746"/>
  <c r="BJ50" i="22746" s="1"/>
  <c r="BP50" i="22746"/>
  <c r="BQ50" i="22746" s="1"/>
  <c r="E47" i="22746"/>
  <c r="F47" i="22746" s="1"/>
  <c r="BP53" i="22746"/>
  <c r="BQ53" i="22746" s="1"/>
  <c r="S51" i="22746"/>
  <c r="R54" i="22746" s="1"/>
  <c r="R56" i="22746" s="1"/>
  <c r="CD55" i="22746"/>
  <c r="CE55" i="22746" s="1"/>
  <c r="E58" i="22747"/>
  <c r="F58" i="22747" s="1"/>
  <c r="AG56" i="22746"/>
  <c r="CR56" i="22746"/>
  <c r="Z50" i="22746"/>
  <c r="AA50" i="22746" s="1"/>
  <c r="AU49" i="22746"/>
  <c r="AV49" i="22746" s="1"/>
  <c r="BP52" i="22746"/>
  <c r="BQ52" i="22746" s="1"/>
  <c r="CY47" i="22746"/>
  <c r="CZ47" i="22746" s="1"/>
  <c r="Z56" i="22746"/>
  <c r="CD56" i="22746"/>
  <c r="AN50" i="22746"/>
  <c r="AO50" i="22746" s="1"/>
  <c r="BI53" i="22746"/>
  <c r="BJ53" i="22746" s="1"/>
  <c r="E50" i="22747"/>
  <c r="F50" i="22747" s="1"/>
  <c r="S47" i="22746"/>
  <c r="T47" i="22746" s="1"/>
  <c r="S49" i="22746"/>
  <c r="T49" i="22746" s="1"/>
  <c r="AN48" i="22746"/>
  <c r="AO48" i="22746" s="1"/>
  <c r="M59" i="22746"/>
  <c r="CY48" i="22746"/>
  <c r="CZ48" i="22746" s="1"/>
  <c r="BB47" i="22746"/>
  <c r="BC47" i="22746" s="1"/>
  <c r="AN56" i="22746"/>
  <c r="CR51" i="22746"/>
  <c r="CQ54" i="22746" s="1"/>
  <c r="CQ56" i="22746" s="1"/>
  <c r="E54" i="22747"/>
  <c r="AG47" i="22746"/>
  <c r="AH47" i="22746" s="1"/>
  <c r="L55" i="22746"/>
  <c r="M55" i="22746" s="1"/>
  <c r="BI52" i="22746"/>
  <c r="BJ52" i="22746" s="1"/>
  <c r="CR47" i="22746"/>
  <c r="CS47" i="22746" s="1"/>
  <c r="AU56" i="22746"/>
  <c r="BX59" i="22746"/>
  <c r="AO59" i="22746"/>
  <c r="CR55" i="22746"/>
  <c r="CS55" i="22746" s="1"/>
  <c r="BI55" i="22746"/>
  <c r="BJ55" i="22746" s="1"/>
  <c r="BW57" i="22746"/>
  <c r="BX57" i="22746" s="1"/>
  <c r="Z55" i="22746"/>
  <c r="AA55" i="22746" s="1"/>
  <c r="Z53" i="22746"/>
  <c r="AA53" i="22746" s="1"/>
  <c r="S53" i="22746"/>
  <c r="T53" i="22746" s="1"/>
  <c r="BB49" i="22746"/>
  <c r="BC49" i="22746" s="1"/>
  <c r="CL59" i="22746"/>
  <c r="T59" i="22746"/>
  <c r="BI48" i="22746"/>
  <c r="BJ48" i="22746" s="1"/>
  <c r="BP58" i="22746"/>
  <c r="BQ58" i="22746" s="1"/>
  <c r="L52" i="22746"/>
  <c r="M52" i="22746" s="1"/>
  <c r="S48" i="22746"/>
  <c r="T48" i="22746" s="1"/>
  <c r="BP56" i="22746"/>
  <c r="AU53" i="22746"/>
  <c r="AV53" i="22746" s="1"/>
  <c r="BI58" i="22746"/>
  <c r="BJ58" i="22746" s="1"/>
  <c r="CZ59" i="22746"/>
  <c r="L50" i="22746"/>
  <c r="M50" i="22746" s="1"/>
  <c r="D58" i="22745"/>
  <c r="E58" i="22745" s="1"/>
  <c r="CK57" i="22746"/>
  <c r="CL57" i="22746" s="1"/>
  <c r="E55" i="22746"/>
  <c r="F55" i="22746" s="1"/>
  <c r="E52" i="22747"/>
  <c r="F52" i="22747" s="1"/>
  <c r="CY49" i="22746"/>
  <c r="CZ49" i="22746" s="1"/>
  <c r="S52" i="22746"/>
  <c r="T52" i="22746" s="1"/>
  <c r="AG51" i="22746"/>
  <c r="AF54" i="22746" s="1"/>
  <c r="AF56" i="22746" s="1"/>
  <c r="CS59" i="22746"/>
  <c r="CD51" i="22746"/>
  <c r="CC54" i="22746" s="1"/>
  <c r="CC56" i="22746" s="1"/>
  <c r="Z57" i="22746"/>
  <c r="AA57" i="22746" s="1"/>
  <c r="BB48" i="22746"/>
  <c r="BC48" i="22746" s="1"/>
  <c r="BW48" i="22746"/>
  <c r="BX48" i="22746" s="1"/>
  <c r="AU57" i="22746"/>
  <c r="AV57" i="22746" s="1"/>
  <c r="BB58" i="22746"/>
  <c r="BC58" i="22746" s="1"/>
  <c r="CD58" i="22746"/>
  <c r="CE58" i="22746" s="1"/>
  <c r="CD50" i="22746"/>
  <c r="CE50" i="22746" s="1"/>
  <c r="CR58" i="22746"/>
  <c r="CS58" i="22746" s="1"/>
  <c r="CK52" i="22746"/>
  <c r="CL52" i="22746" s="1"/>
  <c r="AG52" i="22746"/>
  <c r="AH52" i="22746" s="1"/>
  <c r="BB53" i="22746"/>
  <c r="BC53" i="22746" s="1"/>
  <c r="AG55" i="22746"/>
  <c r="AH55" i="22746" s="1"/>
  <c r="D55" i="22745"/>
  <c r="E55" i="22745" s="1"/>
  <c r="CK48" i="22746"/>
  <c r="CL48" i="22746" s="1"/>
  <c r="BW56" i="22746"/>
  <c r="Z51" i="22746"/>
  <c r="Y54" i="22746" s="1"/>
  <c r="Y56" i="22746" s="1"/>
  <c r="AV59" i="22746"/>
  <c r="D53" i="22745"/>
  <c r="E53" i="22745" s="1"/>
  <c r="Z58" i="22746"/>
  <c r="AA58" i="22746" s="1"/>
  <c r="E60" i="22747"/>
  <c r="F60" i="22747" s="1"/>
  <c r="AU58" i="22746"/>
  <c r="AV58" i="22746" s="1"/>
  <c r="E48" i="22746"/>
  <c r="F48" i="22746" s="1"/>
  <c r="AA59" i="22746"/>
  <c r="CK49" i="22746"/>
  <c r="CL49" i="22746" s="1"/>
  <c r="CE59" i="22746"/>
  <c r="AN55" i="22746"/>
  <c r="AO55" i="22746" s="1"/>
  <c r="CR50" i="22746"/>
  <c r="CS50" i="22746" s="1"/>
  <c r="BC59" i="22746"/>
  <c r="CD47" i="22746"/>
  <c r="CE47" i="22746" s="1"/>
  <c r="AG53" i="22746"/>
  <c r="AH53" i="22746" s="1"/>
  <c r="AN53" i="22746"/>
  <c r="AO53" i="22746" s="1"/>
  <c r="CK50" i="22746"/>
  <c r="CL50" i="22746" s="1"/>
  <c r="CK55" i="22746"/>
  <c r="CL55" i="22746" s="1"/>
  <c r="AU51" i="22746"/>
  <c r="AT54" i="22746" s="1"/>
  <c r="AT56" i="22746" s="1"/>
  <c r="BI51" i="22746"/>
  <c r="BH54" i="22746" s="1"/>
  <c r="BH56" i="22746" s="1"/>
  <c r="AU50" i="22746"/>
  <c r="AV50" i="22746" s="1"/>
  <c r="BB57" i="22746"/>
  <c r="BC57" i="22746" s="1"/>
  <c r="E50" i="22746"/>
  <c r="F50" i="22746" s="1"/>
  <c r="BW50" i="22746"/>
  <c r="BX50" i="22746" s="1"/>
  <c r="BW53" i="22746"/>
  <c r="BX53" i="22746" s="1"/>
  <c r="D60" i="22745"/>
  <c r="E60" i="22745" s="1"/>
  <c r="CY51" i="22746"/>
  <c r="CX54" i="22746" s="1"/>
  <c r="CX56" i="22746" s="1"/>
  <c r="AG58" i="22746"/>
  <c r="AH58" i="22746" s="1"/>
  <c r="CR53" i="22746"/>
  <c r="CS53" i="22746" s="1"/>
  <c r="CD57" i="22746"/>
  <c r="CE57" i="22746" s="1"/>
  <c r="L58" i="22746"/>
  <c r="M58" i="22746" s="1"/>
  <c r="AN49" i="22746"/>
  <c r="AO49" i="22746" s="1"/>
  <c r="AN52" i="22746"/>
  <c r="AO52" i="22746" s="1"/>
  <c r="BP55" i="22746"/>
  <c r="BQ55" i="22746" s="1"/>
  <c r="AG50" i="22746"/>
  <c r="AH50" i="22746" s="1"/>
  <c r="CR52" i="22746"/>
  <c r="CS52" i="22746" s="1"/>
  <c r="CD49" i="22746"/>
  <c r="CE49" i="22746" s="1"/>
  <c r="S55" i="22746"/>
  <c r="T55" i="22746" s="1"/>
  <c r="CK53" i="22746"/>
  <c r="CL53" i="22746" s="1"/>
  <c r="CY56" i="22746"/>
  <c r="BJ59" i="22746"/>
  <c r="L48" i="22746"/>
  <c r="M48" i="22746" s="1"/>
  <c r="BW51" i="22746"/>
  <c r="BV54" i="22746" s="1"/>
  <c r="BV56" i="22746" s="1"/>
  <c r="D59" i="22745"/>
  <c r="AU48" i="22746"/>
  <c r="AV48" i="22746" s="1"/>
  <c r="L51" i="22746"/>
  <c r="K54" i="22746" s="1"/>
  <c r="K56" i="22746" s="1"/>
  <c r="Z47" i="22746"/>
  <c r="AA47" i="22746" s="1"/>
  <c r="AH59" i="22746"/>
  <c r="L57" i="22746"/>
  <c r="M57" i="22746" s="1"/>
  <c r="CY58" i="22746"/>
  <c r="CZ58" i="22746" s="1"/>
  <c r="CD53" i="22746"/>
  <c r="CE53" i="22746" s="1"/>
  <c r="E56" i="22747"/>
  <c r="F56" i="22747" s="1"/>
  <c r="CY55" i="22746"/>
  <c r="CZ55" i="22746" s="1"/>
  <c r="S50" i="22746"/>
  <c r="T50" i="22746" s="1"/>
  <c r="BW58" i="22746"/>
  <c r="BX58" i="22746" s="1"/>
  <c r="AN58" i="22746"/>
  <c r="AO58" i="22746" s="1"/>
  <c r="AG49" i="22746"/>
  <c r="AH49" i="22746" s="1"/>
  <c r="S56" i="22746"/>
  <c r="BB50" i="22746"/>
  <c r="BC50" i="22746" s="1"/>
  <c r="E53" i="22747"/>
  <c r="CY57" i="22746"/>
  <c r="CZ57" i="22746" s="1"/>
  <c r="E49" i="22746"/>
  <c r="F49" i="22746" s="1"/>
  <c r="CY50" i="22746"/>
  <c r="CZ50" i="22746" s="1"/>
  <c r="CK51" i="22746"/>
  <c r="CJ54" i="22746" s="1"/>
  <c r="CJ56" i="22746" s="1"/>
  <c r="AU47" i="22746"/>
  <c r="AV47" i="22746" s="1"/>
  <c r="BP57" i="22746"/>
  <c r="BQ57" i="22746" s="1"/>
  <c r="D51" i="22745"/>
  <c r="E51" i="22745" s="1"/>
  <c r="CD48" i="22746"/>
  <c r="CE48" i="22746" s="1"/>
  <c r="AU55" i="22746"/>
  <c r="AV55" i="22746" s="1"/>
  <c r="BQ59" i="22746"/>
  <c r="L47" i="22746"/>
  <c r="M47" i="22746" s="1"/>
  <c r="CR49" i="22746"/>
  <c r="CS49" i="22746" s="1"/>
  <c r="BB51" i="22746"/>
  <c r="BA54" i="22746" s="1"/>
  <c r="BA56" i="22746" s="1"/>
  <c r="CY52" i="22746"/>
  <c r="CZ52" i="22746" s="1"/>
  <c r="AU52" i="22746"/>
  <c r="AV52" i="22746" s="1"/>
  <c r="D56" i="22745"/>
  <c r="E56" i="22745" s="1"/>
  <c r="L49" i="22746"/>
  <c r="M49" i="22746" s="1"/>
  <c r="D57" i="22745"/>
  <c r="E57" i="22745" s="1"/>
  <c r="AG48" i="22746"/>
  <c r="AH48" i="22746" s="1"/>
  <c r="CD52" i="22746"/>
  <c r="CE52" i="22746" s="1"/>
  <c r="CK56" i="22746"/>
  <c r="AG57" i="22746"/>
  <c r="AH57" i="22746" s="1"/>
  <c r="E51" i="22747"/>
  <c r="E61" i="22745"/>
  <c r="Z49" i="22746"/>
  <c r="AA49" i="22746" s="1"/>
  <c r="E53" i="22746"/>
  <c r="F53" i="22746" s="1"/>
  <c r="BP51" i="22746"/>
  <c r="BO54" i="22746" s="1"/>
  <c r="BO56" i="22746" s="1"/>
  <c r="F62" i="22747"/>
  <c r="BW49" i="22746"/>
  <c r="BX49" i="22746" s="1"/>
  <c r="E51" i="22746"/>
  <c r="D54" i="22746" s="1"/>
  <c r="D56" i="22746" s="1"/>
  <c r="L53" i="22746"/>
  <c r="M53" i="22746" s="1"/>
  <c r="CK58" i="22746"/>
  <c r="CL58" i="22746" s="1"/>
  <c r="CR57" i="22746"/>
  <c r="CS57" i="22746" s="1"/>
  <c r="CY53" i="22746"/>
  <c r="CZ53" i="22746" s="1"/>
  <c r="CK47" i="22746"/>
  <c r="CL47" i="22746" s="1"/>
  <c r="AN47" i="22746"/>
  <c r="AO47" i="22746" s="1"/>
  <c r="BB55" i="22746"/>
  <c r="BC55" i="22746" s="1"/>
  <c r="S58" i="22746"/>
  <c r="T58" i="22746" s="1"/>
  <c r="AN57" i="22746"/>
  <c r="AO57" i="22746" s="1"/>
  <c r="Z48" i="22746"/>
  <c r="AA48" i="22746" s="1"/>
  <c r="AN51" i="22746"/>
  <c r="AM54" i="22746" s="1"/>
  <c r="AM56" i="22746" s="1"/>
  <c r="S57" i="22746"/>
  <c r="T57" i="22746" s="1"/>
  <c r="BW55" i="22746"/>
  <c r="BX55" i="22746" s="1"/>
  <c r="BI56" i="22746"/>
  <c r="D52" i="22745"/>
  <c r="E52" i="22745" s="1"/>
  <c r="E55" i="22747"/>
  <c r="F55" i="22747" s="1"/>
  <c r="D54" i="22745"/>
  <c r="CR48" i="22746"/>
  <c r="CS48" i="22746" s="1"/>
  <c r="BI47" i="22746"/>
  <c r="BJ47" i="22746" s="1"/>
  <c r="Z52" i="22746"/>
  <c r="AA52" i="22746" s="1"/>
  <c r="BW47" i="22746"/>
  <c r="BX47" i="22746" s="1"/>
  <c r="BB52" i="22746"/>
  <c r="BC52" i="22746" s="1"/>
  <c r="BI49" i="22746"/>
  <c r="BJ49" i="22746" s="1"/>
  <c r="E58" i="22746"/>
  <c r="F58" i="22746" s="1"/>
  <c r="BI57" i="22746"/>
  <c r="BJ57" i="22746" s="1"/>
  <c r="H127" i="22715"/>
  <c r="H126" i="22715"/>
  <c r="H122" i="22715"/>
  <c r="H128" i="22715" s="1"/>
  <c r="H125" i="22715"/>
  <c r="C199" i="4"/>
  <c r="H271" i="22715" s="1"/>
  <c r="H268" i="22715"/>
  <c r="C201" i="4"/>
  <c r="C200" i="4"/>
  <c r="H272" i="22715" s="1"/>
  <c r="J126" i="22715"/>
  <c r="J122" i="22715"/>
  <c r="J127" i="22715"/>
  <c r="I123" i="22715"/>
  <c r="M54" i="22746" l="1"/>
  <c r="CZ54" i="22746"/>
  <c r="F51" i="22747"/>
  <c r="B168" i="22747" s="1"/>
  <c r="F53" i="22747"/>
  <c r="B189" i="22747" s="1"/>
  <c r="F54" i="22746"/>
  <c r="F23" i="22714"/>
  <c r="M84" i="3"/>
  <c r="L78" i="3" s="1"/>
  <c r="M78" i="3" s="1"/>
  <c r="M79" i="3" s="1"/>
  <c r="F86" i="3"/>
  <c r="J23" i="22714" s="1"/>
  <c r="F56" i="22746"/>
  <c r="BW12" i="3"/>
  <c r="BC82" i="22746"/>
  <c r="D32" i="22714"/>
  <c r="BC56" i="22746"/>
  <c r="CE12" i="3"/>
  <c r="CD12" i="3" s="1"/>
  <c r="C61" i="1"/>
  <c r="CK10" i="3"/>
  <c r="CL10" i="3" s="1"/>
  <c r="BI12" i="22746"/>
  <c r="BJ15" i="22746"/>
  <c r="D31" i="22748" s="1"/>
  <c r="BP10" i="22746"/>
  <c r="BQ10" i="22746" s="1"/>
  <c r="BQ12" i="22746" s="1"/>
  <c r="C58" i="22744"/>
  <c r="BW10" i="22746"/>
  <c r="BX10" i="22746" s="1"/>
  <c r="CE56" i="22746"/>
  <c r="BQ56" i="22746"/>
  <c r="M56" i="22746"/>
  <c r="AV56" i="22746"/>
  <c r="AH56" i="22746"/>
  <c r="AO56" i="22746"/>
  <c r="AA54" i="22746"/>
  <c r="BX56" i="22746"/>
  <c r="CZ56" i="22746"/>
  <c r="BJ56" i="22746"/>
  <c r="CS56" i="22746"/>
  <c r="F88" i="22752"/>
  <c r="CC33" i="3"/>
  <c r="CE33" i="3" s="1"/>
  <c r="CE44" i="3" s="1"/>
  <c r="BX82" i="3"/>
  <c r="D33" i="22714"/>
  <c r="B61" i="1"/>
  <c r="C89" i="22752"/>
  <c r="CK9" i="3"/>
  <c r="CL9" i="3" s="1"/>
  <c r="BW9" i="22746"/>
  <c r="BX9" i="22746" s="1"/>
  <c r="B59" i="22744"/>
  <c r="BJ54" i="22746"/>
  <c r="AV54" i="22746"/>
  <c r="AA56" i="22746"/>
  <c r="T56" i="22746"/>
  <c r="B167" i="22747"/>
  <c r="BX54" i="22746"/>
  <c r="E54" i="22745"/>
  <c r="D100" i="22745"/>
  <c r="E100" i="22745" s="1"/>
  <c r="AO54" i="22746"/>
  <c r="CL56" i="22746"/>
  <c r="CE54" i="22746"/>
  <c r="AH54" i="22746"/>
  <c r="BC54" i="22746"/>
  <c r="BQ54" i="22746"/>
  <c r="CL54" i="22746"/>
  <c r="E59" i="22745"/>
  <c r="D101" i="22745"/>
  <c r="E101" i="22745" s="1"/>
  <c r="CS54" i="22746"/>
  <c r="H59" i="22747"/>
  <c r="D57" i="22747"/>
  <c r="D59" i="22747" s="1"/>
  <c r="B190" i="22747"/>
  <c r="T54" i="22746"/>
  <c r="J128" i="22715"/>
  <c r="I122" i="22715"/>
  <c r="F60" i="22746" l="1"/>
  <c r="BC60" i="22746"/>
  <c r="CZ60" i="22746"/>
  <c r="B170" i="22747"/>
  <c r="B175" i="22747" s="1"/>
  <c r="F59" i="22747"/>
  <c r="F57" i="22747"/>
  <c r="E82" i="22745"/>
  <c r="CL12" i="3"/>
  <c r="CK12" i="3" s="1"/>
  <c r="CE15" i="3"/>
  <c r="CE82" i="3" s="1"/>
  <c r="BQ60" i="22746"/>
  <c r="BX12" i="22746"/>
  <c r="BX15" i="22746" s="1"/>
  <c r="M60" i="22746"/>
  <c r="BJ82" i="22746"/>
  <c r="C62" i="1"/>
  <c r="CR10" i="3"/>
  <c r="CS10" i="3" s="1"/>
  <c r="BQ15" i="22746"/>
  <c r="BQ82" i="22746" s="1"/>
  <c r="BP12" i="22746"/>
  <c r="C59" i="22744"/>
  <c r="BX60" i="22746"/>
  <c r="CE60" i="22746"/>
  <c r="AV60" i="22746"/>
  <c r="AA60" i="22746"/>
  <c r="AH60" i="22746"/>
  <c r="AO60" i="22746"/>
  <c r="BJ60" i="22746"/>
  <c r="CS60" i="22746"/>
  <c r="B62" i="1"/>
  <c r="CR9" i="3"/>
  <c r="CS9" i="3" s="1"/>
  <c r="C90" i="22752"/>
  <c r="F89" i="22752"/>
  <c r="CJ33" i="3"/>
  <c r="CL33" i="3" s="1"/>
  <c r="CL44" i="3" s="1"/>
  <c r="CD9" i="22746"/>
  <c r="CE9" i="22746" s="1"/>
  <c r="B60" i="22744"/>
  <c r="E62" i="22745"/>
  <c r="E81" i="22745" s="1"/>
  <c r="E83" i="22745" s="1"/>
  <c r="E102" i="22745"/>
  <c r="T60" i="22746"/>
  <c r="M80" i="3"/>
  <c r="B199" i="22747"/>
  <c r="B195" i="22747"/>
  <c r="J243" i="22715" s="1"/>
  <c r="I243" i="22715" s="1"/>
  <c r="CL60" i="22746"/>
  <c r="B180" i="22747" l="1"/>
  <c r="BW12" i="22746"/>
  <c r="F63" i="22747"/>
  <c r="B149" i="22747" s="1"/>
  <c r="J143" i="22715" s="1"/>
  <c r="I143" i="22715" s="1"/>
  <c r="E84" i="22745"/>
  <c r="F84" i="22745" s="1"/>
  <c r="CL15" i="3"/>
  <c r="CL82" i="3" s="1"/>
  <c r="D34" i="22714"/>
  <c r="F59" i="22745"/>
  <c r="D32" i="22748"/>
  <c r="CS12" i="3"/>
  <c r="CS15" i="3" s="1"/>
  <c r="CY10" i="3"/>
  <c r="CZ10" i="3" s="1"/>
  <c r="C65" i="1"/>
  <c r="E10" i="4" s="1"/>
  <c r="F10" i="4" s="1"/>
  <c r="B49" i="22715" s="1"/>
  <c r="C66" i="1"/>
  <c r="CD10" i="22746"/>
  <c r="CE10" i="22746" s="1"/>
  <c r="CE12" i="22746" s="1"/>
  <c r="C60" i="22744"/>
  <c r="F62" i="22745"/>
  <c r="F54" i="22745"/>
  <c r="CQ33" i="3"/>
  <c r="CS33" i="3" s="1"/>
  <c r="CS44" i="3" s="1"/>
  <c r="F90" i="22752"/>
  <c r="C91" i="22752"/>
  <c r="CY9" i="3"/>
  <c r="CZ9" i="3" s="1"/>
  <c r="B66" i="1"/>
  <c r="B65" i="1"/>
  <c r="E9" i="4" s="1"/>
  <c r="F9" i="4" s="1"/>
  <c r="D33" i="22748"/>
  <c r="BX82" i="22746"/>
  <c r="CK9" i="22746"/>
  <c r="CL9" i="22746" s="1"/>
  <c r="B61" i="22744"/>
  <c r="E105" i="22745"/>
  <c r="J266" i="22715"/>
  <c r="I266" i="22715" s="1"/>
  <c r="B201" i="22747"/>
  <c r="M81" i="3"/>
  <c r="N80" i="3" s="1"/>
  <c r="B182" i="22747"/>
  <c r="J214" i="22715"/>
  <c r="I214" i="22715" s="1"/>
  <c r="F81" i="22745"/>
  <c r="F73" i="22745"/>
  <c r="F21" i="22745"/>
  <c r="F78" i="22745"/>
  <c r="F77" i="22745"/>
  <c r="F68" i="22745"/>
  <c r="F36" i="22745"/>
  <c r="F56" i="22745"/>
  <c r="F22" i="22745"/>
  <c r="F11" i="22745"/>
  <c r="F17" i="22745"/>
  <c r="F72" i="22745"/>
  <c r="F27" i="22745"/>
  <c r="F23" i="22745"/>
  <c r="F19" i="22745"/>
  <c r="F25" i="22745"/>
  <c r="F8" i="22745"/>
  <c r="F33" i="22745"/>
  <c r="F24" i="22745"/>
  <c r="F13" i="22745"/>
  <c r="F38" i="22745"/>
  <c r="F37" i="22745"/>
  <c r="F32" i="22745"/>
  <c r="F12" i="22745"/>
  <c r="F71" i="22745"/>
  <c r="F10" i="22745"/>
  <c r="F29" i="22745"/>
  <c r="F26" i="22745"/>
  <c r="F83" i="22745"/>
  <c r="F55" i="22745"/>
  <c r="F75" i="22745"/>
  <c r="F20" i="22745"/>
  <c r="F31" i="22745"/>
  <c r="F30" i="22745"/>
  <c r="F70" i="22745"/>
  <c r="F18" i="22745"/>
  <c r="F60" i="22745"/>
  <c r="F79" i="22745"/>
  <c r="F14" i="22745"/>
  <c r="F16" i="22745"/>
  <c r="F58" i="22745"/>
  <c r="F34" i="22745"/>
  <c r="F66" i="22745"/>
  <c r="F39" i="22745"/>
  <c r="F76" i="22745"/>
  <c r="F47" i="22745"/>
  <c r="F53" i="22745"/>
  <c r="F69" i="22745"/>
  <c r="F74" i="22745"/>
  <c r="F80" i="22745"/>
  <c r="F61" i="22745"/>
  <c r="F67" i="22745"/>
  <c r="F57" i="22745"/>
  <c r="F52" i="22745"/>
  <c r="F51" i="22745"/>
  <c r="D35" i="22714" l="1"/>
  <c r="CR12" i="3"/>
  <c r="CZ12" i="3"/>
  <c r="CY12" i="3" s="1"/>
  <c r="B8" i="22715"/>
  <c r="C8" i="22715" s="1"/>
  <c r="D18" i="22714"/>
  <c r="CD12" i="22746"/>
  <c r="CE15" i="22746"/>
  <c r="D34" i="22748" s="1"/>
  <c r="CK10" i="22746"/>
  <c r="CL10" i="22746" s="1"/>
  <c r="CL12" i="22746" s="1"/>
  <c r="C61" i="22744"/>
  <c r="B48" i="22715"/>
  <c r="F12" i="4"/>
  <c r="D92" i="4" s="1"/>
  <c r="B7" i="22715"/>
  <c r="C7" i="22715" s="1"/>
  <c r="C18" i="22714"/>
  <c r="D36" i="22714"/>
  <c r="CS82" i="3"/>
  <c r="F91" i="22752"/>
  <c r="CX33" i="3"/>
  <c r="CZ33" i="3" s="1"/>
  <c r="CZ44" i="3" s="1"/>
  <c r="C92" i="22752"/>
  <c r="B36" i="22715" s="1"/>
  <c r="C93" i="22752"/>
  <c r="CR9" i="22746"/>
  <c r="CS9" i="22746" s="1"/>
  <c r="B62" i="22744"/>
  <c r="C199" i="22747"/>
  <c r="J271" i="22715" s="1"/>
  <c r="C200" i="22747"/>
  <c r="J272" i="22715" s="1"/>
  <c r="C201" i="22747"/>
  <c r="J268" i="22715"/>
  <c r="I268" i="22715" s="1"/>
  <c r="J195" i="22715"/>
  <c r="I195" i="22715" s="1"/>
  <c r="J216" i="22715"/>
  <c r="I216" i="22715" s="1"/>
  <c r="C181" i="22747"/>
  <c r="J220" i="22715" s="1"/>
  <c r="C182" i="22747"/>
  <c r="C180" i="22747"/>
  <c r="J219" i="22715" s="1"/>
  <c r="C179" i="22747"/>
  <c r="J218" i="22715" s="1"/>
  <c r="N28" i="3"/>
  <c r="N27" i="3"/>
  <c r="N36" i="3"/>
  <c r="E24" i="22714"/>
  <c r="N59" i="3"/>
  <c r="N21" i="3"/>
  <c r="M85" i="3"/>
  <c r="N52" i="3"/>
  <c r="N67" i="3"/>
  <c r="N26" i="3"/>
  <c r="N47" i="3"/>
  <c r="N39" i="3"/>
  <c r="N42" i="3"/>
  <c r="N18" i="3"/>
  <c r="N63" i="3"/>
  <c r="N77" i="3"/>
  <c r="N43" i="3"/>
  <c r="N72" i="3"/>
  <c r="N19" i="3"/>
  <c r="N81" i="3"/>
  <c r="N49" i="3"/>
  <c r="N25" i="3"/>
  <c r="N66" i="3"/>
  <c r="N62" i="3"/>
  <c r="N69" i="3"/>
  <c r="N45" i="3"/>
  <c r="N74" i="3"/>
  <c r="N29" i="3"/>
  <c r="N70" i="3"/>
  <c r="N68" i="3"/>
  <c r="N65" i="3"/>
  <c r="N48" i="3"/>
  <c r="N71" i="3"/>
  <c r="N53" i="3"/>
  <c r="N30" i="3"/>
  <c r="N64" i="3"/>
  <c r="N37" i="3"/>
  <c r="N38" i="3"/>
  <c r="N40" i="3"/>
  <c r="N73" i="3"/>
  <c r="N41" i="3"/>
  <c r="N33" i="3"/>
  <c r="N50" i="3"/>
  <c r="N44" i="3"/>
  <c r="N54" i="3"/>
  <c r="N75" i="3"/>
  <c r="N60" i="3"/>
  <c r="M83" i="3"/>
  <c r="N78" i="3"/>
  <c r="N79" i="3"/>
  <c r="E106" i="22745"/>
  <c r="E133" i="22745" s="1"/>
  <c r="D131" i="22745" l="1"/>
  <c r="CZ15" i="3"/>
  <c r="D37" i="22714" s="1"/>
  <c r="F105" i="22745"/>
  <c r="CE82" i="22746"/>
  <c r="CK12" i="22746"/>
  <c r="CL15" i="22746"/>
  <c r="D35" i="22748" s="1"/>
  <c r="CR10" i="22746"/>
  <c r="CS10" i="22746" s="1"/>
  <c r="CS12" i="22746" s="1"/>
  <c r="C62" i="22744"/>
  <c r="C65" i="22744" s="1"/>
  <c r="E10" i="22747" s="1"/>
  <c r="F10" i="22747" s="1"/>
  <c r="D49" i="22715" s="1"/>
  <c r="C49" i="22715" s="1"/>
  <c r="F92" i="22752"/>
  <c r="C36" i="22715"/>
  <c r="D30" i="4"/>
  <c r="F30" i="4" s="1"/>
  <c r="CZ82" i="3"/>
  <c r="E12" i="4"/>
  <c r="D93" i="4"/>
  <c r="F15" i="4"/>
  <c r="CY9" i="22746"/>
  <c r="CZ9" i="22746" s="1"/>
  <c r="B65" i="22744"/>
  <c r="E9" i="22747" s="1"/>
  <c r="F9" i="22747" s="1"/>
  <c r="B66" i="22744"/>
  <c r="C18" i="22748" s="1"/>
  <c r="F24" i="22714"/>
  <c r="G24" i="22714"/>
  <c r="F88" i="22745"/>
  <c r="F97" i="22745"/>
  <c r="F95" i="22745"/>
  <c r="F92" i="22745"/>
  <c r="F87" i="22745"/>
  <c r="F89" i="22745"/>
  <c r="F98" i="22745"/>
  <c r="F94" i="22745"/>
  <c r="F106" i="22745"/>
  <c r="F96" i="22745"/>
  <c r="F93" i="22745"/>
  <c r="E108" i="22745"/>
  <c r="F91" i="22745"/>
  <c r="F90" i="22745"/>
  <c r="F104" i="22745"/>
  <c r="F101" i="22745"/>
  <c r="F100" i="22745"/>
  <c r="F102" i="22745"/>
  <c r="D132" i="22745"/>
  <c r="E132" i="22745" s="1"/>
  <c r="E134" i="22745"/>
  <c r="E131" i="22745"/>
  <c r="T84" i="3"/>
  <c r="S78" i="3" s="1"/>
  <c r="T78" i="3" s="1"/>
  <c r="M86" i="3"/>
  <c r="J24" i="22714" s="1"/>
  <c r="C24" i="22714"/>
  <c r="CL82" i="22746" l="1"/>
  <c r="CR12" i="22746"/>
  <c r="CS15" i="22746"/>
  <c r="D36" i="22748" s="1"/>
  <c r="CY10" i="22746"/>
  <c r="CZ10" i="22746" s="1"/>
  <c r="CZ12" i="22746" s="1"/>
  <c r="C66" i="22744"/>
  <c r="D18" i="22748" s="1"/>
  <c r="C81" i="22749"/>
  <c r="C79" i="22749"/>
  <c r="K33" i="22746" s="1"/>
  <c r="M33" i="22746" s="1"/>
  <c r="M44" i="22746" s="1"/>
  <c r="C83" i="22749"/>
  <c r="C82" i="22749"/>
  <c r="C80" i="22749"/>
  <c r="R33" i="22746" s="1"/>
  <c r="T33" i="22746" s="1"/>
  <c r="T44" i="22746" s="1"/>
  <c r="C78" i="22749"/>
  <c r="D33" i="22746" s="1"/>
  <c r="F33" i="22746" s="1"/>
  <c r="F44" i="22746" s="1"/>
  <c r="C84" i="22749"/>
  <c r="C85" i="22749"/>
  <c r="C86" i="22749"/>
  <c r="C87" i="22749"/>
  <c r="C88" i="22749"/>
  <c r="C89" i="22749"/>
  <c r="C90" i="22749"/>
  <c r="C91" i="22749"/>
  <c r="C92" i="22749"/>
  <c r="G111" i="4"/>
  <c r="F113" i="4"/>
  <c r="H77" i="22715" s="1"/>
  <c r="B46" i="22715"/>
  <c r="F12" i="22747"/>
  <c r="F15" i="22747" s="1"/>
  <c r="D48" i="22715"/>
  <c r="C48" i="22715" s="1"/>
  <c r="E136" i="22745"/>
  <c r="T79" i="3"/>
  <c r="CS82" i="22746" l="1"/>
  <c r="CY12" i="22746"/>
  <c r="CZ15" i="22746"/>
  <c r="CZ82" i="22746" s="1"/>
  <c r="CC33" i="22746"/>
  <c r="CE33" i="22746" s="1"/>
  <c r="CE44" i="22746" s="1"/>
  <c r="F89" i="22749"/>
  <c r="BA33" i="22746"/>
  <c r="BC33" i="22746" s="1"/>
  <c r="BC44" i="22746" s="1"/>
  <c r="F85" i="22749"/>
  <c r="F82" i="22749"/>
  <c r="AF33" i="22746"/>
  <c r="AH33" i="22746" s="1"/>
  <c r="AH44" i="22746" s="1"/>
  <c r="CX33" i="22746"/>
  <c r="CZ33" i="22746" s="1"/>
  <c r="CZ44" i="22746" s="1"/>
  <c r="F92" i="22749"/>
  <c r="F88" i="22749"/>
  <c r="BV33" i="22746"/>
  <c r="BX33" i="22746" s="1"/>
  <c r="BX44" i="22746" s="1"/>
  <c r="AT33" i="22746"/>
  <c r="AV33" i="22746" s="1"/>
  <c r="AV44" i="22746" s="1"/>
  <c r="F84" i="22749"/>
  <c r="AM33" i="22746"/>
  <c r="AO33" i="22746" s="1"/>
  <c r="AO44" i="22746" s="1"/>
  <c r="F83" i="22749"/>
  <c r="F91" i="22749"/>
  <c r="CQ33" i="22746"/>
  <c r="CS33" i="22746" s="1"/>
  <c r="CS44" i="22746" s="1"/>
  <c r="F87" i="22749"/>
  <c r="BO33" i="22746"/>
  <c r="BQ33" i="22746" s="1"/>
  <c r="BQ44" i="22746" s="1"/>
  <c r="CJ33" i="22746"/>
  <c r="CL33" i="22746" s="1"/>
  <c r="CL44" i="22746" s="1"/>
  <c r="F90" i="22749"/>
  <c r="BH33" i="22746"/>
  <c r="BJ33" i="22746" s="1"/>
  <c r="BJ44" i="22746" s="1"/>
  <c r="F86" i="22749"/>
  <c r="C93" i="22749"/>
  <c r="F81" i="22749"/>
  <c r="C94" i="22749"/>
  <c r="Y33" i="22746"/>
  <c r="AA33" i="22746" s="1"/>
  <c r="AA44" i="22746" s="1"/>
  <c r="D93" i="22747"/>
  <c r="E12" i="22747"/>
  <c r="D92" i="22747"/>
  <c r="T80" i="3"/>
  <c r="F84" i="22746"/>
  <c r="D57" i="22715"/>
  <c r="C57" i="22715" s="1"/>
  <c r="D37" i="22748" l="1"/>
  <c r="D30" i="22747"/>
  <c r="F30" i="22747" s="1"/>
  <c r="J46" i="22715" s="1"/>
  <c r="I46" i="22715" s="1"/>
  <c r="F93" i="22749"/>
  <c r="F113" i="22747"/>
  <c r="J77" i="22715" s="1"/>
  <c r="I77" i="22715" s="1"/>
  <c r="G111" i="22747"/>
  <c r="D46" i="22715"/>
  <c r="C46" i="22715" s="1"/>
  <c r="J22" i="22748"/>
  <c r="C22" i="22748"/>
  <c r="E22" i="22748" s="1"/>
  <c r="F22" i="22748" s="1"/>
  <c r="E78" i="22746"/>
  <c r="F78" i="22746" s="1"/>
  <c r="T81" i="3"/>
  <c r="F79" i="22746" l="1"/>
  <c r="F80" i="22746" s="1"/>
  <c r="F81" i="22746" s="1"/>
  <c r="U49" i="3"/>
  <c r="U36" i="3"/>
  <c r="U59" i="3"/>
  <c r="U65" i="3"/>
  <c r="T85" i="3"/>
  <c r="U70" i="3"/>
  <c r="U68" i="3"/>
  <c r="U37" i="3"/>
  <c r="U72" i="3"/>
  <c r="U66" i="3"/>
  <c r="U53" i="3"/>
  <c r="U50" i="3"/>
  <c r="U67" i="3"/>
  <c r="U63" i="3"/>
  <c r="U26" i="3"/>
  <c r="U52" i="3"/>
  <c r="U43" i="3"/>
  <c r="U62" i="3"/>
  <c r="U77" i="3"/>
  <c r="U18" i="3"/>
  <c r="U40" i="3"/>
  <c r="U27" i="3"/>
  <c r="U38" i="3"/>
  <c r="U69" i="3"/>
  <c r="U42" i="3"/>
  <c r="U54" i="3"/>
  <c r="U29" i="3"/>
  <c r="U30" i="3"/>
  <c r="U81" i="3"/>
  <c r="U19" i="3"/>
  <c r="U21" i="3"/>
  <c r="U28" i="3"/>
  <c r="U44" i="3"/>
  <c r="U48" i="3"/>
  <c r="U47" i="3"/>
  <c r="U39" i="3"/>
  <c r="U45" i="3"/>
  <c r="U64" i="3"/>
  <c r="U71" i="3"/>
  <c r="U25" i="3"/>
  <c r="U74" i="3"/>
  <c r="E25" i="22714"/>
  <c r="U33" i="3"/>
  <c r="U60" i="3"/>
  <c r="T83" i="3"/>
  <c r="U41" i="3"/>
  <c r="U73" i="3"/>
  <c r="U75" i="3"/>
  <c r="U78" i="3"/>
  <c r="U79" i="3"/>
  <c r="U80" i="3"/>
  <c r="G22" i="22748"/>
  <c r="F25" i="22714" l="1"/>
  <c r="G25" i="22714"/>
  <c r="AA84" i="3"/>
  <c r="Z78" i="3" s="1"/>
  <c r="AA78" i="3" s="1"/>
  <c r="C25" i="22714"/>
  <c r="T86" i="3"/>
  <c r="G80" i="22746" l="1"/>
  <c r="AA79" i="3"/>
  <c r="G79" i="22746"/>
  <c r="DA25" i="22746"/>
  <c r="BY28" i="22746"/>
  <c r="G81" i="22746"/>
  <c r="BK27" i="22746"/>
  <c r="AI29" i="22746"/>
  <c r="U28" i="22746"/>
  <c r="G54" i="22746"/>
  <c r="BK25" i="22746"/>
  <c r="G60" i="22746"/>
  <c r="N28" i="22746"/>
  <c r="BR28" i="22746"/>
  <c r="G75" i="22746"/>
  <c r="N29" i="22746"/>
  <c r="G72" i="22746"/>
  <c r="DA55" i="22746"/>
  <c r="AP55" i="22746"/>
  <c r="CF28" i="22746"/>
  <c r="BK28" i="22746"/>
  <c r="CM55" i="22746"/>
  <c r="N71" i="22746"/>
  <c r="G64" i="22746"/>
  <c r="BY25" i="22746"/>
  <c r="BR55" i="22746"/>
  <c r="AP28" i="22746"/>
  <c r="CM25" i="22746"/>
  <c r="G26" i="22746"/>
  <c r="CF29" i="22746"/>
  <c r="AW29" i="22746"/>
  <c r="G47" i="22746"/>
  <c r="G53" i="22746"/>
  <c r="G44" i="22746"/>
  <c r="G36" i="22746"/>
  <c r="G18" i="22746"/>
  <c r="DA28" i="22746"/>
  <c r="AI55" i="22746"/>
  <c r="G73" i="22746"/>
  <c r="G49" i="22746"/>
  <c r="BR27" i="22746"/>
  <c r="AI26" i="22746"/>
  <c r="AI70" i="22746"/>
  <c r="G37" i="22746"/>
  <c r="F83" i="22746"/>
  <c r="CF26" i="22746"/>
  <c r="CT27" i="22746"/>
  <c r="G59" i="22746"/>
  <c r="BY27" i="22746"/>
  <c r="N25" i="22746"/>
  <c r="G38" i="22746"/>
  <c r="BY29" i="22746"/>
  <c r="BD55" i="22746"/>
  <c r="G28" i="22746"/>
  <c r="BD25" i="22746"/>
  <c r="CT55" i="22746"/>
  <c r="G70" i="22746"/>
  <c r="N55" i="22746"/>
  <c r="G52" i="22746"/>
  <c r="AW55" i="22746"/>
  <c r="G65" i="22746"/>
  <c r="AI71" i="22746"/>
  <c r="DA26" i="22746"/>
  <c r="N27" i="22746"/>
  <c r="BD27" i="22746"/>
  <c r="U25" i="22746"/>
  <c r="CT26" i="22746"/>
  <c r="AI25" i="22746"/>
  <c r="U27" i="22746"/>
  <c r="AB55" i="22746"/>
  <c r="CM29" i="22746"/>
  <c r="CF27" i="22746"/>
  <c r="DA71" i="22746"/>
  <c r="G58" i="22746"/>
  <c r="AP71" i="22746"/>
  <c r="AW25" i="22746"/>
  <c r="BY26" i="22746"/>
  <c r="AP27" i="22746"/>
  <c r="AP26" i="22746"/>
  <c r="CF25" i="22746"/>
  <c r="G63" i="22746"/>
  <c r="CF55" i="22746"/>
  <c r="CT28" i="22746"/>
  <c r="G55" i="22746"/>
  <c r="CT25" i="22746"/>
  <c r="BD29" i="22746"/>
  <c r="AB28" i="22746"/>
  <c r="G57" i="22746"/>
  <c r="AP25" i="22746"/>
  <c r="BK55" i="22746"/>
  <c r="AW26" i="22746"/>
  <c r="G29" i="22746"/>
  <c r="G27" i="22746"/>
  <c r="G71" i="22746"/>
  <c r="AI69" i="22746"/>
  <c r="BK26" i="22746"/>
  <c r="BR25" i="22746"/>
  <c r="BY55" i="22746"/>
  <c r="AB29" i="22746"/>
  <c r="N26" i="22746"/>
  <c r="BD26" i="22746"/>
  <c r="G68" i="22746"/>
  <c r="G74" i="22746"/>
  <c r="AB26" i="22746"/>
  <c r="AP70" i="22746"/>
  <c r="G25" i="22746"/>
  <c r="CT29" i="22746"/>
  <c r="CM28" i="22746"/>
  <c r="G45" i="22746"/>
  <c r="AP29" i="22746"/>
  <c r="BR29" i="22746"/>
  <c r="G40" i="22746"/>
  <c r="U29" i="22746"/>
  <c r="G41" i="22746"/>
  <c r="CM26" i="22746"/>
  <c r="G56" i="22746"/>
  <c r="U55" i="22746"/>
  <c r="BR26" i="22746"/>
  <c r="G48" i="22746"/>
  <c r="DA70" i="22746"/>
  <c r="G62" i="22746"/>
  <c r="G67" i="22746"/>
  <c r="AI27" i="22746"/>
  <c r="AW27" i="22746"/>
  <c r="DA27" i="22746"/>
  <c r="BD28" i="22746"/>
  <c r="AW28" i="22746"/>
  <c r="BK29" i="22746"/>
  <c r="G50" i="22746"/>
  <c r="CM27" i="22746"/>
  <c r="AB27" i="22746"/>
  <c r="G21" i="22746"/>
  <c r="G39" i="22746"/>
  <c r="G69" i="22746"/>
  <c r="G77" i="22746"/>
  <c r="E23" i="22748"/>
  <c r="G43" i="22746"/>
  <c r="G19" i="22746"/>
  <c r="AI28" i="22746"/>
  <c r="DA29" i="22746"/>
  <c r="AB25" i="22746"/>
  <c r="U26" i="22746"/>
  <c r="G66" i="22746"/>
  <c r="F85" i="22746"/>
  <c r="G78" i="22746"/>
  <c r="AA86" i="3"/>
  <c r="C40" i="4"/>
  <c r="J25" i="22714"/>
  <c r="F86" i="22746" l="1"/>
  <c r="J23" i="22748" s="1"/>
  <c r="C23" i="22748"/>
  <c r="M84" i="22746"/>
  <c r="L78" i="22746" s="1"/>
  <c r="M78" i="22746" s="1"/>
  <c r="G23" i="22748"/>
  <c r="F23" i="22748"/>
  <c r="F40" i="4"/>
  <c r="F46" i="4" s="1"/>
  <c r="B58" i="22715"/>
  <c r="E83" i="4"/>
  <c r="F83" i="4" s="1"/>
  <c r="J26" i="22714"/>
  <c r="AH86" i="3"/>
  <c r="AA80" i="3"/>
  <c r="AA81" i="3" l="1"/>
  <c r="AO86" i="3"/>
  <c r="J27" i="22714"/>
  <c r="F84" i="4"/>
  <c r="B130" i="4"/>
  <c r="M79" i="22746"/>
  <c r="B148" i="4"/>
  <c r="B59" i="22715"/>
  <c r="AB80" i="3" l="1"/>
  <c r="M80" i="22746"/>
  <c r="M81" i="22746" s="1"/>
  <c r="AV86" i="3"/>
  <c r="J28" i="22714"/>
  <c r="H142" i="22715"/>
  <c r="B131" i="4"/>
  <c r="H102" i="22715"/>
  <c r="B68" i="22715"/>
  <c r="F99" i="4"/>
  <c r="B67" i="22715" s="1"/>
  <c r="B155" i="4"/>
  <c r="F100" i="4"/>
  <c r="B124" i="4"/>
  <c r="B60" i="22715"/>
  <c r="F86" i="4"/>
  <c r="AB36" i="3"/>
  <c r="AB45" i="3"/>
  <c r="AB40" i="3"/>
  <c r="AB64" i="3"/>
  <c r="AB30" i="3"/>
  <c r="AB29" i="3"/>
  <c r="AB19" i="3"/>
  <c r="AB70" i="3"/>
  <c r="AB39" i="3"/>
  <c r="AB42" i="3"/>
  <c r="AB66" i="3"/>
  <c r="AB41" i="3"/>
  <c r="AB18" i="3"/>
  <c r="AB52" i="3"/>
  <c r="AB77" i="3"/>
  <c r="AB59" i="3"/>
  <c r="AB38" i="3"/>
  <c r="AA85" i="3"/>
  <c r="AB28" i="3"/>
  <c r="AB37" i="3"/>
  <c r="AB27" i="3"/>
  <c r="AB65" i="3"/>
  <c r="AB72" i="3"/>
  <c r="AB43" i="3"/>
  <c r="AB74" i="3"/>
  <c r="AB44" i="3"/>
  <c r="AB54" i="3"/>
  <c r="AB48" i="3"/>
  <c r="AB47" i="3"/>
  <c r="AB49" i="3"/>
  <c r="AB69" i="3"/>
  <c r="AB25" i="3"/>
  <c r="AB67" i="3"/>
  <c r="AB26" i="3"/>
  <c r="AB68" i="3"/>
  <c r="AB71" i="3"/>
  <c r="AB21" i="3"/>
  <c r="AB53" i="3"/>
  <c r="AB33" i="3"/>
  <c r="AB50" i="3"/>
  <c r="AB60" i="3"/>
  <c r="AB73" i="3"/>
  <c r="AB81" i="3"/>
  <c r="E26" i="22714"/>
  <c r="AA83" i="3"/>
  <c r="AB63" i="3"/>
  <c r="AB75" i="3"/>
  <c r="AB62" i="3"/>
  <c r="AB78" i="3"/>
  <c r="AB79" i="3"/>
  <c r="N79" i="22746" l="1"/>
  <c r="M85" i="22746"/>
  <c r="M86" i="22746" s="1"/>
  <c r="H164" i="22715"/>
  <c r="C129" i="4"/>
  <c r="H105" i="22715" s="1"/>
  <c r="C131" i="4"/>
  <c r="H103" i="22715"/>
  <c r="AH84" i="3"/>
  <c r="AG78" i="3" s="1"/>
  <c r="AH78" i="3" s="1"/>
  <c r="C26" i="22714"/>
  <c r="H87" i="22715"/>
  <c r="BC86" i="3"/>
  <c r="J29" i="22714"/>
  <c r="F26" i="22714"/>
  <c r="G26" i="22714"/>
  <c r="B69" i="22715"/>
  <c r="F88" i="4"/>
  <c r="B156" i="4"/>
  <c r="H165" i="22715" s="1"/>
  <c r="C130" i="4"/>
  <c r="H106" i="22715" s="1"/>
  <c r="N80" i="22746"/>
  <c r="N44" i="22746"/>
  <c r="N59" i="22746"/>
  <c r="N37" i="22746"/>
  <c r="N54" i="22746"/>
  <c r="N43" i="22746"/>
  <c r="N39" i="22746"/>
  <c r="N65" i="22746"/>
  <c r="N81" i="22746"/>
  <c r="N40" i="22746"/>
  <c r="N45" i="22746"/>
  <c r="N53" i="22746"/>
  <c r="N52" i="22746"/>
  <c r="N68" i="22746"/>
  <c r="N70" i="22746"/>
  <c r="N62" i="22746"/>
  <c r="N49" i="22746"/>
  <c r="N38" i="22746"/>
  <c r="N47" i="22746"/>
  <c r="N69" i="22746"/>
  <c r="N21" i="22746"/>
  <c r="N36" i="22746"/>
  <c r="N75" i="22746"/>
  <c r="N77" i="22746"/>
  <c r="N74" i="22746"/>
  <c r="N63" i="22746"/>
  <c r="N66" i="22746"/>
  <c r="N48" i="22746"/>
  <c r="N50" i="22746"/>
  <c r="N19" i="22746"/>
  <c r="N60" i="22746"/>
  <c r="N56" i="22746"/>
  <c r="N41" i="22746"/>
  <c r="N67" i="22746"/>
  <c r="N18" i="22746"/>
  <c r="N64" i="22746"/>
  <c r="M83" i="22746"/>
  <c r="N73" i="22746"/>
  <c r="E24" i="22748"/>
  <c r="N78" i="22746"/>
  <c r="G19" i="4" l="1"/>
  <c r="G20" i="4"/>
  <c r="J24" i="22748"/>
  <c r="T84" i="22746"/>
  <c r="S78" i="22746" s="1"/>
  <c r="T78" i="22746" s="1"/>
  <c r="C24" i="22748"/>
  <c r="G68" i="4"/>
  <c r="G34" i="4"/>
  <c r="C169" i="4"/>
  <c r="G36" i="4"/>
  <c r="C164" i="4"/>
  <c r="G73" i="4"/>
  <c r="G42" i="4"/>
  <c r="B126" i="4"/>
  <c r="B125" i="4"/>
  <c r="G35" i="4"/>
  <c r="G37" i="4"/>
  <c r="E93" i="4"/>
  <c r="F93" i="4" s="1"/>
  <c r="B56" i="22715" s="1"/>
  <c r="G50" i="4"/>
  <c r="G82" i="4"/>
  <c r="G71" i="4"/>
  <c r="G63" i="4"/>
  <c r="G79" i="4"/>
  <c r="G52" i="4"/>
  <c r="G33" i="4"/>
  <c r="G53" i="4"/>
  <c r="B196" i="4"/>
  <c r="F104" i="4"/>
  <c r="F106" i="4" s="1"/>
  <c r="C173" i="4"/>
  <c r="G17" i="4"/>
  <c r="E92" i="4"/>
  <c r="F92" i="4" s="1"/>
  <c r="B55" i="22715" s="1"/>
  <c r="H9" i="22715" s="1"/>
  <c r="G88" i="4"/>
  <c r="B176" i="4"/>
  <c r="G77" i="4"/>
  <c r="G78" i="4"/>
  <c r="G55" i="4"/>
  <c r="C167" i="4"/>
  <c r="G47" i="4"/>
  <c r="C193" i="4"/>
  <c r="G18" i="4"/>
  <c r="B52" i="22715"/>
  <c r="H89" i="22715" s="1"/>
  <c r="C170" i="4"/>
  <c r="C194" i="4"/>
  <c r="G30" i="4"/>
  <c r="C168" i="4"/>
  <c r="G56" i="4"/>
  <c r="C175" i="4"/>
  <c r="H199" i="22715" s="1"/>
  <c r="G70" i="4"/>
  <c r="C190" i="4"/>
  <c r="G66" i="4"/>
  <c r="G67" i="4"/>
  <c r="C189" i="4"/>
  <c r="G75" i="4"/>
  <c r="F97" i="4"/>
  <c r="H50" i="22715" s="1"/>
  <c r="F95" i="4"/>
  <c r="G58" i="4"/>
  <c r="G62" i="4"/>
  <c r="G60" i="4"/>
  <c r="G59" i="4"/>
  <c r="G61" i="4"/>
  <c r="G69" i="4"/>
  <c r="G74" i="4"/>
  <c r="G57" i="4"/>
  <c r="G38" i="4"/>
  <c r="G72" i="4"/>
  <c r="F90" i="4"/>
  <c r="B53" i="22715" s="1"/>
  <c r="H10" i="22715" s="1"/>
  <c r="G51" i="4"/>
  <c r="C195" i="4"/>
  <c r="H248" i="22715" s="1"/>
  <c r="G40" i="4"/>
  <c r="G83" i="4"/>
  <c r="G46" i="4"/>
  <c r="C155" i="4" s="1"/>
  <c r="G84" i="4"/>
  <c r="J30" i="22714"/>
  <c r="BJ86" i="3"/>
  <c r="AH79" i="3"/>
  <c r="B157" i="4"/>
  <c r="G24" i="22748"/>
  <c r="F24" i="22748"/>
  <c r="G86" i="4"/>
  <c r="C156" i="4" s="1"/>
  <c r="H169" i="22715" s="1"/>
  <c r="F107" i="4" l="1"/>
  <c r="F109" i="4"/>
  <c r="H166" i="22715"/>
  <c r="H197" i="22715"/>
  <c r="F116" i="4"/>
  <c r="H53" i="22715" s="1"/>
  <c r="F102" i="4"/>
  <c r="H59" i="22715" s="1"/>
  <c r="H48" i="22715"/>
  <c r="B70" i="22715"/>
  <c r="C126" i="4"/>
  <c r="C123" i="4"/>
  <c r="H91" i="22715" s="1"/>
  <c r="C124" i="4"/>
  <c r="H92" i="22715" s="1"/>
  <c r="BQ86" i="3"/>
  <c r="J31" i="22714"/>
  <c r="B151" i="4"/>
  <c r="C125" i="4"/>
  <c r="H93" i="22715" s="1"/>
  <c r="H196" i="22715"/>
  <c r="C176" i="4"/>
  <c r="H200" i="22715" s="1"/>
  <c r="H244" i="22715"/>
  <c r="H245" i="22715" s="1"/>
  <c r="C196" i="4"/>
  <c r="H249" i="22715" s="1"/>
  <c r="T79" i="22746"/>
  <c r="AH80" i="3"/>
  <c r="H168" i="22715"/>
  <c r="C157" i="4"/>
  <c r="T80" i="22746" l="1"/>
  <c r="J32" i="22714"/>
  <c r="BX86" i="3"/>
  <c r="H74" i="22715"/>
  <c r="H7" i="22715" s="1"/>
  <c r="B71" i="22715"/>
  <c r="B74" i="22715" s="1"/>
  <c r="AH81" i="3"/>
  <c r="C147" i="4"/>
  <c r="H147" i="22715" s="1"/>
  <c r="H145" i="22715"/>
  <c r="C149" i="4"/>
  <c r="H149" i="22715" s="1"/>
  <c r="C151" i="4"/>
  <c r="B150" i="4"/>
  <c r="H88" i="22715"/>
  <c r="C148" i="4"/>
  <c r="H148" i="22715" s="1"/>
  <c r="AI26" i="3" l="1"/>
  <c r="AI52" i="3"/>
  <c r="AH83" i="3"/>
  <c r="AI77" i="3"/>
  <c r="AI64" i="3"/>
  <c r="AI30" i="3"/>
  <c r="AI81" i="3"/>
  <c r="AI67" i="3"/>
  <c r="AI41" i="3"/>
  <c r="AI66" i="3"/>
  <c r="AI28" i="3"/>
  <c r="AI19" i="3"/>
  <c r="AI40" i="3"/>
  <c r="AI75" i="3"/>
  <c r="AI63" i="3"/>
  <c r="AI70" i="3"/>
  <c r="AH85" i="3"/>
  <c r="AI73" i="3"/>
  <c r="AI36" i="3"/>
  <c r="AI45" i="3"/>
  <c r="AI25" i="3"/>
  <c r="AI18" i="3"/>
  <c r="AI38" i="3"/>
  <c r="AI74" i="3"/>
  <c r="AI65" i="3"/>
  <c r="AI59" i="3"/>
  <c r="AI60" i="3"/>
  <c r="AI50" i="3"/>
  <c r="AI53" i="3"/>
  <c r="AI42" i="3"/>
  <c r="AI33" i="3"/>
  <c r="AI43" i="3"/>
  <c r="AI49" i="3"/>
  <c r="AI68" i="3"/>
  <c r="AI39" i="3"/>
  <c r="AI27" i="3"/>
  <c r="AI44" i="3"/>
  <c r="AI47" i="3"/>
  <c r="AI62" i="3"/>
  <c r="AI29" i="3"/>
  <c r="AI54" i="3"/>
  <c r="E27" i="22714"/>
  <c r="AI71" i="3"/>
  <c r="AI37" i="3"/>
  <c r="AI72" i="3"/>
  <c r="AI69" i="3"/>
  <c r="AI48" i="3"/>
  <c r="AI21" i="3"/>
  <c r="AI78" i="3"/>
  <c r="AI79" i="3"/>
  <c r="H144" i="22715"/>
  <c r="C150" i="4"/>
  <c r="H150" i="22715" s="1"/>
  <c r="CE86" i="3"/>
  <c r="J33" i="22714"/>
  <c r="C42" i="22714"/>
  <c r="H71" i="22715"/>
  <c r="H8" i="22715" s="1"/>
  <c r="AI80" i="3"/>
  <c r="T81" i="22746"/>
  <c r="U80" i="22746" s="1"/>
  <c r="CL86" i="3" l="1"/>
  <c r="J34" i="22714"/>
  <c r="AO84" i="3"/>
  <c r="AN78" i="3" s="1"/>
  <c r="AO78" i="3" s="1"/>
  <c r="C27" i="22714"/>
  <c r="U53" i="22746"/>
  <c r="U52" i="22746"/>
  <c r="U66" i="22746"/>
  <c r="U21" i="22746"/>
  <c r="U81" i="22746"/>
  <c r="U18" i="22746"/>
  <c r="U71" i="22746"/>
  <c r="U48" i="22746"/>
  <c r="U37" i="22746"/>
  <c r="U50" i="22746"/>
  <c r="U60" i="22746"/>
  <c r="U68" i="22746"/>
  <c r="U62" i="22746"/>
  <c r="U67" i="22746"/>
  <c r="U38" i="22746"/>
  <c r="U41" i="22746"/>
  <c r="T83" i="22746"/>
  <c r="U69" i="22746"/>
  <c r="U45" i="22746"/>
  <c r="U72" i="22746"/>
  <c r="U74" i="22746"/>
  <c r="U39" i="22746"/>
  <c r="U44" i="22746"/>
  <c r="U59" i="22746"/>
  <c r="U77" i="22746"/>
  <c r="U64" i="22746"/>
  <c r="U54" i="22746"/>
  <c r="U73" i="22746"/>
  <c r="U43" i="22746"/>
  <c r="U49" i="22746"/>
  <c r="U36" i="22746"/>
  <c r="U63" i="22746"/>
  <c r="T85" i="22746"/>
  <c r="T86" i="22746" s="1"/>
  <c r="AA86" i="22746" s="1"/>
  <c r="U19" i="22746"/>
  <c r="U47" i="22746"/>
  <c r="U40" i="22746"/>
  <c r="U56" i="22746"/>
  <c r="U75" i="22746"/>
  <c r="U70" i="22746"/>
  <c r="E25" i="22748"/>
  <c r="U65" i="22746"/>
  <c r="U78" i="22746"/>
  <c r="U79" i="22746"/>
  <c r="G27" i="22714"/>
  <c r="F27" i="22714"/>
  <c r="AA84" i="22746" l="1"/>
  <c r="Z78" i="22746" s="1"/>
  <c r="AA78" i="22746" s="1"/>
  <c r="C25" i="22748"/>
  <c r="AO79" i="3"/>
  <c r="G25" i="22748"/>
  <c r="F25" i="22748"/>
  <c r="CS86" i="3"/>
  <c r="J35" i="22714"/>
  <c r="AO80" i="3" l="1"/>
  <c r="AA79" i="22746"/>
  <c r="CZ86" i="3"/>
  <c r="J37" i="22714" s="1"/>
  <c r="J36" i="22714"/>
  <c r="J25" i="22748"/>
  <c r="C40" i="22747"/>
  <c r="F40" i="22747" s="1"/>
  <c r="F46" i="22747" s="1"/>
  <c r="AA80" i="22746" l="1"/>
  <c r="AA81" i="22746" s="1"/>
  <c r="AB79" i="22746" s="1"/>
  <c r="J26" i="22748"/>
  <c r="AH86" i="22746"/>
  <c r="D58" i="22715"/>
  <c r="C58" i="22715" s="1"/>
  <c r="E83" i="22747"/>
  <c r="F83" i="22747" s="1"/>
  <c r="AO81" i="3"/>
  <c r="AO86" i="22746" l="1"/>
  <c r="J27" i="22748"/>
  <c r="B130" i="22747"/>
  <c r="F84" i="22747"/>
  <c r="F86" i="22747" s="1"/>
  <c r="B148" i="22747"/>
  <c r="D59" i="22715"/>
  <c r="C59" i="22715" s="1"/>
  <c r="AP49" i="3"/>
  <c r="AP71" i="3"/>
  <c r="AP64" i="3"/>
  <c r="AP62" i="3"/>
  <c r="AP38" i="3"/>
  <c r="AO85" i="3"/>
  <c r="AP33" i="3"/>
  <c r="AP72" i="3"/>
  <c r="AP30" i="3"/>
  <c r="AP73" i="3"/>
  <c r="AP59" i="3"/>
  <c r="AP43" i="3"/>
  <c r="AP67" i="3"/>
  <c r="AP29" i="3"/>
  <c r="AP66" i="3"/>
  <c r="AP69" i="3"/>
  <c r="AP26" i="3"/>
  <c r="AP63" i="3"/>
  <c r="AP47" i="3"/>
  <c r="AP68" i="3"/>
  <c r="AP53" i="3"/>
  <c r="AP45" i="3"/>
  <c r="AP54" i="3"/>
  <c r="AP40" i="3"/>
  <c r="AP70" i="3"/>
  <c r="AP75" i="3"/>
  <c r="AP25" i="3"/>
  <c r="AP74" i="3"/>
  <c r="AP50" i="3"/>
  <c r="AP27" i="3"/>
  <c r="AO83" i="3"/>
  <c r="AP21" i="3"/>
  <c r="AP18" i="3"/>
  <c r="AP39" i="3"/>
  <c r="AP28" i="3"/>
  <c r="AP48" i="3"/>
  <c r="E28" i="22714"/>
  <c r="AP77" i="3"/>
  <c r="AP36" i="3"/>
  <c r="AP81" i="3"/>
  <c r="AP44" i="3"/>
  <c r="AP52" i="3"/>
  <c r="AP19" i="3"/>
  <c r="AP37" i="3"/>
  <c r="AP60" i="3"/>
  <c r="AP65" i="3"/>
  <c r="AP41" i="3"/>
  <c r="AP78" i="3"/>
  <c r="AP79" i="3"/>
  <c r="AP80" i="3"/>
  <c r="AB80" i="22746"/>
  <c r="AB72" i="22746"/>
  <c r="AB36" i="22746"/>
  <c r="AB18" i="22746"/>
  <c r="AB71" i="22746"/>
  <c r="AB48" i="22746"/>
  <c r="AB69" i="22746"/>
  <c r="AB77" i="22746"/>
  <c r="AB40" i="22746"/>
  <c r="AB73" i="22746"/>
  <c r="AB54" i="22746"/>
  <c r="AA83" i="22746"/>
  <c r="AB68" i="22746"/>
  <c r="AB62" i="22746"/>
  <c r="AB50" i="22746"/>
  <c r="E26" i="22748"/>
  <c r="AB59" i="22746"/>
  <c r="AB70" i="22746"/>
  <c r="AB63" i="22746"/>
  <c r="AB56" i="22746"/>
  <c r="AB47" i="22746"/>
  <c r="AB53" i="22746"/>
  <c r="AB67" i="22746"/>
  <c r="AB74" i="22746"/>
  <c r="AB64" i="22746"/>
  <c r="AA85" i="22746"/>
  <c r="AB66" i="22746"/>
  <c r="AB37" i="22746"/>
  <c r="AB41" i="22746"/>
  <c r="AB75" i="22746"/>
  <c r="AB45" i="22746"/>
  <c r="AB52" i="22746"/>
  <c r="AB81" i="22746"/>
  <c r="AB44" i="22746"/>
  <c r="AB65" i="22746"/>
  <c r="AB21" i="22746"/>
  <c r="AB39" i="22746"/>
  <c r="AB43" i="22746"/>
  <c r="AB38" i="22746"/>
  <c r="AB49" i="22746"/>
  <c r="AB19" i="22746"/>
  <c r="AB60" i="22746"/>
  <c r="AB78" i="22746"/>
  <c r="F26" i="22748" l="1"/>
  <c r="G26" i="22748"/>
  <c r="J142" i="22715"/>
  <c r="I142" i="22715" s="1"/>
  <c r="B131" i="22747"/>
  <c r="J102" i="22715"/>
  <c r="I102" i="22715" s="1"/>
  <c r="C28" i="22714"/>
  <c r="AV84" i="3"/>
  <c r="AU78" i="3" s="1"/>
  <c r="AV78" i="3" s="1"/>
  <c r="B155" i="22747"/>
  <c r="D68" i="22715"/>
  <c r="C68" i="22715" s="1"/>
  <c r="F99" i="22747"/>
  <c r="D67" i="22715" s="1"/>
  <c r="C67" i="22715" s="1"/>
  <c r="F100" i="22747"/>
  <c r="B124" i="22747"/>
  <c r="D60" i="22715"/>
  <c r="C60" i="22715" s="1"/>
  <c r="G28" i="22714"/>
  <c r="F28" i="22714"/>
  <c r="C26" i="22748"/>
  <c r="AH84" i="22746"/>
  <c r="AG78" i="22746" s="1"/>
  <c r="AH78" i="22746" s="1"/>
  <c r="AV86" i="22746"/>
  <c r="J28" i="22748"/>
  <c r="B156" i="22747" l="1"/>
  <c r="J165" i="22715" s="1"/>
  <c r="I165" i="22715" s="1"/>
  <c r="F88" i="22747"/>
  <c r="E92" i="22747" s="1"/>
  <c r="F92" i="22747" s="1"/>
  <c r="D69" i="22715"/>
  <c r="C69" i="22715" s="1"/>
  <c r="AV79" i="3"/>
  <c r="BC86" i="22746"/>
  <c r="J29" i="22748"/>
  <c r="J87" i="22715"/>
  <c r="I87" i="22715" s="1"/>
  <c r="AH79" i="22746"/>
  <c r="J164" i="22715"/>
  <c r="I164" i="22715" s="1"/>
  <c r="C130" i="22747"/>
  <c r="J106" i="22715" s="1"/>
  <c r="C131" i="22747"/>
  <c r="J103" i="22715"/>
  <c r="I103" i="22715" s="1"/>
  <c r="C129" i="22747"/>
  <c r="J105" i="22715" s="1"/>
  <c r="B157" i="22747" l="1"/>
  <c r="J197" i="22715" s="1"/>
  <c r="I197" i="22715" s="1"/>
  <c r="AV80" i="3"/>
  <c r="AH80" i="22746"/>
  <c r="AH81" i="22746" s="1"/>
  <c r="AI79" i="22746" s="1"/>
  <c r="J30" i="22748"/>
  <c r="BJ86" i="22746"/>
  <c r="G86" i="22747"/>
  <c r="C156" i="22747" s="1"/>
  <c r="J169" i="22715" s="1"/>
  <c r="C167" i="22747"/>
  <c r="G18" i="22747"/>
  <c r="G30" i="22747"/>
  <c r="G73" i="22747"/>
  <c r="D52" i="22715"/>
  <c r="G52" i="22747"/>
  <c r="C164" i="22747"/>
  <c r="G69" i="22747"/>
  <c r="G71" i="22747"/>
  <c r="G55" i="22747"/>
  <c r="F104" i="22747"/>
  <c r="G35" i="22747"/>
  <c r="C189" i="22747"/>
  <c r="F97" i="22747"/>
  <c r="J50" i="22715" s="1"/>
  <c r="I50" i="22715" s="1"/>
  <c r="F95" i="22747"/>
  <c r="G72" i="22747"/>
  <c r="B196" i="22747"/>
  <c r="G47" i="22747"/>
  <c r="G51" i="22747"/>
  <c r="B176" i="22747"/>
  <c r="G66" i="22747"/>
  <c r="G60" i="22747"/>
  <c r="G82" i="22747"/>
  <c r="B125" i="22747"/>
  <c r="G17" i="22747"/>
  <c r="F90" i="22747"/>
  <c r="D53" i="22715" s="1"/>
  <c r="G34" i="22747"/>
  <c r="G77" i="22747"/>
  <c r="G57" i="22747"/>
  <c r="G79" i="22747"/>
  <c r="C195" i="22747"/>
  <c r="J248" i="22715" s="1"/>
  <c r="G58" i="22747"/>
  <c r="C168" i="22747"/>
  <c r="C170" i="22747"/>
  <c r="G61" i="22747"/>
  <c r="G20" i="22747"/>
  <c r="C194" i="22747"/>
  <c r="G33" i="22747"/>
  <c r="G78" i="22747"/>
  <c r="C175" i="22747"/>
  <c r="J199" i="22715" s="1"/>
  <c r="G70" i="22747"/>
  <c r="G37" i="22747"/>
  <c r="G38" i="22747"/>
  <c r="G53" i="22747"/>
  <c r="D55" i="22715"/>
  <c r="C193" i="22747"/>
  <c r="G63" i="22747"/>
  <c r="G74" i="22747"/>
  <c r="G62" i="22747"/>
  <c r="G88" i="22747"/>
  <c r="G68" i="22747"/>
  <c r="G50" i="22747"/>
  <c r="C169" i="22747"/>
  <c r="B126" i="22747"/>
  <c r="C190" i="22747"/>
  <c r="G67" i="22747"/>
  <c r="C173" i="22747"/>
  <c r="G56" i="22747"/>
  <c r="G75" i="22747"/>
  <c r="G36" i="22747"/>
  <c r="E93" i="22747"/>
  <c r="F93" i="22747" s="1"/>
  <c r="D56" i="22715" s="1"/>
  <c r="C56" i="22715" s="1"/>
  <c r="G42" i="22747"/>
  <c r="G59" i="22747"/>
  <c r="G83" i="22747"/>
  <c r="G40" i="22747"/>
  <c r="G46" i="22747"/>
  <c r="C155" i="22747" s="1"/>
  <c r="G84" i="22747"/>
  <c r="J166" i="22715" l="1"/>
  <c r="I166" i="22715" s="1"/>
  <c r="J196" i="22715"/>
  <c r="I196" i="22715" s="1"/>
  <c r="C176" i="22747"/>
  <c r="J200" i="22715" s="1"/>
  <c r="F116" i="22747"/>
  <c r="J53" i="22715" s="1"/>
  <c r="I53" i="22715" s="1"/>
  <c r="J48" i="22715"/>
  <c r="I48" i="22715" s="1"/>
  <c r="F102" i="22747"/>
  <c r="J59" i="22715" s="1"/>
  <c r="I59" i="22715" s="1"/>
  <c r="F106" i="22747"/>
  <c r="F109" i="22747" s="1"/>
  <c r="D70" i="22715"/>
  <c r="C70" i="22715" s="1"/>
  <c r="AI80" i="22746"/>
  <c r="AI48" i="22746"/>
  <c r="AI45" i="22746"/>
  <c r="AI52" i="22746"/>
  <c r="AI77" i="22746"/>
  <c r="AI74" i="22746"/>
  <c r="AI81" i="22746"/>
  <c r="AI67" i="22746"/>
  <c r="AI40" i="22746"/>
  <c r="AI50" i="22746"/>
  <c r="AI60" i="22746"/>
  <c r="AI62" i="22746"/>
  <c r="AI64" i="22746"/>
  <c r="AI36" i="22746"/>
  <c r="AI65" i="22746"/>
  <c r="AI73" i="22746"/>
  <c r="AI44" i="22746"/>
  <c r="AH83" i="22746"/>
  <c r="E27" i="22748"/>
  <c r="AH85" i="22746"/>
  <c r="AI19" i="22746"/>
  <c r="AI37" i="22746"/>
  <c r="AI54" i="22746"/>
  <c r="AI21" i="22746"/>
  <c r="AI59" i="22746"/>
  <c r="AI47" i="22746"/>
  <c r="AI43" i="22746"/>
  <c r="AI41" i="22746"/>
  <c r="AI63" i="22746"/>
  <c r="AI66" i="22746"/>
  <c r="AI39" i="22746"/>
  <c r="AI68" i="22746"/>
  <c r="AI18" i="22746"/>
  <c r="AI56" i="22746"/>
  <c r="AI49" i="22746"/>
  <c r="AI53" i="22746"/>
  <c r="AI38" i="22746"/>
  <c r="AI75" i="22746"/>
  <c r="AI78" i="22746"/>
  <c r="J31" i="22748"/>
  <c r="BQ86" i="22746"/>
  <c r="C125" i="22747"/>
  <c r="J93" i="22715" s="1"/>
  <c r="B151" i="22747"/>
  <c r="J88" i="22715"/>
  <c r="I88" i="22715" s="1"/>
  <c r="C157" i="22747"/>
  <c r="J168" i="22715"/>
  <c r="C126" i="22747"/>
  <c r="C123" i="22747"/>
  <c r="J91" i="22715" s="1"/>
  <c r="C124" i="22747"/>
  <c r="J92" i="22715" s="1"/>
  <c r="J10" i="22715"/>
  <c r="C53" i="22715"/>
  <c r="I10" i="22715" s="1"/>
  <c r="J9" i="22715"/>
  <c r="C55" i="22715"/>
  <c r="I9" i="22715" s="1"/>
  <c r="J244" i="22715"/>
  <c r="C196" i="22747"/>
  <c r="J249" i="22715" s="1"/>
  <c r="J89" i="22715"/>
  <c r="I89" i="22715" s="1"/>
  <c r="C52" i="22715"/>
  <c r="AV81" i="3"/>
  <c r="AW80" i="3" l="1"/>
  <c r="J145" i="22715"/>
  <c r="I145" i="22715" s="1"/>
  <c r="C149" i="22747"/>
  <c r="J149" i="22715" s="1"/>
  <c r="B150" i="22747"/>
  <c r="C147" i="22747"/>
  <c r="J147" i="22715" s="1"/>
  <c r="C151" i="22747"/>
  <c r="C148" i="22747"/>
  <c r="J148" i="22715" s="1"/>
  <c r="C27" i="22748"/>
  <c r="AO84" i="22746"/>
  <c r="AN78" i="22746" s="1"/>
  <c r="AO78" i="22746" s="1"/>
  <c r="J32" i="22748"/>
  <c r="BX86" i="22746"/>
  <c r="AW49" i="3"/>
  <c r="AW54" i="3"/>
  <c r="AW50" i="3"/>
  <c r="AW77" i="3"/>
  <c r="AW62" i="3"/>
  <c r="AW81" i="3"/>
  <c r="AW45" i="3"/>
  <c r="AW18" i="3"/>
  <c r="AW71" i="3"/>
  <c r="AW19" i="3"/>
  <c r="AW70" i="3"/>
  <c r="AW66" i="3"/>
  <c r="AV85" i="3"/>
  <c r="AW60" i="3"/>
  <c r="AW74" i="3"/>
  <c r="AW30" i="3"/>
  <c r="AW53" i="3"/>
  <c r="AW29" i="3"/>
  <c r="AW40" i="3"/>
  <c r="AW63" i="3"/>
  <c r="E29" i="22714"/>
  <c r="AW33" i="3"/>
  <c r="AW44" i="3"/>
  <c r="AW27" i="3"/>
  <c r="AW69" i="3"/>
  <c r="AV83" i="3"/>
  <c r="AW26" i="3"/>
  <c r="AW67" i="3"/>
  <c r="AW37" i="3"/>
  <c r="AW43" i="3"/>
  <c r="AW75" i="3"/>
  <c r="AW72" i="3"/>
  <c r="AW38" i="3"/>
  <c r="AW39" i="3"/>
  <c r="AW21" i="3"/>
  <c r="AW47" i="3"/>
  <c r="AW48" i="3"/>
  <c r="AW28" i="3"/>
  <c r="AW68" i="3"/>
  <c r="AW36" i="3"/>
  <c r="AW59" i="3"/>
  <c r="AW25" i="3"/>
  <c r="AW65" i="3"/>
  <c r="AW41" i="3"/>
  <c r="AW52" i="3"/>
  <c r="AW64" i="3"/>
  <c r="AW73" i="3"/>
  <c r="AW78" i="3"/>
  <c r="AW79" i="3"/>
  <c r="I244" i="22715"/>
  <c r="J245" i="22715"/>
  <c r="I245" i="22715" s="1"/>
  <c r="F27" i="22748"/>
  <c r="G27" i="22748"/>
  <c r="D71" i="22715"/>
  <c r="F107" i="22747"/>
  <c r="J74" i="22715"/>
  <c r="J7" i="22715" s="1"/>
  <c r="J71" i="22715" l="1"/>
  <c r="C42" i="22748"/>
  <c r="AO79" i="22746"/>
  <c r="C71" i="22715"/>
  <c r="D74" i="22715"/>
  <c r="C74" i="22715" s="1"/>
  <c r="G29" i="22714"/>
  <c r="F29" i="22714"/>
  <c r="BC84" i="3"/>
  <c r="BB78" i="3" s="1"/>
  <c r="BC78" i="3" s="1"/>
  <c r="C29" i="22714"/>
  <c r="C150" i="22747"/>
  <c r="J150" i="22715" s="1"/>
  <c r="J144" i="22715"/>
  <c r="I144" i="22715" s="1"/>
  <c r="CE86" i="22746"/>
  <c r="J33" i="22748"/>
  <c r="I74" i="22715"/>
  <c r="I7" i="22715" s="1"/>
  <c r="AO80" i="22746" l="1"/>
  <c r="AO81" i="22746" s="1"/>
  <c r="AP79" i="22746" s="1"/>
  <c r="CL86" i="22746"/>
  <c r="J34" i="22748"/>
  <c r="BC79" i="3"/>
  <c r="I71" i="22715"/>
  <c r="I8" i="22715" s="1"/>
  <c r="J8" i="22715"/>
  <c r="J35" i="22748" l="1"/>
  <c r="CS86" i="22746"/>
  <c r="BC80" i="3"/>
  <c r="AP80" i="22746"/>
  <c r="AP69" i="22746"/>
  <c r="AP66" i="22746"/>
  <c r="AP53" i="22746"/>
  <c r="AP36" i="22746"/>
  <c r="AP77" i="22746"/>
  <c r="AP52" i="22746"/>
  <c r="AP39" i="22746"/>
  <c r="AP50" i="22746"/>
  <c r="AP54" i="22746"/>
  <c r="AP60" i="22746"/>
  <c r="AP64" i="22746"/>
  <c r="AP81" i="22746"/>
  <c r="E28" i="22748"/>
  <c r="AP74" i="22746"/>
  <c r="AP19" i="22746"/>
  <c r="AP62" i="22746"/>
  <c r="AP38" i="22746"/>
  <c r="AP37" i="22746"/>
  <c r="AP41" i="22746"/>
  <c r="AP45" i="22746"/>
  <c r="AP47" i="22746"/>
  <c r="AP49" i="22746"/>
  <c r="AP59" i="22746"/>
  <c r="AP18" i="22746"/>
  <c r="AP43" i="22746"/>
  <c r="AP56" i="22746"/>
  <c r="AP73" i="22746"/>
  <c r="AO83" i="22746"/>
  <c r="AP68" i="22746"/>
  <c r="AP63" i="22746"/>
  <c r="AP65" i="22746"/>
  <c r="AP67" i="22746"/>
  <c r="AP21" i="22746"/>
  <c r="AP48" i="22746"/>
  <c r="AO85" i="22746"/>
  <c r="AP40" i="22746"/>
  <c r="AP75" i="22746"/>
  <c r="AP44" i="22746"/>
  <c r="AP78" i="22746"/>
  <c r="CZ86" i="22746" l="1"/>
  <c r="J37" i="22748" s="1"/>
  <c r="J36" i="22748"/>
  <c r="BC81" i="3"/>
  <c r="F28" i="22748"/>
  <c r="G28" i="22748"/>
  <c r="AV84" i="22746"/>
  <c r="AU78" i="22746" s="1"/>
  <c r="AV78" i="22746" s="1"/>
  <c r="C28" i="22748"/>
  <c r="BD80" i="3" l="1"/>
  <c r="AV79" i="22746"/>
  <c r="BD33" i="3"/>
  <c r="BD72" i="3"/>
  <c r="BD81" i="3"/>
  <c r="BD19" i="3"/>
  <c r="BD21" i="3"/>
  <c r="BD36" i="3"/>
  <c r="BD47" i="3"/>
  <c r="BD30" i="3"/>
  <c r="BD29" i="3"/>
  <c r="BD77" i="3"/>
  <c r="BD26" i="3"/>
  <c r="BD48" i="3"/>
  <c r="BD43" i="3"/>
  <c r="BD65" i="3"/>
  <c r="BD63" i="3"/>
  <c r="BD66" i="3"/>
  <c r="BD52" i="3"/>
  <c r="BC83" i="3"/>
  <c r="BD45" i="3"/>
  <c r="BD64" i="3"/>
  <c r="BC85" i="3"/>
  <c r="BD50" i="3"/>
  <c r="BD25" i="3"/>
  <c r="BD70" i="3"/>
  <c r="BD53" i="3"/>
  <c r="BD49" i="3"/>
  <c r="BD41" i="3"/>
  <c r="BD27" i="3"/>
  <c r="E30" i="22714"/>
  <c r="BD59" i="3"/>
  <c r="BD69" i="3"/>
  <c r="BD62" i="3"/>
  <c r="BD67" i="3"/>
  <c r="BD18" i="3"/>
  <c r="BD40" i="3"/>
  <c r="BD68" i="3"/>
  <c r="BD37" i="3"/>
  <c r="BD39" i="3"/>
  <c r="BD73" i="3"/>
  <c r="BD60" i="3"/>
  <c r="BD75" i="3"/>
  <c r="BD38" i="3"/>
  <c r="BD71" i="3"/>
  <c r="BD44" i="3"/>
  <c r="BD28" i="3"/>
  <c r="BD74" i="3"/>
  <c r="BD54" i="3"/>
  <c r="BD78" i="3"/>
  <c r="BD79" i="3"/>
  <c r="C30" i="22714" l="1"/>
  <c r="BJ84" i="3"/>
  <c r="BI78" i="3" s="1"/>
  <c r="BJ78" i="3" s="1"/>
  <c r="AV80" i="22746"/>
  <c r="AV81" i="22746" s="1"/>
  <c r="AW79" i="22746" s="1"/>
  <c r="G30" i="22714"/>
  <c r="F30" i="22714"/>
  <c r="AW80" i="22746" l="1"/>
  <c r="AW66" i="22746"/>
  <c r="AW72" i="22746"/>
  <c r="AW43" i="22746"/>
  <c r="AW19" i="22746"/>
  <c r="AW64" i="22746"/>
  <c r="AW49" i="22746"/>
  <c r="AW37" i="22746"/>
  <c r="AW56" i="22746"/>
  <c r="AW54" i="22746"/>
  <c r="AW65" i="22746"/>
  <c r="AV85" i="22746"/>
  <c r="AW63" i="22746"/>
  <c r="AW71" i="22746"/>
  <c r="AW18" i="22746"/>
  <c r="AW52" i="22746"/>
  <c r="AW48" i="22746"/>
  <c r="AW40" i="22746"/>
  <c r="AW50" i="22746"/>
  <c r="AV83" i="22746"/>
  <c r="AW59" i="22746"/>
  <c r="AW62" i="22746"/>
  <c r="AW77" i="22746"/>
  <c r="AW36" i="22746"/>
  <c r="AW70" i="22746"/>
  <c r="E29" i="22748"/>
  <c r="AW47" i="22746"/>
  <c r="AW74" i="22746"/>
  <c r="AW38" i="22746"/>
  <c r="AW41" i="22746"/>
  <c r="AW75" i="22746"/>
  <c r="AW53" i="22746"/>
  <c r="AW81" i="22746"/>
  <c r="AW45" i="22746"/>
  <c r="AW69" i="22746"/>
  <c r="AW21" i="22746"/>
  <c r="AW67" i="22746"/>
  <c r="AW68" i="22746"/>
  <c r="AW39" i="22746"/>
  <c r="AW73" i="22746"/>
  <c r="AW44" i="22746"/>
  <c r="AW60" i="22746"/>
  <c r="AW78" i="22746"/>
  <c r="BJ79" i="3"/>
  <c r="F29" i="22748" l="1"/>
  <c r="G29" i="22748"/>
  <c r="BJ80" i="3"/>
  <c r="BC84" i="22746"/>
  <c r="BB78" i="22746" s="1"/>
  <c r="BC78" i="22746" s="1"/>
  <c r="C29" i="22748"/>
  <c r="BJ81" i="3" l="1"/>
  <c r="BC79" i="22746"/>
  <c r="BK80" i="3" l="1"/>
  <c r="BC80" i="22746"/>
  <c r="BC81" i="22746" s="1"/>
  <c r="BD79" i="22746" s="1"/>
  <c r="BK53" i="3"/>
  <c r="BK40" i="3"/>
  <c r="BK33" i="3"/>
  <c r="BK50" i="3"/>
  <c r="BK54" i="3"/>
  <c r="BK63" i="3"/>
  <c r="BK21" i="3"/>
  <c r="BK18" i="3"/>
  <c r="BK52" i="3"/>
  <c r="BK48" i="3"/>
  <c r="BK60" i="3"/>
  <c r="BK39" i="3"/>
  <c r="BK72" i="3"/>
  <c r="BK37" i="3"/>
  <c r="BK30" i="3"/>
  <c r="BK67" i="3"/>
  <c r="BJ83" i="3"/>
  <c r="BK41" i="3"/>
  <c r="BK62" i="3"/>
  <c r="BK77" i="3"/>
  <c r="BK28" i="3"/>
  <c r="BK65" i="3"/>
  <c r="BK25" i="3"/>
  <c r="BK49" i="3"/>
  <c r="BK44" i="3"/>
  <c r="BK74" i="3"/>
  <c r="BK45" i="3"/>
  <c r="BK64" i="3"/>
  <c r="BK43" i="3"/>
  <c r="BK66" i="3"/>
  <c r="BK75" i="3"/>
  <c r="BK27" i="3"/>
  <c r="BJ85" i="3"/>
  <c r="BK71" i="3"/>
  <c r="BK81" i="3"/>
  <c r="BK73" i="3"/>
  <c r="BK69" i="3"/>
  <c r="E31" i="22714"/>
  <c r="BK38" i="3"/>
  <c r="BK47" i="3"/>
  <c r="BK19" i="3"/>
  <c r="BK26" i="3"/>
  <c r="BK70" i="3"/>
  <c r="BK29" i="3"/>
  <c r="BK36" i="3"/>
  <c r="BK68" i="3"/>
  <c r="BK59" i="3"/>
  <c r="BK78" i="3"/>
  <c r="BK79" i="3"/>
  <c r="F31" i="22714" l="1"/>
  <c r="G31" i="22714"/>
  <c r="BQ84" i="3"/>
  <c r="BP78" i="3" s="1"/>
  <c r="BQ78" i="3" s="1"/>
  <c r="C31" i="22714"/>
  <c r="BD80" i="22746"/>
  <c r="BD47" i="22746"/>
  <c r="BD36" i="22746"/>
  <c r="BD18" i="22746"/>
  <c r="BD70" i="22746"/>
  <c r="BD52" i="22746"/>
  <c r="BD67" i="22746"/>
  <c r="BD81" i="22746"/>
  <c r="BD37" i="22746"/>
  <c r="BD41" i="22746"/>
  <c r="BC83" i="22746"/>
  <c r="BD60" i="22746"/>
  <c r="BD69" i="22746"/>
  <c r="E30" i="22748"/>
  <c r="BD77" i="22746"/>
  <c r="BD74" i="22746"/>
  <c r="BD21" i="22746"/>
  <c r="BC85" i="22746"/>
  <c r="BD68" i="22746"/>
  <c r="BD75" i="22746"/>
  <c r="BD72" i="22746"/>
  <c r="BD63" i="22746"/>
  <c r="BD49" i="22746"/>
  <c r="BD64" i="22746"/>
  <c r="BD71" i="22746"/>
  <c r="BD62" i="22746"/>
  <c r="BD39" i="22746"/>
  <c r="BD50" i="22746"/>
  <c r="BD44" i="22746"/>
  <c r="BD19" i="22746"/>
  <c r="BD48" i="22746"/>
  <c r="BD59" i="22746"/>
  <c r="BD53" i="22746"/>
  <c r="BD66" i="22746"/>
  <c r="BD65" i="22746"/>
  <c r="BD45" i="22746"/>
  <c r="BD43" i="22746"/>
  <c r="BD38" i="22746"/>
  <c r="BD73" i="22746"/>
  <c r="BD54" i="22746"/>
  <c r="BD40" i="22746"/>
  <c r="BD56" i="22746"/>
  <c r="BD78" i="22746"/>
  <c r="BQ79" i="3" l="1"/>
  <c r="BJ84" i="22746"/>
  <c r="BI78" i="22746" s="1"/>
  <c r="BJ78" i="22746" s="1"/>
  <c r="BJ79" i="22746" s="1"/>
  <c r="BJ80" i="22746" s="1"/>
  <c r="BJ81" i="22746" s="1"/>
  <c r="BK80" i="22746" s="1"/>
  <c r="C30" i="22748"/>
  <c r="G30" i="22748"/>
  <c r="F30" i="22748"/>
  <c r="BK44" i="22746" l="1"/>
  <c r="BK64" i="22746"/>
  <c r="BK63" i="22746"/>
  <c r="BK40" i="22746"/>
  <c r="BK36" i="22746"/>
  <c r="BK74" i="22746"/>
  <c r="BK79" i="22746"/>
  <c r="BK68" i="22746"/>
  <c r="BK56" i="22746"/>
  <c r="BK71" i="22746"/>
  <c r="BK47" i="22746"/>
  <c r="BK78" i="22746"/>
  <c r="BK54" i="22746"/>
  <c r="BK50" i="22746"/>
  <c r="BK39" i="22746"/>
  <c r="BK19" i="22746"/>
  <c r="E31" i="22748"/>
  <c r="F31" i="22748" s="1"/>
  <c r="BK43" i="22746"/>
  <c r="BK45" i="22746"/>
  <c r="BK81" i="22746"/>
  <c r="BK66" i="22746"/>
  <c r="BJ85" i="22746"/>
  <c r="BQ84" i="22746" s="1"/>
  <c r="BP78" i="22746" s="1"/>
  <c r="BQ78" i="22746" s="1"/>
  <c r="BK60" i="22746"/>
  <c r="BJ83" i="22746"/>
  <c r="BK41" i="22746"/>
  <c r="BK38" i="22746"/>
  <c r="BK77" i="22746"/>
  <c r="BK65" i="22746"/>
  <c r="BK21" i="22746"/>
  <c r="BK48" i="22746"/>
  <c r="BK18" i="22746"/>
  <c r="BK70" i="22746"/>
  <c r="BK69" i="22746"/>
  <c r="BQ80" i="3"/>
  <c r="BK75" i="22746"/>
  <c r="BK73" i="22746"/>
  <c r="BK37" i="22746"/>
  <c r="BK53" i="22746"/>
  <c r="BK49" i="22746"/>
  <c r="BK67" i="22746"/>
  <c r="BK59" i="22746"/>
  <c r="BK62" i="22746"/>
  <c r="BK72" i="22746"/>
  <c r="BK52" i="22746"/>
  <c r="G31" i="22748" l="1"/>
  <c r="BQ81" i="3"/>
  <c r="C31" i="22748"/>
  <c r="BQ79" i="22746"/>
  <c r="BR80" i="3" l="1"/>
  <c r="BR74" i="3"/>
  <c r="BR36" i="3"/>
  <c r="BR49" i="3"/>
  <c r="BR47" i="3"/>
  <c r="BR19" i="3"/>
  <c r="BR45" i="3"/>
  <c r="BR54" i="3"/>
  <c r="BR37" i="3"/>
  <c r="BR39" i="3"/>
  <c r="BR48" i="3"/>
  <c r="BR67" i="3"/>
  <c r="BR44" i="3"/>
  <c r="BR18" i="3"/>
  <c r="BR77" i="3"/>
  <c r="BR28" i="3"/>
  <c r="BR75" i="3"/>
  <c r="BR69" i="3"/>
  <c r="BR52" i="3"/>
  <c r="BR70" i="3"/>
  <c r="BR43" i="3"/>
  <c r="BR63" i="3"/>
  <c r="BR65" i="3"/>
  <c r="BR60" i="3"/>
  <c r="BR53" i="3"/>
  <c r="BR38" i="3"/>
  <c r="BR29" i="3"/>
  <c r="BR68" i="3"/>
  <c r="BR81" i="3"/>
  <c r="BQ83" i="3"/>
  <c r="BR59" i="3"/>
  <c r="BR72" i="3"/>
  <c r="BR73" i="3"/>
  <c r="BR27" i="3"/>
  <c r="BR25" i="3"/>
  <c r="BR66" i="3"/>
  <c r="BR50" i="3"/>
  <c r="BQ85" i="3"/>
  <c r="BR30" i="3"/>
  <c r="BR41" i="3"/>
  <c r="BR40" i="3"/>
  <c r="BR64" i="3"/>
  <c r="BR71" i="3"/>
  <c r="E32" i="22714"/>
  <c r="BR26" i="3"/>
  <c r="BR33" i="3"/>
  <c r="BR21" i="3"/>
  <c r="BR62" i="3"/>
  <c r="BR78" i="3"/>
  <c r="BR79" i="3"/>
  <c r="BQ80" i="22746"/>
  <c r="C32" i="22714" l="1"/>
  <c r="BX84" i="3"/>
  <c r="BW78" i="3" s="1"/>
  <c r="BX78" i="3" s="1"/>
  <c r="G32" i="22714"/>
  <c r="F32" i="22714"/>
  <c r="BQ81" i="22746"/>
  <c r="BR80" i="22746" s="1"/>
  <c r="BX79" i="3" l="1"/>
  <c r="BR53" i="22746"/>
  <c r="BR48" i="22746"/>
  <c r="BR64" i="22746"/>
  <c r="BR69" i="22746"/>
  <c r="BR77" i="22746"/>
  <c r="BR59" i="22746"/>
  <c r="BR43" i="22746"/>
  <c r="BR18" i="22746"/>
  <c r="BR45" i="22746"/>
  <c r="BR74" i="22746"/>
  <c r="E32" i="22748"/>
  <c r="BR36" i="22746"/>
  <c r="BR65" i="22746"/>
  <c r="BR47" i="22746"/>
  <c r="BR21" i="22746"/>
  <c r="BR72" i="22746"/>
  <c r="BR71" i="22746"/>
  <c r="BR67" i="22746"/>
  <c r="BR62" i="22746"/>
  <c r="BR63" i="22746"/>
  <c r="BR49" i="22746"/>
  <c r="BR70" i="22746"/>
  <c r="BR66" i="22746"/>
  <c r="BR68" i="22746"/>
  <c r="BQ85" i="22746"/>
  <c r="BR81" i="22746"/>
  <c r="BR19" i="22746"/>
  <c r="BR52" i="22746"/>
  <c r="BR38" i="22746"/>
  <c r="BR39" i="22746"/>
  <c r="BR37" i="22746"/>
  <c r="BR40" i="22746"/>
  <c r="BR73" i="22746"/>
  <c r="BR41" i="22746"/>
  <c r="BR50" i="22746"/>
  <c r="BR56" i="22746"/>
  <c r="BR54" i="22746"/>
  <c r="BR44" i="22746"/>
  <c r="BR75" i="22746"/>
  <c r="BQ83" i="22746"/>
  <c r="BR60" i="22746"/>
  <c r="BR78" i="22746"/>
  <c r="BR79" i="22746"/>
  <c r="BX80" i="3" l="1"/>
  <c r="F32" i="22748"/>
  <c r="G32" i="22748"/>
  <c r="C32" i="22748"/>
  <c r="BX84" i="22746"/>
  <c r="BW78" i="22746" s="1"/>
  <c r="BX78" i="22746" s="1"/>
  <c r="BX81" i="3" l="1"/>
  <c r="BX79" i="22746"/>
  <c r="BY80" i="3" l="1"/>
  <c r="BY62" i="3"/>
  <c r="BY30" i="3"/>
  <c r="BY44" i="3"/>
  <c r="BY70" i="3"/>
  <c r="BY25" i="3"/>
  <c r="BY48" i="3"/>
  <c r="BY36" i="3"/>
  <c r="BY28" i="3"/>
  <c r="E33" i="22714"/>
  <c r="BY19" i="3"/>
  <c r="BY39" i="3"/>
  <c r="BX83" i="3"/>
  <c r="BY54" i="3"/>
  <c r="BY74" i="3"/>
  <c r="BY65" i="3"/>
  <c r="BY27" i="3"/>
  <c r="BY38" i="3"/>
  <c r="BY18" i="3"/>
  <c r="BY73" i="3"/>
  <c r="BY53" i="3"/>
  <c r="BY40" i="3"/>
  <c r="BY60" i="3"/>
  <c r="BY66" i="3"/>
  <c r="BY26" i="3"/>
  <c r="BY47" i="3"/>
  <c r="BY77" i="3"/>
  <c r="BY52" i="3"/>
  <c r="BY75" i="3"/>
  <c r="BY59" i="3"/>
  <c r="BX85" i="3"/>
  <c r="BY50" i="3"/>
  <c r="BY21" i="3"/>
  <c r="BY63" i="3"/>
  <c r="BY33" i="3"/>
  <c r="BY49" i="3"/>
  <c r="BY81" i="3"/>
  <c r="BY67" i="3"/>
  <c r="BY41" i="3"/>
  <c r="BY37" i="3"/>
  <c r="BY45" i="3"/>
  <c r="BY29" i="3"/>
  <c r="BY72" i="3"/>
  <c r="BY69" i="3"/>
  <c r="BY64" i="3"/>
  <c r="BY43" i="3"/>
  <c r="BY71" i="3"/>
  <c r="BY68" i="3"/>
  <c r="BY78" i="3"/>
  <c r="BY79" i="3"/>
  <c r="BX80" i="22746"/>
  <c r="CE84" i="3" l="1"/>
  <c r="CD78" i="3" s="1"/>
  <c r="CE78" i="3" s="1"/>
  <c r="C33" i="22714"/>
  <c r="F33" i="22714"/>
  <c r="G33" i="22714"/>
  <c r="BX81" i="22746"/>
  <c r="CE79" i="3" l="1"/>
  <c r="BY67" i="22746"/>
  <c r="BY43" i="22746"/>
  <c r="E33" i="22748"/>
  <c r="BY48" i="22746"/>
  <c r="BY49" i="22746"/>
  <c r="BY68" i="22746"/>
  <c r="BY81" i="22746"/>
  <c r="BY77" i="22746"/>
  <c r="BY69" i="22746"/>
  <c r="BY63" i="22746"/>
  <c r="BY52" i="22746"/>
  <c r="BY47" i="22746"/>
  <c r="BX85" i="22746"/>
  <c r="BY66" i="22746"/>
  <c r="BY70" i="22746"/>
  <c r="BY65" i="22746"/>
  <c r="BY18" i="22746"/>
  <c r="BY62" i="22746"/>
  <c r="BY64" i="22746"/>
  <c r="BY71" i="22746"/>
  <c r="BY72" i="22746"/>
  <c r="BY74" i="22746"/>
  <c r="BY19" i="22746"/>
  <c r="BY53" i="22746"/>
  <c r="BY21" i="22746"/>
  <c r="BY59" i="22746"/>
  <c r="BY45" i="22746"/>
  <c r="BY36" i="22746"/>
  <c r="BY39" i="22746"/>
  <c r="BY40" i="22746"/>
  <c r="BY38" i="22746"/>
  <c r="BY37" i="22746"/>
  <c r="BY56" i="22746"/>
  <c r="BY73" i="22746"/>
  <c r="BY41" i="22746"/>
  <c r="BY50" i="22746"/>
  <c r="BY75" i="22746"/>
  <c r="BY54" i="22746"/>
  <c r="BY44" i="22746"/>
  <c r="BX83" i="22746"/>
  <c r="BY60" i="22746"/>
  <c r="BY78" i="22746"/>
  <c r="BY79" i="22746"/>
  <c r="BY80" i="22746"/>
  <c r="CE80" i="3" l="1"/>
  <c r="F33" i="22748"/>
  <c r="G33" i="22748"/>
  <c r="C33" i="22748"/>
  <c r="CE84" i="22746"/>
  <c r="CD78" i="22746" s="1"/>
  <c r="CE78" i="22746" s="1"/>
  <c r="CE81" i="3" l="1"/>
  <c r="CE79" i="22746"/>
  <c r="CF80" i="3" l="1"/>
  <c r="CF73" i="3"/>
  <c r="CF69" i="3"/>
  <c r="CE85" i="3"/>
  <c r="CF68" i="3"/>
  <c r="CF26" i="3"/>
  <c r="CF41" i="3"/>
  <c r="CF40" i="3"/>
  <c r="CF29" i="3"/>
  <c r="CF48" i="3"/>
  <c r="CF62" i="3"/>
  <c r="CF70" i="3"/>
  <c r="CF36" i="3"/>
  <c r="CF65" i="3"/>
  <c r="CF19" i="3"/>
  <c r="CF50" i="3"/>
  <c r="CF43" i="3"/>
  <c r="CF74" i="3"/>
  <c r="CF53" i="3"/>
  <c r="CF81" i="3"/>
  <c r="CF27" i="3"/>
  <c r="CF28" i="3"/>
  <c r="CF38" i="3"/>
  <c r="CF33" i="3"/>
  <c r="CF67" i="3"/>
  <c r="CF60" i="3"/>
  <c r="CF72" i="3"/>
  <c r="CF52" i="3"/>
  <c r="E34" i="22714"/>
  <c r="CF71" i="3"/>
  <c r="CF45" i="3"/>
  <c r="CF49" i="3"/>
  <c r="CF47" i="3"/>
  <c r="CF30" i="3"/>
  <c r="CF25" i="3"/>
  <c r="CE83" i="3"/>
  <c r="CF75" i="3"/>
  <c r="CF18" i="3"/>
  <c r="CF44" i="3"/>
  <c r="CF54" i="3"/>
  <c r="CF64" i="3"/>
  <c r="CF59" i="3"/>
  <c r="CF77" i="3"/>
  <c r="CF39" i="3"/>
  <c r="CF66" i="3"/>
  <c r="CF21" i="3"/>
  <c r="CF37" i="3"/>
  <c r="CF63" i="3"/>
  <c r="CF78" i="3"/>
  <c r="CF79" i="3"/>
  <c r="CE80" i="22746"/>
  <c r="G34" i="22714" l="1"/>
  <c r="F34" i="22714"/>
  <c r="CL84" i="3"/>
  <c r="CK78" i="3" s="1"/>
  <c r="CL78" i="3" s="1"/>
  <c r="C34" i="22714"/>
  <c r="CE81" i="22746"/>
  <c r="CF80" i="22746" s="1"/>
  <c r="CL79" i="3" l="1"/>
  <c r="CF74" i="22746"/>
  <c r="CF52" i="22746"/>
  <c r="CF36" i="22746"/>
  <c r="CF47" i="22746"/>
  <c r="CF63" i="22746"/>
  <c r="CF77" i="22746"/>
  <c r="CF66" i="22746"/>
  <c r="CF48" i="22746"/>
  <c r="CF53" i="22746"/>
  <c r="CF81" i="22746"/>
  <c r="CE85" i="22746"/>
  <c r="CF65" i="22746"/>
  <c r="CF43" i="22746"/>
  <c r="CF45" i="22746"/>
  <c r="CF71" i="22746"/>
  <c r="E34" i="22748"/>
  <c r="CF49" i="22746"/>
  <c r="CF70" i="22746"/>
  <c r="CF64" i="22746"/>
  <c r="CF62" i="22746"/>
  <c r="CF59" i="22746"/>
  <c r="CF67" i="22746"/>
  <c r="CF68" i="22746"/>
  <c r="CF21" i="22746"/>
  <c r="CF69" i="22746"/>
  <c r="CF19" i="22746"/>
  <c r="CF18" i="22746"/>
  <c r="CF72" i="22746"/>
  <c r="CF37" i="22746"/>
  <c r="CF40" i="22746"/>
  <c r="CF38" i="22746"/>
  <c r="CF39" i="22746"/>
  <c r="CF56" i="22746"/>
  <c r="CF50" i="22746"/>
  <c r="CF73" i="22746"/>
  <c r="CF41" i="22746"/>
  <c r="CF54" i="22746"/>
  <c r="CF44" i="22746"/>
  <c r="CF75" i="22746"/>
  <c r="CE83" i="22746"/>
  <c r="CF60" i="22746"/>
  <c r="CF78" i="22746"/>
  <c r="CF79" i="22746"/>
  <c r="CL80" i="3" l="1"/>
  <c r="CL81" i="3" s="1"/>
  <c r="G34" i="22748"/>
  <c r="F34" i="22748"/>
  <c r="C34" i="22748"/>
  <c r="CL84" i="22746"/>
  <c r="CK78" i="22746" s="1"/>
  <c r="CL78" i="22746" s="1"/>
  <c r="CM79" i="3" l="1"/>
  <c r="CM80" i="3"/>
  <c r="CM43" i="3"/>
  <c r="CM47" i="3"/>
  <c r="CM62" i="3"/>
  <c r="CM73" i="3"/>
  <c r="CM75" i="3"/>
  <c r="CM77" i="3"/>
  <c r="CM69" i="3"/>
  <c r="CM49" i="3"/>
  <c r="CM45" i="3"/>
  <c r="CM48" i="3"/>
  <c r="CL85" i="3"/>
  <c r="CM63" i="3"/>
  <c r="CM19" i="3"/>
  <c r="CM44" i="3"/>
  <c r="CM28" i="3"/>
  <c r="CM41" i="3"/>
  <c r="CM71" i="3"/>
  <c r="CM52" i="3"/>
  <c r="CM33" i="3"/>
  <c r="CM21" i="3"/>
  <c r="CM18" i="3"/>
  <c r="CM70" i="3"/>
  <c r="CM81" i="3"/>
  <c r="CM50" i="3"/>
  <c r="CM37" i="3"/>
  <c r="CM64" i="3"/>
  <c r="CM30" i="3"/>
  <c r="CM27" i="3"/>
  <c r="CM53" i="3"/>
  <c r="CM68" i="3"/>
  <c r="CM39" i="3"/>
  <c r="E35" i="22714"/>
  <c r="CM26" i="3"/>
  <c r="CM25" i="3"/>
  <c r="CM74" i="3"/>
  <c r="CM29" i="3"/>
  <c r="CM67" i="3"/>
  <c r="CM59" i="3"/>
  <c r="CM40" i="3"/>
  <c r="CM36" i="3"/>
  <c r="CM38" i="3"/>
  <c r="CM66" i="3"/>
  <c r="CM60" i="3"/>
  <c r="CM72" i="3"/>
  <c r="CM65" i="3"/>
  <c r="CM54" i="3"/>
  <c r="CL83" i="3"/>
  <c r="CM78" i="3"/>
  <c r="CL79" i="22746"/>
  <c r="G35" i="22714" l="1"/>
  <c r="F35" i="22714"/>
  <c r="C35" i="22714"/>
  <c r="CS84" i="3"/>
  <c r="CR78" i="3" s="1"/>
  <c r="CS78" i="3" s="1"/>
  <c r="CL80" i="22746"/>
  <c r="CS79" i="3" l="1"/>
  <c r="CL81" i="22746"/>
  <c r="CM80" i="22746" s="1"/>
  <c r="CS80" i="3" l="1"/>
  <c r="CM47" i="22746"/>
  <c r="CM21" i="22746"/>
  <c r="E35" i="22748"/>
  <c r="CM65" i="22746"/>
  <c r="CM71" i="22746"/>
  <c r="CM48" i="22746"/>
  <c r="CM64" i="22746"/>
  <c r="CM62" i="22746"/>
  <c r="CM70" i="22746"/>
  <c r="CM43" i="22746"/>
  <c r="CM52" i="22746"/>
  <c r="CM67" i="22746"/>
  <c r="CM69" i="22746"/>
  <c r="CM18" i="22746"/>
  <c r="CM81" i="22746"/>
  <c r="CM53" i="22746"/>
  <c r="CM45" i="22746"/>
  <c r="CM19" i="22746"/>
  <c r="CM59" i="22746"/>
  <c r="CM49" i="22746"/>
  <c r="CM68" i="22746"/>
  <c r="CM72" i="22746"/>
  <c r="CL85" i="22746"/>
  <c r="CM63" i="22746"/>
  <c r="CM74" i="22746"/>
  <c r="CM77" i="22746"/>
  <c r="CM36" i="22746"/>
  <c r="CM66" i="22746"/>
  <c r="CM40" i="22746"/>
  <c r="CM39" i="22746"/>
  <c r="CM37" i="22746"/>
  <c r="CM38" i="22746"/>
  <c r="CM41" i="22746"/>
  <c r="CM56" i="22746"/>
  <c r="CM50" i="22746"/>
  <c r="CM73" i="22746"/>
  <c r="CM54" i="22746"/>
  <c r="CM44" i="22746"/>
  <c r="CM75" i="22746"/>
  <c r="CM60" i="22746"/>
  <c r="CL83" i="22746"/>
  <c r="CM78" i="22746"/>
  <c r="CM79" i="22746"/>
  <c r="CS81" i="3" l="1"/>
  <c r="G35" i="22748"/>
  <c r="F35" i="22748"/>
  <c r="C35" i="22748"/>
  <c r="CS84" i="22746"/>
  <c r="CR78" i="22746" s="1"/>
  <c r="CS78" i="22746" s="1"/>
  <c r="N58" i="3" l="1"/>
  <c r="N56" i="3"/>
  <c r="U58" i="3"/>
  <c r="U56" i="3"/>
  <c r="AB58" i="3"/>
  <c r="AB56" i="3"/>
  <c r="AI58" i="3"/>
  <c r="AI56" i="3"/>
  <c r="AP58" i="3"/>
  <c r="AP56" i="3"/>
  <c r="AW58" i="3"/>
  <c r="AW56" i="3"/>
  <c r="BD58" i="3"/>
  <c r="BD56" i="3"/>
  <c r="BK58" i="3"/>
  <c r="BK56" i="3"/>
  <c r="BR58" i="3"/>
  <c r="BR56" i="3"/>
  <c r="BY58" i="3"/>
  <c r="BY56" i="3"/>
  <c r="CF58" i="3"/>
  <c r="CF56" i="3"/>
  <c r="CM58" i="3"/>
  <c r="CM56" i="3"/>
  <c r="CT55" i="3"/>
  <c r="CT57" i="3"/>
  <c r="N57" i="3"/>
  <c r="N55" i="3"/>
  <c r="U57" i="3"/>
  <c r="U55" i="3"/>
  <c r="AB57" i="3"/>
  <c r="AB55" i="3"/>
  <c r="AI57" i="3"/>
  <c r="AI55" i="3"/>
  <c r="AP57" i="3"/>
  <c r="AP55" i="3"/>
  <c r="AW57" i="3"/>
  <c r="AW55" i="3"/>
  <c r="BD57" i="3"/>
  <c r="BD55" i="3"/>
  <c r="BK57" i="3"/>
  <c r="BK55" i="3"/>
  <c r="BR57" i="3"/>
  <c r="BR55" i="3"/>
  <c r="BY57" i="3"/>
  <c r="BY55" i="3"/>
  <c r="CF57" i="3"/>
  <c r="CF55" i="3"/>
  <c r="CM57" i="3"/>
  <c r="CM55" i="3"/>
  <c r="CT56" i="3"/>
  <c r="CT58" i="3"/>
  <c r="CT80" i="3"/>
  <c r="CT49" i="3"/>
  <c r="CT54" i="3"/>
  <c r="CT75" i="3"/>
  <c r="CT59" i="3"/>
  <c r="CT71" i="3"/>
  <c r="CT65" i="3"/>
  <c r="CT25" i="3"/>
  <c r="CT69" i="3"/>
  <c r="CS83" i="3"/>
  <c r="CT41" i="3"/>
  <c r="CT45" i="3"/>
  <c r="CT74" i="3"/>
  <c r="CT19" i="3"/>
  <c r="CT47" i="3"/>
  <c r="CT50" i="3"/>
  <c r="CT29" i="3"/>
  <c r="CT62" i="3"/>
  <c r="CT30" i="3"/>
  <c r="CT63" i="3"/>
  <c r="CT33" i="3"/>
  <c r="CT72" i="3"/>
  <c r="E36" i="22714"/>
  <c r="CT37" i="3"/>
  <c r="CT66" i="3"/>
  <c r="CT60" i="3"/>
  <c r="CT18" i="3"/>
  <c r="CT77" i="3"/>
  <c r="CT36" i="3"/>
  <c r="CT48" i="3"/>
  <c r="CT68" i="3"/>
  <c r="CT73" i="3"/>
  <c r="CT67" i="3"/>
  <c r="CT21" i="3"/>
  <c r="CS85" i="3"/>
  <c r="CT44" i="3"/>
  <c r="CT26" i="3"/>
  <c r="CT27" i="3"/>
  <c r="CT28" i="3"/>
  <c r="CT81" i="3"/>
  <c r="CT38" i="3"/>
  <c r="CT70" i="3"/>
  <c r="CT39" i="3"/>
  <c r="CT43" i="3"/>
  <c r="CT52" i="3"/>
  <c r="CT53" i="3"/>
  <c r="CT40" i="3"/>
  <c r="CT64" i="3"/>
  <c r="CT78" i="3"/>
  <c r="CT79" i="3"/>
  <c r="CS79" i="22746"/>
  <c r="CZ84" i="3" l="1"/>
  <c r="CY78" i="3" s="1"/>
  <c r="CZ78" i="3" s="1"/>
  <c r="C36" i="22714"/>
  <c r="G36" i="22714"/>
  <c r="F36" i="22714"/>
  <c r="CS80" i="22746"/>
  <c r="CZ79" i="3" l="1"/>
  <c r="CS81" i="22746"/>
  <c r="CZ80" i="3" l="1"/>
  <c r="CZ81" i="3" s="1"/>
  <c r="CT18" i="22746"/>
  <c r="CT81" i="22746"/>
  <c r="CS85" i="22746"/>
  <c r="CT72" i="22746"/>
  <c r="CT59" i="22746"/>
  <c r="CT65" i="22746"/>
  <c r="CT68" i="22746"/>
  <c r="CT21" i="22746"/>
  <c r="CT66" i="22746"/>
  <c r="CT52" i="22746"/>
  <c r="CT49" i="22746"/>
  <c r="E36" i="22748"/>
  <c r="CT53" i="22746"/>
  <c r="CT63" i="22746"/>
  <c r="CT45" i="22746"/>
  <c r="CT77" i="22746"/>
  <c r="CT36" i="22746"/>
  <c r="CT64" i="22746"/>
  <c r="CT69" i="22746"/>
  <c r="CT74" i="22746"/>
  <c r="CT47" i="22746"/>
  <c r="CT70" i="22746"/>
  <c r="CT62" i="22746"/>
  <c r="CT48" i="22746"/>
  <c r="CT43" i="22746"/>
  <c r="CT71" i="22746"/>
  <c r="CT67" i="22746"/>
  <c r="CT19" i="22746"/>
  <c r="CT40" i="22746"/>
  <c r="CT38" i="22746"/>
  <c r="CT39" i="22746"/>
  <c r="CT37" i="22746"/>
  <c r="CT56" i="22746"/>
  <c r="CT41" i="22746"/>
  <c r="CT50" i="22746"/>
  <c r="CT73" i="22746"/>
  <c r="CT54" i="22746"/>
  <c r="CS83" i="22746"/>
  <c r="CT75" i="22746"/>
  <c r="CT44" i="22746"/>
  <c r="CT60" i="22746"/>
  <c r="CT78" i="22746"/>
  <c r="CT79" i="22746"/>
  <c r="CT80" i="22746"/>
  <c r="DA57" i="3" l="1"/>
  <c r="DA58" i="3"/>
  <c r="DA79" i="3"/>
  <c r="DA80" i="3"/>
  <c r="DA69" i="3"/>
  <c r="DA48" i="3"/>
  <c r="DA33" i="3"/>
  <c r="DA72" i="3"/>
  <c r="DA29" i="3"/>
  <c r="DA36" i="3"/>
  <c r="DA27" i="3"/>
  <c r="DA81" i="3"/>
  <c r="DA54" i="3"/>
  <c r="DA63" i="3"/>
  <c r="DA28" i="3"/>
  <c r="DA68" i="3"/>
  <c r="DA56" i="3"/>
  <c r="DA53" i="3"/>
  <c r="DA73" i="3"/>
  <c r="DA66" i="3"/>
  <c r="DA75" i="3"/>
  <c r="DA74" i="3"/>
  <c r="DA30" i="3"/>
  <c r="CZ83" i="3"/>
  <c r="DA65" i="3"/>
  <c r="DA50" i="3"/>
  <c r="DA71" i="3"/>
  <c r="DA18" i="3"/>
  <c r="DA21" i="3"/>
  <c r="DA40" i="3"/>
  <c r="DA19" i="3"/>
  <c r="DA67" i="3"/>
  <c r="DA25" i="3"/>
  <c r="DA70" i="3"/>
  <c r="DA39" i="3"/>
  <c r="DA49" i="3"/>
  <c r="DA45" i="3"/>
  <c r="DA77" i="3"/>
  <c r="DA47" i="3"/>
  <c r="DA60" i="3"/>
  <c r="E37" i="22714"/>
  <c r="CZ85" i="3"/>
  <c r="C37" i="22714" s="1"/>
  <c r="C40" i="22714" s="1"/>
  <c r="H67" i="22715" s="1"/>
  <c r="DA26" i="3"/>
  <c r="DA41" i="3"/>
  <c r="DA59" i="3"/>
  <c r="DA43" i="3"/>
  <c r="DA64" i="3"/>
  <c r="DA44" i="3"/>
  <c r="DA62" i="3"/>
  <c r="DA52" i="3"/>
  <c r="DA38" i="3"/>
  <c r="DA37" i="3"/>
  <c r="DA78" i="3"/>
  <c r="F36" i="22748"/>
  <c r="G36" i="22748"/>
  <c r="CZ84" i="22746"/>
  <c r="CY78" i="22746" s="1"/>
  <c r="CZ78" i="22746" s="1"/>
  <c r="C36" i="22748"/>
  <c r="F37" i="22714" l="1"/>
  <c r="G37" i="22714"/>
  <c r="CZ79" i="22746"/>
  <c r="CZ80" i="22746" l="1"/>
  <c r="CZ81" i="22746" l="1"/>
  <c r="DA80" i="22746" l="1"/>
  <c r="CT58" i="22746"/>
  <c r="DA57" i="22746"/>
  <c r="CT57" i="22746"/>
  <c r="DA58" i="22746"/>
  <c r="DA53" i="22746"/>
  <c r="DA36" i="22746"/>
  <c r="DA64" i="22746"/>
  <c r="CZ85" i="22746"/>
  <c r="C37" i="22748" s="1"/>
  <c r="C40" i="22748" s="1"/>
  <c r="J67" i="22715" s="1"/>
  <c r="I67" i="22715" s="1"/>
  <c r="DA63" i="22746"/>
  <c r="DA65" i="22746"/>
  <c r="DA81" i="22746"/>
  <c r="E37" i="22748"/>
  <c r="DA49" i="22746"/>
  <c r="DA68" i="22746"/>
  <c r="DA19" i="22746"/>
  <c r="DA43" i="22746"/>
  <c r="DA77" i="22746"/>
  <c r="DA18" i="22746"/>
  <c r="DA21" i="22746"/>
  <c r="DA66" i="22746"/>
  <c r="DA74" i="22746"/>
  <c r="DA59" i="22746"/>
  <c r="DA67" i="22746"/>
  <c r="DA62" i="22746"/>
  <c r="DA52" i="22746"/>
  <c r="DA47" i="22746"/>
  <c r="DA69" i="22746"/>
  <c r="DA45" i="22746"/>
  <c r="DA48" i="22746"/>
  <c r="DA40" i="22746"/>
  <c r="DA39" i="22746"/>
  <c r="DA37" i="22746"/>
  <c r="DA38" i="22746"/>
  <c r="DA73" i="22746"/>
  <c r="DA41" i="22746"/>
  <c r="DA50" i="22746"/>
  <c r="DA56" i="22746"/>
  <c r="DA44" i="22746"/>
  <c r="DA75" i="22746"/>
  <c r="DA54" i="22746"/>
  <c r="CZ83" i="22746"/>
  <c r="DA60" i="22746"/>
  <c r="DA78" i="22746"/>
  <c r="DA79" i="22746"/>
  <c r="G37" i="22748" l="1"/>
  <c r="F37" i="227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FAW</author>
    <author>zue</author>
  </authors>
  <commentList>
    <comment ref="A5" authorId="0" shapeId="0" xr:uid="{00000000-0006-0000-0000-000001000000}">
      <text>
        <r>
          <rPr>
            <b/>
            <sz val="8"/>
            <color indexed="81"/>
            <rFont val="Tahoma"/>
            <family val="2"/>
          </rPr>
          <t>ACW:</t>
        </r>
        <r>
          <rPr>
            <sz val="8"/>
            <color indexed="81"/>
            <rFont val="Tahoma"/>
            <family val="2"/>
          </rPr>
          <t xml:space="preserve">
</t>
        </r>
        <r>
          <rPr>
            <sz val="11"/>
            <color indexed="81"/>
            <rFont val="Tahoma"/>
            <family val="2"/>
          </rPr>
          <t>Diese Seite ist schreibgeschützt. Der Schutz kann mit dem Kennwort "arbokost" aufgehoben werden</t>
        </r>
      </text>
    </comment>
    <comment ref="B7" authorId="1" shapeId="0" xr:uid="{00000000-0006-0000-0000-000002000000}">
      <text>
        <r>
          <rPr>
            <sz val="10"/>
            <color indexed="81"/>
            <rFont val="Tahoma"/>
            <family val="2"/>
          </rPr>
          <t>Entspricht den berechneten  PK Kl.I aus einem 3-jährigen Datensatz der ACW Erhebungsbetriebe</t>
        </r>
      </text>
    </comment>
    <comment ref="B14" authorId="1" shapeId="0" xr:uid="{00000000-0006-0000-0000-000003000000}">
      <text>
        <r>
          <rPr>
            <b/>
            <sz val="10"/>
            <color indexed="81"/>
            <rFont val="Tahoma"/>
            <family val="2"/>
          </rPr>
          <t>zue:</t>
        </r>
        <r>
          <rPr>
            <sz val="10"/>
            <color indexed="81"/>
            <rFont val="Tahoma"/>
            <family val="2"/>
          </rPr>
          <t xml:space="preserve">
10 Jahresschnitt für Golden . Quelle: BLW</t>
        </r>
      </text>
    </comment>
    <comment ref="D27" authorId="0" shapeId="0" xr:uid="{00000000-0006-0000-0000-000004000000}">
      <text>
        <r>
          <rPr>
            <b/>
            <sz val="8"/>
            <color indexed="81"/>
            <rFont val="Tahoma"/>
            <family val="2"/>
          </rPr>
          <t>ACW:</t>
        </r>
        <r>
          <rPr>
            <sz val="8"/>
            <color indexed="81"/>
            <rFont val="Tahoma"/>
            <family val="2"/>
          </rPr>
          <t xml:space="preserve">
</t>
        </r>
        <r>
          <rPr>
            <sz val="10"/>
            <color indexed="81"/>
            <rFont val="Tahoma"/>
            <family val="2"/>
          </rPr>
          <t>Bei einer Änderung der Bäume/ha auch Ertrag/Jahr korrigieren</t>
        </r>
      </text>
    </comment>
    <comment ref="D34" authorId="0" shapeId="0" xr:uid="{00000000-0006-0000-0000-000005000000}">
      <text>
        <r>
          <rPr>
            <b/>
            <sz val="11"/>
            <color indexed="81"/>
            <rFont val="Tahoma"/>
            <family val="2"/>
          </rPr>
          <t>FAW:</t>
        </r>
        <r>
          <rPr>
            <sz val="11"/>
            <color indexed="81"/>
            <rFont val="Tahoma"/>
            <family val="2"/>
          </rPr>
          <t xml:space="preserve">
Mit einem Hagelnetz, Maschinenkosten anpassen: Wert von "Variante Ertragsphase F72" in "Eingabeseite D29" kopieren</t>
        </r>
      </text>
    </comment>
    <comment ref="G46" authorId="1" shapeId="0" xr:uid="{00000000-0006-0000-0000-000006000000}">
      <text>
        <r>
          <rPr>
            <b/>
            <sz val="10"/>
            <color indexed="81"/>
            <rFont val="Tahoma"/>
            <family val="2"/>
          </rPr>
          <t>zue:</t>
        </r>
        <r>
          <rPr>
            <sz val="10"/>
            <color indexed="81"/>
            <rFont val="Tahoma"/>
            <family val="2"/>
          </rPr>
          <t xml:space="preserve">
Leistung sollte Betriebsminimum  decken</t>
        </r>
      </text>
    </comment>
    <comment ref="G59" authorId="1" shapeId="0" xr:uid="{00000000-0006-0000-0000-000007000000}">
      <text>
        <r>
          <rPr>
            <b/>
            <sz val="10"/>
            <color indexed="81"/>
            <rFont val="Tahoma"/>
            <family val="2"/>
          </rPr>
          <t>zue:</t>
        </r>
        <r>
          <rPr>
            <sz val="10"/>
            <color indexed="81"/>
            <rFont val="Tahoma"/>
            <family val="2"/>
          </rPr>
          <t xml:space="preserve">
Cash Flow sollte Abschreibungen decken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Liebegg</author>
    <author>FAW</author>
  </authors>
  <commentList>
    <comment ref="A5" authorId="0" shapeId="0" xr:uid="{00000000-0006-0000-0B00-000001000000}">
      <text>
        <r>
          <rPr>
            <b/>
            <sz val="8"/>
            <color indexed="81"/>
            <rFont val="Tahoma"/>
            <family val="2"/>
          </rPr>
          <t>Liebegg:</t>
        </r>
        <r>
          <rPr>
            <sz val="8"/>
            <color indexed="81"/>
            <rFont val="Tahoma"/>
            <family val="2"/>
          </rPr>
          <t xml:space="preserve">
Kostenstadn 2006/2007
Offerte THURELLA</t>
        </r>
      </text>
    </comment>
    <comment ref="B14" authorId="0" shapeId="0" xr:uid="{00000000-0006-0000-0B00-000002000000}">
      <text>
        <r>
          <rPr>
            <b/>
            <sz val="8"/>
            <color indexed="81"/>
            <rFont val="Tahoma"/>
            <family val="2"/>
          </rPr>
          <t>ACW:</t>
        </r>
        <r>
          <rPr>
            <sz val="8"/>
            <color indexed="81"/>
            <rFont val="Tahoma"/>
            <family val="2"/>
          </rPr>
          <t xml:space="preserve">
Anbohrschellen 50mmx3/4 21 Stck. à 4.80, Aufschraubnippel 3/4 x 20 mm 22 Stck. à 1.5, Tropfschlauchenden 22 à 70 Rp. (Quelle Anbauempehlung für die Obstregion NO-CH 2007)
</t>
        </r>
      </text>
    </comment>
    <comment ref="B17" authorId="0" shapeId="0" xr:uid="{00000000-0006-0000-0B00-000003000000}">
      <text>
        <r>
          <rPr>
            <b/>
            <sz val="8"/>
            <color indexed="81"/>
            <rFont val="Tahoma"/>
            <family val="2"/>
          </rPr>
          <t>ACW:</t>
        </r>
        <r>
          <rPr>
            <sz val="8"/>
            <color indexed="81"/>
            <rFont val="Tahoma"/>
            <family val="2"/>
          </rPr>
          <t xml:space="preserve">
Tropfschlauch Anschluss an Sektorenleitung 21 x 1 m 20mmà 1.-- (Quelle: Anbauempfehlung für die Obstregion NO-CH 2007)</t>
        </r>
      </text>
    </comment>
    <comment ref="B19" authorId="0" shapeId="0" xr:uid="{00000000-0006-0000-0B00-000004000000}">
      <text>
        <r>
          <rPr>
            <b/>
            <sz val="8"/>
            <color indexed="81"/>
            <rFont val="Tahoma"/>
            <family val="2"/>
          </rPr>
          <t>ACW:</t>
        </r>
        <r>
          <rPr>
            <sz val="8"/>
            <color indexed="81"/>
            <rFont val="Tahoma"/>
            <family val="2"/>
          </rPr>
          <t xml:space="preserve">
Sektorenleitung Zuleitung Kultur (Quelle Anbauempfehlung für die Obstregion NO-CH 2007)
Für Hauptlietung PE 63mm PN 12.5 bzw. PE ND 8 63 mm à 6.--</t>
        </r>
      </text>
    </comment>
    <comment ref="B22" authorId="0" shapeId="0" xr:uid="{00000000-0006-0000-0B00-000005000000}">
      <text>
        <r>
          <rPr>
            <b/>
            <sz val="8"/>
            <color indexed="81"/>
            <rFont val="Tahoma"/>
            <family val="2"/>
          </rPr>
          <t>ACW:</t>
        </r>
        <r>
          <rPr>
            <sz val="8"/>
            <color indexed="81"/>
            <rFont val="Tahoma"/>
            <family val="2"/>
          </rPr>
          <t xml:space="preserve">
Sektorenleitungsendeverschluss 50mm 1 Stck à 10.80,
plus Anschlusskupplung 2" 50mm pro Sektor 1 (Quelle: Anbauempfehlung für die Obstregion NO-CH 2007)</t>
        </r>
      </text>
    </comment>
    <comment ref="A33" authorId="1" shapeId="0" xr:uid="{00000000-0006-0000-0B00-000006000000}">
      <text>
        <r>
          <rPr>
            <b/>
            <sz val="8"/>
            <color indexed="81"/>
            <rFont val="Tahoma"/>
            <family val="2"/>
          </rPr>
          <t>ACW:</t>
        </r>
        <r>
          <rPr>
            <sz val="8"/>
            <color indexed="81"/>
            <rFont val="Tahoma"/>
            <family val="2"/>
          </rPr>
          <t xml:space="preserve">
Inkl. Mehrwertsteuer</t>
        </r>
      </text>
    </comment>
    <comment ref="D65" authorId="0" shapeId="0" xr:uid="{00000000-0006-0000-0B00-000007000000}">
      <text>
        <r>
          <rPr>
            <b/>
            <sz val="8"/>
            <color indexed="81"/>
            <rFont val="Tahoma"/>
            <family val="2"/>
          </rPr>
          <t>Liebegg:</t>
        </r>
        <r>
          <rPr>
            <sz val="8"/>
            <color indexed="81"/>
            <rFont val="Tahoma"/>
            <family val="2"/>
          </rPr>
          <t xml:space="preserve">
1 Sprinkler pro Baum</t>
        </r>
      </text>
    </comment>
    <comment ref="B66" authorId="0" shapeId="0" xr:uid="{00000000-0006-0000-0B00-000008000000}">
      <text>
        <r>
          <rPr>
            <b/>
            <sz val="8"/>
            <color indexed="81"/>
            <rFont val="Tahoma"/>
            <family val="2"/>
          </rPr>
          <t>Liebegg:</t>
        </r>
        <r>
          <rPr>
            <sz val="8"/>
            <color indexed="81"/>
            <rFont val="Tahoma"/>
            <family val="2"/>
          </rPr>
          <t xml:space="preserve">
17 Stck. Anbohrschellen 50mmx3/4. à 4.80, 
17 Stck. Plasim Anschlusskupplung 3/4"x25mm à 4.80  
18 Stck. Plasim Schlauchkupplungen 25x25mm à 5.80
17 Stck. Plassim Schlauchenden  4.80</t>
        </r>
      </text>
    </comment>
    <comment ref="B68" authorId="0" shapeId="0" xr:uid="{00000000-0006-0000-0B00-000009000000}">
      <text>
        <r>
          <rPr>
            <b/>
            <sz val="8"/>
            <color indexed="81"/>
            <rFont val="Tahoma"/>
            <family val="2"/>
          </rPr>
          <t>Liebegg:</t>
        </r>
        <r>
          <rPr>
            <sz val="8"/>
            <color indexed="81"/>
            <rFont val="Tahoma"/>
            <family val="2"/>
          </rPr>
          <t xml:space="preserve">
Schlauchaufhänger Blitzbinder 7 cm, kg à 490 Stck, 4 kg à 38.-</t>
        </r>
      </text>
    </comment>
    <comment ref="B71" authorId="0" shapeId="0" xr:uid="{00000000-0006-0000-0B00-00000A000000}">
      <text>
        <r>
          <rPr>
            <b/>
            <sz val="8"/>
            <color indexed="81"/>
            <rFont val="Tahoma"/>
            <family val="2"/>
          </rPr>
          <t>Liebegg:</t>
        </r>
        <r>
          <rPr>
            <sz val="8"/>
            <color indexed="81"/>
            <rFont val="Tahoma"/>
            <family val="2"/>
          </rPr>
          <t xml:space="preserve">
Sektorenleitung Zuleitung Kultur
Für Hauptlietung PE 63mm PN 12.5 bzw. PE ND 8 63 mm à 6.--</t>
        </r>
      </text>
    </comment>
    <comment ref="B74" authorId="0" shapeId="0" xr:uid="{00000000-0006-0000-0B00-00000B000000}">
      <text>
        <r>
          <rPr>
            <b/>
            <sz val="8"/>
            <color indexed="81"/>
            <rFont val="Tahoma"/>
            <family val="2"/>
          </rPr>
          <t>Liebegg:</t>
        </r>
        <r>
          <rPr>
            <sz val="8"/>
            <color indexed="81"/>
            <rFont val="Tahoma"/>
            <family val="2"/>
          </rPr>
          <t xml:space="preserve">
4 Stck Sektorenleitungsendeverschluss 50mm  à 10.80,
4 Anschlusskupplung 2" 50mm für  Sektoren  à 18.4 4 Sektoren
</t>
        </r>
      </text>
    </comment>
    <comment ref="B80" authorId="0" shapeId="0" xr:uid="{00000000-0006-0000-0B00-00000C000000}">
      <text>
        <r>
          <rPr>
            <b/>
            <sz val="8"/>
            <color indexed="81"/>
            <rFont val="Tahoma"/>
            <family val="2"/>
          </rPr>
          <t>Liebegg:</t>
        </r>
        <r>
          <rPr>
            <sz val="8"/>
            <color indexed="81"/>
            <rFont val="Tahoma"/>
            <family val="2"/>
          </rPr>
          <t xml:space="preserve">
Bermet AC 24 Volt 1.5"</t>
        </r>
      </text>
    </comment>
    <comment ref="B81" authorId="0" shapeId="0" xr:uid="{00000000-0006-0000-0B00-00000D000000}">
      <text>
        <r>
          <rPr>
            <b/>
            <sz val="8"/>
            <color indexed="81"/>
            <rFont val="Tahoma"/>
            <family val="2"/>
          </rPr>
          <t>Liebegg:</t>
        </r>
        <r>
          <rPr>
            <sz val="8"/>
            <color indexed="81"/>
            <rFont val="Tahoma"/>
            <family val="2"/>
          </rPr>
          <t xml:space="preserve">
Miracle Netz 220 V 6 Stationen inkl. Abdeckung Wasserdicht</t>
        </r>
      </text>
    </comment>
    <comment ref="B82" authorId="0" shapeId="0" xr:uid="{00000000-0006-0000-0B00-00000E000000}">
      <text>
        <r>
          <rPr>
            <b/>
            <sz val="8"/>
            <color indexed="81"/>
            <rFont val="Tahoma"/>
            <family val="2"/>
          </rPr>
          <t>Liebegg:</t>
        </r>
        <r>
          <rPr>
            <sz val="8"/>
            <color indexed="81"/>
            <rFont val="Tahoma"/>
            <family val="2"/>
          </rPr>
          <t xml:space="preserve">
Druckmanometer</t>
        </r>
      </text>
    </comment>
    <comment ref="F84" authorId="0" shapeId="0" xr:uid="{00000000-0006-0000-0B00-00000F000000}">
      <text>
        <r>
          <rPr>
            <b/>
            <sz val="8"/>
            <color indexed="81"/>
            <rFont val="Tahoma"/>
            <family val="2"/>
          </rPr>
          <t>Liebegg:</t>
        </r>
        <r>
          <rPr>
            <sz val="8"/>
            <color indexed="81"/>
            <rFont val="Tahoma"/>
            <family val="2"/>
          </rPr>
          <t xml:space="preserve">
Dosatron D8R</t>
        </r>
      </text>
    </comment>
    <comment ref="A115" authorId="0" shapeId="0" xr:uid="{00000000-0006-0000-0B00-000010000000}">
      <text>
        <r>
          <rPr>
            <b/>
            <sz val="8"/>
            <color indexed="81"/>
            <rFont val="Tahoma"/>
            <family val="2"/>
          </rPr>
          <t>Liebegg:</t>
        </r>
        <r>
          <rPr>
            <sz val="8"/>
            <color indexed="81"/>
            <rFont val="Tahoma"/>
            <family val="2"/>
          </rPr>
          <t xml:space="preserve">
Für Hauptlietung PE 63mm PN 12.5 bzw. PE ND 8 63 mm à 6.--</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FAW</author>
    <author>P. Mouron</author>
  </authors>
  <commentList>
    <comment ref="C58" authorId="0" shapeId="0" xr:uid="{00000000-0006-0000-0C00-000001000000}">
      <text>
        <r>
          <rPr>
            <b/>
            <sz val="8"/>
            <color indexed="81"/>
            <rFont val="Tahoma"/>
            <family val="2"/>
          </rPr>
          <t>ACW:</t>
        </r>
        <r>
          <rPr>
            <sz val="8"/>
            <color indexed="81"/>
            <rFont val="Tahoma"/>
            <family val="2"/>
          </rPr>
          <t xml:space="preserve">
Verlustzeit entspricht 10% von der aufgelisteten Zkh oder Akh</t>
        </r>
      </text>
    </comment>
    <comment ref="C79" authorId="1" shapeId="0" xr:uid="{00000000-0006-0000-0C00-000002000000}">
      <text>
        <r>
          <rPr>
            <sz val="8"/>
            <color indexed="81"/>
            <rFont val="Tahoma"/>
            <family val="2"/>
          </rPr>
          <t>zue:
In der Regel wird hier mit 10% der totalen Stunden gerechnet.</t>
        </r>
      </text>
    </comment>
    <comment ref="C88" authorId="0" shapeId="0" xr:uid="{00000000-0006-0000-0C00-000003000000}">
      <text>
        <r>
          <rPr>
            <sz val="8"/>
            <color indexed="81"/>
            <rFont val="Tahoma"/>
            <family val="2"/>
          </rPr>
          <t xml:space="preserve">Umfang der eingezäunten Fläche abzüglich 2 Tore à je ca. 6 m 
</t>
        </r>
      </text>
    </comment>
    <comment ref="B89" authorId="0" shapeId="0" xr:uid="{00000000-0006-0000-0C00-000004000000}">
      <text>
        <r>
          <rPr>
            <sz val="9"/>
            <color indexed="81"/>
            <rFont val="Tahoma"/>
            <family val="2"/>
          </rPr>
          <t>200cm Länge, 7x7 cm Dimension; nur oben gefasst</t>
        </r>
      </text>
    </comment>
    <comment ref="C89" authorId="0" shapeId="0" xr:uid="{00000000-0006-0000-0C00-000005000000}">
      <text>
        <r>
          <rPr>
            <sz val="9"/>
            <color indexed="81"/>
            <rFont val="Tahoma"/>
            <family val="2"/>
          </rPr>
          <t>Jeder 5te Pfahl ist ein stärkerer, dh. von 100 sind 20 Pfähle stärker</t>
        </r>
      </text>
    </comment>
    <comment ref="B90" authorId="0" shapeId="0" xr:uid="{00000000-0006-0000-0C00-000006000000}">
      <text>
        <r>
          <rPr>
            <sz val="9"/>
            <color indexed="81"/>
            <rFont val="Tahoma"/>
            <family val="2"/>
          </rPr>
          <t>225 cm lang; 8x8cm Dimension, nur oben gefasst</t>
        </r>
      </text>
    </comment>
    <comment ref="B91" authorId="0" shapeId="0" xr:uid="{00000000-0006-0000-0C00-000007000000}">
      <text>
        <r>
          <rPr>
            <sz val="9"/>
            <color indexed="81"/>
            <rFont val="Tahoma"/>
            <family val="2"/>
          </rPr>
          <t>225 cm lang; 8x10cm Dimension, nur oben gefasst; für die Befestigung der Tore gebraucht</t>
        </r>
      </text>
    </comment>
    <comment ref="E112" authorId="0" shapeId="0" xr:uid="{00000000-0006-0000-0C00-000008000000}">
      <text>
        <r>
          <rPr>
            <b/>
            <sz val="8"/>
            <color indexed="81"/>
            <rFont val="Tahoma"/>
            <family val="2"/>
          </rPr>
          <t>ACW:</t>
        </r>
        <r>
          <rPr>
            <sz val="8"/>
            <color indexed="81"/>
            <rFont val="Tahoma"/>
            <family val="2"/>
          </rPr>
          <t xml:space="preserve">
Quelle Anbauempfehlung für die Obstregion Nordwestschweiz, mit nur 21 Reihen</t>
        </r>
      </text>
    </comment>
    <comment ref="H112" authorId="0" shapeId="0" xr:uid="{00000000-0006-0000-0C00-000009000000}">
      <text>
        <r>
          <rPr>
            <b/>
            <sz val="8"/>
            <color indexed="81"/>
            <rFont val="Tahoma"/>
            <family val="2"/>
          </rPr>
          <t>ACW:</t>
        </r>
        <r>
          <rPr>
            <sz val="8"/>
            <color indexed="81"/>
            <rFont val="Tahoma"/>
            <family val="2"/>
          </rPr>
          <t xml:space="preserve">
Quelle Anbauempfehlung für die Obstregion Nordwestschweiz, mit nur 21 Reihen</t>
        </r>
      </text>
    </comment>
    <comment ref="E124" authorId="0" shapeId="0" xr:uid="{00000000-0006-0000-0C00-00000A000000}">
      <text>
        <r>
          <rPr>
            <b/>
            <sz val="8"/>
            <color indexed="81"/>
            <rFont val="Tahoma"/>
            <family val="2"/>
          </rPr>
          <t>ACW:</t>
        </r>
        <r>
          <rPr>
            <sz val="8"/>
            <color indexed="81"/>
            <rFont val="Tahoma"/>
            <family val="2"/>
          </rPr>
          <t xml:space="preserve">
Quelle Anbauempfehlung für die Obstregion Nordwestschweiz, mit nur 21 Reihen</t>
        </r>
      </text>
    </comment>
    <comment ref="C133" authorId="0" shapeId="0" xr:uid="{00000000-0006-0000-0C00-00000B000000}">
      <text>
        <r>
          <rPr>
            <b/>
            <sz val="8"/>
            <color indexed="81"/>
            <rFont val="Tahoma"/>
            <family val="2"/>
          </rPr>
          <t>ACW:</t>
        </r>
        <r>
          <rPr>
            <sz val="8"/>
            <color indexed="81"/>
            <rFont val="Tahoma"/>
            <family val="2"/>
          </rPr>
          <t xml:space="preserve">
Hagelversicherung ja=1, Hagelversicherung nein = 0
</t>
        </r>
      </text>
    </comment>
    <comment ref="C134" authorId="0" shapeId="0" xr:uid="{00000000-0006-0000-0C00-00000C000000}">
      <text>
        <r>
          <rPr>
            <b/>
            <sz val="8"/>
            <color indexed="81"/>
            <rFont val="Tahoma"/>
            <family val="2"/>
          </rPr>
          <t>ACW:</t>
        </r>
        <r>
          <rPr>
            <sz val="8"/>
            <color indexed="81"/>
            <rFont val="Tahoma"/>
            <family val="2"/>
          </rPr>
          <t xml:space="preserve">
Hagelnetz ja=1, Hagenletz nein=o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FAW</author>
    <author>P. Mouron</author>
    <author>zue</author>
  </authors>
  <commentList>
    <comment ref="F5" authorId="0" shapeId="0" xr:uid="{00000000-0006-0000-0D00-000001000000}">
      <text>
        <r>
          <rPr>
            <sz val="9"/>
            <color indexed="81"/>
            <rFont val="Tahoma"/>
            <family val="2"/>
          </rPr>
          <t>Diese Seite ist schreibgeschützt. Der Schutz kann aufgehoben werden mit dem Kennwort "Arbokost"</t>
        </r>
      </text>
    </comment>
    <comment ref="S46" authorId="1" shapeId="0" xr:uid="{00000000-0006-0000-0D00-000002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Z46" authorId="1" shapeId="0" xr:uid="{00000000-0006-0000-0D00-000003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AG46" authorId="1" shapeId="0" xr:uid="{00000000-0006-0000-0D00-000004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AN46" authorId="1" shapeId="0" xr:uid="{00000000-0006-0000-0D00-000005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AU46" authorId="1" shapeId="0" xr:uid="{00000000-0006-0000-0D00-000006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BB46" authorId="1" shapeId="0" xr:uid="{00000000-0006-0000-0D00-000007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BI46" authorId="1" shapeId="0" xr:uid="{00000000-0006-0000-0D00-000008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BP46" authorId="1" shapeId="0" xr:uid="{00000000-0006-0000-0D00-000009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BW46" authorId="1" shapeId="0" xr:uid="{00000000-0006-0000-0D00-00000A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CD46" authorId="1" shapeId="0" xr:uid="{00000000-0006-0000-0D00-00000B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CK46" authorId="1" shapeId="0" xr:uid="{00000000-0006-0000-0D00-00000C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CR46" authorId="1" shapeId="0" xr:uid="{00000000-0006-0000-0D00-00000D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CY46" authorId="1" shapeId="0" xr:uid="{00000000-0006-0000-0D00-00000E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C50" authorId="1" shapeId="0" xr:uid="{00000000-0006-0000-0D00-00000F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J50" authorId="1" shapeId="0" xr:uid="{00000000-0006-0000-0D00-000010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Q50" authorId="1" shapeId="0" xr:uid="{00000000-0006-0000-0D00-000011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X50" authorId="1" shapeId="0" xr:uid="{00000000-0006-0000-0D00-000012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AE50" authorId="1" shapeId="0" xr:uid="{00000000-0006-0000-0D00-000013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AL50" authorId="1" shapeId="0" xr:uid="{00000000-0006-0000-0D00-000014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AS50" authorId="1" shapeId="0" xr:uid="{00000000-0006-0000-0D00-000015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AZ50" authorId="1" shapeId="0" xr:uid="{00000000-0006-0000-0D00-000016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BG50" authorId="1" shapeId="0" xr:uid="{00000000-0006-0000-0D00-000017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BN50" authorId="1" shapeId="0" xr:uid="{00000000-0006-0000-0D00-000018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BU50" authorId="1" shapeId="0" xr:uid="{00000000-0006-0000-0D00-000019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CB50" authorId="1" shapeId="0" xr:uid="{00000000-0006-0000-0D00-00001A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CI50" authorId="1" shapeId="0" xr:uid="{00000000-0006-0000-0D00-00001B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CP50" authorId="1" shapeId="0" xr:uid="{00000000-0006-0000-0D00-00001C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CW50" authorId="1" shapeId="0" xr:uid="{00000000-0006-0000-0D00-00001D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D54" authorId="1" shapeId="0" xr:uid="{00000000-0006-0000-0D00-00001E000000}">
      <text>
        <r>
          <rPr>
            <sz val="10"/>
            <color indexed="81"/>
            <rFont val="Tahoma"/>
            <family val="2"/>
          </rPr>
          <t>Berechnung der Zugkraftstunden für Ernte:
Anzahl Ladung mal Erntezeit pro Ladung mal Auslastung der Zugkraft bei Ernte (0.25).</t>
        </r>
      </text>
    </comment>
    <comment ref="K54" authorId="1" shapeId="0" xr:uid="{00000000-0006-0000-0D00-00001F000000}">
      <text>
        <r>
          <rPr>
            <sz val="10"/>
            <color indexed="81"/>
            <rFont val="Tahoma"/>
            <family val="2"/>
          </rPr>
          <t>Berechnung der Zugkraftstunden für Ernte:
Anzahl Ladung mal Erntezeit pro Ladung mal Auslastung der Zugkraft bei Ernte (0.25).</t>
        </r>
      </text>
    </comment>
    <comment ref="R54" authorId="1" shapeId="0" xr:uid="{00000000-0006-0000-0D00-000020000000}">
      <text>
        <r>
          <rPr>
            <sz val="10"/>
            <color indexed="81"/>
            <rFont val="Tahoma"/>
            <family val="2"/>
          </rPr>
          <t>Berechnung der Zugkraftstunden für Ernte:
Anzahl Ladung mal Erntezeit pro Ladung mal Auslastung der Zugkraft bei Ernte (0.25).</t>
        </r>
      </text>
    </comment>
    <comment ref="Y54" authorId="1" shapeId="0" xr:uid="{00000000-0006-0000-0D00-000021000000}">
      <text>
        <r>
          <rPr>
            <sz val="10"/>
            <color indexed="81"/>
            <rFont val="Tahoma"/>
            <family val="2"/>
          </rPr>
          <t>Berechnung der Zugkraftstunden für Ernte:
Anzahl Ladung mal Erntezeit pro Ladung mal Auslastung der Zugkraft bei Ernte (0.25).</t>
        </r>
      </text>
    </comment>
    <comment ref="AF54" authorId="1" shapeId="0" xr:uid="{00000000-0006-0000-0D00-000022000000}">
      <text>
        <r>
          <rPr>
            <sz val="10"/>
            <color indexed="81"/>
            <rFont val="Tahoma"/>
            <family val="2"/>
          </rPr>
          <t>Berechnung der Zugkraftstunden für Ernte:
Anzahl Ladung mal Erntezeit pro Ladung mal Auslastung der Zugkraft bei Ernte (0.25).</t>
        </r>
      </text>
    </comment>
    <comment ref="AM54" authorId="1" shapeId="0" xr:uid="{00000000-0006-0000-0D00-000023000000}">
      <text>
        <r>
          <rPr>
            <sz val="10"/>
            <color indexed="81"/>
            <rFont val="Tahoma"/>
            <family val="2"/>
          </rPr>
          <t>Berechnung der Zugkraftstunden für Ernte:
Anzahl Ladung mal Erntezeit pro Ladung mal Auslastung der Zugkraft bei Ernte (0.25).</t>
        </r>
      </text>
    </comment>
    <comment ref="AT54" authorId="1" shapeId="0" xr:uid="{00000000-0006-0000-0D00-000024000000}">
      <text>
        <r>
          <rPr>
            <sz val="10"/>
            <color indexed="81"/>
            <rFont val="Tahoma"/>
            <family val="2"/>
          </rPr>
          <t>Berechnung der Zugkraftstunden für Ernte:
Anzahl Ladung mal Erntezeit pro Ladung mal Auslastung der Zugkraft bei Ernte (0.25).</t>
        </r>
      </text>
    </comment>
    <comment ref="BA54" authorId="1" shapeId="0" xr:uid="{00000000-0006-0000-0D00-000025000000}">
      <text>
        <r>
          <rPr>
            <sz val="10"/>
            <color indexed="81"/>
            <rFont val="Tahoma"/>
            <family val="2"/>
          </rPr>
          <t>Berechnung der Zugkraftstunden für Ernte:
Anzahl Ladung mal Erntezeit pro Ladung mal Auslastung der Zugkraft bei Ernte (0.25).</t>
        </r>
      </text>
    </comment>
    <comment ref="BH54" authorId="1" shapeId="0" xr:uid="{00000000-0006-0000-0D00-000026000000}">
      <text>
        <r>
          <rPr>
            <sz val="10"/>
            <color indexed="81"/>
            <rFont val="Tahoma"/>
            <family val="2"/>
          </rPr>
          <t>Berechnung der Zugkraftstunden für Ernte:
Anzahl Ladung mal Erntezeit pro Ladung mal Auslastung der Zugkraft bei Ernte (0.25).</t>
        </r>
      </text>
    </comment>
    <comment ref="BO54" authorId="1" shapeId="0" xr:uid="{00000000-0006-0000-0D00-000027000000}">
      <text>
        <r>
          <rPr>
            <sz val="10"/>
            <color indexed="81"/>
            <rFont val="Tahoma"/>
            <family val="2"/>
          </rPr>
          <t>Berechnung der Zugkraftstunden für Ernte:
Anzahl Ladung mal Erntezeit pro Ladung mal Auslastung der Zugkraft bei Ernte (0.25).</t>
        </r>
      </text>
    </comment>
    <comment ref="BV54" authorId="1" shapeId="0" xr:uid="{00000000-0006-0000-0D00-000028000000}">
      <text>
        <r>
          <rPr>
            <sz val="10"/>
            <color indexed="81"/>
            <rFont val="Tahoma"/>
            <family val="2"/>
          </rPr>
          <t>Berechnung der Zugkraftstunden für Ernte:
Anzahl Ladung mal Erntezeit pro Ladung mal Auslastung der Zugkraft bei Ernte (0.25).</t>
        </r>
      </text>
    </comment>
    <comment ref="CC54" authorId="1" shapeId="0" xr:uid="{00000000-0006-0000-0D00-000029000000}">
      <text>
        <r>
          <rPr>
            <sz val="10"/>
            <color indexed="81"/>
            <rFont val="Tahoma"/>
            <family val="2"/>
          </rPr>
          <t>Berechnung der Zugkraftstunden für Ernte:
Anzahl Ladung mal Erntezeit pro Ladung mal Auslastung der Zugkraft bei Ernte (0.25).</t>
        </r>
      </text>
    </comment>
    <comment ref="CJ54" authorId="1" shapeId="0" xr:uid="{00000000-0006-0000-0D00-00002A000000}">
      <text>
        <r>
          <rPr>
            <sz val="10"/>
            <color indexed="81"/>
            <rFont val="Tahoma"/>
            <family val="2"/>
          </rPr>
          <t>Berechnung der Zugkraftstunden für Ernte:
Anzahl Ladung mal Erntezeit pro Ladung mal Auslastung der Zugkraft bei Ernte (0.25).</t>
        </r>
      </text>
    </comment>
    <comment ref="CQ54" authorId="1" shapeId="0" xr:uid="{00000000-0006-0000-0D00-00002B000000}">
      <text>
        <r>
          <rPr>
            <sz val="10"/>
            <color indexed="81"/>
            <rFont val="Tahoma"/>
            <family val="2"/>
          </rPr>
          <t>Berechnung der Zugkraftstunden für Ernte:
Anzahl Ladung mal Erntezeit pro Ladung mal Auslastung der Zugkraft bei Ernte (0.25).</t>
        </r>
      </text>
    </comment>
    <comment ref="CX54" authorId="1" shapeId="0" xr:uid="{00000000-0006-0000-0D00-00002C000000}">
      <text>
        <r>
          <rPr>
            <sz val="10"/>
            <color indexed="81"/>
            <rFont val="Tahoma"/>
            <family val="2"/>
          </rPr>
          <t>Berechnung der Zugkraftstunden für Ernte:
Anzahl Ladung mal Erntezeit pro Ladung mal Auslastung der Zugkraft bei Ernte (0.25).</t>
        </r>
      </text>
    </comment>
    <comment ref="B67" authorId="2" shapeId="0" xr:uid="{00000000-0006-0000-0D00-00002D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I67" authorId="2" shapeId="0" xr:uid="{00000000-0006-0000-0D00-00002E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P67" authorId="2" shapeId="0" xr:uid="{00000000-0006-0000-0D00-00002F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W67" authorId="2" shapeId="0" xr:uid="{00000000-0006-0000-0D00-000030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AD67" authorId="2" shapeId="0" xr:uid="{00000000-0006-0000-0D00-000031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AK67" authorId="2" shapeId="0" xr:uid="{00000000-0006-0000-0D00-000032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AR67" authorId="2" shapeId="0" xr:uid="{00000000-0006-0000-0D00-000033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AY67" authorId="2" shapeId="0" xr:uid="{00000000-0006-0000-0D00-000034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BF67" authorId="2" shapeId="0" xr:uid="{00000000-0006-0000-0D00-000035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BM67" authorId="2" shapeId="0" xr:uid="{00000000-0006-0000-0D00-000036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BT67" authorId="2" shapeId="0" xr:uid="{00000000-0006-0000-0D00-000037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CA67" authorId="2" shapeId="0" xr:uid="{00000000-0006-0000-0D00-000038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CH67" authorId="2" shapeId="0" xr:uid="{00000000-0006-0000-0D00-000039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CO67" authorId="2" shapeId="0" xr:uid="{00000000-0006-0000-0D00-00003A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CV67" authorId="2" shapeId="0" xr:uid="{00000000-0006-0000-0D00-00003B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E71" authorId="0" shapeId="0" xr:uid="{00000000-0006-0000-0D00-00003C000000}">
      <text>
        <r>
          <rPr>
            <b/>
            <sz val="8"/>
            <color indexed="81"/>
            <rFont val="Tahoma"/>
            <family val="2"/>
          </rPr>
          <t>ACW:</t>
        </r>
        <r>
          <rPr>
            <sz val="8"/>
            <color indexed="81"/>
            <rFont val="Tahoma"/>
            <family val="2"/>
          </rPr>
          <t xml:space="preserve">
m^2</t>
        </r>
      </text>
    </comment>
    <comment ref="L71" authorId="0" shapeId="0" xr:uid="{00000000-0006-0000-0D00-00003D000000}">
      <text>
        <r>
          <rPr>
            <b/>
            <sz val="8"/>
            <color indexed="81"/>
            <rFont val="Tahoma"/>
            <family val="2"/>
          </rPr>
          <t>ACW:</t>
        </r>
        <r>
          <rPr>
            <sz val="8"/>
            <color indexed="81"/>
            <rFont val="Tahoma"/>
            <family val="2"/>
          </rPr>
          <t xml:space="preserve">
m^2</t>
        </r>
      </text>
    </comment>
    <comment ref="S71" authorId="0" shapeId="0" xr:uid="{00000000-0006-0000-0D00-00003E000000}">
      <text>
        <r>
          <rPr>
            <b/>
            <sz val="8"/>
            <color indexed="81"/>
            <rFont val="Tahoma"/>
            <family val="2"/>
          </rPr>
          <t>ACW:</t>
        </r>
        <r>
          <rPr>
            <sz val="8"/>
            <color indexed="81"/>
            <rFont val="Tahoma"/>
            <family val="2"/>
          </rPr>
          <t xml:space="preserve">
m^2</t>
        </r>
      </text>
    </comment>
    <comment ref="Z71" authorId="0" shapeId="0" xr:uid="{00000000-0006-0000-0D00-00003F000000}">
      <text>
        <r>
          <rPr>
            <b/>
            <sz val="8"/>
            <color indexed="81"/>
            <rFont val="Tahoma"/>
            <family val="2"/>
          </rPr>
          <t>ACW:</t>
        </r>
        <r>
          <rPr>
            <sz val="8"/>
            <color indexed="81"/>
            <rFont val="Tahoma"/>
            <family val="2"/>
          </rPr>
          <t xml:space="preserve">
m^2</t>
        </r>
      </text>
    </comment>
    <comment ref="AG71" authorId="0" shapeId="0" xr:uid="{00000000-0006-0000-0D00-000040000000}">
      <text>
        <r>
          <rPr>
            <b/>
            <sz val="8"/>
            <color indexed="81"/>
            <rFont val="Tahoma"/>
            <family val="2"/>
          </rPr>
          <t>ACW:</t>
        </r>
        <r>
          <rPr>
            <sz val="8"/>
            <color indexed="81"/>
            <rFont val="Tahoma"/>
            <family val="2"/>
          </rPr>
          <t xml:space="preserve">
m^2</t>
        </r>
      </text>
    </comment>
    <comment ref="AN71" authorId="0" shapeId="0" xr:uid="{00000000-0006-0000-0D00-000041000000}">
      <text>
        <r>
          <rPr>
            <b/>
            <sz val="8"/>
            <color indexed="81"/>
            <rFont val="Tahoma"/>
            <family val="2"/>
          </rPr>
          <t>ACW:</t>
        </r>
        <r>
          <rPr>
            <sz val="8"/>
            <color indexed="81"/>
            <rFont val="Tahoma"/>
            <family val="2"/>
          </rPr>
          <t xml:space="preserve">
m^2</t>
        </r>
      </text>
    </comment>
    <comment ref="AU71" authorId="0" shapeId="0" xr:uid="{00000000-0006-0000-0D00-000042000000}">
      <text>
        <r>
          <rPr>
            <b/>
            <sz val="8"/>
            <color indexed="81"/>
            <rFont val="Tahoma"/>
            <family val="2"/>
          </rPr>
          <t>ACW:</t>
        </r>
        <r>
          <rPr>
            <sz val="8"/>
            <color indexed="81"/>
            <rFont val="Tahoma"/>
            <family val="2"/>
          </rPr>
          <t xml:space="preserve">
m^2</t>
        </r>
      </text>
    </comment>
    <comment ref="BB71" authorId="0" shapeId="0" xr:uid="{00000000-0006-0000-0D00-000043000000}">
      <text>
        <r>
          <rPr>
            <b/>
            <sz val="8"/>
            <color indexed="81"/>
            <rFont val="Tahoma"/>
            <family val="2"/>
          </rPr>
          <t>ACW:</t>
        </r>
        <r>
          <rPr>
            <sz val="8"/>
            <color indexed="81"/>
            <rFont val="Tahoma"/>
            <family val="2"/>
          </rPr>
          <t xml:space="preserve">
m^2</t>
        </r>
      </text>
    </comment>
    <comment ref="BI71" authorId="0" shapeId="0" xr:uid="{00000000-0006-0000-0D00-000044000000}">
      <text>
        <r>
          <rPr>
            <b/>
            <sz val="8"/>
            <color indexed="81"/>
            <rFont val="Tahoma"/>
            <family val="2"/>
          </rPr>
          <t>ACW:</t>
        </r>
        <r>
          <rPr>
            <sz val="8"/>
            <color indexed="81"/>
            <rFont val="Tahoma"/>
            <family val="2"/>
          </rPr>
          <t xml:space="preserve">
m^2</t>
        </r>
      </text>
    </comment>
    <comment ref="BP71" authorId="0" shapeId="0" xr:uid="{00000000-0006-0000-0D00-000045000000}">
      <text>
        <r>
          <rPr>
            <b/>
            <sz val="8"/>
            <color indexed="81"/>
            <rFont val="Tahoma"/>
            <family val="2"/>
          </rPr>
          <t>ACW:</t>
        </r>
        <r>
          <rPr>
            <sz val="8"/>
            <color indexed="81"/>
            <rFont val="Tahoma"/>
            <family val="2"/>
          </rPr>
          <t xml:space="preserve">
m^2</t>
        </r>
      </text>
    </comment>
    <comment ref="BW71" authorId="0" shapeId="0" xr:uid="{00000000-0006-0000-0D00-000046000000}">
      <text>
        <r>
          <rPr>
            <b/>
            <sz val="8"/>
            <color indexed="81"/>
            <rFont val="Tahoma"/>
            <family val="2"/>
          </rPr>
          <t>ACW:</t>
        </r>
        <r>
          <rPr>
            <sz val="8"/>
            <color indexed="81"/>
            <rFont val="Tahoma"/>
            <family val="2"/>
          </rPr>
          <t xml:space="preserve">
m^2</t>
        </r>
      </text>
    </comment>
    <comment ref="CD71" authorId="0" shapeId="0" xr:uid="{00000000-0006-0000-0D00-000047000000}">
      <text>
        <r>
          <rPr>
            <b/>
            <sz val="8"/>
            <color indexed="81"/>
            <rFont val="Tahoma"/>
            <family val="2"/>
          </rPr>
          <t>ACW:</t>
        </r>
        <r>
          <rPr>
            <sz val="8"/>
            <color indexed="81"/>
            <rFont val="Tahoma"/>
            <family val="2"/>
          </rPr>
          <t xml:space="preserve">
m^2</t>
        </r>
      </text>
    </comment>
    <comment ref="CK71" authorId="0" shapeId="0" xr:uid="{00000000-0006-0000-0D00-000048000000}">
      <text>
        <r>
          <rPr>
            <b/>
            <sz val="8"/>
            <color indexed="81"/>
            <rFont val="Tahoma"/>
            <family val="2"/>
          </rPr>
          <t>ACW:</t>
        </r>
        <r>
          <rPr>
            <sz val="8"/>
            <color indexed="81"/>
            <rFont val="Tahoma"/>
            <family val="2"/>
          </rPr>
          <t xml:space="preserve">
m^2</t>
        </r>
      </text>
    </comment>
    <comment ref="CR71" authorId="0" shapeId="0" xr:uid="{00000000-0006-0000-0D00-000049000000}">
      <text>
        <r>
          <rPr>
            <b/>
            <sz val="8"/>
            <color indexed="81"/>
            <rFont val="Tahoma"/>
            <family val="2"/>
          </rPr>
          <t>ACW:</t>
        </r>
        <r>
          <rPr>
            <sz val="8"/>
            <color indexed="81"/>
            <rFont val="Tahoma"/>
            <family val="2"/>
          </rPr>
          <t xml:space="preserve">
m^2</t>
        </r>
      </text>
    </comment>
    <comment ref="CY71" authorId="0" shapeId="0" xr:uid="{00000000-0006-0000-0D00-00004A000000}">
      <text>
        <r>
          <rPr>
            <b/>
            <sz val="8"/>
            <color indexed="81"/>
            <rFont val="Tahoma"/>
            <family val="2"/>
          </rPr>
          <t>ACW:</t>
        </r>
        <r>
          <rPr>
            <sz val="8"/>
            <color indexed="81"/>
            <rFont val="Tahoma"/>
            <family val="2"/>
          </rPr>
          <t xml:space="preserve">
m^2</t>
        </r>
      </text>
    </comment>
    <comment ref="CV87" authorId="1" shapeId="0" xr:uid="{00000000-0006-0000-0D00-00004B000000}">
      <text>
        <r>
          <rPr>
            <b/>
            <sz val="8"/>
            <color indexed="81"/>
            <rFont val="Tahoma"/>
            <family val="2"/>
          </rPr>
          <t>P. Mouron:</t>
        </r>
        <r>
          <rPr>
            <sz val="8"/>
            <color indexed="81"/>
            <rFont val="Tahoma"/>
            <family val="2"/>
          </rPr>
          <t xml:space="preserve">
Rodungskosten fallen im letzten Jahr an.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 Mouron</author>
    <author>zue</author>
    <author>FAW</author>
  </authors>
  <commentList>
    <comment ref="E8" authorId="0" shapeId="0" xr:uid="{00000000-0006-0000-0E00-000001000000}">
      <text>
        <r>
          <rPr>
            <sz val="10"/>
            <color indexed="81"/>
            <rFont val="Tahoma"/>
            <family val="2"/>
          </rPr>
          <t>Kosten für Gebindebenutzung und Transport (vom Betrieb zur Genossenschaft) sind hier pauschal bereits abgezogen.</t>
        </r>
        <r>
          <rPr>
            <sz val="8"/>
            <color indexed="81"/>
            <rFont val="Tahoma"/>
            <family val="2"/>
          </rPr>
          <t xml:space="preserve">
</t>
        </r>
      </text>
    </comment>
    <comment ref="B11" authorId="0" shapeId="0" xr:uid="{00000000-0006-0000-0E00-000002000000}">
      <text>
        <r>
          <rPr>
            <b/>
            <sz val="8"/>
            <color indexed="81"/>
            <rFont val="Tahoma"/>
            <family val="2"/>
          </rPr>
          <t xml:space="preserve">zue:
</t>
        </r>
        <r>
          <rPr>
            <sz val="12"/>
            <color indexed="81"/>
            <rFont val="Tahoma"/>
            <family val="2"/>
          </rPr>
          <t>Sortierabgang + ab Boden</t>
        </r>
      </text>
    </comment>
    <comment ref="D12" authorId="0" shapeId="0" xr:uid="{00000000-0006-0000-0E00-000003000000}">
      <text>
        <r>
          <rPr>
            <b/>
            <sz val="8"/>
            <color indexed="81"/>
            <rFont val="Tahoma"/>
            <family val="2"/>
          </rPr>
          <t>Zue:</t>
        </r>
        <r>
          <rPr>
            <sz val="8"/>
            <color indexed="81"/>
            <rFont val="Tahoma"/>
            <family val="2"/>
          </rPr>
          <t xml:space="preserve">
durchschnittlich während Ertragsphase, inkl. Schäden durch Frost 
Hagelschäden nicht berücksichtigt, da Hagelnetz.</t>
        </r>
      </text>
    </comment>
    <comment ref="C29" authorId="1" shapeId="0" xr:uid="{00000000-0006-0000-0E00-000004000000}">
      <text>
        <r>
          <rPr>
            <b/>
            <sz val="10"/>
            <color indexed="81"/>
            <rFont val="Tahoma"/>
            <family val="2"/>
          </rPr>
          <t>zue:</t>
        </r>
        <r>
          <rPr>
            <sz val="10"/>
            <color indexed="81"/>
            <rFont val="Tahoma"/>
            <family val="2"/>
          </rPr>
          <t xml:space="preserve">
nur theoretisch, tatsächliche Anzahl siehe Annahme unter C56</t>
        </r>
      </text>
    </comment>
    <comment ref="F29" authorId="2" shapeId="0" xr:uid="{00000000-0006-0000-0E00-000005000000}">
      <text>
        <r>
          <rPr>
            <b/>
            <sz val="8"/>
            <color indexed="81"/>
            <rFont val="Tahoma"/>
            <family val="2"/>
          </rPr>
          <t>ACW:</t>
        </r>
        <r>
          <rPr>
            <sz val="8"/>
            <color indexed="81"/>
            <rFont val="Tahoma"/>
            <family val="2"/>
          </rPr>
          <t xml:space="preserve">
mal 0.9, d.h durchschnittlich 10% Rabatt abgezogen</t>
        </r>
      </text>
    </comment>
    <comment ref="B44" authorId="1" shapeId="0" xr:uid="{00000000-0006-0000-0E00-000006000000}">
      <text>
        <r>
          <rPr>
            <b/>
            <sz val="10"/>
            <color indexed="81"/>
            <rFont val="Tahoma"/>
            <family val="2"/>
          </rPr>
          <t>zue:</t>
        </r>
        <r>
          <rPr>
            <sz val="10"/>
            <color indexed="81"/>
            <rFont val="Tahoma"/>
            <family val="2"/>
          </rPr>
          <t xml:space="preserve">
mit der Excel RMZ (Regelmässige Zahlung) Funktion berechnet. Liefert die konstante Zahlung einer Annuität pro Periode, wobei konstante Zahlungen und ein konstanter Zinssatz vorausgesetzt werden</t>
        </r>
      </text>
    </comment>
    <comment ref="E49" authorId="0" shapeId="0" xr:uid="{00000000-0006-0000-0E00-000007000000}">
      <text>
        <r>
          <rPr>
            <b/>
            <sz val="10"/>
            <color indexed="81"/>
            <rFont val="Tahoma"/>
            <family val="2"/>
          </rPr>
          <t>P. Mouron:</t>
        </r>
        <r>
          <rPr>
            <sz val="10"/>
            <color indexed="81"/>
            <rFont val="Tahoma"/>
            <family val="2"/>
          </rPr>
          <t xml:space="preserve">
Fr./Durchgang = Fr./ha weil Arbokost die Kosten für 1 ha ausweist
ART-Ansätze für fixe+variable Kosten</t>
        </r>
      </text>
    </comment>
    <comment ref="C53" authorId="0" shapeId="0" xr:uid="{00000000-0006-0000-0E00-000008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D57" authorId="0" shapeId="0" xr:uid="{00000000-0006-0000-0E00-000009000000}">
      <text>
        <r>
          <rPr>
            <sz val="10"/>
            <color indexed="81"/>
            <rFont val="Tahoma"/>
            <family val="2"/>
          </rPr>
          <t>Berechnung der Zugkraftstunden für Ernte:
Anzahl Ladung mal Erntezeit pro Ladung mal Auslastung der Zugkraft bei Ernte (0.25).</t>
        </r>
      </text>
    </comment>
    <comment ref="B71" authorId="1" shapeId="0" xr:uid="{00000000-0006-0000-0E00-00000A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A111" authorId="0" shapeId="0" xr:uid="{00000000-0006-0000-0E00-00000B000000}">
      <text>
        <r>
          <rPr>
            <b/>
            <sz val="8"/>
            <color indexed="81"/>
            <rFont val="Tahoma"/>
            <family val="2"/>
          </rPr>
          <t>ZUE:</t>
        </r>
        <r>
          <rPr>
            <sz val="10"/>
            <color indexed="81"/>
            <rFont val="Tahoma"/>
            <family val="2"/>
          </rPr>
          <t xml:space="preserve">
Im Betriebsminimum (oder Produktionsschwelle) werden gerade noch die entstehenden variablen Kosten gedeckt, jedoch nicht die werden die fixen Kosten.Kann der Gesamterlös diesen Betrag nicht mehr decken ist es ökonomisch sinnvoller nicht merh zu produzieren und die Parzelle zu roden.</t>
        </r>
      </text>
    </comment>
    <comment ref="A122" authorId="0" shapeId="0" xr:uid="{00000000-0006-0000-0E00-00000C000000}">
      <text>
        <r>
          <rPr>
            <b/>
            <sz val="8"/>
            <color indexed="81"/>
            <rFont val="Tahoma"/>
            <family val="2"/>
          </rPr>
          <t>ZUE:</t>
        </r>
        <r>
          <rPr>
            <sz val="8"/>
            <color indexed="81"/>
            <rFont val="Tahoma"/>
            <family val="2"/>
          </rPr>
          <t xml:space="preserve">
</t>
        </r>
        <r>
          <rPr>
            <sz val="10"/>
            <color indexed="81"/>
            <rFont val="Tahoma"/>
            <family val="2"/>
          </rPr>
          <t>siehe: Betriebswirtschaftliche Begriffe im Agrarbereich, LMZ 2000, S.112</t>
        </r>
      </text>
    </comment>
    <comment ref="A124" authorId="0" shapeId="0" xr:uid="{00000000-0006-0000-0E00-00000D000000}">
      <text>
        <r>
          <rPr>
            <b/>
            <sz val="8"/>
            <color indexed="81"/>
            <rFont val="Tahoma"/>
            <family val="2"/>
          </rPr>
          <t>ZUE:</t>
        </r>
        <r>
          <rPr>
            <sz val="8"/>
            <color indexed="81"/>
            <rFont val="Tahoma"/>
            <family val="2"/>
          </rPr>
          <t xml:space="preserve">
</t>
        </r>
        <r>
          <rPr>
            <sz val="10"/>
            <color indexed="81"/>
            <rFont val="Tahoma"/>
            <family val="2"/>
          </rPr>
          <t>Summe aus Zinsanspruch für das Eigenkapital und bezahlten Schuld- und Pachtzinsen ((Betriebswirtschaftliche Begriffe im Agrarbereich, LMZ 2000, S.110)
Hier: Zins für Investitionen und Boden.</t>
        </r>
      </text>
    </comment>
    <comment ref="A125" authorId="0" shapeId="0" xr:uid="{00000000-0006-0000-0E00-00000E000000}">
      <text>
        <r>
          <rPr>
            <b/>
            <sz val="8"/>
            <color indexed="81"/>
            <rFont val="Tahoma"/>
            <family val="2"/>
          </rPr>
          <t>P</t>
        </r>
        <r>
          <rPr>
            <b/>
            <sz val="10"/>
            <color indexed="81"/>
            <rFont val="Tahoma"/>
            <family val="2"/>
          </rPr>
          <t>. Mouron:</t>
        </r>
        <r>
          <rPr>
            <sz val="10"/>
            <color indexed="81"/>
            <rFont val="Tahoma"/>
            <family val="2"/>
          </rPr>
          <t xml:space="preserve">
Kosten für die in der Produktion eingesetzten Produktionsmittel </t>
        </r>
        <r>
          <rPr>
            <b/>
            <i/>
            <sz val="10"/>
            <color indexed="81"/>
            <rFont val="Tahoma"/>
            <family val="2"/>
          </rPr>
          <t>einschliesslich der Abschreibungen</t>
        </r>
        <r>
          <rPr>
            <sz val="10"/>
            <color indexed="81"/>
            <rFont val="Tahoma"/>
            <family val="2"/>
          </rPr>
          <t>, aber ohne die Entschädigung für die Produktionsfaktoren Arbeit und Kapital. (Betriebswirtschaftliche Begriffe im Agrarbereich, LMZ 2000, S.149)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FAW</author>
    <author>P. Mouron</author>
    <author>Esther Bravin</author>
    <author>Tschopp Damien AGROSCOPE</author>
    <author>zue</author>
    <author>Patrik Mouron</author>
  </authors>
  <commentList>
    <comment ref="C39" authorId="0" shapeId="0" xr:uid="{00000000-0006-0000-0200-000001000000}">
      <text>
        <r>
          <rPr>
            <sz val="12"/>
            <color indexed="81"/>
            <rFont val="Tahoma"/>
            <family val="2"/>
          </rPr>
          <t>700 Fr. Basisbeitrag + 400 Fr. Beitrag für offene Ackerfläche und Dauerkulturen</t>
        </r>
      </text>
    </comment>
    <comment ref="C41" authorId="1" shapeId="0" xr:uid="{00000000-0006-0000-0200-000002000000}">
      <text>
        <r>
          <rPr>
            <sz val="10"/>
            <color indexed="81"/>
            <rFont val="Tahoma"/>
            <family val="2"/>
          </rPr>
          <t xml:space="preserve">
genauer Faktor bei 12 Jahren Abschreibungsdauer: 0.542</t>
        </r>
      </text>
    </comment>
    <comment ref="B91" authorId="1" shapeId="0" xr:uid="{00000000-0006-0000-0200-000003000000}">
      <text>
        <r>
          <rPr>
            <b/>
            <sz val="8"/>
            <color indexed="81"/>
            <rFont val="Tahoma"/>
            <family val="2"/>
          </rPr>
          <t>P. Mouron:</t>
        </r>
        <r>
          <rPr>
            <sz val="8"/>
            <color indexed="81"/>
            <rFont val="Tahoma"/>
            <family val="2"/>
          </rPr>
          <t xml:space="preserve">
</t>
        </r>
        <r>
          <rPr>
            <sz val="12"/>
            <color indexed="81"/>
            <rFont val="Tahoma"/>
            <family val="2"/>
          </rPr>
          <t>ohne Feuerbrandkontrolle</t>
        </r>
      </text>
    </comment>
    <comment ref="B100" authorId="2" shapeId="0" xr:uid="{00000000-0006-0000-0200-000004000000}">
      <text>
        <r>
          <rPr>
            <b/>
            <sz val="9"/>
            <color indexed="81"/>
            <rFont val="Segoe UI"/>
            <family val="2"/>
          </rPr>
          <t>Esther Bravin:</t>
        </r>
        <r>
          <rPr>
            <sz val="9"/>
            <color indexed="81"/>
            <rFont val="Segoe UI"/>
            <family val="2"/>
          </rPr>
          <t xml:space="preserve">
Kalksalpeter (Nitrabor, 15.5%, 95 Fr./100 kg) 
</t>
        </r>
      </text>
    </comment>
    <comment ref="C100" authorId="2" shapeId="0" xr:uid="{00000000-0006-0000-0200-000005000000}">
      <text>
        <r>
          <rPr>
            <b/>
            <sz val="9"/>
            <color indexed="81"/>
            <rFont val="Segoe UI"/>
            <family val="2"/>
          </rPr>
          <t>Esther Bravin:</t>
        </r>
        <r>
          <rPr>
            <sz val="9"/>
            <color indexed="81"/>
            <rFont val="Segoe UI"/>
            <family val="2"/>
          </rPr>
          <t xml:space="preserve">
Bsp: Dolomit</t>
        </r>
      </text>
    </comment>
    <comment ref="B111" authorId="2" shapeId="0" xr:uid="{00000000-0006-0000-0200-000006000000}">
      <text>
        <r>
          <rPr>
            <b/>
            <sz val="9"/>
            <color indexed="81"/>
            <rFont val="Segoe UI"/>
            <family val="2"/>
          </rPr>
          <t>Esther Bravin:</t>
        </r>
        <r>
          <rPr>
            <sz val="9"/>
            <color indexed="81"/>
            <rFont val="Segoe UI"/>
            <family val="2"/>
          </rPr>
          <t xml:space="preserve">
Max 60 kg/ha</t>
        </r>
      </text>
    </comment>
    <comment ref="A115" authorId="3" shapeId="0" xr:uid="{00000000-0006-0000-0200-000007000000}">
      <text>
        <r>
          <rPr>
            <b/>
            <sz val="9"/>
            <color indexed="81"/>
            <rFont val="Tahoma"/>
            <family val="2"/>
          </rPr>
          <t>Tschopp Damien AGROSCOPE:</t>
        </r>
        <r>
          <rPr>
            <sz val="9"/>
            <color indexed="81"/>
            <rFont val="Tahoma"/>
            <family val="2"/>
          </rPr>
          <t xml:space="preserve">
Standard Einstellungen nochmals richitig eingeben</t>
        </r>
      </text>
    </comment>
    <comment ref="A127" authorId="4" shapeId="0" xr:uid="{00000000-0006-0000-0200-000008000000}">
      <text>
        <r>
          <rPr>
            <b/>
            <sz val="10"/>
            <color indexed="81"/>
            <rFont val="Tahoma"/>
            <family val="2"/>
          </rPr>
          <t>zue:</t>
        </r>
        <r>
          <rPr>
            <sz val="10"/>
            <color indexed="81"/>
            <rFont val="Tahoma"/>
            <family val="2"/>
          </rPr>
          <t xml:space="preserve">
Auslastung gemäss ART im Durchschnitt eher zu hoch, d.h Ansätze eher zu klein</t>
        </r>
      </text>
    </comment>
    <comment ref="H130" authorId="1" shapeId="0" xr:uid="{00000000-0006-0000-0200-000009000000}">
      <text>
        <r>
          <rPr>
            <b/>
            <sz val="8"/>
            <color indexed="81"/>
            <rFont val="Tahoma"/>
            <family val="2"/>
          </rPr>
          <t>zue:</t>
        </r>
        <r>
          <rPr>
            <sz val="8"/>
            <color indexed="81"/>
            <rFont val="Tahoma"/>
            <family val="2"/>
          </rPr>
          <t xml:space="preserve">
</t>
        </r>
        <r>
          <rPr>
            <sz val="10"/>
            <color indexed="81"/>
            <rFont val="Tahoma"/>
            <family val="2"/>
          </rPr>
          <t>Annahme: Der  Motor läuft   nur  ¼  der Einsatzzeit während der Ernte.</t>
        </r>
      </text>
    </comment>
    <comment ref="E136" authorId="1" shapeId="0" xr:uid="{00000000-0006-0000-0200-00000A000000}">
      <text>
        <r>
          <rPr>
            <b/>
            <sz val="10"/>
            <color indexed="81"/>
            <rFont val="Tahoma"/>
            <family val="2"/>
          </rPr>
          <t>zue:</t>
        </r>
        <r>
          <rPr>
            <sz val="10"/>
            <color indexed="81"/>
            <rFont val="Tahoma"/>
            <family val="2"/>
          </rPr>
          <t xml:space="preserve">
1
 Pers pro Grosskiste</t>
        </r>
      </text>
    </comment>
    <comment ref="C140" authorId="0" shapeId="0" xr:uid="{00000000-0006-0000-0200-00000B000000}">
      <text>
        <r>
          <rPr>
            <b/>
            <sz val="8"/>
            <color indexed="81"/>
            <rFont val="Tahoma"/>
            <family val="2"/>
          </rPr>
          <t>Hebebühne für die Ernte - 15 Minuten pro Fuder</t>
        </r>
      </text>
    </comment>
    <comment ref="C145" authorId="0" shapeId="0" xr:uid="{00000000-0006-0000-0200-00000C000000}">
      <text>
        <r>
          <rPr>
            <sz val="10"/>
            <color indexed="81"/>
            <rFont val="Tahoma"/>
            <family val="2"/>
          </rPr>
          <t>gemäss Anbauempfehlung für die Obstregion NO-CH 2007</t>
        </r>
      </text>
    </comment>
    <comment ref="C146" authorId="5" shapeId="0" xr:uid="{00000000-0006-0000-0200-00000D000000}">
      <text>
        <r>
          <rPr>
            <b/>
            <sz val="10"/>
            <color indexed="81"/>
            <rFont val="Tahoma"/>
            <family val="2"/>
          </rPr>
          <t>zue:</t>
        </r>
        <r>
          <rPr>
            <sz val="10"/>
            <color indexed="81"/>
            <rFont val="Tahoma"/>
            <family val="2"/>
          </rPr>
          <t xml:space="preserve">
Annahme gemäss  DB-Katalog</t>
        </r>
        <r>
          <rPr>
            <sz val="8"/>
            <color indexed="81"/>
            <rFont val="Tahoma"/>
            <family val="2"/>
          </rPr>
          <t xml:space="preserve">  AGRIDEA</t>
        </r>
      </text>
    </comment>
    <comment ref="C154" authorId="1" shapeId="0" xr:uid="{00000000-0006-0000-0200-00000E000000}">
      <text>
        <r>
          <rPr>
            <b/>
            <sz val="8"/>
            <color indexed="81"/>
            <rFont val="Tahoma"/>
            <family val="2"/>
          </rPr>
          <t>P. Mouron:</t>
        </r>
        <r>
          <rPr>
            <sz val="8"/>
            <color indexed="81"/>
            <rFont val="Tahoma"/>
            <family val="2"/>
          </rPr>
          <t xml:space="preserve">
pro ha für Obstbau</t>
        </r>
      </text>
    </comment>
    <comment ref="D165" authorId="1" shapeId="0" xr:uid="{00000000-0006-0000-0200-00000F000000}">
      <text>
        <r>
          <rPr>
            <sz val="10"/>
            <color indexed="81"/>
            <rFont val="Tahoma"/>
            <family val="2"/>
          </rPr>
          <t>Ursus Knotengitter schwer (Hortima)
Typ 11/120 (Abstände der Querdrähte 15cm)
Preis: 9.55 Fr. per lm
Ab 2000 Fr.  gibt es 15% Rabatt
Variante
Ursus Knotengitter leicht,Typ 23/160 
Preis: 8.25 Fr. per lm</t>
        </r>
      </text>
    </comment>
    <comment ref="B166" authorId="0" shapeId="0" xr:uid="{00000000-0006-0000-0200-000010000000}">
      <text>
        <r>
          <rPr>
            <sz val="9"/>
            <color indexed="81"/>
            <rFont val="Tahoma"/>
            <family val="2"/>
          </rPr>
          <t>200cm Länge, 7x7 cm Dimension; nur oben gefasst</t>
        </r>
      </text>
    </comment>
    <comment ref="D166" authorId="0" shapeId="0" xr:uid="{00000000-0006-0000-0200-000011000000}">
      <text>
        <r>
          <rPr>
            <sz val="9"/>
            <color indexed="81"/>
            <rFont val="Tahoma"/>
            <family val="2"/>
          </rPr>
          <t>ab 600 Fr. 6% Rabatt, urspr. Stückpreis war 13.90 Fr.</t>
        </r>
      </text>
    </comment>
    <comment ref="B167" authorId="0" shapeId="0" xr:uid="{00000000-0006-0000-0200-000012000000}">
      <text>
        <r>
          <rPr>
            <sz val="9"/>
            <color indexed="81"/>
            <rFont val="Tahoma"/>
            <family val="2"/>
          </rPr>
          <t>225 cm lang; 8x8cm Dimension, nur oben gefasst</t>
        </r>
      </text>
    </comment>
    <comment ref="D167" authorId="0" shapeId="0" xr:uid="{00000000-0006-0000-0200-000013000000}">
      <text>
        <r>
          <rPr>
            <sz val="9"/>
            <color indexed="81"/>
            <rFont val="Tahoma"/>
            <family val="2"/>
          </rPr>
          <t>es werden 21 Pfähle gekauft da es dann Rabatt von 3% gibt (ab 300 Fr.), urspr. Stückpreis 21.40</t>
        </r>
      </text>
    </comment>
    <comment ref="B168" authorId="0" shapeId="0" xr:uid="{00000000-0006-0000-0200-000014000000}">
      <text>
        <r>
          <rPr>
            <sz val="9"/>
            <color indexed="81"/>
            <rFont val="Tahoma"/>
            <family val="2"/>
          </rPr>
          <t>225 cm lang; 8x10cm Dimension, nur oben gefasst; für die Befestigung der Tore gebraucht</t>
        </r>
      </text>
    </comment>
    <comment ref="D169" authorId="0" shapeId="0" xr:uid="{00000000-0006-0000-0200-000015000000}">
      <text>
        <r>
          <rPr>
            <sz val="9"/>
            <color indexed="81"/>
            <rFont val="Tahoma"/>
            <family val="2"/>
          </rPr>
          <t>je nach Schiebetor etwas billiger/teurer.
Angaben von Durchschnittspreis von Roland Rot</t>
        </r>
      </text>
    </comment>
    <comment ref="B170" authorId="0" shapeId="0" xr:uid="{00000000-0006-0000-0200-000016000000}">
      <text>
        <r>
          <rPr>
            <sz val="9"/>
            <color indexed="81"/>
            <rFont val="Tahoma"/>
            <family val="2"/>
          </rPr>
          <t>Eisendraht stark verzinkt, 3mm Durchmesser, ca 18m per kg</t>
        </r>
      </text>
    </comment>
    <comment ref="B171" authorId="0" shapeId="0" xr:uid="{00000000-0006-0000-0200-000017000000}">
      <text>
        <r>
          <rPr>
            <sz val="10"/>
            <color indexed="81"/>
            <rFont val="Tahoma"/>
            <family val="2"/>
          </rPr>
          <t>verzinkt, 4.0/ 40mm , 150 Stk./kg
Pro Pfahl 4 x Agraffen=400</t>
        </r>
      </text>
    </comment>
    <comment ref="D172" authorId="4" shapeId="0" xr:uid="{00000000-0006-0000-0200-000018000000}">
      <text>
        <r>
          <rPr>
            <b/>
            <sz val="10"/>
            <color indexed="81"/>
            <rFont val="Tahoma"/>
            <family val="2"/>
          </rPr>
          <t>zue:</t>
        </r>
        <r>
          <rPr>
            <sz val="10"/>
            <color indexed="81"/>
            <rFont val="Tahoma"/>
            <family val="2"/>
          </rPr>
          <t xml:space="preserve">
gerundeter Erfahrungswert</t>
        </r>
      </text>
    </comment>
    <comment ref="C190" authorId="0" shapeId="0" xr:uid="{00000000-0006-0000-0200-000019000000}">
      <text>
        <r>
          <rPr>
            <b/>
            <sz val="8"/>
            <color indexed="81"/>
            <rFont val="Tahoma"/>
            <family val="2"/>
          </rPr>
          <t>ACW:</t>
        </r>
        <r>
          <rPr>
            <sz val="8"/>
            <color indexed="81"/>
            <rFont val="Tahoma"/>
            <family val="2"/>
          </rPr>
          <t xml:space="preserve">
Wenn Hagelnetz = ja und Bewässerung = Ja --&gt; dann = 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zue</author>
  </authors>
  <commentList>
    <comment ref="C45" authorId="0" shapeId="0" xr:uid="{00000000-0006-0000-0300-000001000000}">
      <text>
        <r>
          <rPr>
            <b/>
            <sz val="10"/>
            <color indexed="81"/>
            <rFont val="Tahoma"/>
            <family val="2"/>
          </rPr>
          <t>zue:</t>
        </r>
        <r>
          <rPr>
            <sz val="10"/>
            <color indexed="81"/>
            <rFont val="Tahoma"/>
            <family val="2"/>
          </rPr>
          <t xml:space="preserve">
Annahme: Hagelnetz  steht zuerst, desshalb nur 50% der Zeit ohne Hagelnetz</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Liebegg</author>
    <author>FAW</author>
  </authors>
  <commentList>
    <comment ref="A4" authorId="0" shapeId="0" xr:uid="{00000000-0006-0000-0400-000001000000}">
      <text>
        <r>
          <rPr>
            <b/>
            <sz val="8"/>
            <color indexed="81"/>
            <rFont val="Tahoma"/>
            <family val="2"/>
          </rPr>
          <t>Liebegg:</t>
        </r>
        <r>
          <rPr>
            <sz val="8"/>
            <color indexed="81"/>
            <rFont val="Tahoma"/>
            <family val="2"/>
          </rPr>
          <t xml:space="preserve">
Kostenstadn 2006/2007
Offerte THURELLA</t>
        </r>
      </text>
    </comment>
    <comment ref="B10" authorId="0" shapeId="0" xr:uid="{00000000-0006-0000-0400-000002000000}">
      <text>
        <r>
          <rPr>
            <b/>
            <sz val="8"/>
            <color indexed="81"/>
            <rFont val="Tahoma"/>
            <family val="2"/>
          </rPr>
          <t>ACW:</t>
        </r>
        <r>
          <rPr>
            <sz val="8"/>
            <color indexed="81"/>
            <rFont val="Tahoma"/>
            <family val="2"/>
          </rPr>
          <t xml:space="preserve">
Anbohrschellen 50mmx3/4 21 Stck. à 4.80, Aufschraubnippel 3/4 x 20 mm 22 Stck. à 1.5, Tropfschlauchenden 22 à 70 Rp. (Quelle Anbauempehlung für die Obstregion NO-CH 2007)
</t>
        </r>
      </text>
    </comment>
    <comment ref="B13" authorId="0" shapeId="0" xr:uid="{00000000-0006-0000-0400-000003000000}">
      <text>
        <r>
          <rPr>
            <b/>
            <sz val="8"/>
            <color indexed="81"/>
            <rFont val="Tahoma"/>
            <family val="2"/>
          </rPr>
          <t>ACW:</t>
        </r>
        <r>
          <rPr>
            <sz val="8"/>
            <color indexed="81"/>
            <rFont val="Tahoma"/>
            <family val="2"/>
          </rPr>
          <t xml:space="preserve">
Tropfschlauch Anschluss an Sektorenleitung 21 x 1 m 20mmà 1.-- (Quelle: Anbauempfehlung für die Obstregion NO-CH 2007)</t>
        </r>
      </text>
    </comment>
    <comment ref="B15" authorId="0" shapeId="0" xr:uid="{00000000-0006-0000-0400-000004000000}">
      <text>
        <r>
          <rPr>
            <b/>
            <sz val="8"/>
            <color indexed="81"/>
            <rFont val="Tahoma"/>
            <family val="2"/>
          </rPr>
          <t>ACW:</t>
        </r>
        <r>
          <rPr>
            <sz val="8"/>
            <color indexed="81"/>
            <rFont val="Tahoma"/>
            <family val="2"/>
          </rPr>
          <t xml:space="preserve">
Sektorenleitung Zuleitung Kultur (Quelle Anbauempfehlung für die Obstregion NO-CH 2007)
Für Hauptlietung PE 63mm PN 12.5 bzw. PE ND 8 63 mm à 6.--</t>
        </r>
      </text>
    </comment>
    <comment ref="B18" authorId="0" shapeId="0" xr:uid="{00000000-0006-0000-0400-000005000000}">
      <text>
        <r>
          <rPr>
            <b/>
            <sz val="8"/>
            <color indexed="81"/>
            <rFont val="Tahoma"/>
            <family val="2"/>
          </rPr>
          <t>ACW:</t>
        </r>
        <r>
          <rPr>
            <sz val="8"/>
            <color indexed="81"/>
            <rFont val="Tahoma"/>
            <family val="2"/>
          </rPr>
          <t xml:space="preserve">
Sektorenleitungsendeverschluss 50mm 1 Stck à 10.80,
plus Anschlusskupplung 2" 50mm pro Sektor 1 (Quelle: Anbauempfehlung für die Obstregion NO-CH 2007)</t>
        </r>
      </text>
    </comment>
    <comment ref="F28" authorId="0" shapeId="0" xr:uid="{00000000-0006-0000-0400-000006000000}">
      <text>
        <r>
          <rPr>
            <b/>
            <sz val="8"/>
            <color indexed="81"/>
            <rFont val="Tahoma"/>
            <family val="2"/>
          </rPr>
          <t>Liebegg:</t>
        </r>
        <r>
          <rPr>
            <sz val="8"/>
            <color indexed="81"/>
            <rFont val="Tahoma"/>
            <family val="2"/>
          </rPr>
          <t xml:space="preserve">
Dosatron D8R</t>
        </r>
      </text>
    </comment>
    <comment ref="A30" authorId="1" shapeId="0" xr:uid="{00000000-0006-0000-0400-000007000000}">
      <text>
        <r>
          <rPr>
            <b/>
            <sz val="8"/>
            <color indexed="81"/>
            <rFont val="Tahoma"/>
            <family val="2"/>
          </rPr>
          <t>ACW:</t>
        </r>
        <r>
          <rPr>
            <sz val="8"/>
            <color indexed="81"/>
            <rFont val="Tahoma"/>
            <family val="2"/>
          </rPr>
          <t xml:space="preserve">
Inkl. Mehrwertsteuer</t>
        </r>
      </text>
    </comment>
    <comment ref="D61" authorId="0" shapeId="0" xr:uid="{00000000-0006-0000-0400-000008000000}">
      <text>
        <r>
          <rPr>
            <b/>
            <sz val="8"/>
            <color indexed="81"/>
            <rFont val="Tahoma"/>
            <family val="2"/>
          </rPr>
          <t>Liebegg:</t>
        </r>
        <r>
          <rPr>
            <sz val="8"/>
            <color indexed="81"/>
            <rFont val="Tahoma"/>
            <family val="2"/>
          </rPr>
          <t xml:space="preserve">
1 Sprinkler pro Baum</t>
        </r>
      </text>
    </comment>
    <comment ref="B62" authorId="0" shapeId="0" xr:uid="{00000000-0006-0000-0400-000009000000}">
      <text>
        <r>
          <rPr>
            <b/>
            <sz val="8"/>
            <color indexed="81"/>
            <rFont val="Tahoma"/>
            <family val="2"/>
          </rPr>
          <t>Liebegg:</t>
        </r>
        <r>
          <rPr>
            <sz val="8"/>
            <color indexed="81"/>
            <rFont val="Tahoma"/>
            <family val="2"/>
          </rPr>
          <t xml:space="preserve">
17 Stck. Anbohrschellen 50mmx3/4. à 4.80, 
17 Stck. Plasim Anschlusskupplung 3/4"x25mm à 4.80  
18 Stck. Plasim Schlauchkupplungen 25x25mm à 5.80
17 Stck. Plassim Schlauchenden  4.80</t>
        </r>
      </text>
    </comment>
    <comment ref="B64" authorId="0" shapeId="0" xr:uid="{00000000-0006-0000-0400-00000A000000}">
      <text>
        <r>
          <rPr>
            <b/>
            <sz val="8"/>
            <color indexed="81"/>
            <rFont val="Tahoma"/>
            <family val="2"/>
          </rPr>
          <t>Liebegg:</t>
        </r>
        <r>
          <rPr>
            <sz val="8"/>
            <color indexed="81"/>
            <rFont val="Tahoma"/>
            <family val="2"/>
          </rPr>
          <t xml:space="preserve">
Schlauchaufhänger Blitzbinder 7 cm, kg à 490 Stck, 4 kg à 38.-</t>
        </r>
      </text>
    </comment>
    <comment ref="B67" authorId="0" shapeId="0" xr:uid="{00000000-0006-0000-0400-00000B000000}">
      <text>
        <r>
          <rPr>
            <b/>
            <sz val="8"/>
            <color indexed="81"/>
            <rFont val="Tahoma"/>
            <family val="2"/>
          </rPr>
          <t>Liebegg:</t>
        </r>
        <r>
          <rPr>
            <sz val="8"/>
            <color indexed="81"/>
            <rFont val="Tahoma"/>
            <family val="2"/>
          </rPr>
          <t xml:space="preserve">
Sektorenleitung Zuleitung Kultur
Für Hauptlietung PE 63mm PN 12.5 bzw. PE ND 8 63 mm à 6.--</t>
        </r>
      </text>
    </comment>
    <comment ref="B70" authorId="0" shapeId="0" xr:uid="{00000000-0006-0000-0400-00000C000000}">
      <text>
        <r>
          <rPr>
            <b/>
            <sz val="8"/>
            <color indexed="81"/>
            <rFont val="Tahoma"/>
            <family val="2"/>
          </rPr>
          <t>Liebegg:</t>
        </r>
        <r>
          <rPr>
            <sz val="8"/>
            <color indexed="81"/>
            <rFont val="Tahoma"/>
            <family val="2"/>
          </rPr>
          <t xml:space="preserve">
4 Stck Sektorenleitungsendeverschluss 50mm  à 10.80,
4 Anschlusskupplung 2" 50mm für  Sektoren  à 18.4 4 Sektoren
</t>
        </r>
      </text>
    </comment>
    <comment ref="B76" authorId="0" shapeId="0" xr:uid="{00000000-0006-0000-0400-00000D000000}">
      <text>
        <r>
          <rPr>
            <b/>
            <sz val="8"/>
            <color indexed="81"/>
            <rFont val="Tahoma"/>
            <family val="2"/>
          </rPr>
          <t>Liebegg:</t>
        </r>
        <r>
          <rPr>
            <sz val="8"/>
            <color indexed="81"/>
            <rFont val="Tahoma"/>
            <family val="2"/>
          </rPr>
          <t xml:space="preserve">
Bermet AC 24 Volt 1.5"</t>
        </r>
      </text>
    </comment>
    <comment ref="B77" authorId="0" shapeId="0" xr:uid="{00000000-0006-0000-0400-00000E000000}">
      <text>
        <r>
          <rPr>
            <b/>
            <sz val="8"/>
            <color indexed="81"/>
            <rFont val="Tahoma"/>
            <family val="2"/>
          </rPr>
          <t>Liebegg:</t>
        </r>
        <r>
          <rPr>
            <sz val="8"/>
            <color indexed="81"/>
            <rFont val="Tahoma"/>
            <family val="2"/>
          </rPr>
          <t xml:space="preserve">
Miracle Netz 220 V 6 Stationen inkl. Abdeckung Wasserdicht</t>
        </r>
      </text>
    </comment>
    <comment ref="B78" authorId="0" shapeId="0" xr:uid="{00000000-0006-0000-0400-00000F000000}">
      <text>
        <r>
          <rPr>
            <b/>
            <sz val="8"/>
            <color indexed="81"/>
            <rFont val="Tahoma"/>
            <family val="2"/>
          </rPr>
          <t>Liebegg:</t>
        </r>
        <r>
          <rPr>
            <sz val="8"/>
            <color indexed="81"/>
            <rFont val="Tahoma"/>
            <family val="2"/>
          </rPr>
          <t xml:space="preserve">
Druckmanometer</t>
        </r>
      </text>
    </comment>
    <comment ref="F80" authorId="0" shapeId="0" xr:uid="{00000000-0006-0000-0400-000010000000}">
      <text>
        <r>
          <rPr>
            <b/>
            <sz val="8"/>
            <color indexed="81"/>
            <rFont val="Tahoma"/>
            <family val="2"/>
          </rPr>
          <t>Liebegg:</t>
        </r>
        <r>
          <rPr>
            <sz val="8"/>
            <color indexed="81"/>
            <rFont val="Tahoma"/>
            <family val="2"/>
          </rPr>
          <t xml:space="preserve">
Dosatron D8R</t>
        </r>
      </text>
    </comment>
    <comment ref="A111" authorId="0" shapeId="0" xr:uid="{00000000-0006-0000-0400-000011000000}">
      <text>
        <r>
          <rPr>
            <b/>
            <sz val="8"/>
            <color indexed="81"/>
            <rFont val="Tahoma"/>
            <family val="2"/>
          </rPr>
          <t>Liebegg:</t>
        </r>
        <r>
          <rPr>
            <sz val="8"/>
            <color indexed="81"/>
            <rFont val="Tahoma"/>
            <family val="2"/>
          </rPr>
          <t xml:space="preserve">
Für Hauptlietung PE 63mm PN 12.5 bzw. PE ND 8 63 mm à 6.--</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FAW</author>
    <author>P. Mouron</author>
  </authors>
  <commentList>
    <comment ref="C58" authorId="0" shapeId="0" xr:uid="{00000000-0006-0000-0500-000001000000}">
      <text>
        <r>
          <rPr>
            <b/>
            <sz val="8"/>
            <color indexed="81"/>
            <rFont val="Tahoma"/>
            <family val="2"/>
          </rPr>
          <t>ACW:</t>
        </r>
        <r>
          <rPr>
            <sz val="8"/>
            <color indexed="81"/>
            <rFont val="Tahoma"/>
            <family val="2"/>
          </rPr>
          <t xml:space="preserve">
Verlustzeit entspricht 10% von der aufgelisteten Zkh oder Akh</t>
        </r>
      </text>
    </comment>
    <comment ref="C79" authorId="1" shapeId="0" xr:uid="{00000000-0006-0000-0500-000002000000}">
      <text>
        <r>
          <rPr>
            <sz val="8"/>
            <color indexed="81"/>
            <rFont val="Tahoma"/>
            <family val="2"/>
          </rPr>
          <t>zue:
In der Regel wird hier mit 10% der totalen Stunden gerechnet.</t>
        </r>
      </text>
    </comment>
    <comment ref="C87" authorId="0" shapeId="0" xr:uid="{00000000-0006-0000-0500-000003000000}">
      <text>
        <r>
          <rPr>
            <sz val="8"/>
            <color indexed="81"/>
            <rFont val="Tahoma"/>
            <family val="2"/>
          </rPr>
          <t xml:space="preserve">Umfang der eingezäunten Fläche abzüglich 2 Tore à je ca. 6 m 
</t>
        </r>
      </text>
    </comment>
    <comment ref="B88" authorId="0" shapeId="0" xr:uid="{00000000-0006-0000-0500-000004000000}">
      <text>
        <r>
          <rPr>
            <sz val="9"/>
            <color indexed="81"/>
            <rFont val="Tahoma"/>
            <family val="2"/>
          </rPr>
          <t>200cm Länge, 7x7 cm Dimension; nur oben gefasst</t>
        </r>
      </text>
    </comment>
    <comment ref="C88" authorId="0" shapeId="0" xr:uid="{00000000-0006-0000-0500-000005000000}">
      <text>
        <r>
          <rPr>
            <sz val="9"/>
            <color indexed="81"/>
            <rFont val="Tahoma"/>
            <family val="2"/>
          </rPr>
          <t>Jeder 5te Pfahl ist ein stärkerer, dh. von 100 sind 20 Pfähle stärker</t>
        </r>
      </text>
    </comment>
    <comment ref="B89" authorId="0" shapeId="0" xr:uid="{00000000-0006-0000-0500-000006000000}">
      <text>
        <r>
          <rPr>
            <sz val="9"/>
            <color indexed="81"/>
            <rFont val="Tahoma"/>
            <family val="2"/>
          </rPr>
          <t>225 cm lang; 8x8cm Dimension, nur oben gefasst</t>
        </r>
      </text>
    </comment>
    <comment ref="B90" authorId="0" shapeId="0" xr:uid="{00000000-0006-0000-0500-000007000000}">
      <text>
        <r>
          <rPr>
            <sz val="9"/>
            <color indexed="81"/>
            <rFont val="Tahoma"/>
            <family val="2"/>
          </rPr>
          <t>225 cm lang; 8x10cm Dimension, nur oben gefasst; für die Befestigung der Tore gebraucht</t>
        </r>
      </text>
    </comment>
    <comment ref="E113" authorId="0" shapeId="0" xr:uid="{00000000-0006-0000-0500-000008000000}">
      <text>
        <r>
          <rPr>
            <b/>
            <sz val="8"/>
            <color indexed="81"/>
            <rFont val="Tahoma"/>
            <family val="2"/>
          </rPr>
          <t>ACW:</t>
        </r>
        <r>
          <rPr>
            <sz val="8"/>
            <color indexed="81"/>
            <rFont val="Tahoma"/>
            <family val="2"/>
          </rPr>
          <t xml:space="preserve">
Quelle Anbauempfehlung für die Obstregion Nordwestschweiz, mit nur 21 Reihen</t>
        </r>
      </text>
    </comment>
    <comment ref="D120" authorId="0" shapeId="0" xr:uid="{00000000-0006-0000-0500-000009000000}">
      <text>
        <r>
          <rPr>
            <b/>
            <sz val="8"/>
            <color indexed="81"/>
            <rFont val="Tahoma"/>
            <family val="2"/>
          </rPr>
          <t>ACW:</t>
        </r>
        <r>
          <rPr>
            <sz val="8"/>
            <color indexed="81"/>
            <rFont val="Tahoma"/>
            <family val="2"/>
          </rPr>
          <t xml:space="preserve">
Hagelnetz ja/nein</t>
        </r>
      </text>
    </comment>
    <comment ref="E123" authorId="0" shapeId="0" xr:uid="{00000000-0006-0000-0500-00000A000000}">
      <text>
        <r>
          <rPr>
            <b/>
            <sz val="8"/>
            <color indexed="81"/>
            <rFont val="Tahoma"/>
            <family val="2"/>
          </rPr>
          <t>ACW:</t>
        </r>
        <r>
          <rPr>
            <sz val="8"/>
            <color indexed="81"/>
            <rFont val="Tahoma"/>
            <family val="2"/>
          </rPr>
          <t xml:space="preserve">
Quelle Anbauempfehlung für die Obstregion Nordwestschweiz, mit nur 21 Reihen</t>
        </r>
      </text>
    </comment>
    <comment ref="D129" authorId="0" shapeId="0" xr:uid="{00000000-0006-0000-0500-00000B000000}">
      <text>
        <r>
          <rPr>
            <b/>
            <sz val="8"/>
            <color indexed="81"/>
            <rFont val="Tahoma"/>
            <family val="2"/>
          </rPr>
          <t>ACW:</t>
        </r>
        <r>
          <rPr>
            <sz val="8"/>
            <color indexed="81"/>
            <rFont val="Tahoma"/>
            <family val="2"/>
          </rPr>
          <t xml:space="preserve">
Hagelnetz Ja/nein</t>
        </r>
      </text>
    </comment>
    <comment ref="C131" authorId="0" shapeId="0" xr:uid="{00000000-0006-0000-0500-00000C000000}">
      <text>
        <r>
          <rPr>
            <b/>
            <sz val="8"/>
            <color indexed="81"/>
            <rFont val="Tahoma"/>
            <family val="2"/>
          </rPr>
          <t>ACW:</t>
        </r>
        <r>
          <rPr>
            <sz val="8"/>
            <color indexed="81"/>
            <rFont val="Tahoma"/>
            <family val="2"/>
          </rPr>
          <t xml:space="preserve">
Hagelversicherung ja=1, Hagelversicherung nein = 0
</t>
        </r>
      </text>
    </comment>
    <comment ref="C132" authorId="0" shapeId="0" xr:uid="{00000000-0006-0000-0500-00000D000000}">
      <text>
        <r>
          <rPr>
            <b/>
            <sz val="8"/>
            <color indexed="81"/>
            <rFont val="Tahoma"/>
            <family val="2"/>
          </rPr>
          <t>ACW:</t>
        </r>
        <r>
          <rPr>
            <sz val="8"/>
            <color indexed="81"/>
            <rFont val="Tahoma"/>
            <family val="2"/>
          </rPr>
          <t xml:space="preserve">
Hagelnetz ja=1, Hagenletz nein=o
</t>
        </r>
      </text>
    </comment>
    <comment ref="C135" authorId="0" shapeId="0" xr:uid="{00000000-0006-0000-0500-00000E000000}">
      <text>
        <r>
          <rPr>
            <b/>
            <sz val="8"/>
            <color indexed="81"/>
            <rFont val="Tahoma"/>
            <family val="2"/>
          </rPr>
          <t>ACW:</t>
        </r>
        <r>
          <rPr>
            <sz val="8"/>
            <color indexed="81"/>
            <rFont val="Tahoma"/>
            <family val="2"/>
          </rPr>
          <t xml:space="preserve">
Summe von  Zellen 32/133/134 C um zelle C 131 zu definieren.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FAW</author>
    <author>P. Mouron</author>
    <author>zue</author>
  </authors>
  <commentList>
    <comment ref="F5" authorId="0" shapeId="0" xr:uid="{00000000-0006-0000-0600-000001000000}">
      <text>
        <r>
          <rPr>
            <sz val="9"/>
            <color indexed="81"/>
            <rFont val="Tahoma"/>
            <family val="2"/>
          </rPr>
          <t>Diese Seite ist schreibgeschützt. Der Schutz kann aufgehoben werden mit dem Kennwort "Arbokost"</t>
        </r>
      </text>
    </comment>
    <comment ref="S46" authorId="1" shapeId="0" xr:uid="{00000000-0006-0000-0600-000002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Z46" authorId="1" shapeId="0" xr:uid="{00000000-0006-0000-0600-000003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AG46" authorId="1" shapeId="0" xr:uid="{00000000-0006-0000-0600-000004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AN46" authorId="1" shapeId="0" xr:uid="{00000000-0006-0000-0600-000005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AU46" authorId="1" shapeId="0" xr:uid="{00000000-0006-0000-0600-000006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BB46" authorId="1" shapeId="0" xr:uid="{00000000-0006-0000-0600-000007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BI46" authorId="1" shapeId="0" xr:uid="{00000000-0006-0000-0600-000008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BP46" authorId="1" shapeId="0" xr:uid="{00000000-0006-0000-0600-000009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BW46" authorId="1" shapeId="0" xr:uid="{00000000-0006-0000-0600-00000A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CD46" authorId="1" shapeId="0" xr:uid="{00000000-0006-0000-0600-00000B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CK46" authorId="1" shapeId="0" xr:uid="{00000000-0006-0000-0600-00000C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CR46" authorId="1" shapeId="0" xr:uid="{00000000-0006-0000-0600-00000D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CY46" authorId="1" shapeId="0" xr:uid="{00000000-0006-0000-0600-00000E000000}">
      <text>
        <r>
          <rPr>
            <b/>
            <sz val="8"/>
            <color indexed="81"/>
            <rFont val="Tahoma"/>
            <family val="2"/>
          </rPr>
          <t>P. Mouron:</t>
        </r>
        <r>
          <rPr>
            <sz val="8"/>
            <color indexed="81"/>
            <rFont val="Tahoma"/>
            <family val="2"/>
          </rPr>
          <t xml:space="preserve">
</t>
        </r>
        <r>
          <rPr>
            <sz val="10"/>
            <color indexed="81"/>
            <rFont val="Tahoma"/>
            <family val="2"/>
          </rPr>
          <t>ART-Ansätze für Miete minus 10 %</t>
        </r>
      </text>
    </comment>
    <comment ref="C50" authorId="1" shapeId="0" xr:uid="{00000000-0006-0000-0600-00000F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J50" authorId="1" shapeId="0" xr:uid="{00000000-0006-0000-0600-000010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Q50" authorId="1" shapeId="0" xr:uid="{00000000-0006-0000-0600-000011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X50" authorId="1" shapeId="0" xr:uid="{00000000-0006-0000-0600-000012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AE50" authorId="1" shapeId="0" xr:uid="{00000000-0006-0000-0600-000013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AL50" authorId="1" shapeId="0" xr:uid="{00000000-0006-0000-0600-000014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AS50" authorId="1" shapeId="0" xr:uid="{00000000-0006-0000-0600-000015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AZ50" authorId="1" shapeId="0" xr:uid="{00000000-0006-0000-0600-000016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BG50" authorId="1" shapeId="0" xr:uid="{00000000-0006-0000-0600-000017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BN50" authorId="1" shapeId="0" xr:uid="{00000000-0006-0000-0600-000018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BU50" authorId="1" shapeId="0" xr:uid="{00000000-0006-0000-0600-000019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CB50" authorId="1" shapeId="0" xr:uid="{00000000-0006-0000-0600-00001A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CI50" authorId="1" shapeId="0" xr:uid="{00000000-0006-0000-0600-00001B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CP50" authorId="1" shapeId="0" xr:uid="{00000000-0006-0000-0600-00001C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CW50" authorId="1" shapeId="0" xr:uid="{00000000-0006-0000-0600-00001D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D54" authorId="1" shapeId="0" xr:uid="{00000000-0006-0000-0600-00001E000000}">
      <text>
        <r>
          <rPr>
            <sz val="10"/>
            <color indexed="81"/>
            <rFont val="Tahoma"/>
            <family val="2"/>
          </rPr>
          <t>Berechnung der Zugkraftstunden für Ernte:
Anzahl Ladung mal Erntezeit pro Ladung mal Auslastung der Zugkraft bei Ernte (0.25).</t>
        </r>
      </text>
    </comment>
    <comment ref="K54" authorId="1" shapeId="0" xr:uid="{00000000-0006-0000-0600-00001F000000}">
      <text>
        <r>
          <rPr>
            <sz val="10"/>
            <color indexed="81"/>
            <rFont val="Tahoma"/>
            <family val="2"/>
          </rPr>
          <t>Berechnung der Zugkraftstunden für Ernte:
Anzahl Ladung mal Erntezeit pro Ladung mal Auslastung der Zugkraft bei Ernte (0.25).</t>
        </r>
      </text>
    </comment>
    <comment ref="R54" authorId="1" shapeId="0" xr:uid="{00000000-0006-0000-0600-000020000000}">
      <text>
        <r>
          <rPr>
            <sz val="10"/>
            <color indexed="81"/>
            <rFont val="Tahoma"/>
            <family val="2"/>
          </rPr>
          <t>Berechnung der Zugkraftstunden für Ernte:
Anzahl Ladung mal Erntezeit pro Ladung mal Auslastung der Zugkraft bei Ernte (0.25).</t>
        </r>
      </text>
    </comment>
    <comment ref="Y54" authorId="1" shapeId="0" xr:uid="{00000000-0006-0000-0600-000021000000}">
      <text>
        <r>
          <rPr>
            <sz val="10"/>
            <color indexed="81"/>
            <rFont val="Tahoma"/>
            <family val="2"/>
          </rPr>
          <t>Berechnung der Zugkraftstunden für Ernte:
Anzahl Ladung mal Erntezeit pro Ladung mal Auslastung der Zugkraft bei Ernte (0.25).</t>
        </r>
      </text>
    </comment>
    <comment ref="AF54" authorId="1" shapeId="0" xr:uid="{00000000-0006-0000-0600-000022000000}">
      <text>
        <r>
          <rPr>
            <sz val="10"/>
            <color indexed="81"/>
            <rFont val="Tahoma"/>
            <family val="2"/>
          </rPr>
          <t>Berechnung der Zugkraftstunden für Ernte:
Anzahl Ladung mal Erntezeit pro Ladung mal Auslastung der Zugkraft bei Ernte (0.25).</t>
        </r>
      </text>
    </comment>
    <comment ref="AM54" authorId="1" shapeId="0" xr:uid="{00000000-0006-0000-0600-000023000000}">
      <text>
        <r>
          <rPr>
            <sz val="10"/>
            <color indexed="81"/>
            <rFont val="Tahoma"/>
            <family val="2"/>
          </rPr>
          <t>Berechnung der Zugkraftstunden für Ernte:
Anzahl Ladung mal Erntezeit pro Ladung mal Auslastung der Zugkraft bei Ernte (0.25).</t>
        </r>
      </text>
    </comment>
    <comment ref="AT54" authorId="1" shapeId="0" xr:uid="{00000000-0006-0000-0600-000024000000}">
      <text>
        <r>
          <rPr>
            <sz val="10"/>
            <color indexed="81"/>
            <rFont val="Tahoma"/>
            <family val="2"/>
          </rPr>
          <t>Berechnung der Zugkraftstunden für Ernte:
Anzahl Ladung mal Erntezeit pro Ladung mal Auslastung der Zugkraft bei Ernte (0.25).</t>
        </r>
      </text>
    </comment>
    <comment ref="BA54" authorId="1" shapeId="0" xr:uid="{00000000-0006-0000-0600-000025000000}">
      <text>
        <r>
          <rPr>
            <sz val="10"/>
            <color indexed="81"/>
            <rFont val="Tahoma"/>
            <family val="2"/>
          </rPr>
          <t>Berechnung der Zugkraftstunden für Ernte:
Anzahl Ladung mal Erntezeit pro Ladung mal Auslastung der Zugkraft bei Ernte (0.25).</t>
        </r>
      </text>
    </comment>
    <comment ref="BH54" authorId="1" shapeId="0" xr:uid="{00000000-0006-0000-0600-000026000000}">
      <text>
        <r>
          <rPr>
            <sz val="10"/>
            <color indexed="81"/>
            <rFont val="Tahoma"/>
            <family val="2"/>
          </rPr>
          <t>Berechnung der Zugkraftstunden für Ernte:
Anzahl Ladung mal Erntezeit pro Ladung mal Auslastung der Zugkraft bei Ernte (0.25).</t>
        </r>
      </text>
    </comment>
    <comment ref="BO54" authorId="1" shapeId="0" xr:uid="{00000000-0006-0000-0600-000027000000}">
      <text>
        <r>
          <rPr>
            <sz val="10"/>
            <color indexed="81"/>
            <rFont val="Tahoma"/>
            <family val="2"/>
          </rPr>
          <t>Berechnung der Zugkraftstunden für Ernte:
Anzahl Ladung mal Erntezeit pro Ladung mal Auslastung der Zugkraft bei Ernte (0.25).</t>
        </r>
      </text>
    </comment>
    <comment ref="BV54" authorId="1" shapeId="0" xr:uid="{00000000-0006-0000-0600-000028000000}">
      <text>
        <r>
          <rPr>
            <sz val="10"/>
            <color indexed="81"/>
            <rFont val="Tahoma"/>
            <family val="2"/>
          </rPr>
          <t>Berechnung der Zugkraftstunden für Ernte:
Anzahl Ladung mal Erntezeit pro Ladung mal Auslastung der Zugkraft bei Ernte (0.25).</t>
        </r>
      </text>
    </comment>
    <comment ref="CC54" authorId="1" shapeId="0" xr:uid="{00000000-0006-0000-0600-000029000000}">
      <text>
        <r>
          <rPr>
            <sz val="10"/>
            <color indexed="81"/>
            <rFont val="Tahoma"/>
            <family val="2"/>
          </rPr>
          <t>Berechnung der Zugkraftstunden für Ernte:
Anzahl Ladung mal Erntezeit pro Ladung mal Auslastung der Zugkraft bei Ernte (0.25).</t>
        </r>
      </text>
    </comment>
    <comment ref="CJ54" authorId="1" shapeId="0" xr:uid="{00000000-0006-0000-0600-00002A000000}">
      <text>
        <r>
          <rPr>
            <sz val="10"/>
            <color indexed="81"/>
            <rFont val="Tahoma"/>
            <family val="2"/>
          </rPr>
          <t>Berechnung der Zugkraftstunden für Ernte:
Anzahl Ladung mal Erntezeit pro Ladung mal Auslastung der Zugkraft bei Ernte (0.25).</t>
        </r>
      </text>
    </comment>
    <comment ref="CQ54" authorId="1" shapeId="0" xr:uid="{00000000-0006-0000-0600-00002B000000}">
      <text>
        <r>
          <rPr>
            <sz val="10"/>
            <color indexed="81"/>
            <rFont val="Tahoma"/>
            <family val="2"/>
          </rPr>
          <t>Berechnung der Zugkraftstunden für Ernte:
Anzahl Ladung mal Erntezeit pro Ladung mal Auslastung der Zugkraft bei Ernte (0.25).</t>
        </r>
      </text>
    </comment>
    <comment ref="CX54" authorId="1" shapeId="0" xr:uid="{00000000-0006-0000-0600-00002C000000}">
      <text>
        <r>
          <rPr>
            <sz val="10"/>
            <color indexed="81"/>
            <rFont val="Tahoma"/>
            <family val="2"/>
          </rPr>
          <t>Berechnung der Zugkraftstunden für Ernte:
Anzahl Ladung mal Erntezeit pro Ladung mal Auslastung der Zugkraft bei Ernte (0.25).</t>
        </r>
      </text>
    </comment>
    <comment ref="B67" authorId="2" shapeId="0" xr:uid="{00000000-0006-0000-0600-00002D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I67" authorId="2" shapeId="0" xr:uid="{00000000-0006-0000-0600-00002E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P67" authorId="2" shapeId="0" xr:uid="{00000000-0006-0000-0600-00002F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W67" authorId="2" shapeId="0" xr:uid="{00000000-0006-0000-0600-000030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AD67" authorId="2" shapeId="0" xr:uid="{00000000-0006-0000-0600-000031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AK67" authorId="2" shapeId="0" xr:uid="{00000000-0006-0000-0600-000032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AR67" authorId="2" shapeId="0" xr:uid="{00000000-0006-0000-0600-000033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AY67" authorId="2" shapeId="0" xr:uid="{00000000-0006-0000-0600-000034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BF67" authorId="2" shapeId="0" xr:uid="{00000000-0006-0000-0600-000035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BM67" authorId="2" shapeId="0" xr:uid="{00000000-0006-0000-0600-000036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BT67" authorId="2" shapeId="0" xr:uid="{00000000-0006-0000-0600-000037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CA67" authorId="2" shapeId="0" xr:uid="{00000000-0006-0000-0600-000038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CH67" authorId="2" shapeId="0" xr:uid="{00000000-0006-0000-0600-000039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CO67" authorId="2" shapeId="0" xr:uid="{00000000-0006-0000-0600-00003A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CV67" authorId="2" shapeId="0" xr:uid="{00000000-0006-0000-0600-00003B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CV87" authorId="1" shapeId="0" xr:uid="{00000000-0006-0000-0600-00003C000000}">
      <text>
        <r>
          <rPr>
            <b/>
            <sz val="8"/>
            <color indexed="81"/>
            <rFont val="Tahoma"/>
            <family val="2"/>
          </rPr>
          <t>P. Mouron:</t>
        </r>
        <r>
          <rPr>
            <sz val="8"/>
            <color indexed="81"/>
            <rFont val="Tahoma"/>
            <family val="2"/>
          </rPr>
          <t xml:space="preserve">
Rodungskosten fallen im letzten Jahr an.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 Mouron</author>
    <author>FAW</author>
    <author>zue</author>
  </authors>
  <commentList>
    <comment ref="E8" authorId="0" shapeId="0" xr:uid="{00000000-0006-0000-0700-000001000000}">
      <text>
        <r>
          <rPr>
            <sz val="10"/>
            <color indexed="81"/>
            <rFont val="Tahoma"/>
            <family val="2"/>
          </rPr>
          <t>Kosten für Gebindebenutzung und Transport (vom Betrieb zur Genossenschaft) sind hier pauschal bereits abgezogen.</t>
        </r>
        <r>
          <rPr>
            <sz val="8"/>
            <color indexed="81"/>
            <rFont val="Tahoma"/>
            <family val="2"/>
          </rPr>
          <t xml:space="preserve">
</t>
        </r>
      </text>
    </comment>
    <comment ref="B11" authorId="0" shapeId="0" xr:uid="{00000000-0006-0000-0700-000002000000}">
      <text>
        <r>
          <rPr>
            <b/>
            <sz val="8"/>
            <color indexed="81"/>
            <rFont val="Tahoma"/>
            <family val="2"/>
          </rPr>
          <t xml:space="preserve">zue:
</t>
        </r>
        <r>
          <rPr>
            <sz val="12"/>
            <color indexed="81"/>
            <rFont val="Tahoma"/>
            <family val="2"/>
          </rPr>
          <t>Sortierabgang + ab Boden</t>
        </r>
      </text>
    </comment>
    <comment ref="D12" authorId="0" shapeId="0" xr:uid="{00000000-0006-0000-0700-000003000000}">
      <text>
        <r>
          <rPr>
            <b/>
            <sz val="8"/>
            <color indexed="81"/>
            <rFont val="Tahoma"/>
            <family val="2"/>
          </rPr>
          <t>Zue:</t>
        </r>
        <r>
          <rPr>
            <sz val="8"/>
            <color indexed="81"/>
            <rFont val="Tahoma"/>
            <family val="2"/>
          </rPr>
          <t xml:space="preserve">
durchschnittlich während Ertragsphase, inkl. Schäden durch Frost 
Hagelschäden nicht berücksichtigt, da Hagelnetz.</t>
        </r>
      </text>
    </comment>
    <comment ref="A32" authorId="1" shapeId="0" xr:uid="{00000000-0006-0000-0700-000004000000}">
      <text>
        <r>
          <rPr>
            <b/>
            <sz val="8"/>
            <color indexed="81"/>
            <rFont val="Tahoma"/>
            <family val="2"/>
          </rPr>
          <t>ACW:</t>
        </r>
        <r>
          <rPr>
            <sz val="8"/>
            <color indexed="81"/>
            <rFont val="Tahoma"/>
            <family val="2"/>
          </rPr>
          <t xml:space="preserve">
gemäss Abrechnung von Hubert Büchele (MABO)</t>
        </r>
      </text>
    </comment>
    <comment ref="B44" authorId="2" shapeId="0" xr:uid="{00000000-0006-0000-0700-000005000000}">
      <text>
        <r>
          <rPr>
            <b/>
            <sz val="10"/>
            <color indexed="81"/>
            <rFont val="Tahoma"/>
            <family val="2"/>
          </rPr>
          <t>zue:</t>
        </r>
        <r>
          <rPr>
            <sz val="10"/>
            <color indexed="81"/>
            <rFont val="Tahoma"/>
            <family val="2"/>
          </rPr>
          <t xml:space="preserve">
mit der Excel RMZ (Regelmässige Zahlung) Funktion berechnet. Liefert die konstante Zahlung einer Annuität pro Periode, wobei konstante Zahlungen und ein konstanter Zinssatz vorausgesetzt werden</t>
        </r>
      </text>
    </comment>
    <comment ref="C53" authorId="0" shapeId="0" xr:uid="{00000000-0006-0000-0700-000006000000}">
      <text>
        <r>
          <rPr>
            <b/>
            <sz val="10"/>
            <color indexed="81"/>
            <rFont val="Tahoma"/>
            <family val="2"/>
          </rPr>
          <t>Berechnung der kg pro Ladung:</t>
        </r>
        <r>
          <rPr>
            <sz val="10"/>
            <color indexed="81"/>
            <rFont val="Tahoma"/>
            <family val="2"/>
          </rPr>
          <t xml:space="preserve">
Erntewagen für 4 Grosskisten (Zug):
4 Grosskisten à 300 kg = 1200 kg bei angenommer Auslastung 
von 80 % = 0.8*1200 = </t>
        </r>
        <r>
          <rPr>
            <b/>
            <sz val="10"/>
            <color indexed="81"/>
            <rFont val="Tahoma"/>
            <family val="2"/>
          </rPr>
          <t>960 kg pro Ladung</t>
        </r>
        <r>
          <rPr>
            <sz val="10"/>
            <color indexed="81"/>
            <rFont val="Tahoma"/>
            <family val="2"/>
          </rPr>
          <t xml:space="preserve">
</t>
        </r>
      </text>
    </comment>
    <comment ref="D57" authorId="0" shapeId="0" xr:uid="{00000000-0006-0000-0700-000007000000}">
      <text>
        <r>
          <rPr>
            <sz val="10"/>
            <color indexed="81"/>
            <rFont val="Tahoma"/>
            <family val="2"/>
          </rPr>
          <t>Berechnung der Zugkraftstunden für Ernte:
Anzahl Ladung mal Erntezeit pro Ladung mal Auslastung der Zugkraft bei Ernte (0.25).</t>
        </r>
      </text>
    </comment>
    <comment ref="B71" authorId="2" shapeId="0" xr:uid="{00000000-0006-0000-0700-000008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A111" authorId="0" shapeId="0" xr:uid="{00000000-0006-0000-0700-000009000000}">
      <text>
        <r>
          <rPr>
            <b/>
            <sz val="8"/>
            <color indexed="81"/>
            <rFont val="Tahoma"/>
            <family val="2"/>
          </rPr>
          <t>ZUE:</t>
        </r>
        <r>
          <rPr>
            <sz val="10"/>
            <color indexed="81"/>
            <rFont val="Tahoma"/>
            <family val="2"/>
          </rPr>
          <t xml:space="preserve">
Im Betriebsminimum (oder Produktionsschwelle) werden gerade noch die entstehenden variablen Kosten gedeckt, jedoch nicht die werden die fixen Kosten.Kann der Gesamterlös diesen Betrag nicht mehr decken ist es ökonomisch sinnvoller nicht merh zu produzieren und die Parzelle zu roden.</t>
        </r>
      </text>
    </comment>
    <comment ref="A122" authorId="0" shapeId="0" xr:uid="{00000000-0006-0000-0700-00000A000000}">
      <text>
        <r>
          <rPr>
            <b/>
            <sz val="8"/>
            <color indexed="81"/>
            <rFont val="Tahoma"/>
            <family val="2"/>
          </rPr>
          <t>ZUE:</t>
        </r>
        <r>
          <rPr>
            <sz val="8"/>
            <color indexed="81"/>
            <rFont val="Tahoma"/>
            <family val="2"/>
          </rPr>
          <t xml:space="preserve">
</t>
        </r>
        <r>
          <rPr>
            <sz val="10"/>
            <color indexed="81"/>
            <rFont val="Tahoma"/>
            <family val="2"/>
          </rPr>
          <t>siehe: Betriebswirtschaftliche Begriffe im Agrarbereich, LMZ 2000, S.112</t>
        </r>
      </text>
    </comment>
    <comment ref="A124" authorId="0" shapeId="0" xr:uid="{00000000-0006-0000-0700-00000B000000}">
      <text>
        <r>
          <rPr>
            <b/>
            <sz val="8"/>
            <color indexed="81"/>
            <rFont val="Tahoma"/>
            <family val="2"/>
          </rPr>
          <t>ZUE:</t>
        </r>
        <r>
          <rPr>
            <sz val="8"/>
            <color indexed="81"/>
            <rFont val="Tahoma"/>
            <family val="2"/>
          </rPr>
          <t xml:space="preserve">
</t>
        </r>
        <r>
          <rPr>
            <sz val="10"/>
            <color indexed="81"/>
            <rFont val="Tahoma"/>
            <family val="2"/>
          </rPr>
          <t>Summe aus Zinsanspruch für das Eigenkapital und bezahlten Schuld- und Pachtzinsen ((Betriebswirtschaftliche Begriffe im Agrarbereich, LMZ 2000, S.110)
Hier: Zins für Investitionen und Boden.</t>
        </r>
      </text>
    </comment>
    <comment ref="A125" authorId="0" shapeId="0" xr:uid="{00000000-0006-0000-0700-00000C000000}">
      <text>
        <r>
          <rPr>
            <b/>
            <sz val="8"/>
            <color indexed="81"/>
            <rFont val="Tahoma"/>
            <family val="2"/>
          </rPr>
          <t>P</t>
        </r>
        <r>
          <rPr>
            <b/>
            <sz val="10"/>
            <color indexed="81"/>
            <rFont val="Tahoma"/>
            <family val="2"/>
          </rPr>
          <t>. Mouron:</t>
        </r>
        <r>
          <rPr>
            <sz val="10"/>
            <color indexed="81"/>
            <rFont val="Tahoma"/>
            <family val="2"/>
          </rPr>
          <t xml:space="preserve">
Kosten für die in der Produktion eingesetzten Produktionsmittel </t>
        </r>
        <r>
          <rPr>
            <b/>
            <i/>
            <sz val="10"/>
            <color indexed="81"/>
            <rFont val="Tahoma"/>
            <family val="2"/>
          </rPr>
          <t>einschliesslich der Abschreibungen</t>
        </r>
        <r>
          <rPr>
            <sz val="10"/>
            <color indexed="81"/>
            <rFont val="Tahoma"/>
            <family val="2"/>
          </rPr>
          <t>, aber ohne die Entschädigung für die Produktionsfaktoren Arbeit und Kapital. (Betriebswirtschaftliche Begriffe im Agrarbereich, LMZ 2000, S.149)</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FAW</author>
    <author>P. Mouron</author>
    <author>Esther Bravin</author>
    <author>zue</author>
    <author>Tschopp Damien AGROSCOPE</author>
    <author>Patrik Mouron</author>
  </authors>
  <commentList>
    <comment ref="B24" authorId="0" shapeId="0" xr:uid="{00000000-0006-0000-0900-000001000000}">
      <text>
        <r>
          <rPr>
            <b/>
            <sz val="8"/>
            <color indexed="81"/>
            <rFont val="Tahoma"/>
            <family val="2"/>
          </rPr>
          <t>ACW:</t>
        </r>
        <r>
          <rPr>
            <sz val="8"/>
            <color indexed="81"/>
            <rFont val="Tahoma"/>
            <family val="2"/>
          </rPr>
          <t xml:space="preserve">
Bei einer Änderung der Bäume/ha auch Ertrag/Jahr korrigieren</t>
        </r>
      </text>
    </comment>
    <comment ref="G38" authorId="1" shapeId="0" xr:uid="{00000000-0006-0000-0900-000002000000}">
      <text>
        <r>
          <rPr>
            <b/>
            <sz val="8"/>
            <color indexed="81"/>
            <rFont val="Tahoma"/>
            <family val="2"/>
          </rPr>
          <t xml:space="preserve">ZUE:
</t>
        </r>
        <r>
          <rPr>
            <b/>
            <sz val="12"/>
            <color indexed="81"/>
            <rFont val="Tahoma"/>
            <family val="2"/>
          </rPr>
          <t xml:space="preserve"> SOV-Beitrag
 Selbsthilfefond</t>
        </r>
      </text>
    </comment>
    <comment ref="C39" authorId="0" shapeId="0" xr:uid="{00000000-0006-0000-0900-000003000000}">
      <text>
        <r>
          <rPr>
            <b/>
            <sz val="10"/>
            <color indexed="81"/>
            <rFont val="Tahoma"/>
            <family val="2"/>
          </rPr>
          <t>ACW 2014:
7</t>
        </r>
        <r>
          <rPr>
            <sz val="10"/>
            <color indexed="81"/>
            <rFont val="Tahoma"/>
            <family val="2"/>
          </rPr>
          <t>00 Fr. Basisbeitrag + 400 Fr. Beitrag für offene Ackerfläche und Dauerkulturen</t>
        </r>
      </text>
    </comment>
    <comment ref="C41" authorId="1" shapeId="0" xr:uid="{00000000-0006-0000-0900-000004000000}">
      <text>
        <r>
          <rPr>
            <sz val="10"/>
            <color indexed="81"/>
            <rFont val="Tahoma"/>
            <family val="2"/>
          </rPr>
          <t>ZUE
ART Faktor bei 12 Jahren Abschreibungsdauer =  0.542</t>
        </r>
      </text>
    </comment>
    <comment ref="G41" authorId="0" shapeId="0" xr:uid="{00000000-0006-0000-0900-000005000000}">
      <text>
        <r>
          <rPr>
            <b/>
            <sz val="8"/>
            <color indexed="81"/>
            <rFont val="Tahoma"/>
            <family val="2"/>
          </rPr>
          <t>ACW:</t>
        </r>
        <r>
          <rPr>
            <sz val="8"/>
            <color indexed="81"/>
            <rFont val="Tahoma"/>
            <family val="2"/>
          </rPr>
          <t xml:space="preserve">
Paloxen 6 Fr. eine Paloxe für 300 kg. Quelle AGRIDEA</t>
        </r>
      </text>
    </comment>
    <comment ref="D48" authorId="0" shapeId="0" xr:uid="{00000000-0006-0000-0900-000006000000}">
      <text>
        <r>
          <rPr>
            <b/>
            <sz val="8"/>
            <color indexed="81"/>
            <rFont val="Tahoma"/>
            <family val="2"/>
          </rPr>
          <t>ACW:</t>
        </r>
        <r>
          <rPr>
            <sz val="8"/>
            <color indexed="81"/>
            <rFont val="Tahoma"/>
            <family val="2"/>
          </rPr>
          <t xml:space="preserve">
Mostäpfel, gewöhnliche Sorten</t>
        </r>
      </text>
    </comment>
    <comment ref="B91" authorId="1" shapeId="0" xr:uid="{00000000-0006-0000-0900-000007000000}">
      <text>
        <r>
          <rPr>
            <sz val="12"/>
            <color indexed="81"/>
            <rFont val="Tahoma"/>
            <family val="2"/>
          </rPr>
          <t>ohne Feuerbrandkontrolle</t>
        </r>
      </text>
    </comment>
    <comment ref="B100" authorId="2" shapeId="0" xr:uid="{00000000-0006-0000-0900-000008000000}">
      <text>
        <r>
          <rPr>
            <b/>
            <sz val="9"/>
            <color indexed="81"/>
            <rFont val="Segoe UI"/>
            <family val="2"/>
          </rPr>
          <t>Esther Bravin:</t>
        </r>
        <r>
          <rPr>
            <sz val="9"/>
            <color indexed="81"/>
            <rFont val="Segoe UI"/>
            <family val="2"/>
          </rPr>
          <t xml:space="preserve">
Kalksalpeter (Nitrabor, 15.5%, 95 Fr./100 kg) 
</t>
        </r>
      </text>
    </comment>
    <comment ref="C100" authorId="2" shapeId="0" xr:uid="{00000000-0006-0000-0900-000009000000}">
      <text>
        <r>
          <rPr>
            <b/>
            <sz val="9"/>
            <color indexed="81"/>
            <rFont val="Segoe UI"/>
            <family val="2"/>
          </rPr>
          <t>Esther Bravin:</t>
        </r>
        <r>
          <rPr>
            <sz val="9"/>
            <color indexed="81"/>
            <rFont val="Segoe UI"/>
            <family val="2"/>
          </rPr>
          <t xml:space="preserve">
Bsp: Dolomit</t>
        </r>
      </text>
    </comment>
    <comment ref="E100" authorId="3" shapeId="0" xr:uid="{00000000-0006-0000-0900-00000A000000}">
      <text>
        <r>
          <rPr>
            <b/>
            <sz val="10"/>
            <color indexed="81"/>
            <rFont val="Tahoma"/>
            <family val="2"/>
          </rPr>
          <t>zue:</t>
        </r>
        <r>
          <rPr>
            <sz val="10"/>
            <color indexed="81"/>
            <rFont val="Tahoma"/>
            <family val="2"/>
          </rPr>
          <t xml:space="preserve">
wird nur als evtl. Ergänzung zu Arbellin verwendet</t>
        </r>
      </text>
    </comment>
    <comment ref="B111" authorId="2" shapeId="0" xr:uid="{00000000-0006-0000-0900-00000B000000}">
      <text>
        <r>
          <rPr>
            <b/>
            <sz val="9"/>
            <color indexed="81"/>
            <rFont val="Segoe UI"/>
            <family val="2"/>
          </rPr>
          <t>Esther Bravin:</t>
        </r>
        <r>
          <rPr>
            <sz val="9"/>
            <color indexed="81"/>
            <rFont val="Segoe UI"/>
            <family val="2"/>
          </rPr>
          <t xml:space="preserve">
Max 60 kg/ha</t>
        </r>
      </text>
    </comment>
    <comment ref="A116" authorId="4" shapeId="0" xr:uid="{00000000-0006-0000-0900-00000C000000}">
      <text>
        <r>
          <rPr>
            <b/>
            <sz val="9"/>
            <color indexed="81"/>
            <rFont val="Tahoma"/>
            <family val="2"/>
          </rPr>
          <t>Tschopp Damien AGROSCOPE:</t>
        </r>
        <r>
          <rPr>
            <sz val="9"/>
            <color indexed="81"/>
            <rFont val="Tahoma"/>
            <family val="2"/>
          </rPr>
          <t xml:space="preserve">
Standard Einstellungen nochmals richitig eingeben</t>
        </r>
      </text>
    </comment>
    <comment ref="A127" authorId="3" shapeId="0" xr:uid="{00000000-0006-0000-0900-00000D000000}">
      <text>
        <r>
          <rPr>
            <b/>
            <sz val="10"/>
            <color indexed="81"/>
            <rFont val="Tahoma"/>
            <family val="2"/>
          </rPr>
          <t>zue:</t>
        </r>
        <r>
          <rPr>
            <sz val="10"/>
            <color indexed="81"/>
            <rFont val="Tahoma"/>
            <family val="2"/>
          </rPr>
          <t xml:space="preserve">
Auslastung gemäss ART im Durchschnitt eher zu hoch, d.h Ansätze eher zu klein</t>
        </r>
      </text>
    </comment>
    <comment ref="H130" authorId="1" shapeId="0" xr:uid="{00000000-0006-0000-0900-00000E000000}">
      <text>
        <r>
          <rPr>
            <b/>
            <sz val="8"/>
            <color indexed="81"/>
            <rFont val="Tahoma"/>
            <family val="2"/>
          </rPr>
          <t>zue:</t>
        </r>
        <r>
          <rPr>
            <sz val="8"/>
            <color indexed="81"/>
            <rFont val="Tahoma"/>
            <family val="2"/>
          </rPr>
          <t xml:space="preserve">
</t>
        </r>
        <r>
          <rPr>
            <sz val="10"/>
            <color indexed="81"/>
            <rFont val="Tahoma"/>
            <family val="2"/>
          </rPr>
          <t>Annahme: Der  Motor läuft   nur  ¼  der Einsatzzeit während der Ernte.</t>
        </r>
      </text>
    </comment>
    <comment ref="E136" authorId="1" shapeId="0" xr:uid="{00000000-0006-0000-0900-00000F000000}">
      <text>
        <r>
          <rPr>
            <b/>
            <sz val="10"/>
            <color indexed="81"/>
            <rFont val="Tahoma"/>
            <family val="2"/>
          </rPr>
          <t>zue:</t>
        </r>
        <r>
          <rPr>
            <sz val="10"/>
            <color indexed="81"/>
            <rFont val="Tahoma"/>
            <family val="2"/>
          </rPr>
          <t xml:space="preserve">
1
 Pers pro Grosskiste</t>
        </r>
      </text>
    </comment>
    <comment ref="C140" authorId="0" shapeId="0" xr:uid="{00000000-0006-0000-0900-000010000000}">
      <text>
        <r>
          <rPr>
            <b/>
            <sz val="8"/>
            <color indexed="81"/>
            <rFont val="Tahoma"/>
            <family val="2"/>
          </rPr>
          <t>Hebebühne für die Ernte - 15 Minuten pro Fuder</t>
        </r>
      </text>
    </comment>
    <comment ref="F144" authorId="3" shapeId="0" xr:uid="{00000000-0006-0000-0900-000011000000}">
      <text>
        <r>
          <rPr>
            <b/>
            <sz val="10"/>
            <color indexed="81"/>
            <rFont val="Tahoma"/>
            <family val="2"/>
          </rPr>
          <t>zue:</t>
        </r>
        <r>
          <rPr>
            <sz val="10"/>
            <color indexed="81"/>
            <rFont val="Tahoma"/>
            <family val="2"/>
          </rPr>
          <t xml:space="preserve">
Ansatz 54.61 Fr. pro ha geteilt durch 3.8</t>
        </r>
      </text>
    </comment>
    <comment ref="G144" authorId="0" shapeId="0" xr:uid="{00000000-0006-0000-0900-000012000000}">
      <text>
        <r>
          <rPr>
            <sz val="8"/>
            <color indexed="81"/>
            <rFont val="Tahoma"/>
            <family val="2"/>
          </rPr>
          <t xml:space="preserve">Ansatz 37.6 Fr.pro ha geteilt durch 3.8
</t>
        </r>
      </text>
    </comment>
    <comment ref="C145" authorId="0" shapeId="0" xr:uid="{00000000-0006-0000-0900-000013000000}">
      <text>
        <r>
          <rPr>
            <sz val="10"/>
            <color indexed="81"/>
            <rFont val="Tahoma"/>
            <family val="2"/>
          </rPr>
          <t>gemäss Anbauempfehlung für die Obstregion NO-CH 2007</t>
        </r>
      </text>
    </comment>
    <comment ref="C146" authorId="5" shapeId="0" xr:uid="{00000000-0006-0000-0900-000014000000}">
      <text>
        <r>
          <rPr>
            <b/>
            <sz val="10"/>
            <color indexed="81"/>
            <rFont val="Tahoma"/>
            <family val="2"/>
          </rPr>
          <t>zue:</t>
        </r>
        <r>
          <rPr>
            <sz val="10"/>
            <color indexed="81"/>
            <rFont val="Tahoma"/>
            <family val="2"/>
          </rPr>
          <t xml:space="preserve">
Annahme gemäss  DB-Katalog</t>
        </r>
        <r>
          <rPr>
            <sz val="8"/>
            <color indexed="81"/>
            <rFont val="Tahoma"/>
            <family val="2"/>
          </rPr>
          <t xml:space="preserve">  AGRIDEA</t>
        </r>
      </text>
    </comment>
    <comment ref="C154" authorId="1" shapeId="0" xr:uid="{00000000-0006-0000-0900-000015000000}">
      <text>
        <r>
          <rPr>
            <b/>
            <sz val="8"/>
            <color indexed="81"/>
            <rFont val="Tahoma"/>
            <family val="2"/>
          </rPr>
          <t>zue:
gilt für 1 ha Obstbau</t>
        </r>
      </text>
    </comment>
    <comment ref="D166" authorId="1" shapeId="0" xr:uid="{00000000-0006-0000-0900-000016000000}">
      <text>
        <r>
          <rPr>
            <sz val="10"/>
            <color indexed="81"/>
            <rFont val="Tahoma"/>
            <family val="2"/>
          </rPr>
          <t>Ursus Knotengitter schwer (Hortima)
Typ 11/120 (Abstände der Querdrähte 15cm)
Preis: 9.55 Fr. per lm
Ab 2000 Fr.  gibt es 15% Rabatt
Variante
Ursus Knotengitter leicht,Typ 23/160 
Preis: 8.25 Fr. per lm</t>
        </r>
      </text>
    </comment>
    <comment ref="B167" authorId="0" shapeId="0" xr:uid="{00000000-0006-0000-0900-000017000000}">
      <text>
        <r>
          <rPr>
            <sz val="9"/>
            <color indexed="81"/>
            <rFont val="Tahoma"/>
            <family val="2"/>
          </rPr>
          <t>200cm Länge, 7x7 cm Dimension; nur oben gefasst</t>
        </r>
      </text>
    </comment>
    <comment ref="D167" authorId="0" shapeId="0" xr:uid="{00000000-0006-0000-0900-000018000000}">
      <text>
        <r>
          <rPr>
            <sz val="9"/>
            <color indexed="81"/>
            <rFont val="Tahoma"/>
            <family val="2"/>
          </rPr>
          <t>ab 600 Fr. 6% Rabatt, urspr. Stückpreis war 13.90 Fr.</t>
        </r>
      </text>
    </comment>
    <comment ref="B168" authorId="0" shapeId="0" xr:uid="{00000000-0006-0000-0900-000019000000}">
      <text>
        <r>
          <rPr>
            <sz val="9"/>
            <color indexed="81"/>
            <rFont val="Tahoma"/>
            <family val="2"/>
          </rPr>
          <t>225 cm lang; 8x8cm Dimension, nur oben gefasst</t>
        </r>
      </text>
    </comment>
    <comment ref="D168" authorId="0" shapeId="0" xr:uid="{00000000-0006-0000-0900-00001A000000}">
      <text>
        <r>
          <rPr>
            <sz val="9"/>
            <color indexed="81"/>
            <rFont val="Tahoma"/>
            <family val="2"/>
          </rPr>
          <t>es werden 21 Pfähle gekauft da es dann Rabatt von 3% gibt (ab 300 Fr.), urspr. Stückpreis 21.40</t>
        </r>
      </text>
    </comment>
    <comment ref="B169" authorId="0" shapeId="0" xr:uid="{00000000-0006-0000-0900-00001B000000}">
      <text>
        <r>
          <rPr>
            <sz val="9"/>
            <color indexed="81"/>
            <rFont val="Tahoma"/>
            <family val="2"/>
          </rPr>
          <t>225 cm lang; 8x10cm Dimension, nur oben gefasst; für die Befestigung der Tore gebraucht</t>
        </r>
      </text>
    </comment>
    <comment ref="D170" authorId="0" shapeId="0" xr:uid="{00000000-0006-0000-0900-00001C000000}">
      <text>
        <r>
          <rPr>
            <sz val="9"/>
            <color indexed="81"/>
            <rFont val="Tahoma"/>
            <family val="2"/>
          </rPr>
          <t>je nach Schiebetor etwas billiger/teurer.
Angaben von Durchschnittspreis von Roland Rot</t>
        </r>
      </text>
    </comment>
    <comment ref="B171" authorId="0" shapeId="0" xr:uid="{00000000-0006-0000-0900-00001D000000}">
      <text>
        <r>
          <rPr>
            <sz val="9"/>
            <color indexed="81"/>
            <rFont val="Tahoma"/>
            <family val="2"/>
          </rPr>
          <t>Eisendraht stark verzinkt, 3mm Durchmesser, ca 18m per kg</t>
        </r>
      </text>
    </comment>
    <comment ref="B172" authorId="0" shapeId="0" xr:uid="{00000000-0006-0000-0900-00001E000000}">
      <text>
        <r>
          <rPr>
            <sz val="10"/>
            <color indexed="81"/>
            <rFont val="Tahoma"/>
            <family val="2"/>
          </rPr>
          <t>verzinkt, 4.0/ 40mm , 150 Stk./kg
Pro Pfahl 4 x Agraffen=400</t>
        </r>
      </text>
    </comment>
    <comment ref="D173" authorId="3" shapeId="0" xr:uid="{00000000-0006-0000-0900-00001F000000}">
      <text>
        <r>
          <rPr>
            <b/>
            <sz val="10"/>
            <color indexed="81"/>
            <rFont val="Tahoma"/>
            <family val="2"/>
          </rPr>
          <t>zue:</t>
        </r>
        <r>
          <rPr>
            <sz val="10"/>
            <color indexed="81"/>
            <rFont val="Tahoma"/>
            <family val="2"/>
          </rPr>
          <t xml:space="preserve">
gerundeter Erfahrungswert</t>
        </r>
      </text>
    </comment>
    <comment ref="C191" authorId="0" shapeId="0" xr:uid="{00000000-0006-0000-0900-000020000000}">
      <text>
        <r>
          <rPr>
            <b/>
            <sz val="8"/>
            <color indexed="81"/>
            <rFont val="Tahoma"/>
            <family val="2"/>
          </rPr>
          <t>ACW:</t>
        </r>
        <r>
          <rPr>
            <sz val="8"/>
            <color indexed="81"/>
            <rFont val="Tahoma"/>
            <family val="2"/>
          </rPr>
          <t xml:space="preserve">
Wenn Hagelnetz = ja und Bewässerung = Ja --&gt; dann = 2</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zue</author>
  </authors>
  <commentList>
    <comment ref="C45" authorId="0" shapeId="0" xr:uid="{00000000-0006-0000-0A00-000001000000}">
      <text>
        <r>
          <rPr>
            <b/>
            <sz val="10"/>
            <color indexed="81"/>
            <rFont val="Tahoma"/>
            <family val="2"/>
          </rPr>
          <t>zue:</t>
        </r>
        <r>
          <rPr>
            <sz val="10"/>
            <color indexed="81"/>
            <rFont val="Tahoma"/>
            <family val="2"/>
          </rPr>
          <t xml:space="preserve">
Annahme: Hagelnetz  steht zuerst, desshalb nur 50% der Zeit ohne Hagelnetz</t>
        </r>
      </text>
    </comment>
  </commentList>
</comments>
</file>

<file path=xl/sharedStrings.xml><?xml version="1.0" encoding="utf-8"?>
<sst xmlns="http://schemas.openxmlformats.org/spreadsheetml/2006/main" count="3530" uniqueCount="653">
  <si>
    <t>Länge</t>
  </si>
  <si>
    <t>Breite</t>
  </si>
  <si>
    <t>berechnet</t>
  </si>
  <si>
    <t>Spindel</t>
  </si>
  <si>
    <t>Gassenbreite</t>
  </si>
  <si>
    <t>Baumabstand</t>
  </si>
  <si>
    <t>Anzahl Reihen</t>
  </si>
  <si>
    <t>Bäume pro ha</t>
  </si>
  <si>
    <t>Pflanzgut</t>
  </si>
  <si>
    <t>Baumpreis</t>
  </si>
  <si>
    <t>Zinssatz</t>
  </si>
  <si>
    <t>Anzahl</t>
  </si>
  <si>
    <t>Stückpreis</t>
  </si>
  <si>
    <t>Kosten</t>
  </si>
  <si>
    <t>Einzäunung</t>
  </si>
  <si>
    <t>Tore</t>
  </si>
  <si>
    <t>Kant. Beitrag (Gemeinde, Jagdkasse)</t>
  </si>
  <si>
    <t>Verschiedenes</t>
  </si>
  <si>
    <t>Bodenanalyse</t>
  </si>
  <si>
    <t xml:space="preserve">Total direkte Kosten </t>
  </si>
  <si>
    <t>Zkh/ha</t>
  </si>
  <si>
    <t>Fr./h</t>
  </si>
  <si>
    <t>Fr./ha</t>
  </si>
  <si>
    <t>Maschinen</t>
  </si>
  <si>
    <t>Zugkraft</t>
  </si>
  <si>
    <t>Kleingeräte</t>
  </si>
  <si>
    <t>Total Maschinen und Zugkraftkosten</t>
  </si>
  <si>
    <t>Akh/ha</t>
  </si>
  <si>
    <t>Arbeit</t>
  </si>
  <si>
    <t>Düngung</t>
  </si>
  <si>
    <t>Bodenprobe</t>
  </si>
  <si>
    <t>Ausmessen</t>
  </si>
  <si>
    <t>Pflanzung inkl. Anbinden</t>
  </si>
  <si>
    <t>Einzäunung erstellen</t>
  </si>
  <si>
    <t>Einsaat</t>
  </si>
  <si>
    <t>Total Strukturkosten</t>
  </si>
  <si>
    <t>kg / ha</t>
  </si>
  <si>
    <t>kg / B.</t>
  </si>
  <si>
    <t>Anzahl Bäume pro ha</t>
  </si>
  <si>
    <t>1. Standjahr</t>
  </si>
  <si>
    <t>2. Standjahr</t>
  </si>
  <si>
    <t>3. Standjahr</t>
  </si>
  <si>
    <t>4. Standjahr</t>
  </si>
  <si>
    <t>5. Standjahr</t>
  </si>
  <si>
    <t>6. Standjahr</t>
  </si>
  <si>
    <t>7. Standjahr</t>
  </si>
  <si>
    <t>8. Standjahr</t>
  </si>
  <si>
    <t>9. Standjahr</t>
  </si>
  <si>
    <t>10. Standjahr</t>
  </si>
  <si>
    <t>11. Standjahr</t>
  </si>
  <si>
    <t>12. Standjahr</t>
  </si>
  <si>
    <t>13. Standjahr</t>
  </si>
  <si>
    <t>14. Standjahr</t>
  </si>
  <si>
    <t>15. Standjahr</t>
  </si>
  <si>
    <t>kg/B.</t>
  </si>
  <si>
    <t>kg/ha</t>
  </si>
  <si>
    <t>Preis pro Einh.</t>
  </si>
  <si>
    <t>%</t>
  </si>
  <si>
    <t>pro 100 kg</t>
  </si>
  <si>
    <t>Fläche</t>
  </si>
  <si>
    <t>Fr./h, Fr./ha</t>
  </si>
  <si>
    <t>Schnittholzhacker</t>
  </si>
  <si>
    <t>Arbeiten</t>
  </si>
  <si>
    <t>für Boden</t>
  </si>
  <si>
    <t>Zeitwert</t>
  </si>
  <si>
    <t xml:space="preserve">Zins </t>
  </si>
  <si>
    <t>Produktionskosten ohne Arbeitskosten</t>
  </si>
  <si>
    <t>Anteil PK</t>
  </si>
  <si>
    <t>Standard</t>
  </si>
  <si>
    <t>kg/Baum</t>
  </si>
  <si>
    <t>Erstellungsjahr</t>
  </si>
  <si>
    <t>1. Sandjahr</t>
  </si>
  <si>
    <t>Aufbauphase</t>
  </si>
  <si>
    <t>Arbeitseinkommen / Akh</t>
  </si>
  <si>
    <t>Akh / ha</t>
  </si>
  <si>
    <t>h</t>
  </si>
  <si>
    <t>Total Standdauer</t>
  </si>
  <si>
    <t>Ertragsphase</t>
  </si>
  <si>
    <t>mit Direktzahlungen</t>
  </si>
  <si>
    <r>
      <t xml:space="preserve">Direktzahlungen </t>
    </r>
    <r>
      <rPr>
        <sz val="10"/>
        <rFont val="Arial"/>
        <family val="2"/>
      </rPr>
      <t>ÖLN</t>
    </r>
  </si>
  <si>
    <t>Gebindekosten</t>
  </si>
  <si>
    <t xml:space="preserve">Lohnkosten brutto    </t>
  </si>
  <si>
    <t>Total</t>
  </si>
  <si>
    <t>Arbeitseinkommen  intern pro Akh</t>
  </si>
  <si>
    <t xml:space="preserve">                                                        Akh extern total</t>
  </si>
  <si>
    <t>Erstellung</t>
  </si>
  <si>
    <t>Traktor 2-Rad 50 kW</t>
  </si>
  <si>
    <t>Sämaschine 3 m</t>
  </si>
  <si>
    <t>Düngerstreuer Einkasten 2.5 m</t>
  </si>
  <si>
    <t>Pneuwagen 2achsig, 3 t</t>
  </si>
  <si>
    <t>Bewirtschaftung Obstanlage</t>
  </si>
  <si>
    <t xml:space="preserve">Knotengitter </t>
  </si>
  <si>
    <t>Agraffen</t>
  </si>
  <si>
    <t>Total Zaunkosten</t>
  </si>
  <si>
    <t>Diverses Material und Kleingeräte</t>
  </si>
  <si>
    <t>Verwaltung + übrige Arbeiten</t>
  </si>
  <si>
    <t>Mulchen und Schnittholz hacken</t>
  </si>
  <si>
    <t>Speziell für Erstellung</t>
  </si>
  <si>
    <t>Maschinen und Geräte</t>
  </si>
  <si>
    <t>1. Stj.</t>
  </si>
  <si>
    <t>2. Stj.</t>
  </si>
  <si>
    <t>3. Stj.</t>
  </si>
  <si>
    <t>Pflanzenbehandlungsmittel</t>
  </si>
  <si>
    <t>Geräte</t>
  </si>
  <si>
    <t>Zkh/Durchgang</t>
  </si>
  <si>
    <t>Fr./Durchgang</t>
  </si>
  <si>
    <t>Total Gerätestunden</t>
  </si>
  <si>
    <t>Traktor für Ernte</t>
  </si>
  <si>
    <t xml:space="preserve">Variante </t>
  </si>
  <si>
    <t>intern (Familie)</t>
  </si>
  <si>
    <t>+/-</t>
  </si>
  <si>
    <t xml:space="preserve"> +/-</t>
  </si>
  <si>
    <t>Betriebsminimum</t>
  </si>
  <si>
    <t>Baumpreis inkl. Lizenz</t>
  </si>
  <si>
    <t>externe Arbeitskräfte</t>
  </si>
  <si>
    <t>Bäume / ha</t>
  </si>
  <si>
    <t>Systembeschreibung</t>
  </si>
  <si>
    <r>
      <t>Rodekosten</t>
    </r>
    <r>
      <rPr>
        <sz val="10"/>
        <rFont val="Arial"/>
        <family val="2"/>
      </rPr>
      <t xml:space="preserve"> (Arbeit + Maschinen)</t>
    </r>
  </si>
  <si>
    <t>Obstart</t>
  </si>
  <si>
    <t>Produktionsweise</t>
  </si>
  <si>
    <t>Erziehungsform</t>
  </si>
  <si>
    <t>Geometrische Daten</t>
  </si>
  <si>
    <t>Pflanzenschutzkontrolle</t>
  </si>
  <si>
    <t>Mausen</t>
  </si>
  <si>
    <t>Akh</t>
  </si>
  <si>
    <t>Verwaltung</t>
  </si>
  <si>
    <t>übrige Arbeiten</t>
  </si>
  <si>
    <t xml:space="preserve">2. Stj. </t>
  </si>
  <si>
    <t>wie Ertragsphase</t>
  </si>
  <si>
    <t>Rodungskosten</t>
  </si>
  <si>
    <t>Rodekostenanteil abgezinst</t>
  </si>
  <si>
    <t>Arbeitsproduktivität</t>
  </si>
  <si>
    <t>Rentabilität</t>
  </si>
  <si>
    <t>Qualität und Ernteleistung</t>
  </si>
  <si>
    <t>Standjahr</t>
  </si>
  <si>
    <t>pro ha</t>
  </si>
  <si>
    <t>l,kg pro ha</t>
  </si>
  <si>
    <t>Anzahl Fahrten</t>
  </si>
  <si>
    <t>Diverse Kleingeräte</t>
  </si>
  <si>
    <t>Zins für Boden</t>
  </si>
  <si>
    <t>Baumgerüst</t>
  </si>
  <si>
    <t>Diverses (z.B. Telefon, Transport, Bindematerial)</t>
  </si>
  <si>
    <t>Baumpfahl stellen</t>
  </si>
  <si>
    <t>Erwirtschaftetes Kapital nach 16 Jahren</t>
  </si>
  <si>
    <t xml:space="preserve"> Akh gesamt pro ha </t>
  </si>
  <si>
    <t xml:space="preserve"> Akh  intern</t>
  </si>
  <si>
    <t>Faktor für mittleren Zins</t>
  </si>
  <si>
    <t>Pflanzenschutz inkl. Kontrolle und Mausen</t>
  </si>
  <si>
    <t>3. Stj. und folgende</t>
  </si>
  <si>
    <t>Annahme: alles eigene Maschinen: fixe Kosten + var. Kosten = Mietansätze - 10 %</t>
  </si>
  <si>
    <t>für aktuelle Investition</t>
  </si>
  <si>
    <t>Definition Standard:</t>
  </si>
  <si>
    <t>Fr./kg</t>
  </si>
  <si>
    <t>Brutto</t>
  </si>
  <si>
    <t>Netto</t>
  </si>
  <si>
    <t>Wendezone</t>
  </si>
  <si>
    <t>Sorte und Unterlage</t>
  </si>
  <si>
    <t>1j.V., Anbauvertrag</t>
  </si>
  <si>
    <t>Telleranker</t>
  </si>
  <si>
    <t xml:space="preserve">Spanndraht 3 mm </t>
  </si>
  <si>
    <t xml:space="preserve">Agraffen </t>
  </si>
  <si>
    <t>Klemmfix</t>
  </si>
  <si>
    <t>Pflug 2scharig</t>
  </si>
  <si>
    <t>Pflügen</t>
  </si>
  <si>
    <t>Eggen</t>
  </si>
  <si>
    <t>Sortierkategorien</t>
  </si>
  <si>
    <t>Behangsregulierung (von Hand)</t>
  </si>
  <si>
    <t>Deckungsgrad</t>
  </si>
  <si>
    <t>Fr./Jahr</t>
  </si>
  <si>
    <t>Ersatzmaterial</t>
  </si>
  <si>
    <t>Büromaterial</t>
  </si>
  <si>
    <t>Diverse Kosten</t>
  </si>
  <si>
    <t>Anteil externe Akh für Ernte und Ausdünnen</t>
  </si>
  <si>
    <t>kg Tafelfrüchte pro Arbeitskraftstunde</t>
  </si>
  <si>
    <t>Lieferort:</t>
  </si>
  <si>
    <t>Abschreibungsdauer</t>
  </si>
  <si>
    <t>Gebäude</t>
  </si>
  <si>
    <t>Sortierraum</t>
  </si>
  <si>
    <t>Fr./m²</t>
  </si>
  <si>
    <t>m2 / Jahr</t>
  </si>
  <si>
    <t>Materiallager (für PBM, Dünger, Gebinde, Ersatzmaterial, usw.)</t>
  </si>
  <si>
    <t>Gliederung nach Kostenarten</t>
  </si>
  <si>
    <t>Sachkosten</t>
  </si>
  <si>
    <t>Arbeitskosten</t>
  </si>
  <si>
    <t>Kapitalkosten</t>
  </si>
  <si>
    <t>Anteil an PK</t>
  </si>
  <si>
    <t>Gliederung nach buchhalterischer Konvention</t>
  </si>
  <si>
    <t>Kostengliederung</t>
  </si>
  <si>
    <t xml:space="preserve">für Investition Obstanlage </t>
  </si>
  <si>
    <t xml:space="preserve">Abschreibung Obstanlage </t>
  </si>
  <si>
    <t>Gliederung nach Sachkosten</t>
  </si>
  <si>
    <t>Summe Aufbauphase</t>
  </si>
  <si>
    <t>Summe ganze Standdauer</t>
  </si>
  <si>
    <t>Durchschnitt Ertragsphase</t>
  </si>
  <si>
    <t>Durchschnitt ganze Standdauer</t>
  </si>
  <si>
    <t>Erntewagen 4 Grosskisten</t>
  </si>
  <si>
    <t>Auslastung bei Ernte</t>
  </si>
  <si>
    <t>plus chemisch</t>
  </si>
  <si>
    <t>Sortierkosten</t>
  </si>
  <si>
    <t>Klasse I+II</t>
  </si>
  <si>
    <t>Fixe Installationen</t>
  </si>
  <si>
    <t>Theoretische SOLL Fläche</t>
  </si>
  <si>
    <t>Variante</t>
  </si>
  <si>
    <t>Abgang</t>
  </si>
  <si>
    <t>Ernte ab Baum</t>
  </si>
  <si>
    <t>Zeitgemässe Tafelapfelanlage auf schwachwachsender Unterlage. Werte sind ausgelegt auf gemischtwirtschaftliche Betriebe mit 2 - 5 ha Obstfläche, an geeigneten Standort in einem der Hauptproduktionsgebiete der Schweiz.</t>
  </si>
  <si>
    <t xml:space="preserve"> Produktionskosten Klasse II</t>
  </si>
  <si>
    <t xml:space="preserve">Eigenkapitalsrente (kalk. Gewinn + Zinsanspruch) pro investiertem Kapital </t>
  </si>
  <si>
    <t>Vergleichbarer Deckungsbeitrag</t>
  </si>
  <si>
    <t>ohne Direktzahlungen</t>
  </si>
  <si>
    <t xml:space="preserve">Total Direktkosten </t>
  </si>
  <si>
    <t>Total Direktkosten</t>
  </si>
  <si>
    <t>Leistung</t>
  </si>
  <si>
    <t>Arbeitseinkommen (Leistung - Prod.ko ohne Arbeitskosten)</t>
  </si>
  <si>
    <t>Leistung pro Akh</t>
  </si>
  <si>
    <t>Produktionskosten</t>
  </si>
  <si>
    <t>Produktionskosten pro ha</t>
  </si>
  <si>
    <t>Arbeitseinkommen durchschnittlich pro Akh</t>
  </si>
  <si>
    <t>Cashflow</t>
  </si>
  <si>
    <t>Gesamt-Cashflow nach 1. Stj.</t>
  </si>
  <si>
    <t>Gesamt-Cashflow nach 2. Stj.</t>
  </si>
  <si>
    <t>Gesamt-Cashflow nach 3. Stj.</t>
  </si>
  <si>
    <t>Gesamt-Cashflow nach 4. Stj.</t>
  </si>
  <si>
    <t>Gesamt-Cashflow nach 5. Stj.</t>
  </si>
  <si>
    <t>Gesamt-Cashflow nach 6. Stj.</t>
  </si>
  <si>
    <t>Gesamt-Cashflow nach 7. Stj.</t>
  </si>
  <si>
    <t>Gesamt-Cashflow nach 8. Stj.</t>
  </si>
  <si>
    <t>Gesamt-Cashflow nach 9. Stj.</t>
  </si>
  <si>
    <t>Gesamt-Cashflow nach 10. Stj.</t>
  </si>
  <si>
    <t>Gesamt-Cashflow nach 11. Stj.</t>
  </si>
  <si>
    <t>Gesamt-Cashflow nach 12. Stj.</t>
  </si>
  <si>
    <t>Gesamt-Cashflow nach 13. Stj.</t>
  </si>
  <si>
    <t>Gesamt-Cashflow nach 14. Stj.</t>
  </si>
  <si>
    <t>Gesamt-Cashflow nach 15. Stj.</t>
  </si>
  <si>
    <t>Produktionskosten ohne Abschreibung 2. Stj.</t>
  </si>
  <si>
    <t>Produktionskosten ohne Abschreibung 3. Stj.</t>
  </si>
  <si>
    <t>Produktionskosten ohne Abschreibung 4. Stj.</t>
  </si>
  <si>
    <t>Produktionskosten ohne Abschreibung 5. Stj.</t>
  </si>
  <si>
    <t>Produktionskosten ohne Abschreibung 6. Stj.</t>
  </si>
  <si>
    <t>Produktionskosten ohne Abschreibung 7. Stj.</t>
  </si>
  <si>
    <t>Produktionskosten ohne Abschreibung 8. Stj.</t>
  </si>
  <si>
    <t>Produktionskosten ohne Abschreibung 9. Stj.</t>
  </si>
  <si>
    <t>Produktionskosten ohne Abschreibung 10. Stj.</t>
  </si>
  <si>
    <t>Produktionskosten ohne Abschreibung 11. Stj.</t>
  </si>
  <si>
    <t>Produktionskosten ohne Abschreibung 12. Stj.</t>
  </si>
  <si>
    <t>Produktionskosten ohne Abschreibung 13. Stj.</t>
  </si>
  <si>
    <t>Produktionskosten ohne Abschreibung 14. Stj.</t>
  </si>
  <si>
    <t>Produktionskosten ohne Abschreibung 15. Stj.</t>
  </si>
  <si>
    <t>Produktionskosten ohne Abschreibung 1. Stj.</t>
  </si>
  <si>
    <t>Erlös Kl. I</t>
  </si>
  <si>
    <t>Erlös Kl. II</t>
  </si>
  <si>
    <t>Erlös Mostobst</t>
  </si>
  <si>
    <t>Direktzahlungen</t>
  </si>
  <si>
    <t>Produktionskosten      Klasse I</t>
  </si>
  <si>
    <t>Abschreibung Obstanlage</t>
  </si>
  <si>
    <t>Zinsanspruch pro Jahr</t>
  </si>
  <si>
    <t>Kalkulat. Gewinn</t>
  </si>
  <si>
    <t>Direktkosten</t>
  </si>
  <si>
    <t>Strukturkosten</t>
  </si>
  <si>
    <t>Lohnkosten extern</t>
  </si>
  <si>
    <t xml:space="preserve"> Akh gesamt nur Ernte</t>
  </si>
  <si>
    <t xml:space="preserve"> Anteil Akh gesamt für Ernte</t>
  </si>
  <si>
    <t>Akh externe Arbeitskräfte</t>
  </si>
  <si>
    <t xml:space="preserve">Arbeitseinkommen pro Akh          </t>
  </si>
  <si>
    <t>Anteil externe Akh für Ernte und Handausdünnen</t>
  </si>
  <si>
    <t>Arbeitseinkommen   intern</t>
  </si>
  <si>
    <t xml:space="preserve">Produktionskosten Kl. I </t>
  </si>
  <si>
    <t xml:space="preserve">Maschinenkosten  </t>
  </si>
  <si>
    <t>Düngerkosten</t>
  </si>
  <si>
    <r>
      <t xml:space="preserve">Gesamtinvestition </t>
    </r>
    <r>
      <rPr>
        <sz val="12"/>
        <rFont val="Arial"/>
        <family val="2"/>
      </rPr>
      <t>(GesamtCashflow am Ende der Aufbauphase = Basis für die Abschreibung)</t>
    </r>
  </si>
  <si>
    <r>
      <t>Erstellungskosten</t>
    </r>
    <r>
      <rPr>
        <sz val="12"/>
        <rFont val="Arial"/>
        <family val="2"/>
      </rPr>
      <t xml:space="preserve"> </t>
    </r>
  </si>
  <si>
    <t>Produktionskosten-  / Leistungsvergleich</t>
  </si>
  <si>
    <t>Tafelapfel</t>
  </si>
  <si>
    <t>als Leistung / Akh gesamt</t>
  </si>
  <si>
    <t>Gliederung Kapitalkosten</t>
  </si>
  <si>
    <t>Material</t>
  </si>
  <si>
    <t>Zusammenfassung</t>
  </si>
  <si>
    <t>übrige Produktionskosten</t>
  </si>
  <si>
    <t>Kapitalkosten (Zinsanspruch)</t>
  </si>
  <si>
    <t>Baumgerüst erstellen</t>
  </si>
  <si>
    <t>Was kostet die Ernte?</t>
  </si>
  <si>
    <t>Was kostet der Pflanzenschutz?</t>
  </si>
  <si>
    <t>Total Pflanzenschutz</t>
  </si>
  <si>
    <t>Total Ernte</t>
  </si>
  <si>
    <t>Baumerziehung</t>
  </si>
  <si>
    <t>Behangsregulierung</t>
  </si>
  <si>
    <t>übrige Kosten</t>
  </si>
  <si>
    <r>
      <t xml:space="preserve">Pflanzenschutz </t>
    </r>
    <r>
      <rPr>
        <sz val="10"/>
        <rFont val="Arial"/>
        <family val="2"/>
      </rPr>
      <t>(Material, Maschinen, Arbeit&gt;)</t>
    </r>
  </si>
  <si>
    <t xml:space="preserve"> </t>
  </si>
  <si>
    <t>Behangsregulierung von Hand</t>
  </si>
  <si>
    <t xml:space="preserve">Produktionskosten durchschnitt.  </t>
  </si>
  <si>
    <t>Anteil Sachkosten</t>
  </si>
  <si>
    <t>Produktionskosten     pro ha</t>
  </si>
  <si>
    <t>Anteil an Ernte</t>
  </si>
  <si>
    <t>Produktionskosten pro kg (leistungsgewichtet)</t>
  </si>
  <si>
    <t>Anzahl Durchfahrten</t>
  </si>
  <si>
    <t>Fungizide</t>
  </si>
  <si>
    <t>Insektizide</t>
  </si>
  <si>
    <t>Herbizide</t>
  </si>
  <si>
    <t>Arbeitseinkommen   durchschnitt.</t>
  </si>
  <si>
    <t>Geldflussrechnung</t>
  </si>
  <si>
    <t>Anteil Arbeitskosten</t>
  </si>
  <si>
    <t>Basis: Gesamtcashflow Ende    3. Standjahr</t>
  </si>
  <si>
    <t>Gesamt-Cashflow (Kapitalfluss)</t>
  </si>
  <si>
    <t>Stützpfahl je B.</t>
  </si>
  <si>
    <t>Notizen:</t>
  </si>
  <si>
    <t xml:space="preserve">Standard Vorgaben </t>
  </si>
  <si>
    <t xml:space="preserve">PS-mittel: Fast alle Werte aktualisiert und mit Quelle bezeichnet: Aktualiserte Werte mit ...2000 bezeichnet  </t>
  </si>
  <si>
    <t>Bei den Erntewagen Ansätze pro Fuder verwendet.</t>
  </si>
  <si>
    <t>Maschinen: fast alle Maschinen mit den FAT-Ansätzen 2001 aktualisiert</t>
  </si>
  <si>
    <t xml:space="preserve">Noch zu erledigen: </t>
  </si>
  <si>
    <t>Hubstapler ist in Ertragsphase nicht berechnet (eine neuen Zeile einsetzen in ertrags und Standjahreblatt)</t>
  </si>
  <si>
    <t>Alle Werte mit der Rundungsfunktion ergänzt ausser fixe und variable Kosten der Maschinen</t>
  </si>
  <si>
    <t xml:space="preserve">Variante Vorgaben </t>
  </si>
  <si>
    <t>Erstellungskostenfelder mit den Standard Vorgaben verbunden</t>
  </si>
  <si>
    <t>Erstellungskostenfelder mit den Varianten Vorgaben verbunden</t>
  </si>
  <si>
    <t>alle Felder mit den Standard Vorgaben verknüpft</t>
  </si>
  <si>
    <t>Dünger: Ammonsalpeter- und Arbellinpreise aktualisiert LBL 2000</t>
  </si>
  <si>
    <t xml:space="preserve">2x Feld bei Düngerstreuer </t>
  </si>
  <si>
    <t>Schnittholzhackerfeld</t>
  </si>
  <si>
    <t>Erstellungskosten:</t>
  </si>
  <si>
    <t>Standardwerte</t>
  </si>
  <si>
    <r>
      <t xml:space="preserve">Kennzahlenübersicht   </t>
    </r>
    <r>
      <rPr>
        <sz val="18"/>
        <rFont val="Arial"/>
        <family val="2"/>
      </rPr>
      <t>pro Ertragsjahr</t>
    </r>
  </si>
  <si>
    <r>
      <t>Leistung</t>
    </r>
    <r>
      <rPr>
        <sz val="14"/>
        <rFont val="Arial"/>
        <family val="2"/>
      </rPr>
      <t xml:space="preserve"> (Gesamterlös)</t>
    </r>
  </si>
  <si>
    <r>
      <t>Vergleichbarer Deckungsbeitrag</t>
    </r>
    <r>
      <rPr>
        <sz val="10"/>
        <rFont val="Arial"/>
        <family val="2"/>
      </rPr>
      <t xml:space="preserve">       (früher DfE)</t>
    </r>
  </si>
  <si>
    <r>
      <t>Arbeitseinkommen</t>
    </r>
    <r>
      <rPr>
        <sz val="12"/>
        <rFont val="Arial"/>
        <family val="2"/>
      </rPr>
      <t xml:space="preserve"> = Leistung - Produktionskosten ohne Arbeit</t>
    </r>
  </si>
  <si>
    <r>
      <t>Arbeitseinkommen</t>
    </r>
    <r>
      <rPr>
        <sz val="12"/>
        <rFont val="Arial"/>
        <family val="2"/>
      </rPr>
      <t xml:space="preserve"> </t>
    </r>
    <r>
      <rPr>
        <b/>
        <sz val="12"/>
        <rFont val="Arial"/>
        <family val="2"/>
      </rPr>
      <t xml:space="preserve">intern </t>
    </r>
    <r>
      <rPr>
        <sz val="12"/>
        <rFont val="Arial"/>
        <family val="2"/>
      </rPr>
      <t>= Arbeitseinkommen - Lohnkosten extern</t>
    </r>
  </si>
  <si>
    <r>
      <t>Betriebsminimum</t>
    </r>
    <r>
      <rPr>
        <b/>
        <sz val="10"/>
        <rFont val="Arial"/>
        <family val="2"/>
      </rPr>
      <t xml:space="preserve"> </t>
    </r>
    <r>
      <rPr>
        <sz val="10"/>
        <rFont val="Arial"/>
        <family val="2"/>
      </rPr>
      <t>= laufende Kosten (Dünger + PBM + Hagelversicherung + Abzüge + var.Maschinenkosten + Lohnkosten)</t>
    </r>
  </si>
  <si>
    <r>
      <t>Rentabilität</t>
    </r>
    <r>
      <rPr>
        <sz val="10"/>
        <rFont val="Arial"/>
        <family val="2"/>
      </rPr>
      <t xml:space="preserve"> = Eigenkapitalsrente (kalk. Gewinn + Zinsanspruch) pro investiertem Kapital </t>
    </r>
  </si>
  <si>
    <r>
      <t>Cashflow</t>
    </r>
    <r>
      <rPr>
        <b/>
        <sz val="10"/>
        <rFont val="Arial"/>
        <family val="2"/>
      </rPr>
      <t xml:space="preserve"> </t>
    </r>
    <r>
      <rPr>
        <sz val="10"/>
        <rFont val="Arial"/>
        <family val="2"/>
      </rPr>
      <t>(kalk. Gewinn plus Abschreibung Obstanlage)</t>
    </r>
  </si>
  <si>
    <r>
      <t>Erwirtschaftetes Kapital</t>
    </r>
    <r>
      <rPr>
        <sz val="10"/>
        <rFont val="Arial"/>
        <family val="2"/>
      </rPr>
      <t xml:space="preserve"> am Ende der Ertragsphase</t>
    </r>
  </si>
  <si>
    <r>
      <t>Arbeitsproduktivität</t>
    </r>
    <r>
      <rPr>
        <sz val="12"/>
        <rFont val="Arial"/>
        <family val="2"/>
      </rPr>
      <t xml:space="preserve">  als kg Tafelfrüchte / Akh gesamt</t>
    </r>
  </si>
  <si>
    <r>
      <t xml:space="preserve">  </t>
    </r>
    <r>
      <rPr>
        <b/>
        <sz val="12"/>
        <rFont val="Arial"/>
        <family val="2"/>
      </rPr>
      <t xml:space="preserve"> Deckungsgrad</t>
    </r>
    <r>
      <rPr>
        <b/>
        <sz val="10"/>
        <rFont val="Arial"/>
        <family val="2"/>
      </rPr>
      <t xml:space="preserve"> = </t>
    </r>
    <r>
      <rPr>
        <sz val="10"/>
        <rFont val="Arial"/>
        <family val="2"/>
      </rPr>
      <t>Leistung / Produktionskosten</t>
    </r>
  </si>
  <si>
    <r>
      <t>Produktionskosten pro ha</t>
    </r>
    <r>
      <rPr>
        <b/>
        <sz val="12"/>
        <rFont val="Arial"/>
        <family val="2"/>
      </rPr>
      <t xml:space="preserve">   </t>
    </r>
  </si>
  <si>
    <t>Arbeitseinkommen pro Akh  intern</t>
  </si>
  <si>
    <t>Klasse I, II, Mostobst (Sortierabgang und Boden)</t>
  </si>
  <si>
    <t>Hagelnetz</t>
  </si>
  <si>
    <t xml:space="preserve">Klasse I </t>
  </si>
  <si>
    <t xml:space="preserve">Klasse II </t>
  </si>
  <si>
    <t>Sortierabgang</t>
  </si>
  <si>
    <t>Boden</t>
  </si>
  <si>
    <t>Mostobst</t>
  </si>
  <si>
    <t>Ernteleistung</t>
  </si>
  <si>
    <t>baumfallend</t>
  </si>
  <si>
    <t>Baumerziehung 
(Sommer+Winter)</t>
  </si>
  <si>
    <r>
      <t>Arbeiten</t>
    </r>
    <r>
      <rPr>
        <sz val="20"/>
        <rFont val="Arial"/>
        <family val="2"/>
      </rPr>
      <t xml:space="preserve"> ohne Maschinen</t>
    </r>
  </si>
  <si>
    <t>FK (Fr./ha)</t>
  </si>
  <si>
    <t>VK (Fr./ha)</t>
  </si>
  <si>
    <t>FK (Fr. / h)</t>
  </si>
  <si>
    <t>VK (Fr./h)</t>
  </si>
  <si>
    <t>Firstplaketten</t>
  </si>
  <si>
    <t>Traufenplaketten FRUSTAR 1</t>
  </si>
  <si>
    <t>Firstdraht</t>
  </si>
  <si>
    <t>Netzschnur</t>
  </si>
  <si>
    <t>Drahtspanner</t>
  </si>
  <si>
    <t>Kleinmaterial</t>
  </si>
  <si>
    <t xml:space="preserve">Klasse I   </t>
  </si>
  <si>
    <t>Klasse II</t>
  </si>
  <si>
    <t>Mostobst Sortierabgang</t>
  </si>
  <si>
    <t>K2O</t>
  </si>
  <si>
    <t>Stickstoff</t>
  </si>
  <si>
    <t>Klasse I</t>
  </si>
  <si>
    <t>Most</t>
  </si>
  <si>
    <t>Ertrag</t>
  </si>
  <si>
    <t>Preisannahmen</t>
  </si>
  <si>
    <t>Erlös</t>
  </si>
  <si>
    <t>%uale 
Verteilung</t>
  </si>
  <si>
    <r>
      <t>Leistung</t>
    </r>
    <r>
      <rPr>
        <sz val="18"/>
        <color indexed="9"/>
        <rFont val="Arial"/>
        <family val="2"/>
      </rPr>
      <t xml:space="preserve"> </t>
    </r>
    <r>
      <rPr>
        <sz val="12"/>
        <color indexed="9"/>
        <rFont val="Arial"/>
        <family val="2"/>
      </rPr>
      <t>(Gesamterlös)</t>
    </r>
  </si>
  <si>
    <t xml:space="preserve">Abzüge   </t>
  </si>
  <si>
    <t>Ersatz- und Büromaterial</t>
  </si>
  <si>
    <t>Anker</t>
  </si>
  <si>
    <t>Pfahlhüte</t>
  </si>
  <si>
    <t>Hilfsgerüst für Hagelnetz</t>
  </si>
  <si>
    <t>Hilfsgerüst</t>
  </si>
  <si>
    <t>totale Zugkraftkosten</t>
  </si>
  <si>
    <t>Kleinbagger</t>
  </si>
  <si>
    <t>Stapler</t>
  </si>
  <si>
    <t>Ausstecken</t>
  </si>
  <si>
    <t>Pfahlen</t>
  </si>
  <si>
    <t>Netzmontage</t>
  </si>
  <si>
    <t>Verlustzeiten (10%)</t>
  </si>
  <si>
    <t>Arbeit Hagelnetzerstellung</t>
  </si>
  <si>
    <t>Arbeit Bäume und Gerüst</t>
  </si>
  <si>
    <t>3-fädige Standardbreite m2</t>
  </si>
  <si>
    <t>Anteil an den totalen
Erstellungskosten</t>
  </si>
  <si>
    <t>Mietansatz</t>
  </si>
  <si>
    <t>Pneuwagen 2achsig, 5 t</t>
  </si>
  <si>
    <t>Maschinen (separat für Hagel
netzerstellung)</t>
  </si>
  <si>
    <t>Stapler , Heckanbau, 3m Hubhöhe, 
Kippgabel und Seitenschieber</t>
  </si>
  <si>
    <t>Total Zugkraft</t>
  </si>
  <si>
    <t>Traktor für Netzmontage</t>
  </si>
  <si>
    <t>Verlustzeiten</t>
  </si>
  <si>
    <t>Ausstecken Hagelnetz</t>
  </si>
  <si>
    <t>Pfahlen Hagelnetz</t>
  </si>
  <si>
    <t>Verwaltung, Logistik, etc.</t>
  </si>
  <si>
    <r>
      <t>Total Erstellungskosten</t>
    </r>
    <r>
      <rPr>
        <sz val="16"/>
        <color indexed="9"/>
        <rFont val="Arial"/>
        <family val="2"/>
      </rPr>
      <t xml:space="preserve"> inkl. Hagelnetz, ohne Zaun</t>
    </r>
  </si>
  <si>
    <t>Bsp. TG</t>
  </si>
  <si>
    <t>Beitrag Jagdverwaltung</t>
  </si>
  <si>
    <t>Bsp. ZH</t>
  </si>
  <si>
    <t>Kant. Beitrag (Gemeinde, Jagdkasse) Bsp. Kt.TG</t>
  </si>
  <si>
    <t xml:space="preserve">totale Zaunkosten bei kantonaler Übernahme der Zaunmaterialkosten </t>
  </si>
  <si>
    <t>Totale Erstellungskosten nur Hagelnetz</t>
  </si>
  <si>
    <t>Totale Kosten nur Hagelnetz</t>
  </si>
  <si>
    <t>Gerüst und Material</t>
  </si>
  <si>
    <t>Preisannahme</t>
  </si>
  <si>
    <t>Büro- und Ersatzmaterial</t>
  </si>
  <si>
    <r>
      <t xml:space="preserve">Abzüge     </t>
    </r>
    <r>
      <rPr>
        <i/>
        <sz val="10"/>
        <rFont val="Arial"/>
        <family val="2"/>
      </rPr>
      <t xml:space="preserve">     </t>
    </r>
  </si>
  <si>
    <r>
      <t xml:space="preserve">Cashflow nach der Erstellung </t>
    </r>
    <r>
      <rPr>
        <sz val="14"/>
        <rFont val="Arial"/>
        <family val="2"/>
      </rPr>
      <t>(inkl. Zaun)</t>
    </r>
  </si>
  <si>
    <t xml:space="preserve">Hagelnetze öffnen und schliessen </t>
  </si>
  <si>
    <t>Hagelnetze öffnen</t>
  </si>
  <si>
    <t>Hagelnetze schliessen</t>
  </si>
  <si>
    <t>%ualer Anteil
an den PK</t>
  </si>
  <si>
    <t>Einsparung an Gerüstkosten durch Hagelnetzerstellung</t>
  </si>
  <si>
    <t>Endpfähle</t>
  </si>
  <si>
    <t>Zwischenpfähle</t>
  </si>
  <si>
    <t>Einsparung</t>
  </si>
  <si>
    <t>VK pro ha und Durchgang</t>
  </si>
  <si>
    <t>Gewinn</t>
  </si>
  <si>
    <t>Gewinn / Verlustrechnung pro ha und Jahr (kalkulatorisch)</t>
  </si>
  <si>
    <r>
      <t xml:space="preserve">Deckungsgrad </t>
    </r>
    <r>
      <rPr>
        <sz val="12"/>
        <rFont val="Arial"/>
        <family val="2"/>
      </rPr>
      <t>(Leistung / Produktionskosten)</t>
    </r>
  </si>
  <si>
    <r>
      <t>Cashflow</t>
    </r>
    <r>
      <rPr>
        <b/>
        <sz val="12"/>
        <rFont val="Arial"/>
        <family val="2"/>
      </rPr>
      <t xml:space="preserve"> </t>
    </r>
    <r>
      <rPr>
        <sz val="12"/>
        <rFont val="Arial"/>
        <family val="2"/>
      </rPr>
      <t>(kalk. Gewinn plus Abschreibung Obstanlage)</t>
    </r>
  </si>
  <si>
    <t>Produktionskosten pro kg (durchschnittlich)</t>
  </si>
  <si>
    <t>Anteil an der
Leistung</t>
  </si>
  <si>
    <t>Dünger + PBM +Abzüge+var.Maschinenkosten + Lohnkosten</t>
  </si>
  <si>
    <t>PK Kl. I</t>
  </si>
  <si>
    <t>PK Kl.II</t>
  </si>
  <si>
    <t>Gliederung Arbeitskosten</t>
  </si>
  <si>
    <t xml:space="preserve">Hagelnetze schliessen </t>
  </si>
  <si>
    <r>
      <t xml:space="preserve">Was kostet die Ernte? </t>
    </r>
    <r>
      <rPr>
        <i/>
        <sz val="16"/>
        <rFont val="Arial"/>
        <family val="2"/>
      </rPr>
      <t>(ohne Gebindekosten)</t>
    </r>
  </si>
  <si>
    <t>Was kostet der direkte Pflanzenschutz? (pro Jahr und Hektare)</t>
  </si>
  <si>
    <t>Anteil an totalen PSM - Kosten</t>
  </si>
  <si>
    <t>Verwaltung und übrige Arbeiten</t>
  </si>
  <si>
    <t xml:space="preserve">Standard Erstellungskosten 1 ha Apfelanlage mit Hagelnetz </t>
  </si>
  <si>
    <t>Standard Ertragsphase : Vollkosten für ein durchschnittliches Ertragsjahr</t>
  </si>
  <si>
    <t>Variante Erstellungskosten 1 ha Apfelanlage mit Hagelnetz</t>
  </si>
  <si>
    <t>Variante Ertragsphase : Vollkosten für ein durchschnittliches Ertragsjahr</t>
  </si>
  <si>
    <t>Ernte baumfallend und auflesen</t>
  </si>
  <si>
    <t>übrige Kosten (inkl. PSM u. Düngung)</t>
  </si>
  <si>
    <t>Betriebsleiter</t>
  </si>
  <si>
    <t>Lohnkosten Betriebsleiter</t>
  </si>
  <si>
    <t>Geometrische Daten (wie in CH)</t>
  </si>
  <si>
    <t>Durchschnitt (berechnet) über alle</t>
  </si>
  <si>
    <t>Durchschnitt (berechnet) intern u. Leiter</t>
  </si>
  <si>
    <r>
      <t>Akazienpfähle 200cm; D</t>
    </r>
    <r>
      <rPr>
        <sz val="9"/>
        <rFont val="Arial"/>
        <family val="2"/>
      </rPr>
      <t>istanz 4m</t>
    </r>
  </si>
  <si>
    <r>
      <t>Akazienpfähle 225cm; D</t>
    </r>
    <r>
      <rPr>
        <sz val="9"/>
        <rFont val="Arial"/>
        <family val="2"/>
      </rPr>
      <t>istanz 4m</t>
    </r>
  </si>
  <si>
    <t>Spanndraht 3mm</t>
  </si>
  <si>
    <r>
      <t xml:space="preserve">Ernteleistung  </t>
    </r>
    <r>
      <rPr>
        <sz val="10"/>
        <rFont val="Arial"/>
        <family val="2"/>
      </rPr>
      <t xml:space="preserve">baumfallend      </t>
    </r>
    <r>
      <rPr>
        <b/>
        <sz val="10"/>
        <rFont val="Arial"/>
        <family val="2"/>
      </rPr>
      <t xml:space="preserve">  </t>
    </r>
  </si>
  <si>
    <r>
      <t xml:space="preserve">Lohnkosten </t>
    </r>
    <r>
      <rPr>
        <b/>
        <i/>
        <sz val="10"/>
        <rFont val="Arial"/>
        <family val="2"/>
      </rPr>
      <t>intern</t>
    </r>
    <r>
      <rPr>
        <sz val="10"/>
        <rFont val="Arial"/>
        <family val="2"/>
      </rPr>
      <t xml:space="preserve"> (Familie)</t>
    </r>
  </si>
  <si>
    <r>
      <t xml:space="preserve">Lohnkosten </t>
    </r>
    <r>
      <rPr>
        <b/>
        <i/>
        <sz val="10"/>
        <rFont val="Arial"/>
        <family val="2"/>
      </rPr>
      <t>extern</t>
    </r>
  </si>
  <si>
    <r>
      <t xml:space="preserve">Pflanzdichte </t>
    </r>
    <r>
      <rPr>
        <sz val="10"/>
        <rFont val="Arial"/>
        <family val="2"/>
      </rPr>
      <t>Bäume/ha</t>
    </r>
  </si>
  <si>
    <t>hier gewählt</t>
  </si>
  <si>
    <t>ÖLN</t>
  </si>
  <si>
    <t>Obstbautraktor 4-Rad</t>
  </si>
  <si>
    <t>Total (Fr. / h)</t>
  </si>
  <si>
    <t>Cashflowkurve  (Kapitalfluss)</t>
  </si>
  <si>
    <t>Variante 1ha</t>
  </si>
  <si>
    <t>Plaketten Standart inkl. S-Hacken</t>
  </si>
  <si>
    <t xml:space="preserve">Stirnseil 9.5 mm </t>
  </si>
  <si>
    <t>Ankerseil 9.5 mm</t>
  </si>
  <si>
    <t>Querseil 9mm</t>
  </si>
  <si>
    <t>Reihenpfähle 4 m 8/10 10m Abstand</t>
  </si>
  <si>
    <t>Endpfähle 4.20 m 10/1210</t>
  </si>
  <si>
    <t>Eckpfähle 4.50 m 13/15</t>
  </si>
  <si>
    <t>Einsparung an Arbeits-u. Maschinenkosten</t>
  </si>
  <si>
    <t>Pfählen</t>
  </si>
  <si>
    <t>Zugkraftkosten</t>
  </si>
  <si>
    <t>Pneuwagen</t>
  </si>
  <si>
    <t>durchschnittliche Produktions-kosten pro kg</t>
  </si>
  <si>
    <t>Standard 1 ha</t>
  </si>
  <si>
    <t>Variante 1 ha</t>
  </si>
  <si>
    <t>Definition Variante:</t>
  </si>
  <si>
    <t>(1 Standardarbeitskraft = 2700 Akh/Jahr; S. 153 BW-Begriffe, LMZ 2000)</t>
  </si>
  <si>
    <t>(1 Variantearbeitskraft = 2700 Akh/Jahr; S. 153 BW-Begriffe, LMZ 2000)</t>
  </si>
  <si>
    <t>Indikatoren der Wirtschaftlichkeit</t>
  </si>
  <si>
    <t xml:space="preserve">Bewässerungsanlage: Mikrosprinkler </t>
  </si>
  <si>
    <t>Quelle: Anbauempfehlung Obstregion NW-CH 2007</t>
  </si>
  <si>
    <t>Materialkosten</t>
  </si>
  <si>
    <t>Tropfanlage</t>
  </si>
  <si>
    <t>Verteilanlage</t>
  </si>
  <si>
    <t>Kopfstation</t>
  </si>
  <si>
    <t>Kopfstation einrichten</t>
  </si>
  <si>
    <t>Kontrolle</t>
  </si>
  <si>
    <t>Totale Erstellungskosten Bewässerung</t>
  </si>
  <si>
    <t>Kontrolle Bewässerung</t>
  </si>
  <si>
    <t>Wasser</t>
  </si>
  <si>
    <t>Tropfschlauch mit integr-</t>
  </si>
  <si>
    <t>(Netafim)</t>
  </si>
  <si>
    <t>ierten Tropfern, druckko-</t>
  </si>
  <si>
    <t xml:space="preserve">mpensiert, 20 mm, 2.3 l/h, </t>
  </si>
  <si>
    <t xml:space="preserve">50 cm Tropfenabstand Ram </t>
  </si>
  <si>
    <t>Tropfreihen An-/Abschlüsse</t>
  </si>
  <si>
    <t>Kugelventile PVC 20x20</t>
  </si>
  <si>
    <t>Tropfschlauchaufhänger 20mm</t>
  </si>
  <si>
    <t>Total Tropfanlage</t>
  </si>
  <si>
    <t>PE-Wasserdruckrohr, 50</t>
  </si>
  <si>
    <t>mm, PN 8 (Hauptleitung)</t>
  </si>
  <si>
    <t>Kugelhahn 2"</t>
  </si>
  <si>
    <t>Diverses Kleinmaterial</t>
  </si>
  <si>
    <t>Total Verteilanlage</t>
  </si>
  <si>
    <t>Filter Arkal 2" 120 masch</t>
  </si>
  <si>
    <t>Kopfstation 2"</t>
  </si>
  <si>
    <t>Druckreduzierventil</t>
  </si>
  <si>
    <t xml:space="preserve">Rückschlagventil </t>
  </si>
  <si>
    <t>Magnetventile 1 1/2"</t>
  </si>
  <si>
    <t>Bewässerungscomputer</t>
  </si>
  <si>
    <t>Total Kopfstation</t>
  </si>
  <si>
    <t>Optionen</t>
  </si>
  <si>
    <t>Fertigationspumpe</t>
  </si>
  <si>
    <t>Pumpe, wenn ab Tank</t>
  </si>
  <si>
    <t>Arbeits- und Maschinenkosten</t>
  </si>
  <si>
    <t>AKh/ha</t>
  </si>
  <si>
    <t>ZKh/ha</t>
  </si>
  <si>
    <t>Montage</t>
  </si>
  <si>
    <t>Hauptleitung graben und verlegen</t>
  </si>
  <si>
    <t>Grabenfräse</t>
  </si>
  <si>
    <t xml:space="preserve">Tropfschlauch auslegen </t>
  </si>
  <si>
    <t>Tropfschlauch montieren</t>
  </si>
  <si>
    <t>Abmessen</t>
  </si>
  <si>
    <t>der aufgel. AKh und ZKh</t>
  </si>
  <si>
    <t>Total Arbeits- u. Maschinenkosten</t>
  </si>
  <si>
    <t>Kostenzusammenstellung</t>
  </si>
  <si>
    <t xml:space="preserve">Maschinen- u. </t>
  </si>
  <si>
    <t>Zugkraftkst.</t>
  </si>
  <si>
    <t>Traktor 2-Rad</t>
  </si>
  <si>
    <t>à</t>
  </si>
  <si>
    <t>Handarbeitskosten</t>
  </si>
  <si>
    <t>Betriebsleitung</t>
  </si>
  <si>
    <t xml:space="preserve">Betriebskosten </t>
  </si>
  <si>
    <t>Strom</t>
  </si>
  <si>
    <t xml:space="preserve"> jährlich</t>
  </si>
  <si>
    <t>Spülung</t>
  </si>
  <si>
    <t>Fertigationsdünger</t>
  </si>
  <si>
    <t>Zukauf des Wassers. Für die Installation der Wasserzufuhr bis zur Anlage muss mit Kosten von</t>
  </si>
  <si>
    <t xml:space="preserve"> ca. Fr. 1'000.- je 100 Laufmeter gerechnet werden. Bei Hauswasseranschluss keine Pumpe nötig.</t>
  </si>
  <si>
    <t xml:space="preserve">Total Materialkosten </t>
  </si>
  <si>
    <t>Maschinen und Zugkraftkosten</t>
  </si>
  <si>
    <t>Handarbeitkosten</t>
  </si>
  <si>
    <t>Pro ha</t>
  </si>
  <si>
    <t>Tarif</t>
  </si>
  <si>
    <t>Jahr</t>
  </si>
  <si>
    <t>% der Bruttomarge</t>
  </si>
  <si>
    <t>Schätzung</t>
  </si>
  <si>
    <t>Mittelwert 4.-15. Jahr</t>
  </si>
  <si>
    <t>Total 4.-15. Jahr</t>
  </si>
  <si>
    <t>Variante Hagel</t>
  </si>
  <si>
    <t>Hagelnetz  (ja=1, nein =0)</t>
  </si>
  <si>
    <t>Hagelversicherung (ja =1, nein =0)</t>
  </si>
  <si>
    <r>
      <t>Wasserpreis (Fr/m</t>
    </r>
    <r>
      <rPr>
        <b/>
        <vertAlign val="superscript"/>
        <sz val="10"/>
        <rFont val="Arial"/>
        <family val="2"/>
      </rPr>
      <t>3</t>
    </r>
    <r>
      <rPr>
        <b/>
        <sz val="10"/>
        <rFont val="Arial"/>
        <family val="2"/>
      </rPr>
      <t>)</t>
    </r>
  </si>
  <si>
    <t>Bewässerung mit Tropfenbewässerung (ja=1, nein =0)</t>
  </si>
  <si>
    <t>Hagelversicherung</t>
  </si>
  <si>
    <t>Bewässerung</t>
  </si>
  <si>
    <t xml:space="preserve"> Erstellungs-&amp; Jahreskosten     Mikrosprinkler   Kernobst  Quelle: Anbauempfehlung für die Obstregion NO-CH 2006       </t>
  </si>
  <si>
    <t>Tropfschlauch Pn4 25 mm</t>
  </si>
  <si>
    <t>Microsprinkler Spinet 70L/h</t>
  </si>
  <si>
    <t>1 Sprinkler je 2 Bäume</t>
  </si>
  <si>
    <t>Kugelventile PVC 25x25</t>
  </si>
  <si>
    <t xml:space="preserve">Tropfschlauchaufhänger </t>
  </si>
  <si>
    <r>
      <t xml:space="preserve">Druckreduzierventil </t>
    </r>
    <r>
      <rPr>
        <sz val="8"/>
        <rFont val="Arial"/>
        <family val="2"/>
      </rPr>
      <t>2" 4-fach</t>
    </r>
  </si>
  <si>
    <t>Maschinenkst.</t>
  </si>
  <si>
    <t>Sprinkler montieren</t>
  </si>
  <si>
    <t>Zinsanspruch</t>
  </si>
  <si>
    <t>Materialkst.</t>
  </si>
  <si>
    <t>davon</t>
  </si>
  <si>
    <t>Fremdkst.</t>
  </si>
  <si>
    <t>Abschreibung</t>
  </si>
  <si>
    <t>geteilt durch 15 Nutzungsjahre</t>
  </si>
  <si>
    <r>
      <t xml:space="preserve"> Erstellungs- und Jahreskosten </t>
    </r>
    <r>
      <rPr>
        <sz val="14"/>
        <color indexed="9"/>
        <rFont val="Arial Black"/>
        <family val="2"/>
      </rPr>
      <t/>
    </r>
  </si>
  <si>
    <t>Erstellung und Jahreskosten</t>
  </si>
  <si>
    <t>Bewässerungsanlage: Tropfenbewässerung</t>
  </si>
  <si>
    <t>Total Erstellungkosten mit Hagelnetz und Bewässerung und mit Zaun</t>
  </si>
  <si>
    <t>Total Erstellungskosten</t>
  </si>
  <si>
    <r>
      <t>Total Erstellungskosten</t>
    </r>
    <r>
      <rPr>
        <sz val="16"/>
        <color indexed="9"/>
        <rFont val="Arial"/>
        <family val="2"/>
      </rPr>
      <t xml:space="preserve"> ohne Hagelnetz und ohne Zaun</t>
    </r>
  </si>
  <si>
    <t>Totale Erstellungskosten inkl. Hagelnetz ohne Zaun</t>
  </si>
  <si>
    <r>
      <t>Total Erstellungskosten</t>
    </r>
    <r>
      <rPr>
        <sz val="16"/>
        <color indexed="9"/>
        <rFont val="Arial"/>
        <family val="2"/>
      </rPr>
      <t xml:space="preserve"> ohne Hagelnetz, ohne Zaun</t>
    </r>
  </si>
  <si>
    <t>Total Erstellung nur Hagelnetz</t>
  </si>
  <si>
    <t>Bewässerung tot</t>
  </si>
  <si>
    <t>Bewässerung total</t>
  </si>
  <si>
    <t>Hebebühne schwer, selbstfahrend, elektrisch</t>
  </si>
  <si>
    <t>Total Erstellungskosten ohne Hagelnetz mit Bewässerung und mit Zaun</t>
  </si>
  <si>
    <t>Hagelnetz und Bewässerung</t>
  </si>
  <si>
    <t>Hagelnetz und Bewässerung (ja=2)</t>
  </si>
  <si>
    <t>Total Erstellungkosten ohne Hagelnetz und ohne Bewässerung mit Zaun</t>
  </si>
  <si>
    <t>Total Erstellungkosten mit Hagelnetz mit Zaun, ohne Bewässerung</t>
  </si>
  <si>
    <t>Tropfschlauch mit integrierten Tropfern, druckkompensiert, 20 mm, 2.3 l/h,</t>
  </si>
  <si>
    <t>Wassermenge (m3)</t>
  </si>
  <si>
    <t>Jahreskosten Bewässerung</t>
  </si>
  <si>
    <t>Wassermenge</t>
  </si>
  <si>
    <t>Druckreduzierventil 2" 4-fach</t>
  </si>
  <si>
    <t>Total Materialkosten  inkl. MwSt</t>
  </si>
  <si>
    <t>Total Erstellungskosten / ha        ohne Fertigation</t>
  </si>
  <si>
    <t xml:space="preserve">Jahreskosten  einer Tröpfchenbewässerung   ohne Fertigation </t>
  </si>
  <si>
    <r>
      <t xml:space="preserve"> Erstellungs- &amp; Jahreskosten </t>
    </r>
    <r>
      <rPr>
        <b/>
        <sz val="8"/>
        <color indexed="9"/>
        <rFont val="Arial Black"/>
        <family val="2"/>
      </rPr>
      <t xml:space="preserve">Tropfenbewässerung Kernobst  </t>
    </r>
    <r>
      <rPr>
        <sz val="8"/>
        <color indexed="9"/>
        <rFont val="Arial Black"/>
        <family val="2"/>
      </rPr>
      <t xml:space="preserve">      </t>
    </r>
  </si>
  <si>
    <t>Total Erstellungskosten / ha        mit Fertigation</t>
  </si>
  <si>
    <t xml:space="preserve">Jahreskosten  einer Tröpfchenbewässerung   mit Fertigation </t>
  </si>
  <si>
    <r>
      <t xml:space="preserve">Grundstück 124 x 81 m     =   Netto 75 x </t>
    </r>
    <r>
      <rPr>
        <b/>
        <sz val="8"/>
        <rFont val="Arial"/>
        <family val="2"/>
      </rPr>
      <t xml:space="preserve"> </t>
    </r>
  </si>
  <si>
    <r>
      <t xml:space="preserve">Jahreskosten     </t>
    </r>
    <r>
      <rPr>
        <sz val="8"/>
        <rFont val="Arial"/>
        <family val="2"/>
      </rPr>
      <t xml:space="preserve"> (Wasser wird zugekauft)</t>
    </r>
  </si>
  <si>
    <t xml:space="preserve">Bewässerungsanlage: Mikrosprinkler Kernobst  Quelle: Anbauempfehlung für die Obstregion NO-CH 2006       </t>
  </si>
  <si>
    <r>
      <t xml:space="preserve">Jahreskosten     </t>
    </r>
    <r>
      <rPr>
        <sz val="8"/>
        <rFont val="Arial"/>
        <family val="2"/>
      </rPr>
      <t xml:space="preserve"> </t>
    </r>
    <r>
      <rPr>
        <sz val="8"/>
        <rFont val="Arial"/>
        <family val="2"/>
      </rPr>
      <t>(Wasser wird zugekauft)</t>
    </r>
  </si>
  <si>
    <t>Bewässerung Jahreskosten</t>
  </si>
  <si>
    <t>Bewässerung mit Mikrojet              (ja=1, nein=0)</t>
  </si>
  <si>
    <t>Versicherte Summe</t>
  </si>
  <si>
    <t>Nur gelbe Zellen ändern</t>
  </si>
  <si>
    <t>Standard Hagel  (Quelle: Expertenschätzung von Produzenten, kantonalen Fachstellen und Agroscope ACW Wädenswil)</t>
  </si>
  <si>
    <t>Zeitgemässe Tafelapfelanlage auf schwachwachsender Unterlage. Werte sind ausgelegt auf gemischtwirtschaftlichen Betriebe mit 2 - 5 ha Obstfläche, an geeignetem Standort in einem der Hauptproduktionsgebiete der Schweiz.</t>
  </si>
  <si>
    <t>RN</t>
  </si>
  <si>
    <t>Branchenbeiträge</t>
  </si>
  <si>
    <t>Feuerbrandbekämpfung</t>
  </si>
  <si>
    <t>Durchschnitt (berechnet)  extern + interne</t>
  </si>
  <si>
    <t xml:space="preserve">                  Branchenbeiträge</t>
  </si>
  <si>
    <t>Spülung Bewässerung</t>
  </si>
  <si>
    <t>Ernte baumfallend</t>
  </si>
  <si>
    <r>
      <rPr>
        <b/>
        <sz val="10"/>
        <rFont val="Arial"/>
        <family val="2"/>
      </rPr>
      <t>Branchenbeiträge</t>
    </r>
    <r>
      <rPr>
        <sz val="10"/>
        <rFont val="Arial"/>
        <family val="2"/>
      </rPr>
      <t xml:space="preserve">                    Klasse I+II</t>
    </r>
  </si>
  <si>
    <r>
      <rPr>
        <b/>
        <sz val="10"/>
        <rFont val="Arial"/>
        <family val="2"/>
      </rPr>
      <t>Gebindekosten</t>
    </r>
    <r>
      <rPr>
        <sz val="10"/>
        <rFont val="Arial"/>
        <family val="2"/>
      </rPr>
      <t xml:space="preserve">                        Klasse I+II</t>
    </r>
  </si>
  <si>
    <r>
      <t>Ertrag / Jahr</t>
    </r>
    <r>
      <rPr>
        <sz val="10"/>
        <rFont val="Arial"/>
        <family val="2"/>
      </rPr>
      <t xml:space="preserve">     Durchschn. Ertragsphase</t>
    </r>
  </si>
  <si>
    <r>
      <rPr>
        <b/>
        <sz val="10"/>
        <rFont val="Arial"/>
        <family val="2"/>
      </rPr>
      <t>Sortierkosten</t>
    </r>
    <r>
      <rPr>
        <sz val="10"/>
        <rFont val="Arial"/>
        <family val="2"/>
      </rPr>
      <t xml:space="preserve">                           Klasse I+II</t>
    </r>
  </si>
  <si>
    <t>Obstbautraktor 4-Rad (45-54 kW, 61-73 PS)</t>
  </si>
  <si>
    <t>Kreiselegge mit Packerwalze, 3 m</t>
  </si>
  <si>
    <t>Kreiselegge mit Packerwalze 3m</t>
  </si>
  <si>
    <t>Anbaugebläsepritze 1000 l</t>
  </si>
  <si>
    <t>Anbaufeldspritze, 12 m Balken, 600 l Fass</t>
  </si>
  <si>
    <r>
      <t xml:space="preserve">Preise und Erträge                                                                                     </t>
    </r>
    <r>
      <rPr>
        <sz val="10"/>
        <rFont val="Arial"/>
        <family val="2"/>
      </rPr>
      <t xml:space="preserve"> </t>
    </r>
  </si>
  <si>
    <r>
      <t xml:space="preserve">Variante Vorgaben   </t>
    </r>
    <r>
      <rPr>
        <b/>
        <sz val="12"/>
        <color indexed="9"/>
        <rFont val="Arial"/>
        <family val="2"/>
      </rPr>
      <t>(Quelle: Expertenschätzung von Produzenten, kantonalen Fachstellen und Agroscope)</t>
    </r>
  </si>
  <si>
    <t xml:space="preserve">Dünger                                                                                                      </t>
  </si>
  <si>
    <t xml:space="preserve">Maschinen                                                                                              </t>
  </si>
  <si>
    <t xml:space="preserve">Einzäunung                                                                                       </t>
  </si>
  <si>
    <r>
      <t xml:space="preserve">Erstellung inkl. Hagelnetz  </t>
    </r>
    <r>
      <rPr>
        <sz val="10"/>
        <rFont val="Arial"/>
        <family val="2"/>
      </rPr>
      <t>Quelle: Anbauempfehlung für die Obstregion NO-CH</t>
    </r>
  </si>
  <si>
    <r>
      <t xml:space="preserve">Bewässerungsanlage </t>
    </r>
    <r>
      <rPr>
        <sz val="8"/>
        <rFont val="Arial"/>
        <family val="2"/>
      </rPr>
      <t xml:space="preserve">Quelle: Anbauempfehlung für die Obstregion NO-CH </t>
    </r>
  </si>
  <si>
    <r>
      <t xml:space="preserve">Standard Vorgaben                                  </t>
    </r>
    <r>
      <rPr>
        <b/>
        <sz val="10"/>
        <color indexed="9"/>
        <rFont val="Arial"/>
        <family val="2"/>
      </rPr>
      <t xml:space="preserve"> (Quelle: Expertenschätzung von Produzenten, kantonalen Fachstellen und Agroscope)</t>
    </r>
  </si>
  <si>
    <t xml:space="preserve">Preise und Erträge                                                                           </t>
  </si>
  <si>
    <t xml:space="preserve">Dünger                                                                                                        </t>
  </si>
  <si>
    <r>
      <t xml:space="preserve">Maschinen                                                                                                 </t>
    </r>
    <r>
      <rPr>
        <sz val="20"/>
        <rFont val="Arial"/>
        <family val="2"/>
      </rPr>
      <t/>
    </r>
  </si>
  <si>
    <t xml:space="preserve">Einzäunung                                                                                        </t>
  </si>
  <si>
    <r>
      <t xml:space="preserve">Erstellung inkl. Hagelnetz                  </t>
    </r>
    <r>
      <rPr>
        <sz val="10"/>
        <rFont val="Arial"/>
        <family val="2"/>
      </rPr>
      <t xml:space="preserve">Quelle: Anbauempfehlung für die Obstregion NO-CH </t>
    </r>
  </si>
  <si>
    <t>Bewässerungsanlage: Tropfenbewässerung  Quelle: Anbauempfehlung für die Obstregion NO-CH</t>
  </si>
  <si>
    <t>Gala</t>
  </si>
  <si>
    <t>@copyright: Weitergabe der Kalkulationen nur mit Genemigung von Agroscope                                                                             alle Angaben ohne Gewähr</t>
  </si>
  <si>
    <t xml:space="preserve"> ÖLN - Tafelapfel, Gala, 3000 Bäume /ha</t>
  </si>
  <si>
    <t xml:space="preserve">Pflanzenschutzmittel, Wachstumstregulatoren und Blattdüngung                                                                          </t>
  </si>
  <si>
    <t>Blattdüngung</t>
  </si>
  <si>
    <t>Grundüngung</t>
  </si>
  <si>
    <t>Hühnermist</t>
  </si>
  <si>
    <t>Niederstammanlage mit Drahtgerüst und Zaun, Hagelnetz, Bewässerung, Aufbauphase 3 Jahre, Ertragsphase 12 Jahre</t>
  </si>
  <si>
    <t>Herbizidspritze beideseitig + Herbizidfass</t>
  </si>
  <si>
    <t>Sichelmulchgerät mit beids. Schwenkarm</t>
  </si>
  <si>
    <t>Niederstammanlage mit Drahtgerüst und Zaun (mit Hagelnetz, mit Bewässerung)</t>
  </si>
  <si>
    <t>Grosshandel</t>
  </si>
  <si>
    <t>Arbokost 2023</t>
  </si>
  <si>
    <t>Quelle: Anbauempfehlung Obstregion NW-CH 2015</t>
  </si>
  <si>
    <t>3. Standjahr + Ertragphase</t>
  </si>
  <si>
    <t>Anbaugebläsepritze 1000 l mit Bordcomputer</t>
  </si>
  <si>
    <t>Teuerung 2015-2023 (Baumaterialien gemäss Bundesamt für Statistik)</t>
  </si>
  <si>
    <t>PSM-Kosten</t>
  </si>
  <si>
    <t>@copyright: Weitergabe der Kalkulationen nur mit Genemigung von Agroscope. Alle Angaben ohne Gewähr. Zitierungshinweis: Bravin E., Carint D., Zürcher M., Mouron P., Arbokost 2023, Agroscope, arbokost.agroscope.ch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</si>
</sst>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3">
    <numFmt numFmtId="164" formatCode="&quot;Fr.&quot;\ #,##0;&quot;Fr.&quot;\ \-#,##0"/>
    <numFmt numFmtId="165" formatCode="&quot;Fr.&quot;\ #,##0.00;&quot;Fr.&quot;\ \-#,##0.00"/>
    <numFmt numFmtId="166" formatCode="0.0"/>
    <numFmt numFmtId="167" formatCode="0.00\ &quot;Fr.&quot;"/>
    <numFmt numFmtId="168" formatCode="\ #,##0\ &quot;Fr.&quot;"/>
    <numFmt numFmtId="169" formatCode="\ #,##0\ \k\g"/>
    <numFmt numFmtId="170" formatCode="0.0\ \k\g"/>
    <numFmt numFmtId="171" formatCode="0\ \J"/>
    <numFmt numFmtId="172" formatCode="0.0%"/>
    <numFmt numFmtId="173" formatCode="#,##0.0"/>
    <numFmt numFmtId="174" formatCode="0.00\ \k\g"/>
    <numFmt numFmtId="175" formatCode="0.0\ &quot;ha&quot;"/>
    <numFmt numFmtId="176" formatCode="0.00\ &quot;Fr./kg&quot;"/>
    <numFmt numFmtId="177" formatCode="#,##0\ &quot;kg / ha&quot;"/>
    <numFmt numFmtId="178" formatCode="0.00\ &quot;Fr./ h&quot;"/>
    <numFmt numFmtId="179" formatCode="0.00\ &quot;Fr./ kg&quot;"/>
    <numFmt numFmtId="180" formatCode="0\ &quot;Akh&quot;"/>
    <numFmt numFmtId="181" formatCode="0.00\ &quot;Fr./ ha&quot;"/>
    <numFmt numFmtId="182" formatCode="0\ &quot;h / ha&quot;"/>
    <numFmt numFmtId="183" formatCode="0\ &quot;m&quot;"/>
    <numFmt numFmtId="184" formatCode="&quot;Faktor&quot;\ 0.0"/>
    <numFmt numFmtId="185" formatCode="0\ &quot;Fuder&quot;"/>
    <numFmt numFmtId="186" formatCode="0\ &quot;h&quot;"/>
    <numFmt numFmtId="187" formatCode="0\ &quot;m2&quot;"/>
    <numFmt numFmtId="188" formatCode="#,##0\ &quot;m&quot;"/>
    <numFmt numFmtId="189" formatCode="#,##0\ &quot;Bäume/ha&quot;"/>
    <numFmt numFmtId="190" formatCode="#,##0\ &quot;Fr.&quot;"/>
    <numFmt numFmtId="191" formatCode="\ #,##0\ &quot;h&quot;"/>
    <numFmt numFmtId="192" formatCode="\ #,###.00\ &quot;Fr.&quot;\ "/>
    <numFmt numFmtId="193" formatCode="\ #,###\ &quot;Fr.&quot;\ "/>
    <numFmt numFmtId="194" formatCode="0\ &quot;Jahre&quot;"/>
    <numFmt numFmtId="195" formatCode="0.0\ &quot;m&quot;"/>
    <numFmt numFmtId="196" formatCode="0\ &quot;x&quot;"/>
    <numFmt numFmtId="197" formatCode="#,##0.00\ &quot;Fr.&quot;"/>
    <numFmt numFmtId="198" formatCode="0.00\ &quot;Fr./h&quot;"/>
    <numFmt numFmtId="199" formatCode="#,##0\ &quot;Fr./J.&quot;"/>
    <numFmt numFmtId="200" formatCode="#,##0\ &quot;Akh&quot;"/>
    <numFmt numFmtId="201" formatCode="0.00\ &quot;von Akh&quot;"/>
    <numFmt numFmtId="202" formatCode="0.00\ &quot;Fr./100kg&quot;"/>
    <numFmt numFmtId="203" formatCode="#,##0\ &quot;m2&quot;"/>
    <numFmt numFmtId="204" formatCode="#,##0\ &quot;h&quot;"/>
    <numFmt numFmtId="205" formatCode="#,##0.0\ &quot;kg / h&quot;"/>
    <numFmt numFmtId="206" formatCode="0\ &quot;Bäume/ha&quot;"/>
    <numFmt numFmtId="207" formatCode="0\ &quot;Fr./ ha&quot;"/>
    <numFmt numFmtId="208" formatCode="#,##0\ &quot;gerundet&quot;"/>
    <numFmt numFmtId="209" formatCode="#,##0&quot;.- Versicherungssumme&quot;"/>
    <numFmt numFmtId="210" formatCode="\ #,##0.00\ &quot;Fr.&quot;"/>
    <numFmt numFmtId="211" formatCode="0.00\ &quot;Fr&quot;"/>
    <numFmt numFmtId="212" formatCode="#,##0&quot;.- Ersatz- u. Büromaterial&quot;"/>
    <numFmt numFmtId="213" formatCode="0\ &quot;kg/h&quot;"/>
    <numFmt numFmtId="214" formatCode="0\ &quot;Personen&quot;"/>
    <numFmt numFmtId="215" formatCode="0.00\ &quot;Fr. / h&quot;"/>
    <numFmt numFmtId="216" formatCode="#,##0.00\ &quot;Fr./h&quot;"/>
    <numFmt numFmtId="217" formatCode="#,##0\ &quot;Fr./ha&quot;"/>
    <numFmt numFmtId="218" formatCode="\ #,###\ &quot;Fr./ha&quot;"/>
    <numFmt numFmtId="219" formatCode="#,##0\ &quot;Fahrten&quot;"/>
    <numFmt numFmtId="220" formatCode="0.00000000000000000000000000000000%"/>
    <numFmt numFmtId="221" formatCode="0\ &quot;kg&quot;"/>
    <numFmt numFmtId="222" formatCode="&quot;Netto&quot;\ 0\ \ &quot;x&quot;"/>
    <numFmt numFmtId="223" formatCode="\ 0\ \ &quot;Reihen&quot;"/>
    <numFmt numFmtId="224" formatCode="0.0\ \ &quot;x&quot;"/>
    <numFmt numFmtId="225" formatCode="#,##0\ \ &quot;Fr.&quot;"/>
    <numFmt numFmtId="226" formatCode="0\ &quot;lfm&quot;"/>
    <numFmt numFmtId="227" formatCode="0\ &quot;Stück&quot;"/>
    <numFmt numFmtId="228" formatCode="0.00\ &quot;dt&quot;"/>
    <numFmt numFmtId="229" formatCode="0.00\ &quot;kg&quot;"/>
    <numFmt numFmtId="230" formatCode="0.0\ &quot;Fr./lfm&quot;"/>
    <numFmt numFmtId="231" formatCode="0\ &quot;AK&quot;"/>
    <numFmt numFmtId="232" formatCode="0\ &quot;Wg&quot;"/>
    <numFmt numFmtId="233" formatCode="0.0\ &quot;h&quot;"/>
    <numFmt numFmtId="234" formatCode="0.0\ &quot;x&quot;"/>
    <numFmt numFmtId="235" formatCode="0.00\ &quot;Fr./m3&quot;"/>
    <numFmt numFmtId="236" formatCode="0.00\ \ &quot;m&quot;"/>
    <numFmt numFmtId="237" formatCode="\ #,##0\ \ &quot;Fr.&quot;"/>
    <numFmt numFmtId="238" formatCode="0\ &quot;%&quot;"/>
    <numFmt numFmtId="239" formatCode="0.\ &quot;%&quot;"/>
    <numFmt numFmtId="240" formatCode="0.00\ &quot;m3&quot;"/>
    <numFmt numFmtId="241" formatCode="0\ &quot;m3&quot;"/>
    <numFmt numFmtId="242" formatCode="0\ &quot;kg/Ladung&quot;"/>
    <numFmt numFmtId="243" formatCode="0\ &quot;kg / Ladung&quot;"/>
    <numFmt numFmtId="244" formatCode="0\ &quot;Ladung&quot;"/>
    <numFmt numFmtId="245" formatCode="0.0\ &quot;h/Ladung&quot;"/>
    <numFmt numFmtId="246" formatCode="0.00\ &quot;Fr./Lad.&quot;"/>
  </numFmts>
  <fonts count="86" x14ac:knownFonts="1">
    <font>
      <sz val="10"/>
      <name val="Arial"/>
    </font>
    <font>
      <b/>
      <sz val="10"/>
      <name val="Arial"/>
      <family val="2"/>
    </font>
    <font>
      <i/>
      <sz val="10"/>
      <name val="Arial"/>
      <family val="2"/>
    </font>
    <font>
      <sz val="10"/>
      <name val="Arial"/>
      <family val="2"/>
    </font>
    <font>
      <b/>
      <sz val="20"/>
      <name val="Arial"/>
      <family val="2"/>
    </font>
    <font>
      <b/>
      <sz val="12"/>
      <name val="Arial"/>
      <family val="2"/>
    </font>
    <font>
      <sz val="8"/>
      <name val="Arial"/>
      <family val="2"/>
    </font>
    <font>
      <b/>
      <sz val="14"/>
      <name val="Arial"/>
      <family val="2"/>
    </font>
    <font>
      <sz val="12"/>
      <name val="Arial"/>
      <family val="2"/>
    </font>
    <font>
      <sz val="14"/>
      <name val="Arial"/>
      <family val="2"/>
    </font>
    <font>
      <b/>
      <i/>
      <sz val="14"/>
      <name val="Arial"/>
      <family val="2"/>
    </font>
    <font>
      <b/>
      <sz val="10"/>
      <name val="Arial"/>
      <family val="2"/>
    </font>
    <font>
      <sz val="10"/>
      <name val="Arial"/>
      <family val="2"/>
    </font>
    <font>
      <b/>
      <sz val="10"/>
      <color indexed="9"/>
      <name val="Arial"/>
      <family val="2"/>
    </font>
    <font>
      <b/>
      <sz val="16"/>
      <name val="Arial"/>
      <family val="2"/>
    </font>
    <font>
      <b/>
      <sz val="16"/>
      <color indexed="9"/>
      <name val="Arial"/>
      <family val="2"/>
    </font>
    <font>
      <b/>
      <i/>
      <sz val="16"/>
      <name val="Arial"/>
      <family val="2"/>
    </font>
    <font>
      <sz val="10"/>
      <color indexed="9"/>
      <name val="Arial"/>
      <family val="2"/>
    </font>
    <font>
      <sz val="16"/>
      <color indexed="9"/>
      <name val="Arial"/>
      <family val="2"/>
    </font>
    <font>
      <sz val="10"/>
      <color indexed="8"/>
      <name val="Arial"/>
      <family val="2"/>
    </font>
    <font>
      <b/>
      <sz val="10"/>
      <color indexed="8"/>
      <name val="Arial"/>
      <family val="2"/>
    </font>
    <font>
      <sz val="11"/>
      <color indexed="8"/>
      <name val="Arial"/>
      <family val="2"/>
    </font>
    <font>
      <b/>
      <sz val="12"/>
      <color indexed="9"/>
      <name val="Arial"/>
      <family val="2"/>
    </font>
    <font>
      <sz val="8"/>
      <name val="Arial"/>
      <family val="2"/>
    </font>
    <font>
      <sz val="12"/>
      <color indexed="9"/>
      <name val="Arial"/>
      <family val="2"/>
    </font>
    <font>
      <sz val="10"/>
      <color indexed="10"/>
      <name val="Arial"/>
      <family val="2"/>
    </font>
    <font>
      <sz val="8"/>
      <color indexed="81"/>
      <name val="Tahoma"/>
      <family val="2"/>
    </font>
    <font>
      <b/>
      <sz val="8"/>
      <color indexed="81"/>
      <name val="Tahoma"/>
      <family val="2"/>
    </font>
    <font>
      <b/>
      <i/>
      <sz val="10"/>
      <name val="Arial"/>
      <family val="2"/>
    </font>
    <font>
      <b/>
      <sz val="20"/>
      <color indexed="9"/>
      <name val="Arial"/>
      <family val="2"/>
    </font>
    <font>
      <b/>
      <sz val="16"/>
      <color indexed="9"/>
      <name val="Arial"/>
      <family val="2"/>
    </font>
    <font>
      <b/>
      <sz val="14"/>
      <color indexed="9"/>
      <name val="Arial"/>
      <family val="2"/>
    </font>
    <font>
      <sz val="14"/>
      <color indexed="9"/>
      <name val="Arial"/>
      <family val="2"/>
    </font>
    <font>
      <sz val="9"/>
      <name val="Arial"/>
      <family val="2"/>
    </font>
    <font>
      <sz val="10"/>
      <color indexed="81"/>
      <name val="Tahoma"/>
      <family val="2"/>
    </font>
    <font>
      <b/>
      <i/>
      <sz val="12"/>
      <name val="Arial"/>
      <family val="2"/>
    </font>
    <font>
      <b/>
      <sz val="18"/>
      <color indexed="9"/>
      <name val="Arial"/>
      <family val="2"/>
    </font>
    <font>
      <b/>
      <sz val="10"/>
      <color indexed="10"/>
      <name val="Arial"/>
      <family val="2"/>
    </font>
    <font>
      <b/>
      <i/>
      <sz val="10"/>
      <color indexed="9"/>
      <name val="Arial"/>
      <family val="2"/>
    </font>
    <font>
      <b/>
      <sz val="18"/>
      <name val="Arial"/>
      <family val="2"/>
    </font>
    <font>
      <b/>
      <sz val="20"/>
      <name val="Comic Sans MS"/>
      <family val="4"/>
    </font>
    <font>
      <b/>
      <sz val="24"/>
      <color indexed="9"/>
      <name val="Arial"/>
      <family val="2"/>
    </font>
    <font>
      <sz val="26"/>
      <color indexed="9"/>
      <name val="Arial"/>
      <family val="2"/>
    </font>
    <font>
      <b/>
      <sz val="10"/>
      <color indexed="81"/>
      <name val="Tahoma"/>
      <family val="2"/>
    </font>
    <font>
      <b/>
      <i/>
      <sz val="10"/>
      <color indexed="81"/>
      <name val="Tahoma"/>
      <family val="2"/>
    </font>
    <font>
      <sz val="12"/>
      <color indexed="81"/>
      <name val="Tahoma"/>
      <family val="2"/>
    </font>
    <font>
      <b/>
      <sz val="12"/>
      <color indexed="81"/>
      <name val="Tahoma"/>
      <family val="2"/>
    </font>
    <font>
      <sz val="11"/>
      <name val="Arial"/>
      <family val="2"/>
    </font>
    <font>
      <sz val="18"/>
      <name val="Arial"/>
      <family val="2"/>
    </font>
    <font>
      <b/>
      <sz val="20"/>
      <color indexed="9"/>
      <name val="Comic Sans MS"/>
      <family val="4"/>
    </font>
    <font>
      <sz val="20"/>
      <name val="Arial"/>
      <family val="2"/>
    </font>
    <font>
      <sz val="18"/>
      <color indexed="9"/>
      <name val="Arial"/>
      <family val="2"/>
    </font>
    <font>
      <sz val="16"/>
      <name val="Arial"/>
      <family val="2"/>
    </font>
    <font>
      <b/>
      <sz val="11"/>
      <name val="Arial"/>
      <family val="2"/>
    </font>
    <font>
      <sz val="18"/>
      <color indexed="8"/>
      <name val="Arial"/>
      <family val="2"/>
    </font>
    <font>
      <sz val="14"/>
      <color indexed="8"/>
      <name val="Arial"/>
      <family val="2"/>
    </font>
    <font>
      <b/>
      <i/>
      <sz val="11"/>
      <name val="Arial"/>
      <family val="2"/>
    </font>
    <font>
      <i/>
      <sz val="16"/>
      <name val="Arial"/>
      <family val="2"/>
    </font>
    <font>
      <sz val="10"/>
      <color indexed="10"/>
      <name val="Arial"/>
      <family val="2"/>
    </font>
    <font>
      <sz val="9"/>
      <color indexed="81"/>
      <name val="Tahoma"/>
      <family val="2"/>
    </font>
    <font>
      <b/>
      <sz val="9"/>
      <color indexed="81"/>
      <name val="Tahoma"/>
      <family val="2"/>
    </font>
    <font>
      <sz val="12"/>
      <name val="Arial"/>
      <family val="2"/>
    </font>
    <font>
      <b/>
      <i/>
      <sz val="12"/>
      <color indexed="10"/>
      <name val="Arial"/>
      <family val="2"/>
    </font>
    <font>
      <b/>
      <sz val="8"/>
      <name val="Arial"/>
      <family val="2"/>
    </font>
    <font>
      <b/>
      <sz val="8"/>
      <name val="Arial"/>
      <family val="2"/>
    </font>
    <font>
      <u/>
      <sz val="10"/>
      <name val="Arial"/>
      <family val="2"/>
    </font>
    <font>
      <sz val="10"/>
      <color indexed="9"/>
      <name val="Arial"/>
      <family val="2"/>
    </font>
    <font>
      <i/>
      <sz val="8"/>
      <name val="Arial"/>
      <family val="2"/>
    </font>
    <font>
      <sz val="9"/>
      <name val="Arial"/>
      <family val="2"/>
    </font>
    <font>
      <b/>
      <sz val="8"/>
      <color indexed="9"/>
      <name val="Arial Black"/>
      <family val="2"/>
    </font>
    <font>
      <sz val="8"/>
      <color indexed="9"/>
      <name val="Arial Black"/>
      <family val="2"/>
    </font>
    <font>
      <b/>
      <vertAlign val="superscript"/>
      <sz val="10"/>
      <name val="Arial"/>
      <family val="2"/>
    </font>
    <font>
      <sz val="14"/>
      <color indexed="9"/>
      <name val="Arial Black"/>
      <family val="2"/>
    </font>
    <font>
      <b/>
      <sz val="8"/>
      <color indexed="9"/>
      <name val="Arial"/>
      <family val="2"/>
    </font>
    <font>
      <b/>
      <sz val="8"/>
      <color indexed="9"/>
      <name val="Comic Sans MS"/>
      <family val="4"/>
    </font>
    <font>
      <sz val="8"/>
      <color indexed="8"/>
      <name val="Arial"/>
      <family val="2"/>
    </font>
    <font>
      <sz val="8"/>
      <color indexed="10"/>
      <name val="Arial"/>
      <family val="2"/>
    </font>
    <font>
      <b/>
      <i/>
      <sz val="8"/>
      <name val="Arial"/>
      <family val="2"/>
    </font>
    <font>
      <sz val="8"/>
      <color indexed="9"/>
      <name val="Arial"/>
      <family val="2"/>
    </font>
    <font>
      <b/>
      <i/>
      <sz val="8"/>
      <name val="Arial"/>
      <family val="2"/>
    </font>
    <font>
      <sz val="11"/>
      <color indexed="81"/>
      <name val="Tahoma"/>
      <family val="2"/>
    </font>
    <font>
      <b/>
      <sz val="11"/>
      <color indexed="81"/>
      <name val="Tahoma"/>
      <family val="2"/>
    </font>
    <font>
      <b/>
      <sz val="22"/>
      <color indexed="9"/>
      <name val="Arial"/>
      <family val="2"/>
    </font>
    <font>
      <sz val="11"/>
      <color theme="1"/>
      <name val="Arial"/>
      <family val="2"/>
    </font>
    <font>
      <sz val="9"/>
      <color indexed="81"/>
      <name val="Segoe UI"/>
      <family val="2"/>
    </font>
    <font>
      <b/>
      <sz val="9"/>
      <color indexed="81"/>
      <name val="Segoe UI"/>
      <family val="2"/>
    </font>
  </fonts>
  <fills count="14">
    <fill>
      <patternFill patternType="none"/>
    </fill>
    <fill>
      <patternFill patternType="gray125"/>
    </fill>
    <fill>
      <patternFill patternType="solid">
        <fgColor indexed="22"/>
        <bgColor indexed="64"/>
      </patternFill>
    </fill>
    <fill>
      <patternFill patternType="solid">
        <fgColor indexed="18"/>
        <bgColor indexed="64"/>
      </patternFill>
    </fill>
    <fill>
      <patternFill patternType="solid">
        <fgColor indexed="29"/>
        <bgColor indexed="64"/>
      </patternFill>
    </fill>
    <fill>
      <patternFill patternType="solid">
        <fgColor indexed="50"/>
        <bgColor indexed="64"/>
      </patternFill>
    </fill>
    <fill>
      <patternFill patternType="solid">
        <fgColor indexed="13"/>
        <bgColor indexed="64"/>
      </patternFill>
    </fill>
    <fill>
      <patternFill patternType="solid">
        <fgColor indexed="8"/>
        <bgColor indexed="64"/>
      </patternFill>
    </fill>
    <fill>
      <patternFill patternType="solid">
        <fgColor indexed="9"/>
        <bgColor indexed="64"/>
      </patternFill>
    </fill>
    <fill>
      <patternFill patternType="solid">
        <fgColor indexed="43"/>
        <bgColor indexed="64"/>
      </patternFill>
    </fill>
    <fill>
      <patternFill patternType="solid">
        <fgColor indexed="47"/>
        <bgColor indexed="64"/>
      </patternFill>
    </fill>
    <fill>
      <patternFill patternType="solid">
        <fgColor indexed="17"/>
        <bgColor indexed="64"/>
      </patternFill>
    </fill>
    <fill>
      <patternFill patternType="solid">
        <fgColor rgb="FFFFFF00"/>
        <bgColor indexed="64"/>
      </patternFill>
    </fill>
    <fill>
      <patternFill patternType="solid">
        <fgColor theme="0"/>
        <bgColor indexed="64"/>
      </patternFill>
    </fill>
  </fills>
  <borders count="51">
    <border>
      <left/>
      <right/>
      <top/>
      <bottom/>
      <diagonal/>
    </border>
    <border>
      <left/>
      <right/>
      <top/>
      <bottom style="thin">
        <color indexed="64"/>
      </bottom>
      <diagonal/>
    </border>
    <border>
      <left/>
      <right style="thin">
        <color indexed="64"/>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diagonal/>
    </border>
    <border>
      <left style="thin">
        <color indexed="64"/>
      </left>
      <right/>
      <top/>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rgb="FF002060"/>
      </left>
      <right style="thick">
        <color rgb="FF002060"/>
      </right>
      <top style="thick">
        <color rgb="FF002060"/>
      </top>
      <bottom/>
      <diagonal/>
    </border>
    <border>
      <left style="thick">
        <color rgb="FF002060"/>
      </left>
      <right style="thick">
        <color rgb="FF002060"/>
      </right>
      <top/>
      <bottom/>
      <diagonal/>
    </border>
    <border>
      <left style="thick">
        <color rgb="FF002060"/>
      </left>
      <right style="thick">
        <color rgb="FF002060"/>
      </right>
      <top/>
      <bottom style="thick">
        <color rgb="FF002060"/>
      </bottom>
      <diagonal/>
    </border>
    <border>
      <left style="medium">
        <color theme="3" tint="-0.24994659260841701"/>
      </left>
      <right style="medium">
        <color theme="3" tint="-0.24994659260841701"/>
      </right>
      <top style="medium">
        <color theme="3" tint="-0.24994659260841701"/>
      </top>
      <bottom/>
      <diagonal/>
    </border>
    <border>
      <left style="medium">
        <color theme="3" tint="-0.24994659260841701"/>
      </left>
      <right style="medium">
        <color theme="3" tint="-0.24994659260841701"/>
      </right>
      <top/>
      <bottom/>
      <diagonal/>
    </border>
    <border>
      <left style="medium">
        <color theme="3" tint="-0.24994659260841701"/>
      </left>
      <right style="medium">
        <color theme="3" tint="-0.24994659260841701"/>
      </right>
      <top/>
      <bottom style="thick">
        <color rgb="FF002060"/>
      </bottom>
      <diagonal/>
    </border>
    <border>
      <left style="medium">
        <color theme="3" tint="-0.24994659260841701"/>
      </left>
      <right style="medium">
        <color theme="3" tint="-0.24994659260841701"/>
      </right>
      <top style="thin">
        <color indexed="64"/>
      </top>
      <bottom/>
      <diagonal/>
    </border>
    <border>
      <left style="medium">
        <color theme="3" tint="-0.24994659260841701"/>
      </left>
      <right style="medium">
        <color theme="3" tint="-0.24994659260841701"/>
      </right>
      <top/>
      <bottom style="medium">
        <color theme="3" tint="-0.24994659260841701"/>
      </bottom>
      <diagonal/>
    </border>
    <border>
      <left style="medium">
        <color theme="3" tint="-0.24994659260841701"/>
      </left>
      <right style="medium">
        <color theme="3" tint="-0.24994659260841701"/>
      </right>
      <top style="medium">
        <color theme="3" tint="-0.24994659260841701"/>
      </top>
      <bottom style="medium">
        <color indexed="64"/>
      </bottom>
      <diagonal/>
    </border>
    <border>
      <left style="medium">
        <color theme="3" tint="-0.24994659260841701"/>
      </left>
      <right style="medium">
        <color theme="3" tint="-0.24994659260841701"/>
      </right>
      <top/>
      <bottom style="medium">
        <color indexed="64"/>
      </bottom>
      <diagonal/>
    </border>
    <border>
      <left style="medium">
        <color rgb="FF0C7E0C"/>
      </left>
      <right style="medium">
        <color rgb="FF0C7E0C"/>
      </right>
      <top style="medium">
        <color rgb="FF0C7E0C"/>
      </top>
      <bottom/>
      <diagonal/>
    </border>
    <border>
      <left style="medium">
        <color rgb="FF0C7E0C"/>
      </left>
      <right style="medium">
        <color rgb="FF0C7E0C"/>
      </right>
      <top style="medium">
        <color indexed="64"/>
      </top>
      <bottom/>
      <diagonal/>
    </border>
    <border>
      <left style="medium">
        <color rgb="FF0C7E0C"/>
      </left>
      <right style="medium">
        <color rgb="FF0C7E0C"/>
      </right>
      <top/>
      <bottom/>
      <diagonal/>
    </border>
    <border>
      <left style="medium">
        <color rgb="FF0C7E0C"/>
      </left>
      <right style="medium">
        <color rgb="FF0C7E0C"/>
      </right>
      <top/>
      <bottom style="medium">
        <color rgb="FF0C7E0C"/>
      </bottom>
      <diagonal/>
    </border>
    <border>
      <left style="medium">
        <color rgb="FF0C7E0C"/>
      </left>
      <right style="medium">
        <color rgb="FF0C7E0C"/>
      </right>
      <top/>
      <bottom style="medium">
        <color indexed="64"/>
      </bottom>
      <diagonal/>
    </border>
    <border>
      <left style="medium">
        <color rgb="FF095F09"/>
      </left>
      <right style="medium">
        <color rgb="FF095F09"/>
      </right>
      <top style="medium">
        <color rgb="FF095F09"/>
      </top>
      <bottom/>
      <diagonal/>
    </border>
    <border>
      <left style="medium">
        <color rgb="FF095F09"/>
      </left>
      <right style="medium">
        <color rgb="FF095F09"/>
      </right>
      <top/>
      <bottom/>
      <diagonal/>
    </border>
    <border>
      <left style="medium">
        <color rgb="FF095F09"/>
      </left>
      <right style="medium">
        <color rgb="FF095F09"/>
      </right>
      <top/>
      <bottom style="medium">
        <color indexed="64"/>
      </bottom>
      <diagonal/>
    </border>
    <border>
      <left style="medium">
        <color rgb="FF095F09"/>
      </left>
      <right style="medium">
        <color rgb="FF095F09"/>
      </right>
      <top style="thin">
        <color indexed="64"/>
      </top>
      <bottom/>
      <diagonal/>
    </border>
    <border>
      <left style="medium">
        <color rgb="FF095F09"/>
      </left>
      <right style="medium">
        <color rgb="FF095F09"/>
      </right>
      <top/>
      <bottom style="thin">
        <color indexed="64"/>
      </bottom>
      <diagonal/>
    </border>
    <border>
      <left style="medium">
        <color rgb="FF095F09"/>
      </left>
      <right style="medium">
        <color rgb="FF095F09"/>
      </right>
      <top/>
      <bottom style="medium">
        <color rgb="FF095F09"/>
      </bottom>
      <diagonal/>
    </border>
    <border>
      <left style="medium">
        <color theme="3" tint="-0.24994659260841701"/>
      </left>
      <right style="medium">
        <color theme="3" tint="-0.24994659260841701"/>
      </right>
      <top/>
      <bottom style="thin">
        <color indexed="64"/>
      </bottom>
      <diagonal/>
    </border>
  </borders>
  <cellStyleXfs count="3">
    <xf numFmtId="0" fontId="0" fillId="0" borderId="0"/>
    <xf numFmtId="9" fontId="3" fillId="0" borderId="0" applyFont="0" applyFill="0" applyBorder="0" applyAlignment="0" applyProtection="0"/>
    <xf numFmtId="0" fontId="83" fillId="0" borderId="0"/>
  </cellStyleXfs>
  <cellXfs count="1459">
    <xf numFmtId="0" fontId="0" fillId="0" borderId="0" xfId="0"/>
    <xf numFmtId="0" fontId="0" fillId="0" borderId="0" xfId="0" applyFill="1"/>
    <xf numFmtId="0" fontId="5" fillId="0" borderId="0" xfId="0" applyFont="1" applyFill="1"/>
    <xf numFmtId="0" fontId="1" fillId="0" borderId="0" xfId="0" applyFont="1" applyFill="1"/>
    <xf numFmtId="0" fontId="3" fillId="0" borderId="0" xfId="0" applyFont="1" applyFill="1"/>
    <xf numFmtId="166" fontId="0" fillId="0" borderId="0" xfId="0" applyNumberFormat="1" applyFill="1"/>
    <xf numFmtId="1" fontId="0" fillId="0" borderId="0" xfId="0" applyNumberFormat="1" applyFill="1"/>
    <xf numFmtId="167" fontId="0" fillId="0" borderId="0" xfId="0" applyNumberFormat="1" applyFill="1"/>
    <xf numFmtId="168" fontId="0" fillId="0" borderId="0" xfId="0" applyNumberFormat="1" applyFill="1"/>
    <xf numFmtId="167" fontId="0" fillId="0" borderId="0" xfId="0" applyNumberFormat="1"/>
    <xf numFmtId="0" fontId="0" fillId="0" borderId="0" xfId="0" applyAlignment="1">
      <alignment horizontal="center"/>
    </xf>
    <xf numFmtId="0" fontId="0" fillId="0" borderId="0" xfId="0" applyBorder="1" applyAlignment="1">
      <alignment horizontal="center"/>
    </xf>
    <xf numFmtId="0" fontId="1" fillId="0" borderId="0" xfId="0" applyFont="1"/>
    <xf numFmtId="0" fontId="0" fillId="0" borderId="0" xfId="0" applyBorder="1"/>
    <xf numFmtId="3" fontId="0" fillId="0" borderId="0" xfId="0" applyNumberFormat="1" applyAlignment="1">
      <alignment horizontal="center"/>
    </xf>
    <xf numFmtId="0" fontId="3" fillId="0" borderId="0" xfId="0" applyFont="1"/>
    <xf numFmtId="0" fontId="8" fillId="0" borderId="0" xfId="0" applyFont="1"/>
    <xf numFmtId="0" fontId="1" fillId="0" borderId="0" xfId="0" applyFont="1" applyBorder="1"/>
    <xf numFmtId="166" fontId="1" fillId="2" borderId="0" xfId="0" applyNumberFormat="1" applyFont="1" applyFill="1"/>
    <xf numFmtId="0" fontId="0" fillId="0" borderId="0" xfId="0" applyFill="1" applyBorder="1"/>
    <xf numFmtId="0" fontId="8" fillId="0" borderId="0" xfId="0" applyFont="1" applyFill="1"/>
    <xf numFmtId="166" fontId="8" fillId="0" borderId="0" xfId="0" applyNumberFormat="1" applyFont="1" applyFill="1"/>
    <xf numFmtId="166" fontId="9" fillId="0" borderId="0" xfId="0" applyNumberFormat="1" applyFont="1" applyFill="1"/>
    <xf numFmtId="0" fontId="9" fillId="0" borderId="0" xfId="0" applyFont="1"/>
    <xf numFmtId="167" fontId="0" fillId="0" borderId="0" xfId="0" applyNumberFormat="1" applyAlignment="1">
      <alignment horizontal="center"/>
    </xf>
    <xf numFmtId="168" fontId="0" fillId="0" borderId="0" xfId="0" applyNumberFormat="1" applyAlignment="1">
      <alignment horizontal="center"/>
    </xf>
    <xf numFmtId="166" fontId="0" fillId="0" borderId="0" xfId="0" applyNumberFormat="1" applyAlignment="1">
      <alignment horizontal="center"/>
    </xf>
    <xf numFmtId="0" fontId="3" fillId="2" borderId="0" xfId="0" applyFont="1" applyFill="1" applyAlignment="1">
      <alignment horizontal="center"/>
    </xf>
    <xf numFmtId="167" fontId="3" fillId="2" borderId="0" xfId="0" applyNumberFormat="1" applyFont="1" applyFill="1" applyAlignment="1">
      <alignment horizontal="center"/>
    </xf>
    <xf numFmtId="0" fontId="3" fillId="0" borderId="0" xfId="0" applyFont="1" applyBorder="1"/>
    <xf numFmtId="168" fontId="0" fillId="0" borderId="0" xfId="0" applyNumberFormat="1" applyBorder="1" applyAlignment="1">
      <alignment horizontal="center"/>
    </xf>
    <xf numFmtId="0" fontId="0" fillId="0" borderId="1" xfId="0" applyBorder="1" applyAlignment="1">
      <alignment horizontal="center"/>
    </xf>
    <xf numFmtId="0" fontId="0" fillId="0" borderId="1" xfId="0" applyBorder="1"/>
    <xf numFmtId="168" fontId="3" fillId="2" borderId="0" xfId="0" applyNumberFormat="1" applyFont="1" applyFill="1" applyAlignment="1">
      <alignment horizontal="center"/>
    </xf>
    <xf numFmtId="168" fontId="0" fillId="0" borderId="0" xfId="0" applyNumberFormat="1" applyFill="1" applyAlignment="1">
      <alignment horizontal="center"/>
    </xf>
    <xf numFmtId="0" fontId="0" fillId="0" borderId="0" xfId="0" applyFill="1" applyAlignment="1">
      <alignment horizontal="center"/>
    </xf>
    <xf numFmtId="166" fontId="0" fillId="0" borderId="0" xfId="0" applyNumberFormat="1" applyFill="1" applyAlignment="1">
      <alignment horizontal="center"/>
    </xf>
    <xf numFmtId="168" fontId="0" fillId="0" borderId="0" xfId="0" applyNumberFormat="1"/>
    <xf numFmtId="0" fontId="0" fillId="2" borderId="0" xfId="0" applyFill="1" applyAlignment="1">
      <alignment horizontal="center"/>
    </xf>
    <xf numFmtId="166" fontId="0" fillId="0" borderId="0" xfId="0" applyNumberFormat="1" applyFill="1" applyBorder="1" applyAlignment="1">
      <alignment horizontal="center"/>
    </xf>
    <xf numFmtId="0" fontId="1" fillId="0" borderId="0" xfId="0" applyFont="1" applyFill="1" applyBorder="1"/>
    <xf numFmtId="0" fontId="3" fillId="0" borderId="0" xfId="0" applyFont="1" applyFill="1" applyBorder="1"/>
    <xf numFmtId="0" fontId="3" fillId="0" borderId="0" xfId="0" applyFont="1" applyFill="1" applyBorder="1" applyAlignment="1">
      <alignment horizontal="center"/>
    </xf>
    <xf numFmtId="0" fontId="0" fillId="0" borderId="0" xfId="0" applyFill="1" applyBorder="1" applyAlignment="1">
      <alignment horizontal="center"/>
    </xf>
    <xf numFmtId="167" fontId="0" fillId="0" borderId="0" xfId="0" applyNumberFormat="1" applyFill="1" applyBorder="1" applyAlignment="1">
      <alignment horizontal="center"/>
    </xf>
    <xf numFmtId="168" fontId="0" fillId="0" borderId="0" xfId="0" applyNumberFormat="1" applyFill="1" applyBorder="1" applyAlignment="1">
      <alignment horizontal="center"/>
    </xf>
    <xf numFmtId="1" fontId="0" fillId="0" borderId="0" xfId="0" applyNumberFormat="1" applyFill="1" applyBorder="1" applyAlignment="1">
      <alignment horizontal="center"/>
    </xf>
    <xf numFmtId="167" fontId="0" fillId="0" borderId="0" xfId="0" applyNumberFormat="1" applyFill="1" applyAlignment="1">
      <alignment horizontal="center"/>
    </xf>
    <xf numFmtId="0" fontId="11" fillId="0" borderId="0" xfId="0" applyFont="1"/>
    <xf numFmtId="0" fontId="0" fillId="0" borderId="0" xfId="0" applyAlignment="1">
      <alignment horizontal="right"/>
    </xf>
    <xf numFmtId="0" fontId="18" fillId="0" borderId="0" xfId="0" applyFont="1" applyFill="1"/>
    <xf numFmtId="0" fontId="19" fillId="0" borderId="0" xfId="0" applyFont="1" applyFill="1"/>
    <xf numFmtId="0" fontId="20" fillId="0" borderId="0" xfId="0" applyFont="1" applyFill="1"/>
    <xf numFmtId="168" fontId="1" fillId="0" borderId="0" xfId="0" applyNumberFormat="1" applyFont="1" applyFill="1" applyAlignment="1">
      <alignment horizontal="center"/>
    </xf>
    <xf numFmtId="0" fontId="9" fillId="0" borderId="0" xfId="0" applyFont="1" applyBorder="1"/>
    <xf numFmtId="0" fontId="12" fillId="0" borderId="0" xfId="0" applyFont="1"/>
    <xf numFmtId="170" fontId="1" fillId="0" borderId="0" xfId="0" applyNumberFormat="1" applyFont="1" applyFill="1" applyBorder="1" applyAlignment="1">
      <alignment horizontal="center"/>
    </xf>
    <xf numFmtId="169" fontId="1" fillId="0" borderId="0" xfId="0" applyNumberFormat="1" applyFont="1" applyFill="1" applyBorder="1" applyAlignment="1">
      <alignment horizontal="center"/>
    </xf>
    <xf numFmtId="167" fontId="1" fillId="0" borderId="0" xfId="0" applyNumberFormat="1" applyFont="1" applyFill="1" applyBorder="1" applyAlignment="1">
      <alignment horizontal="center"/>
    </xf>
    <xf numFmtId="9" fontId="3" fillId="0" borderId="0" xfId="1" applyFont="1" applyFill="1" applyBorder="1" applyAlignment="1">
      <alignment horizontal="center"/>
    </xf>
    <xf numFmtId="170" fontId="0" fillId="0" borderId="0" xfId="0" applyNumberFormat="1" applyFill="1" applyAlignment="1">
      <alignment horizontal="center"/>
    </xf>
    <xf numFmtId="9" fontId="0" fillId="0" borderId="0" xfId="1" applyFont="1" applyFill="1" applyBorder="1" applyAlignment="1">
      <alignment horizontal="center"/>
    </xf>
    <xf numFmtId="3" fontId="1" fillId="0" borderId="0" xfId="0" applyNumberFormat="1" applyFont="1" applyFill="1" applyAlignment="1">
      <alignment horizontal="center"/>
    </xf>
    <xf numFmtId="0" fontId="19" fillId="0" borderId="0" xfId="0" applyFont="1"/>
    <xf numFmtId="3" fontId="21" fillId="0" borderId="0" xfId="0" applyNumberFormat="1" applyFont="1" applyFill="1"/>
    <xf numFmtId="3" fontId="19" fillId="0" borderId="0" xfId="0" applyNumberFormat="1" applyFont="1" applyFill="1"/>
    <xf numFmtId="0" fontId="0" fillId="0" borderId="1" xfId="0" applyFill="1" applyBorder="1" applyAlignment="1">
      <alignment horizontal="center"/>
    </xf>
    <xf numFmtId="0" fontId="12" fillId="0" borderId="0" xfId="0" applyFont="1" applyFill="1"/>
    <xf numFmtId="0" fontId="8" fillId="0" borderId="0" xfId="0" applyFont="1" applyBorder="1"/>
    <xf numFmtId="0" fontId="12" fillId="0" borderId="0" xfId="0" applyFont="1" applyBorder="1"/>
    <xf numFmtId="0" fontId="11" fillId="0" borderId="0" xfId="0" applyFont="1" applyBorder="1"/>
    <xf numFmtId="0" fontId="17" fillId="0" borderId="0" xfId="0" applyFont="1" applyFill="1"/>
    <xf numFmtId="167" fontId="17" fillId="0" borderId="0" xfId="0" applyNumberFormat="1" applyFont="1" applyFill="1" applyAlignment="1">
      <alignment horizontal="center"/>
    </xf>
    <xf numFmtId="0" fontId="11" fillId="0" borderId="0" xfId="0" applyFont="1" applyFill="1"/>
    <xf numFmtId="9" fontId="0" fillId="0" borderId="0" xfId="1" applyFont="1" applyFill="1" applyAlignment="1">
      <alignment horizontal="center"/>
    </xf>
    <xf numFmtId="0" fontId="28" fillId="0" borderId="0" xfId="0" applyFont="1"/>
    <xf numFmtId="167" fontId="1" fillId="0" borderId="0" xfId="0" applyNumberFormat="1" applyFont="1" applyFill="1" applyAlignment="1">
      <alignment horizontal="center"/>
    </xf>
    <xf numFmtId="173" fontId="1" fillId="0" borderId="0" xfId="0" applyNumberFormat="1" applyFont="1" applyFill="1" applyAlignment="1">
      <alignment horizontal="center"/>
    </xf>
    <xf numFmtId="0" fontId="11" fillId="2" borderId="0" xfId="0" applyFont="1" applyFill="1" applyAlignment="1">
      <alignment horizontal="center"/>
    </xf>
    <xf numFmtId="166" fontId="0" fillId="0" borderId="0" xfId="0" applyNumberFormat="1" applyFill="1" applyBorder="1"/>
    <xf numFmtId="2" fontId="0" fillId="0" borderId="0" xfId="0" applyNumberFormat="1" applyFill="1" applyBorder="1" applyAlignment="1">
      <alignment horizontal="center"/>
    </xf>
    <xf numFmtId="168" fontId="1" fillId="0" borderId="0" xfId="0" applyNumberFormat="1" applyFont="1" applyFill="1" applyBorder="1" applyAlignment="1">
      <alignment horizontal="center"/>
    </xf>
    <xf numFmtId="168" fontId="12" fillId="0" borderId="0" xfId="0" applyNumberFormat="1" applyFont="1" applyFill="1" applyAlignment="1">
      <alignment horizontal="center"/>
    </xf>
    <xf numFmtId="168" fontId="11" fillId="0" borderId="0" xfId="0" applyNumberFormat="1" applyFont="1" applyFill="1" applyBorder="1" applyAlignment="1">
      <alignment horizontal="center"/>
    </xf>
    <xf numFmtId="0" fontId="12" fillId="2" borderId="0" xfId="0" applyFont="1" applyFill="1" applyBorder="1" applyAlignment="1">
      <alignment horizontal="center"/>
    </xf>
    <xf numFmtId="0" fontId="11" fillId="0" borderId="0" xfId="0" applyFont="1" applyFill="1" applyBorder="1"/>
    <xf numFmtId="0" fontId="0" fillId="0" borderId="2" xfId="0" applyFill="1" applyBorder="1"/>
    <xf numFmtId="166" fontId="1" fillId="2" borderId="0" xfId="0" applyNumberFormat="1" applyFont="1" applyFill="1" applyAlignment="1">
      <alignment horizontal="center"/>
    </xf>
    <xf numFmtId="9" fontId="1" fillId="0" borderId="0" xfId="1" applyFont="1" applyFill="1" applyAlignment="1">
      <alignment horizontal="center"/>
    </xf>
    <xf numFmtId="9" fontId="3" fillId="0" borderId="0" xfId="1" applyFill="1" applyAlignment="1">
      <alignment horizontal="center"/>
    </xf>
    <xf numFmtId="178" fontId="0" fillId="0" borderId="0" xfId="0" applyNumberFormat="1" applyBorder="1" applyAlignment="1">
      <alignment horizontal="center"/>
    </xf>
    <xf numFmtId="178" fontId="0" fillId="0" borderId="0" xfId="0" applyNumberFormat="1" applyAlignment="1">
      <alignment horizontal="center"/>
    </xf>
    <xf numFmtId="0" fontId="0" fillId="2" borderId="0" xfId="0" applyFill="1" applyBorder="1" applyAlignment="1">
      <alignment horizontal="center"/>
    </xf>
    <xf numFmtId="178" fontId="0" fillId="0" borderId="0" xfId="0" applyNumberFormat="1" applyFill="1" applyAlignment="1">
      <alignment horizontal="center"/>
    </xf>
    <xf numFmtId="1" fontId="0" fillId="0" borderId="0" xfId="0" applyNumberFormat="1" applyFill="1" applyAlignment="1">
      <alignment horizontal="center"/>
    </xf>
    <xf numFmtId="178" fontId="0" fillId="0" borderId="0" xfId="0" applyNumberFormat="1" applyFill="1" applyBorder="1" applyAlignment="1">
      <alignment horizontal="center"/>
    </xf>
    <xf numFmtId="0" fontId="31" fillId="0" borderId="0" xfId="0" applyFont="1" applyFill="1"/>
    <xf numFmtId="0" fontId="32" fillId="0" borderId="0" xfId="0" applyFont="1" applyFill="1"/>
    <xf numFmtId="166" fontId="32" fillId="0" borderId="0" xfId="0" applyNumberFormat="1" applyFont="1" applyFill="1" applyAlignment="1">
      <alignment horizontal="center"/>
    </xf>
    <xf numFmtId="167" fontId="32" fillId="0" borderId="0" xfId="0" applyNumberFormat="1" applyFont="1" applyFill="1" applyAlignment="1">
      <alignment horizontal="center"/>
    </xf>
    <xf numFmtId="168" fontId="31" fillId="0" borderId="0" xfId="0" applyNumberFormat="1" applyFont="1" applyFill="1" applyBorder="1" applyAlignment="1">
      <alignment horizontal="center"/>
    </xf>
    <xf numFmtId="0" fontId="9" fillId="0" borderId="0" xfId="0" applyFont="1" applyFill="1" applyBorder="1"/>
    <xf numFmtId="0" fontId="9" fillId="0" borderId="0" xfId="0" applyFont="1" applyFill="1"/>
    <xf numFmtId="0" fontId="0" fillId="0" borderId="0" xfId="0" applyAlignment="1">
      <alignment horizontal="left"/>
    </xf>
    <xf numFmtId="3" fontId="0" fillId="0" borderId="0" xfId="0" applyNumberFormat="1" applyBorder="1" applyAlignment="1">
      <alignment horizontal="center"/>
    </xf>
    <xf numFmtId="167" fontId="0" fillId="0" borderId="0" xfId="0" applyNumberFormat="1" applyBorder="1" applyAlignment="1">
      <alignment horizontal="center"/>
    </xf>
    <xf numFmtId="0" fontId="3" fillId="0" borderId="0" xfId="0" applyFont="1" applyBorder="1" applyAlignment="1">
      <alignment horizontal="center"/>
    </xf>
    <xf numFmtId="0" fontId="0" fillId="0" borderId="0" xfId="0" applyBorder="1" applyAlignment="1">
      <alignment horizontal="left"/>
    </xf>
    <xf numFmtId="0" fontId="30" fillId="0" borderId="0" xfId="0" applyFont="1" applyFill="1" applyBorder="1"/>
    <xf numFmtId="0" fontId="12" fillId="0" borderId="0" xfId="0" applyFont="1" applyFill="1" applyAlignment="1">
      <alignment horizontal="right"/>
    </xf>
    <xf numFmtId="168" fontId="1" fillId="0" borderId="0" xfId="0" applyNumberFormat="1" applyFont="1" applyBorder="1" applyAlignment="1">
      <alignment horizontal="center"/>
    </xf>
    <xf numFmtId="0" fontId="8" fillId="0" borderId="0" xfId="0" applyFont="1" applyFill="1" applyBorder="1"/>
    <xf numFmtId="0" fontId="11" fillId="0" borderId="0" xfId="0" applyFont="1" applyBorder="1" applyAlignment="1">
      <alignment horizontal="center"/>
    </xf>
    <xf numFmtId="190" fontId="0" fillId="0" borderId="0" xfId="0" applyNumberFormat="1" applyAlignment="1">
      <alignment horizontal="center"/>
    </xf>
    <xf numFmtId="190" fontId="0" fillId="0" borderId="0" xfId="0" applyNumberFormat="1" applyFill="1" applyAlignment="1">
      <alignment horizontal="center"/>
    </xf>
    <xf numFmtId="0" fontId="17" fillId="0" borderId="0" xfId="0" applyFont="1" applyFill="1" applyBorder="1"/>
    <xf numFmtId="49" fontId="5" fillId="0" borderId="0" xfId="0" applyNumberFormat="1" applyFont="1" applyBorder="1" applyAlignment="1">
      <alignment horizontal="center"/>
    </xf>
    <xf numFmtId="4" fontId="0" fillId="0" borderId="0" xfId="0" applyNumberFormat="1" applyAlignment="1">
      <alignment horizontal="center"/>
    </xf>
    <xf numFmtId="166" fontId="0" fillId="2" borderId="0" xfId="0" applyNumberFormat="1" applyFill="1" applyBorder="1" applyAlignment="1">
      <alignment horizontal="center"/>
    </xf>
    <xf numFmtId="0" fontId="18" fillId="0" borderId="0" xfId="0" applyFont="1" applyFill="1" applyAlignment="1">
      <alignment horizontal="center"/>
    </xf>
    <xf numFmtId="0" fontId="8" fillId="0" borderId="0" xfId="0" applyFont="1" applyAlignment="1">
      <alignment horizontal="center"/>
    </xf>
    <xf numFmtId="3" fontId="0" fillId="0" borderId="0" xfId="0" applyNumberFormat="1" applyFill="1" applyAlignment="1">
      <alignment horizontal="center"/>
    </xf>
    <xf numFmtId="3" fontId="18" fillId="0" borderId="0" xfId="0" applyNumberFormat="1" applyFont="1" applyFill="1" applyAlignment="1">
      <alignment horizontal="center"/>
    </xf>
    <xf numFmtId="3" fontId="8" fillId="0" borderId="0" xfId="0" applyNumberFormat="1" applyFont="1" applyAlignment="1">
      <alignment horizontal="center"/>
    </xf>
    <xf numFmtId="4" fontId="0" fillId="0" borderId="0" xfId="0" applyNumberFormat="1" applyBorder="1" applyAlignment="1">
      <alignment horizontal="center"/>
    </xf>
    <xf numFmtId="0" fontId="0" fillId="0" borderId="0" xfId="0" applyFill="1" applyAlignment="1">
      <alignment horizontal="left"/>
    </xf>
    <xf numFmtId="0" fontId="0" fillId="0" borderId="0" xfId="0" applyFill="1" applyBorder="1" applyAlignment="1">
      <alignment horizontal="right"/>
    </xf>
    <xf numFmtId="3" fontId="0" fillId="0" borderId="0" xfId="0" applyNumberFormat="1" applyFill="1" applyBorder="1" applyAlignment="1">
      <alignment horizontal="center"/>
    </xf>
    <xf numFmtId="9" fontId="0" fillId="0" borderId="0" xfId="0" applyNumberFormat="1" applyFill="1" applyBorder="1" applyAlignment="1">
      <alignment horizontal="center"/>
    </xf>
    <xf numFmtId="1" fontId="1" fillId="0" borderId="0" xfId="0" applyNumberFormat="1" applyFont="1" applyFill="1" applyBorder="1" applyAlignment="1">
      <alignment horizontal="center"/>
    </xf>
    <xf numFmtId="168" fontId="3" fillId="0" borderId="0" xfId="0" applyNumberFormat="1" applyFont="1" applyFill="1" applyAlignment="1">
      <alignment horizontal="center"/>
    </xf>
    <xf numFmtId="168" fontId="11" fillId="0" borderId="0" xfId="0" applyNumberFormat="1" applyFont="1" applyFill="1" applyAlignment="1">
      <alignment horizontal="center"/>
    </xf>
    <xf numFmtId="9" fontId="3" fillId="0" borderId="0" xfId="1" applyFill="1" applyBorder="1" applyAlignment="1">
      <alignment horizontal="center"/>
    </xf>
    <xf numFmtId="0" fontId="0" fillId="0" borderId="3" xfId="0" applyFill="1" applyBorder="1"/>
    <xf numFmtId="0" fontId="0" fillId="0" borderId="4" xfId="0" applyFill="1" applyBorder="1"/>
    <xf numFmtId="0" fontId="0" fillId="0" borderId="3" xfId="0" applyBorder="1" applyAlignment="1">
      <alignment horizontal="center"/>
    </xf>
    <xf numFmtId="0" fontId="8" fillId="0" borderId="5" xfId="0" applyFont="1" applyBorder="1"/>
    <xf numFmtId="1" fontId="1" fillId="0" borderId="0" xfId="0" applyNumberFormat="1" applyFont="1" applyFill="1" applyAlignment="1">
      <alignment horizontal="center"/>
    </xf>
    <xf numFmtId="167" fontId="12" fillId="0" borderId="0" xfId="0" applyNumberFormat="1" applyFont="1" applyFill="1" applyAlignment="1">
      <alignment horizontal="center"/>
    </xf>
    <xf numFmtId="0" fontId="0" fillId="0" borderId="6" xfId="0" applyFill="1" applyBorder="1" applyAlignment="1">
      <alignment horizontal="center"/>
    </xf>
    <xf numFmtId="0" fontId="11" fillId="0" borderId="0" xfId="0" applyFont="1" applyFill="1" applyAlignment="1">
      <alignment horizontal="center"/>
    </xf>
    <xf numFmtId="3" fontId="11" fillId="0" borderId="0" xfId="0" applyNumberFormat="1" applyFont="1" applyFill="1" applyAlignment="1">
      <alignment horizontal="center"/>
    </xf>
    <xf numFmtId="0" fontId="12" fillId="0" borderId="0" xfId="0" applyFont="1" applyFill="1" applyBorder="1"/>
    <xf numFmtId="190" fontId="25" fillId="0" borderId="0" xfId="0" applyNumberFormat="1" applyFont="1" applyAlignment="1">
      <alignment horizontal="center"/>
    </xf>
    <xf numFmtId="9" fontId="11" fillId="0" borderId="0" xfId="1" applyFont="1" applyFill="1" applyAlignment="1">
      <alignment horizontal="left"/>
    </xf>
    <xf numFmtId="9" fontId="12" fillId="0" borderId="0" xfId="1" applyFont="1" applyFill="1" applyAlignment="1">
      <alignment horizontal="center"/>
    </xf>
    <xf numFmtId="168" fontId="12" fillId="0" borderId="0" xfId="0" applyNumberFormat="1" applyFont="1" applyFill="1" applyBorder="1" applyAlignment="1">
      <alignment horizontal="center"/>
    </xf>
    <xf numFmtId="0" fontId="0" fillId="0" borderId="0" xfId="0" applyFill="1" applyBorder="1" applyAlignment="1">
      <alignment horizontal="left"/>
    </xf>
    <xf numFmtId="0" fontId="0" fillId="0" borderId="0" xfId="0" applyFill="1" applyAlignment="1">
      <alignment horizontal="center" vertical="center"/>
    </xf>
    <xf numFmtId="0" fontId="31" fillId="3" borderId="0" xfId="0" applyFont="1" applyFill="1" applyBorder="1" applyAlignment="1">
      <alignment horizontal="left" vertical="center"/>
    </xf>
    <xf numFmtId="0" fontId="5" fillId="0" borderId="0" xfId="0" applyFont="1" applyFill="1" applyBorder="1"/>
    <xf numFmtId="0" fontId="0" fillId="0" borderId="7" xfId="0" applyFill="1" applyBorder="1" applyAlignment="1">
      <alignment horizontal="center"/>
    </xf>
    <xf numFmtId="0" fontId="1" fillId="0" borderId="3" xfId="0" applyFont="1" applyFill="1" applyBorder="1"/>
    <xf numFmtId="190" fontId="12" fillId="0" borderId="0" xfId="0" applyNumberFormat="1" applyFont="1" applyFill="1" applyAlignment="1">
      <alignment horizontal="center"/>
    </xf>
    <xf numFmtId="190" fontId="11" fillId="0" borderId="0" xfId="0" applyNumberFormat="1" applyFont="1" applyFill="1" applyAlignment="1">
      <alignment horizontal="center"/>
    </xf>
    <xf numFmtId="0" fontId="42" fillId="0" borderId="0" xfId="0" applyFont="1" applyFill="1" applyBorder="1" applyAlignment="1">
      <alignment horizontal="left"/>
    </xf>
    <xf numFmtId="49" fontId="3" fillId="0" borderId="0" xfId="0" applyNumberFormat="1" applyFont="1" applyFill="1" applyAlignment="1">
      <alignment vertical="center" wrapText="1"/>
    </xf>
    <xf numFmtId="176" fontId="11" fillId="0" borderId="0" xfId="0" applyNumberFormat="1" applyFont="1" applyFill="1" applyAlignment="1">
      <alignment horizontal="center"/>
    </xf>
    <xf numFmtId="0" fontId="0" fillId="0" borderId="8" xfId="0" applyFill="1" applyBorder="1" applyAlignment="1">
      <alignment horizontal="center"/>
    </xf>
    <xf numFmtId="0" fontId="0" fillId="0" borderId="9" xfId="0" applyBorder="1"/>
    <xf numFmtId="0" fontId="0" fillId="0" borderId="10" xfId="0" applyBorder="1" applyAlignment="1">
      <alignment horizontal="right"/>
    </xf>
    <xf numFmtId="0" fontId="0" fillId="0" borderId="11" xfId="0" applyFill="1" applyBorder="1" applyAlignment="1">
      <alignment horizontal="right"/>
    </xf>
    <xf numFmtId="0" fontId="1" fillId="0" borderId="10" xfId="0" applyFont="1" applyFill="1" applyBorder="1"/>
    <xf numFmtId="0" fontId="11" fillId="0" borderId="11" xfId="0" applyFont="1" applyBorder="1"/>
    <xf numFmtId="178" fontId="0" fillId="2" borderId="0" xfId="0" applyNumberFormat="1" applyFill="1" applyAlignment="1">
      <alignment horizontal="center"/>
    </xf>
    <xf numFmtId="49" fontId="0" fillId="0" borderId="0" xfId="0" applyNumberFormat="1" applyAlignment="1">
      <alignment wrapText="1"/>
    </xf>
    <xf numFmtId="168" fontId="12" fillId="0" borderId="0" xfId="0" applyNumberFormat="1" applyFont="1" applyFill="1" applyAlignment="1">
      <alignment horizontal="center" vertical="center"/>
    </xf>
    <xf numFmtId="0" fontId="1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0" fontId="0" fillId="0" borderId="0" xfId="0" applyFill="1" applyAlignment="1">
      <alignment vertical="center"/>
    </xf>
    <xf numFmtId="0" fontId="11" fillId="0" borderId="0" xfId="0" applyFont="1" applyFill="1" applyAlignment="1">
      <alignment horizontal="right"/>
    </xf>
    <xf numFmtId="9" fontId="0" fillId="0" borderId="0" xfId="0" applyNumberFormat="1" applyFill="1" applyAlignment="1">
      <alignment horizontal="center"/>
    </xf>
    <xf numFmtId="168" fontId="11" fillId="0" borderId="0" xfId="0" applyNumberFormat="1" applyFont="1" applyFill="1" applyAlignment="1">
      <alignment horizontal="center" vertical="center"/>
    </xf>
    <xf numFmtId="168" fontId="20" fillId="0" borderId="0" xfId="0" applyNumberFormat="1" applyFont="1" applyFill="1" applyAlignment="1">
      <alignment horizontal="center"/>
    </xf>
    <xf numFmtId="178" fontId="12" fillId="2" borderId="0" xfId="0" applyNumberFormat="1" applyFont="1" applyFill="1" applyAlignment="1">
      <alignment horizontal="center"/>
    </xf>
    <xf numFmtId="0" fontId="11" fillId="0" borderId="0" xfId="0" applyFont="1" applyAlignment="1"/>
    <xf numFmtId="167" fontId="12" fillId="0" borderId="0" xfId="0" applyNumberFormat="1" applyFont="1"/>
    <xf numFmtId="167" fontId="12" fillId="0" borderId="0" xfId="0" applyNumberFormat="1" applyFont="1" applyFill="1"/>
    <xf numFmtId="167" fontId="11" fillId="0" borderId="0" xfId="0" applyNumberFormat="1" applyFont="1"/>
    <xf numFmtId="167" fontId="11" fillId="0" borderId="0" xfId="0" applyNumberFormat="1" applyFont="1" applyFill="1"/>
    <xf numFmtId="4" fontId="0" fillId="0" borderId="0" xfId="0" applyNumberFormat="1"/>
    <xf numFmtId="168" fontId="0" fillId="0" borderId="0" xfId="1" applyNumberFormat="1" applyFont="1" applyFill="1"/>
    <xf numFmtId="0" fontId="3" fillId="2" borderId="0" xfId="0" applyFont="1" applyFill="1" applyBorder="1" applyAlignment="1">
      <alignment horizontal="center"/>
    </xf>
    <xf numFmtId="172" fontId="12" fillId="0" borderId="0" xfId="1" applyNumberFormat="1" applyFont="1" applyFill="1" applyBorder="1" applyAlignment="1" applyProtection="1">
      <alignment horizontal="center" vertical="center"/>
    </xf>
    <xf numFmtId="172" fontId="11" fillId="0" borderId="0" xfId="1" applyNumberFormat="1" applyFont="1" applyFill="1" applyBorder="1" applyAlignment="1" applyProtection="1">
      <alignment horizontal="center" vertical="center"/>
    </xf>
    <xf numFmtId="0" fontId="22" fillId="0" borderId="0" xfId="0" applyFont="1" applyFill="1" applyBorder="1" applyAlignment="1">
      <alignment horizontal="center"/>
    </xf>
    <xf numFmtId="49" fontId="7" fillId="0" borderId="0" xfId="0" applyNumberFormat="1" applyFont="1" applyFill="1" applyBorder="1" applyAlignment="1">
      <alignment horizontal="center" vertical="center"/>
    </xf>
    <xf numFmtId="9" fontId="0" fillId="0" borderId="0" xfId="1" applyFont="1" applyAlignment="1">
      <alignment horizontal="center"/>
    </xf>
    <xf numFmtId="172" fontId="12" fillId="0" borderId="0" xfId="1" applyNumberFormat="1" applyFont="1" applyFill="1" applyBorder="1" applyAlignment="1" applyProtection="1">
      <alignment horizontal="center" vertical="center" wrapText="1"/>
    </xf>
    <xf numFmtId="9" fontId="17" fillId="0" borderId="0" xfId="1" applyFont="1" applyFill="1" applyBorder="1" applyAlignment="1" applyProtection="1">
      <alignment horizontal="center" vertical="center" wrapText="1"/>
    </xf>
    <xf numFmtId="0" fontId="12" fillId="0" borderId="0" xfId="0" applyFont="1" applyFill="1" applyAlignment="1">
      <alignment vertical="center"/>
    </xf>
    <xf numFmtId="0" fontId="12" fillId="0" borderId="0" xfId="0" applyFont="1" applyFill="1" applyBorder="1" applyAlignment="1">
      <alignment vertical="center"/>
    </xf>
    <xf numFmtId="9" fontId="0" fillId="0" borderId="0" xfId="0" applyNumberFormat="1" applyAlignment="1">
      <alignment horizontal="center"/>
    </xf>
    <xf numFmtId="172" fontId="17" fillId="0" borderId="0" xfId="1" applyNumberFormat="1" applyFont="1" applyFill="1" applyBorder="1" applyAlignment="1" applyProtection="1">
      <alignment horizontal="center" vertical="center" wrapText="1"/>
    </xf>
    <xf numFmtId="190" fontId="0" fillId="0" borderId="0" xfId="0" applyNumberFormat="1" applyAlignment="1">
      <alignment horizontal="center" vertical="center"/>
    </xf>
    <xf numFmtId="0" fontId="0" fillId="0" borderId="12" xfId="0" applyBorder="1"/>
    <xf numFmtId="0" fontId="0" fillId="0" borderId="13" xfId="0" applyBorder="1"/>
    <xf numFmtId="1" fontId="0" fillId="0" borderId="0" xfId="0" applyNumberFormat="1" applyBorder="1" applyAlignment="1">
      <alignment horizontal="center"/>
    </xf>
    <xf numFmtId="167" fontId="12" fillId="0" borderId="0" xfId="0" applyNumberFormat="1" applyFont="1" applyFill="1" applyBorder="1" applyAlignment="1">
      <alignment horizontal="center"/>
    </xf>
    <xf numFmtId="9" fontId="12" fillId="0" borderId="0" xfId="1" applyFont="1" applyFill="1" applyBorder="1" applyAlignment="1">
      <alignment horizontal="center"/>
    </xf>
    <xf numFmtId="0" fontId="12" fillId="0" borderId="0" xfId="0" applyFont="1" applyFill="1" applyBorder="1" applyAlignment="1">
      <alignment horizontal="center"/>
    </xf>
    <xf numFmtId="3" fontId="12" fillId="0" borderId="0" xfId="0" applyNumberFormat="1" applyFont="1" applyFill="1" applyBorder="1" applyAlignment="1">
      <alignment horizontal="center"/>
    </xf>
    <xf numFmtId="190" fontId="12" fillId="0" borderId="0" xfId="0" applyNumberFormat="1" applyFont="1" applyFill="1" applyBorder="1" applyAlignment="1">
      <alignment horizontal="center"/>
    </xf>
    <xf numFmtId="0" fontId="1" fillId="0" borderId="13" xfId="0" applyFont="1" applyBorder="1"/>
    <xf numFmtId="167" fontId="3" fillId="2" borderId="0" xfId="0" applyNumberFormat="1" applyFont="1" applyFill="1" applyBorder="1" applyAlignment="1">
      <alignment horizontal="center"/>
    </xf>
    <xf numFmtId="9" fontId="17" fillId="0" borderId="0" xfId="1" applyFont="1" applyFill="1" applyAlignment="1">
      <alignment horizontal="left"/>
    </xf>
    <xf numFmtId="0" fontId="17" fillId="0" borderId="0" xfId="0" applyFont="1" applyFill="1" applyAlignment="1">
      <alignment horizontal="right"/>
    </xf>
    <xf numFmtId="190" fontId="17" fillId="0" borderId="0" xfId="1" applyNumberFormat="1" applyFont="1" applyFill="1" applyAlignment="1">
      <alignment horizontal="center"/>
    </xf>
    <xf numFmtId="0" fontId="47" fillId="0" borderId="0" xfId="0" applyFont="1"/>
    <xf numFmtId="211" fontId="0" fillId="0" borderId="0" xfId="0" applyNumberFormat="1" applyFill="1" applyAlignment="1">
      <alignment horizontal="center"/>
    </xf>
    <xf numFmtId="0" fontId="29" fillId="0" borderId="0" xfId="0" applyFont="1" applyFill="1"/>
    <xf numFmtId="169" fontId="0" fillId="0" borderId="0" xfId="0" applyNumberFormat="1" applyFill="1" applyAlignment="1">
      <alignment horizontal="center"/>
    </xf>
    <xf numFmtId="164" fontId="0" fillId="0" borderId="0" xfId="0" applyNumberFormat="1" applyFill="1" applyAlignment="1">
      <alignment horizontal="center"/>
    </xf>
    <xf numFmtId="220" fontId="0" fillId="0" borderId="0" xfId="1" applyNumberFormat="1" applyFont="1"/>
    <xf numFmtId="0" fontId="11" fillId="0" borderId="0" xfId="0" applyFont="1" applyFill="1" applyBorder="1" applyAlignment="1">
      <alignment horizontal="left"/>
    </xf>
    <xf numFmtId="172" fontId="0" fillId="0" borderId="0" xfId="0" applyNumberFormat="1" applyFill="1" applyAlignment="1">
      <alignment horizontal="center" vertical="center"/>
    </xf>
    <xf numFmtId="0" fontId="12" fillId="0" borderId="0" xfId="0" applyFont="1" applyFill="1" applyAlignment="1">
      <alignment horizontal="center" vertical="center"/>
    </xf>
    <xf numFmtId="0" fontId="11" fillId="0" borderId="0" xfId="0" applyFont="1" applyAlignment="1">
      <alignment horizontal="center" vertical="center" wrapText="1"/>
    </xf>
    <xf numFmtId="0" fontId="39" fillId="0" borderId="0" xfId="0" applyFont="1" applyFill="1" applyBorder="1" applyAlignment="1">
      <alignment horizontal="center" vertical="center" wrapText="1"/>
    </xf>
    <xf numFmtId="0" fontId="0" fillId="0" borderId="13" xfId="0" applyFill="1" applyBorder="1"/>
    <xf numFmtId="9" fontId="12" fillId="0" borderId="0" xfId="1" applyFont="1" applyFill="1" applyBorder="1" applyAlignment="1" applyProtection="1">
      <alignment horizontal="center" vertical="center" wrapText="1"/>
    </xf>
    <xf numFmtId="9" fontId="12" fillId="0" borderId="6" xfId="1" applyFont="1" applyFill="1" applyBorder="1" applyAlignment="1" applyProtection="1">
      <alignment horizontal="center" vertical="center" wrapText="1"/>
    </xf>
    <xf numFmtId="9" fontId="12" fillId="0" borderId="14" xfId="1" applyFont="1" applyFill="1" applyBorder="1" applyAlignment="1" applyProtection="1">
      <alignment horizontal="center" vertical="center" wrapText="1"/>
    </xf>
    <xf numFmtId="172" fontId="12" fillId="0" borderId="6" xfId="1" applyNumberFormat="1" applyFont="1" applyFill="1" applyBorder="1" applyAlignment="1" applyProtection="1">
      <alignment horizontal="center" vertical="center" wrapText="1"/>
    </xf>
    <xf numFmtId="172" fontId="11" fillId="0" borderId="0" xfId="1" applyNumberFormat="1" applyFont="1" applyFill="1" applyBorder="1" applyAlignment="1" applyProtection="1">
      <alignment horizontal="center" vertical="center" wrapText="1"/>
    </xf>
    <xf numFmtId="0" fontId="5" fillId="0" borderId="0" xfId="0" applyFont="1" applyFill="1" applyAlignment="1">
      <alignment horizontal="left"/>
    </xf>
    <xf numFmtId="3" fontId="5" fillId="0" borderId="0" xfId="0" applyNumberFormat="1" applyFont="1" applyFill="1" applyAlignment="1">
      <alignment horizontal="left"/>
    </xf>
    <xf numFmtId="181" fontId="11" fillId="0" borderId="0" xfId="0" applyNumberFormat="1" applyFont="1" applyFill="1" applyAlignment="1">
      <alignment horizontal="center"/>
    </xf>
    <xf numFmtId="0" fontId="11" fillId="0" borderId="15" xfId="0" applyFont="1" applyFill="1" applyBorder="1"/>
    <xf numFmtId="0" fontId="1" fillId="0" borderId="13" xfId="0" applyFont="1" applyFill="1" applyBorder="1"/>
    <xf numFmtId="178" fontId="0" fillId="0" borderId="0" xfId="0" applyNumberFormat="1" applyFill="1" applyBorder="1"/>
    <xf numFmtId="178" fontId="0" fillId="0" borderId="0" xfId="0" applyNumberFormat="1" applyFill="1" applyBorder="1" applyAlignment="1">
      <alignment horizontal="left"/>
    </xf>
    <xf numFmtId="178" fontId="11" fillId="0" borderId="0" xfId="0" applyNumberFormat="1" applyFont="1" applyFill="1" applyBorder="1" applyAlignment="1">
      <alignment horizontal="center"/>
    </xf>
    <xf numFmtId="202" fontId="0" fillId="0" borderId="0" xfId="0" applyNumberFormat="1" applyFill="1" applyBorder="1"/>
    <xf numFmtId="205" fontId="0" fillId="0" borderId="0" xfId="0" applyNumberFormat="1" applyFill="1" applyBorder="1" applyAlignment="1">
      <alignment horizontal="center"/>
    </xf>
    <xf numFmtId="0" fontId="11" fillId="0" borderId="13" xfId="0" applyFont="1" applyBorder="1" applyAlignment="1">
      <alignment horizontal="right"/>
    </xf>
    <xf numFmtId="0" fontId="11" fillId="0" borderId="13" xfId="0" applyFont="1" applyBorder="1"/>
    <xf numFmtId="0" fontId="0" fillId="0" borderId="13" xfId="0" applyBorder="1" applyAlignment="1">
      <alignment horizontal="right"/>
    </xf>
    <xf numFmtId="0" fontId="0" fillId="0" borderId="16" xfId="0" applyBorder="1" applyAlignment="1">
      <alignment horizontal="right"/>
    </xf>
    <xf numFmtId="173" fontId="12" fillId="0" borderId="0" xfId="0" applyNumberFormat="1" applyFont="1" applyFill="1" applyBorder="1" applyAlignment="1">
      <alignment horizontal="center"/>
    </xf>
    <xf numFmtId="0" fontId="9" fillId="0" borderId="0" xfId="0" applyFont="1" applyFill="1" applyAlignment="1">
      <alignment horizontal="center"/>
    </xf>
    <xf numFmtId="170" fontId="0" fillId="0" borderId="0" xfId="0" applyNumberFormat="1" applyFill="1" applyBorder="1" applyAlignment="1">
      <alignment horizontal="center"/>
    </xf>
    <xf numFmtId="1" fontId="0" fillId="0" borderId="6" xfId="0" applyNumberFormat="1" applyFill="1" applyBorder="1" applyAlignment="1">
      <alignment horizontal="center"/>
    </xf>
    <xf numFmtId="166" fontId="0" fillId="0" borderId="0" xfId="0" applyNumberFormat="1" applyBorder="1" applyAlignment="1">
      <alignment horizontal="center"/>
    </xf>
    <xf numFmtId="4" fontId="0" fillId="0" borderId="0" xfId="0" applyNumberFormat="1" applyFill="1" applyBorder="1" applyAlignment="1">
      <alignment horizontal="center"/>
    </xf>
    <xf numFmtId="0" fontId="0" fillId="0" borderId="0" xfId="0" applyFill="1" applyBorder="1" applyAlignment="1">
      <alignment horizontal="left" wrapText="1"/>
    </xf>
    <xf numFmtId="214" fontId="0" fillId="0" borderId="0" xfId="0" applyNumberFormat="1" applyFill="1" applyBorder="1" applyAlignment="1">
      <alignment horizontal="center"/>
    </xf>
    <xf numFmtId="201" fontId="0" fillId="0" borderId="0" xfId="0" applyNumberFormat="1" applyBorder="1" applyAlignment="1">
      <alignment horizontal="center"/>
    </xf>
    <xf numFmtId="198" fontId="0" fillId="0" borderId="0" xfId="0" applyNumberFormat="1" applyBorder="1" applyAlignment="1">
      <alignment horizontal="center"/>
    </xf>
    <xf numFmtId="1" fontId="12" fillId="0" borderId="0" xfId="0" applyNumberFormat="1" applyFont="1" applyFill="1" applyAlignment="1">
      <alignment horizontal="center"/>
    </xf>
    <xf numFmtId="0" fontId="12" fillId="0" borderId="0" xfId="0" applyFont="1" applyFill="1" applyAlignment="1">
      <alignment horizontal="center"/>
    </xf>
    <xf numFmtId="167" fontId="13" fillId="0" borderId="0" xfId="0" applyNumberFormat="1" applyFont="1" applyFill="1" applyBorder="1" applyAlignment="1">
      <alignment horizontal="center"/>
    </xf>
    <xf numFmtId="173" fontId="13" fillId="0" borderId="0" xfId="0" applyNumberFormat="1" applyFont="1" applyFill="1" applyBorder="1" applyAlignment="1">
      <alignment horizontal="center"/>
    </xf>
    <xf numFmtId="169" fontId="0" fillId="0" borderId="0" xfId="0" applyNumberFormat="1" applyFill="1" applyBorder="1" applyAlignment="1">
      <alignment horizontal="center"/>
    </xf>
    <xf numFmtId="1" fontId="0" fillId="0" borderId="0" xfId="0" applyNumberFormat="1" applyFill="1" applyBorder="1"/>
    <xf numFmtId="172" fontId="7" fillId="0" borderId="0" xfId="1" applyNumberFormat="1" applyFont="1" applyFill="1" applyBorder="1" applyAlignment="1" applyProtection="1">
      <alignment horizontal="center" vertical="center"/>
    </xf>
    <xf numFmtId="0" fontId="30" fillId="0" borderId="0" xfId="0" applyFont="1" applyFill="1"/>
    <xf numFmtId="0" fontId="38" fillId="0" borderId="0" xfId="0" applyFont="1" applyFill="1" applyAlignment="1">
      <alignment horizontal="right"/>
    </xf>
    <xf numFmtId="0" fontId="38" fillId="0" borderId="0" xfId="0" applyFont="1" applyFill="1"/>
    <xf numFmtId="0" fontId="11" fillId="0" borderId="0" xfId="0" applyFont="1" applyFill="1" applyAlignment="1">
      <alignment horizontal="left"/>
    </xf>
    <xf numFmtId="49" fontId="5" fillId="0" borderId="0" xfId="0" applyNumberFormat="1" applyFont="1" applyFill="1" applyAlignment="1">
      <alignment horizontal="left" vertical="center" wrapText="1"/>
    </xf>
    <xf numFmtId="211" fontId="0" fillId="0" borderId="0" xfId="0" applyNumberFormat="1" applyAlignment="1">
      <alignment horizontal="center"/>
    </xf>
    <xf numFmtId="9" fontId="12" fillId="0" borderId="0" xfId="1" applyFont="1" applyFill="1" applyAlignment="1">
      <alignment horizontal="left"/>
    </xf>
    <xf numFmtId="190" fontId="12" fillId="0" borderId="0" xfId="1" applyNumberFormat="1" applyFont="1" applyFill="1" applyAlignment="1">
      <alignment horizontal="center"/>
    </xf>
    <xf numFmtId="0" fontId="8" fillId="0" borderId="0" xfId="0" applyFont="1" applyFill="1" applyAlignment="1">
      <alignment horizontal="center"/>
    </xf>
    <xf numFmtId="167" fontId="11" fillId="0" borderId="0" xfId="0" applyNumberFormat="1" applyFont="1" applyFill="1" applyAlignment="1">
      <alignment horizontal="left"/>
    </xf>
    <xf numFmtId="166" fontId="6" fillId="2" borderId="0" xfId="0" applyNumberFormat="1" applyFont="1" applyFill="1" applyAlignment="1">
      <alignment horizontal="center" wrapText="1"/>
    </xf>
    <xf numFmtId="0" fontId="12" fillId="0" borderId="0" xfId="0" applyFont="1" applyFill="1" applyBorder="1" applyAlignment="1">
      <alignment wrapText="1"/>
    </xf>
    <xf numFmtId="166" fontId="1" fillId="0" borderId="0" xfId="0" applyNumberFormat="1" applyFont="1" applyFill="1"/>
    <xf numFmtId="168" fontId="5" fillId="0" borderId="0" xfId="0" applyNumberFormat="1" applyFont="1" applyFill="1" applyBorder="1" applyAlignment="1">
      <alignment horizontal="center"/>
    </xf>
    <xf numFmtId="166" fontId="11" fillId="2" borderId="0" xfId="0" applyNumberFormat="1" applyFont="1" applyFill="1" applyBorder="1" applyAlignment="1">
      <alignment horizontal="center"/>
    </xf>
    <xf numFmtId="167" fontId="11" fillId="2" borderId="0" xfId="0" applyNumberFormat="1" applyFont="1" applyFill="1" applyBorder="1" applyAlignment="1">
      <alignment horizontal="center"/>
    </xf>
    <xf numFmtId="168" fontId="11" fillId="2" borderId="0" xfId="0" applyNumberFormat="1" applyFont="1" applyFill="1" applyBorder="1" applyAlignment="1">
      <alignment horizontal="center"/>
    </xf>
    <xf numFmtId="0" fontId="7" fillId="0" borderId="0" xfId="0" applyFont="1" applyFill="1"/>
    <xf numFmtId="168" fontId="7" fillId="0" borderId="0" xfId="0" applyNumberFormat="1" applyFont="1" applyFill="1" applyBorder="1" applyAlignment="1">
      <alignment horizontal="center"/>
    </xf>
    <xf numFmtId="167" fontId="11" fillId="0" borderId="0" xfId="0" applyNumberFormat="1" applyFont="1" applyFill="1" applyBorder="1" applyAlignment="1">
      <alignment horizontal="center"/>
    </xf>
    <xf numFmtId="167" fontId="5" fillId="0" borderId="0" xfId="0" applyNumberFormat="1" applyFont="1" applyFill="1" applyAlignment="1">
      <alignment horizontal="center"/>
    </xf>
    <xf numFmtId="168" fontId="2" fillId="0" borderId="0" xfId="0" applyNumberFormat="1" applyFont="1" applyFill="1" applyBorder="1" applyAlignment="1">
      <alignment horizontal="center"/>
    </xf>
    <xf numFmtId="170" fontId="0" fillId="0" borderId="0" xfId="0" applyNumberFormat="1" applyBorder="1" applyAlignment="1">
      <alignment horizontal="center"/>
    </xf>
    <xf numFmtId="187" fontId="0" fillId="0" borderId="0" xfId="0" applyNumberFormat="1" applyFill="1" applyAlignment="1">
      <alignment horizontal="center"/>
    </xf>
    <xf numFmtId="185" fontId="12" fillId="0" borderId="0" xfId="0" applyNumberFormat="1" applyFont="1" applyFill="1" applyBorder="1" applyAlignment="1">
      <alignment horizontal="right"/>
    </xf>
    <xf numFmtId="49" fontId="3" fillId="0" borderId="0" xfId="0" applyNumberFormat="1" applyFont="1" applyFill="1"/>
    <xf numFmtId="180" fontId="3" fillId="0" borderId="0" xfId="0" applyNumberFormat="1" applyFont="1" applyFill="1" applyAlignment="1">
      <alignment horizontal="left"/>
    </xf>
    <xf numFmtId="180" fontId="11" fillId="0" borderId="0" xfId="0" applyNumberFormat="1" applyFont="1" applyFill="1" applyAlignment="1">
      <alignment horizontal="center"/>
    </xf>
    <xf numFmtId="9" fontId="3" fillId="0" borderId="0" xfId="1" applyBorder="1" applyAlignment="1">
      <alignment horizontal="center"/>
    </xf>
    <xf numFmtId="1" fontId="3" fillId="0" borderId="0" xfId="0" applyNumberFormat="1" applyFont="1" applyFill="1" applyBorder="1" applyAlignment="1">
      <alignment horizontal="left"/>
    </xf>
    <xf numFmtId="167" fontId="0" fillId="2" borderId="0" xfId="0" applyNumberFormat="1" applyFill="1" applyBorder="1"/>
    <xf numFmtId="168" fontId="0" fillId="2" borderId="0" xfId="0" applyNumberFormat="1" applyFill="1" applyBorder="1" applyAlignment="1">
      <alignment horizontal="center"/>
    </xf>
    <xf numFmtId="168" fontId="0" fillId="0" borderId="2" xfId="0" applyNumberFormat="1" applyFill="1" applyBorder="1" applyAlignment="1">
      <alignment horizontal="center"/>
    </xf>
    <xf numFmtId="167" fontId="0" fillId="2" borderId="0" xfId="0" applyNumberFormat="1" applyFill="1" applyBorder="1" applyAlignment="1">
      <alignment horizontal="center"/>
    </xf>
    <xf numFmtId="0" fontId="52" fillId="0" borderId="0" xfId="0" applyFont="1"/>
    <xf numFmtId="0" fontId="5" fillId="0" borderId="0" xfId="0" applyFont="1" applyBorder="1"/>
    <xf numFmtId="168" fontId="8" fillId="0" borderId="0" xfId="0" applyNumberFormat="1" applyFont="1" applyBorder="1" applyAlignment="1">
      <alignment horizontal="center"/>
    </xf>
    <xf numFmtId="0" fontId="8" fillId="0" borderId="0" xfId="0" applyFont="1" applyBorder="1" applyAlignment="1">
      <alignment horizontal="center"/>
    </xf>
    <xf numFmtId="170" fontId="11" fillId="0" borderId="0" xfId="0" applyNumberFormat="1" applyFont="1" applyFill="1" applyBorder="1" applyAlignment="1">
      <alignment horizontal="center"/>
    </xf>
    <xf numFmtId="169" fontId="11" fillId="0" borderId="0" xfId="0" applyNumberFormat="1" applyFont="1" applyFill="1" applyBorder="1" applyAlignment="1">
      <alignment horizontal="center"/>
    </xf>
    <xf numFmtId="0" fontId="52" fillId="0" borderId="0" xfId="0" applyFont="1" applyFill="1" applyBorder="1" applyAlignment="1">
      <alignment horizontal="center"/>
    </xf>
    <xf numFmtId="0" fontId="14" fillId="0" borderId="0" xfId="0" applyFont="1" applyFill="1" applyBorder="1"/>
    <xf numFmtId="0" fontId="52" fillId="0" borderId="0" xfId="0" applyFont="1" applyFill="1" applyBorder="1"/>
    <xf numFmtId="0" fontId="52" fillId="0" borderId="0" xfId="0" applyFont="1" applyFill="1" applyAlignment="1">
      <alignment horizontal="center"/>
    </xf>
    <xf numFmtId="0" fontId="14" fillId="0" borderId="0" xfId="0" applyFont="1" applyFill="1"/>
    <xf numFmtId="0" fontId="52" fillId="0" borderId="0" xfId="0" applyFont="1" applyFill="1"/>
    <xf numFmtId="49" fontId="3" fillId="0" borderId="0" xfId="0" applyNumberFormat="1" applyFont="1" applyFill="1" applyBorder="1"/>
    <xf numFmtId="0" fontId="14" fillId="4" borderId="0" xfId="0" applyFont="1" applyFill="1"/>
    <xf numFmtId="0" fontId="52" fillId="4" borderId="0" xfId="0" applyFont="1" applyFill="1"/>
    <xf numFmtId="190" fontId="14" fillId="4" borderId="0" xfId="0" applyNumberFormat="1" applyFont="1" applyFill="1" applyAlignment="1">
      <alignment horizontal="center"/>
    </xf>
    <xf numFmtId="190" fontId="8" fillId="0" borderId="1" xfId="0" applyNumberFormat="1" applyFont="1" applyBorder="1"/>
    <xf numFmtId="190" fontId="8" fillId="0" borderId="1" xfId="0" applyNumberFormat="1" applyFont="1" applyBorder="1" applyAlignment="1">
      <alignment horizontal="center"/>
    </xf>
    <xf numFmtId="190" fontId="8" fillId="0" borderId="0" xfId="0" applyNumberFormat="1" applyFont="1"/>
    <xf numFmtId="9" fontId="8" fillId="0" borderId="0" xfId="1" applyFont="1" applyBorder="1" applyAlignment="1">
      <alignment horizontal="center"/>
    </xf>
    <xf numFmtId="0" fontId="52" fillId="0" borderId="0" xfId="0" applyFont="1" applyBorder="1" applyAlignment="1">
      <alignment horizontal="center"/>
    </xf>
    <xf numFmtId="0" fontId="11" fillId="0" borderId="13" xfId="0" applyFont="1" applyFill="1" applyBorder="1"/>
    <xf numFmtId="0" fontId="5" fillId="0" borderId="13" xfId="0" applyFont="1" applyFill="1" applyBorder="1"/>
    <xf numFmtId="0" fontId="0" fillId="0" borderId="13" xfId="0" applyBorder="1" applyAlignment="1">
      <alignment horizontal="center"/>
    </xf>
    <xf numFmtId="0" fontId="9" fillId="0" borderId="0" xfId="0" applyFont="1" applyFill="1" applyBorder="1" applyAlignment="1">
      <alignment horizontal="center"/>
    </xf>
    <xf numFmtId="0" fontId="25" fillId="0" borderId="13" xfId="0" applyFont="1" applyBorder="1"/>
    <xf numFmtId="0" fontId="0" fillId="0" borderId="16" xfId="0" applyFill="1" applyBorder="1" applyAlignment="1">
      <alignment horizontal="right"/>
    </xf>
    <xf numFmtId="0" fontId="47" fillId="0" borderId="0" xfId="0" applyFont="1" applyFill="1"/>
    <xf numFmtId="171" fontId="0" fillId="0" borderId="0" xfId="0" applyNumberFormat="1" applyFill="1" applyAlignment="1">
      <alignment horizontal="center" vertical="center"/>
    </xf>
    <xf numFmtId="212" fontId="19" fillId="0" borderId="0" xfId="0" applyNumberFormat="1" applyFont="1" applyFill="1" applyAlignment="1">
      <alignment horizontal="left"/>
    </xf>
    <xf numFmtId="4" fontId="0" fillId="0" borderId="0" xfId="0" applyNumberFormat="1" applyBorder="1"/>
    <xf numFmtId="3" fontId="25" fillId="0" borderId="0" xfId="0" applyNumberFormat="1" applyFont="1" applyFill="1" applyBorder="1" applyAlignment="1">
      <alignment horizontal="center"/>
    </xf>
    <xf numFmtId="4" fontId="0" fillId="0" borderId="0" xfId="0" applyNumberFormat="1" applyFill="1"/>
    <xf numFmtId="166" fontId="11" fillId="0" borderId="0" xfId="0" applyNumberFormat="1" applyFont="1" applyFill="1" applyBorder="1" applyAlignment="1">
      <alignment horizontal="center"/>
    </xf>
    <xf numFmtId="166" fontId="52" fillId="0" borderId="0" xfId="0" applyNumberFormat="1" applyFont="1" applyFill="1" applyAlignment="1">
      <alignment horizontal="center"/>
    </xf>
    <xf numFmtId="167" fontId="52" fillId="0" borderId="0" xfId="0" applyNumberFormat="1" applyFont="1" applyFill="1" applyAlignment="1">
      <alignment horizontal="center"/>
    </xf>
    <xf numFmtId="3" fontId="54" fillId="0" borderId="0" xfId="0" applyNumberFormat="1" applyFont="1" applyFill="1"/>
    <xf numFmtId="0" fontId="51" fillId="0" borderId="0" xfId="0" applyFont="1" applyFill="1" applyAlignment="1">
      <alignment horizontal="center"/>
    </xf>
    <xf numFmtId="3" fontId="51" fillId="0" borderId="0" xfId="0" applyNumberFormat="1" applyFont="1" applyFill="1" applyAlignment="1">
      <alignment horizontal="center"/>
    </xf>
    <xf numFmtId="0" fontId="51" fillId="0" borderId="0" xfId="0" applyFont="1" applyFill="1"/>
    <xf numFmtId="3" fontId="55" fillId="0" borderId="0" xfId="0" applyNumberFormat="1" applyFont="1" applyFill="1"/>
    <xf numFmtId="0" fontId="32" fillId="0" borderId="0" xfId="0" applyFont="1" applyFill="1" applyAlignment="1">
      <alignment horizontal="center"/>
    </xf>
    <xf numFmtId="3" fontId="32" fillId="0" borderId="0" xfId="0" applyNumberFormat="1" applyFont="1" applyFill="1" applyAlignment="1">
      <alignment horizontal="center"/>
    </xf>
    <xf numFmtId="0" fontId="52" fillId="0" borderId="0" xfId="0" applyFont="1" applyAlignment="1">
      <alignment horizontal="center"/>
    </xf>
    <xf numFmtId="3" fontId="52" fillId="0" borderId="0" xfId="0" applyNumberFormat="1" applyFont="1" applyAlignment="1">
      <alignment horizontal="center"/>
    </xf>
    <xf numFmtId="192" fontId="30" fillId="0" borderId="0" xfId="0" applyNumberFormat="1" applyFont="1" applyFill="1" applyBorder="1" applyAlignment="1">
      <alignment horizontal="center"/>
    </xf>
    <xf numFmtId="3" fontId="52" fillId="0" borderId="0" xfId="0" applyNumberFormat="1" applyFont="1" applyFill="1" applyAlignment="1">
      <alignment horizontal="center"/>
    </xf>
    <xf numFmtId="0" fontId="39" fillId="0" borderId="0" xfId="0" applyFont="1" applyFill="1"/>
    <xf numFmtId="0" fontId="48" fillId="0" borderId="0" xfId="0" applyFont="1" applyFill="1"/>
    <xf numFmtId="167" fontId="9" fillId="0" borderId="0" xfId="0" applyNumberFormat="1" applyFont="1" applyFill="1" applyAlignment="1">
      <alignment horizontal="center"/>
    </xf>
    <xf numFmtId="0" fontId="35" fillId="0" borderId="0" xfId="0" applyFont="1" applyFill="1"/>
    <xf numFmtId="168" fontId="56" fillId="0" borderId="0" xfId="1" applyNumberFormat="1" applyFont="1" applyFill="1" applyBorder="1" applyAlignment="1">
      <alignment horizontal="center"/>
    </xf>
    <xf numFmtId="0" fontId="7" fillId="0" borderId="13" xfId="0" applyFont="1" applyFill="1" applyBorder="1"/>
    <xf numFmtId="166" fontId="9" fillId="0" borderId="0" xfId="0" applyNumberFormat="1" applyFont="1" applyFill="1" applyBorder="1" applyAlignment="1">
      <alignment horizontal="center"/>
    </xf>
    <xf numFmtId="167" fontId="9" fillId="0" borderId="0" xfId="0" applyNumberFormat="1" applyFont="1" applyFill="1" applyBorder="1" applyAlignment="1">
      <alignment horizontal="center"/>
    </xf>
    <xf numFmtId="166" fontId="52" fillId="0" borderId="0" xfId="0" applyNumberFormat="1" applyFont="1" applyFill="1" applyBorder="1" applyAlignment="1">
      <alignment horizontal="center"/>
    </xf>
    <xf numFmtId="167" fontId="52" fillId="0" borderId="0" xfId="0" applyNumberFormat="1" applyFont="1" applyFill="1" applyBorder="1" applyAlignment="1">
      <alignment horizontal="center"/>
    </xf>
    <xf numFmtId="166" fontId="12" fillId="0" borderId="0" xfId="0" applyNumberFormat="1" applyFont="1" applyFill="1" applyBorder="1" applyAlignment="1">
      <alignment horizontal="center"/>
    </xf>
    <xf numFmtId="167" fontId="7" fillId="0" borderId="0" xfId="0" applyNumberFormat="1" applyFont="1" applyFill="1" applyBorder="1" applyAlignment="1">
      <alignment horizontal="center"/>
    </xf>
    <xf numFmtId="2" fontId="9" fillId="0" borderId="0" xfId="0" applyNumberFormat="1" applyFont="1" applyFill="1" applyAlignment="1">
      <alignment horizontal="center"/>
    </xf>
    <xf numFmtId="0" fontId="39" fillId="0" borderId="13" xfId="0" applyFont="1" applyFill="1" applyBorder="1"/>
    <xf numFmtId="0" fontId="7" fillId="0" borderId="0" xfId="0" applyFont="1" applyFill="1" applyBorder="1" applyAlignment="1">
      <alignment wrapText="1"/>
    </xf>
    <xf numFmtId="0" fontId="8" fillId="0" borderId="0" xfId="0" applyFont="1" applyFill="1" applyBorder="1" applyAlignment="1">
      <alignment wrapText="1"/>
    </xf>
    <xf numFmtId="0" fontId="48" fillId="0" borderId="0" xfId="0" applyFont="1" applyFill="1" applyBorder="1" applyAlignment="1">
      <alignment horizontal="right"/>
    </xf>
    <xf numFmtId="213" fontId="11" fillId="0" borderId="0" xfId="0" applyNumberFormat="1" applyFont="1" applyFill="1" applyBorder="1" applyAlignment="1">
      <alignment horizontal="center"/>
    </xf>
    <xf numFmtId="168" fontId="0" fillId="0" borderId="0" xfId="0" applyNumberFormat="1" applyBorder="1"/>
    <xf numFmtId="166" fontId="8" fillId="0" borderId="0" xfId="0" applyNumberFormat="1" applyFont="1" applyFill="1" applyBorder="1" applyAlignment="1">
      <alignment horizontal="center" vertical="center" wrapText="1"/>
    </xf>
    <xf numFmtId="167" fontId="8" fillId="0" borderId="0" xfId="0" applyNumberFormat="1" applyFont="1" applyFill="1" applyBorder="1" applyAlignment="1">
      <alignment horizontal="center" vertical="center"/>
    </xf>
    <xf numFmtId="0" fontId="0" fillId="0" borderId="17" xfId="0" applyBorder="1"/>
    <xf numFmtId="0" fontId="12" fillId="0" borderId="17" xfId="0" applyFont="1" applyFill="1" applyBorder="1" applyAlignment="1">
      <alignment vertical="center"/>
    </xf>
    <xf numFmtId="168" fontId="14" fillId="0" borderId="0" xfId="1" applyNumberFormat="1" applyFont="1" applyFill="1"/>
    <xf numFmtId="168" fontId="52" fillId="0" borderId="0" xfId="1" applyNumberFormat="1" applyFont="1" applyFill="1"/>
    <xf numFmtId="0" fontId="5" fillId="0" borderId="0" xfId="0" applyFont="1"/>
    <xf numFmtId="0" fontId="0" fillId="0" borderId="17" xfId="0" applyFill="1" applyBorder="1"/>
    <xf numFmtId="190" fontId="0" fillId="0" borderId="0" xfId="0" applyNumberFormat="1" applyFill="1" applyBorder="1" applyAlignment="1">
      <alignment horizontal="center"/>
    </xf>
    <xf numFmtId="0" fontId="7" fillId="0" borderId="0" xfId="0" applyFont="1" applyFill="1" applyAlignment="1">
      <alignment horizontal="left"/>
    </xf>
    <xf numFmtId="0" fontId="16" fillId="0" borderId="0" xfId="0" applyFont="1" applyFill="1" applyAlignment="1">
      <alignment horizontal="left"/>
    </xf>
    <xf numFmtId="0" fontId="35" fillId="0" borderId="0" xfId="0" applyFont="1"/>
    <xf numFmtId="3" fontId="10" fillId="0" borderId="0" xfId="0" applyNumberFormat="1" applyFont="1" applyFill="1" applyAlignment="1">
      <alignment horizontal="center"/>
    </xf>
    <xf numFmtId="0" fontId="29" fillId="3" borderId="0" xfId="0" applyFont="1" applyFill="1" applyBorder="1"/>
    <xf numFmtId="0" fontId="17" fillId="3" borderId="0" xfId="0" applyFont="1" applyFill="1" applyBorder="1"/>
    <xf numFmtId="0" fontId="29" fillId="5" borderId="0" xfId="0" applyFont="1" applyFill="1" applyBorder="1"/>
    <xf numFmtId="0" fontId="17" fillId="5" borderId="0" xfId="0" applyFont="1" applyFill="1" applyBorder="1"/>
    <xf numFmtId="0" fontId="31" fillId="5" borderId="0" xfId="0" applyFont="1" applyFill="1" applyBorder="1" applyAlignment="1">
      <alignment horizontal="left" vertical="center"/>
    </xf>
    <xf numFmtId="167" fontId="0" fillId="0" borderId="6" xfId="0" applyNumberFormat="1" applyFill="1" applyBorder="1" applyAlignment="1">
      <alignment horizontal="center"/>
    </xf>
    <xf numFmtId="0" fontId="0" fillId="0" borderId="18" xfId="0" applyFill="1" applyBorder="1"/>
    <xf numFmtId="49" fontId="5" fillId="0" borderId="14" xfId="0" applyNumberFormat="1" applyFont="1" applyFill="1" applyBorder="1" applyAlignment="1">
      <alignment horizontal="center"/>
    </xf>
    <xf numFmtId="0" fontId="12" fillId="0" borderId="19" xfId="0" applyFont="1" applyFill="1" applyBorder="1" applyAlignment="1">
      <alignment vertical="center"/>
    </xf>
    <xf numFmtId="49" fontId="8" fillId="0" borderId="17" xfId="0" applyNumberFormat="1" applyFont="1" applyFill="1" applyBorder="1" applyAlignment="1">
      <alignment horizontal="left" vertical="center" wrapText="1"/>
    </xf>
    <xf numFmtId="9" fontId="17" fillId="0" borderId="6" xfId="1" applyFont="1" applyFill="1" applyBorder="1" applyAlignment="1" applyProtection="1">
      <alignment horizontal="center" vertical="center" wrapText="1"/>
    </xf>
    <xf numFmtId="0" fontId="36" fillId="0" borderId="0" xfId="0" applyFont="1" applyFill="1" applyAlignment="1">
      <alignment horizontal="left"/>
    </xf>
    <xf numFmtId="2" fontId="8" fillId="0" borderId="17" xfId="0" applyNumberFormat="1" applyFont="1" applyFill="1" applyBorder="1" applyAlignment="1">
      <alignment horizontal="left" vertical="center"/>
    </xf>
    <xf numFmtId="0" fontId="0" fillId="0" borderId="17" xfId="0" applyBorder="1" applyAlignment="1">
      <alignment vertical="center"/>
    </xf>
    <xf numFmtId="0" fontId="0" fillId="0" borderId="19" xfId="0" applyBorder="1" applyAlignment="1">
      <alignment vertical="center"/>
    </xf>
    <xf numFmtId="0" fontId="12" fillId="0" borderId="17" xfId="0" applyNumberFormat="1" applyFont="1" applyFill="1" applyBorder="1" applyAlignment="1">
      <alignment horizontal="left" vertical="center" wrapText="1"/>
    </xf>
    <xf numFmtId="0" fontId="0" fillId="0" borderId="19" xfId="0" applyBorder="1"/>
    <xf numFmtId="2" fontId="8" fillId="0" borderId="17" xfId="0" applyNumberFormat="1" applyFont="1" applyBorder="1"/>
    <xf numFmtId="0" fontId="0" fillId="0" borderId="18" xfId="0" applyBorder="1"/>
    <xf numFmtId="0" fontId="11" fillId="0" borderId="17" xfId="0" applyFont="1" applyBorder="1"/>
    <xf numFmtId="0" fontId="12" fillId="0" borderId="17" xfId="0" applyFont="1" applyBorder="1"/>
    <xf numFmtId="0" fontId="12" fillId="0" borderId="19" xfId="0" applyFont="1" applyBorder="1"/>
    <xf numFmtId="0" fontId="12" fillId="0" borderId="6" xfId="0" applyFont="1" applyFill="1" applyBorder="1"/>
    <xf numFmtId="0" fontId="11" fillId="0" borderId="19" xfId="0" applyFont="1" applyBorder="1"/>
    <xf numFmtId="0" fontId="11" fillId="0" borderId="17" xfId="0" applyFont="1" applyBorder="1" applyAlignment="1">
      <alignment vertical="center" wrapText="1"/>
    </xf>
    <xf numFmtId="0" fontId="0" fillId="0" borderId="17" xfId="0" applyBorder="1" applyAlignment="1">
      <alignment vertical="center" wrapText="1"/>
    </xf>
    <xf numFmtId="0" fontId="0" fillId="0" borderId="19" xfId="0" applyBorder="1" applyAlignment="1">
      <alignment vertical="center" wrapText="1"/>
    </xf>
    <xf numFmtId="0" fontId="0" fillId="0" borderId="13" xfId="0" applyFill="1" applyBorder="1" applyAlignment="1">
      <alignment horizontal="right"/>
    </xf>
    <xf numFmtId="0" fontId="0" fillId="0" borderId="16" xfId="0" applyFill="1" applyBorder="1" applyAlignment="1">
      <alignment vertical="center" wrapText="1"/>
    </xf>
    <xf numFmtId="0" fontId="8" fillId="0" borderId="17" xfId="0" applyFont="1" applyBorder="1" applyAlignment="1">
      <alignment vertical="center" wrapText="1"/>
    </xf>
    <xf numFmtId="172" fontId="17" fillId="0" borderId="6" xfId="1" applyNumberFormat="1" applyFont="1" applyFill="1" applyBorder="1" applyAlignment="1" applyProtection="1">
      <alignment horizontal="center" vertical="center" wrapText="1"/>
    </xf>
    <xf numFmtId="0" fontId="12" fillId="0" borderId="19" xfId="0" applyFont="1" applyBorder="1" applyAlignment="1">
      <alignment vertical="center"/>
    </xf>
    <xf numFmtId="0" fontId="11" fillId="0" borderId="19" xfId="0" applyFont="1" applyBorder="1" applyAlignment="1">
      <alignment vertical="center"/>
    </xf>
    <xf numFmtId="0" fontId="8" fillId="0" borderId="17" xfId="0" applyFont="1" applyBorder="1" applyAlignment="1">
      <alignment vertical="center"/>
    </xf>
    <xf numFmtId="9" fontId="11" fillId="0" borderId="0" xfId="0" applyNumberFormat="1" applyFont="1" applyFill="1" applyBorder="1" applyAlignment="1">
      <alignment horizontal="center" vertical="center"/>
    </xf>
    <xf numFmtId="0" fontId="11" fillId="0" borderId="0" xfId="0" applyFont="1" applyAlignment="1">
      <alignment horizontal="right"/>
    </xf>
    <xf numFmtId="1" fontId="12" fillId="0" borderId="0" xfId="0" applyNumberFormat="1" applyFont="1" applyFill="1" applyBorder="1" applyAlignment="1">
      <alignment horizontal="center"/>
    </xf>
    <xf numFmtId="178" fontId="12" fillId="0" borderId="0" xfId="0" applyNumberFormat="1" applyFont="1" applyFill="1" applyBorder="1" applyAlignment="1">
      <alignment horizontal="center"/>
    </xf>
    <xf numFmtId="1" fontId="12" fillId="0" borderId="0" xfId="0" applyNumberFormat="1" applyFont="1" applyFill="1" applyBorder="1"/>
    <xf numFmtId="178" fontId="12" fillId="0" borderId="0" xfId="0" applyNumberFormat="1" applyFont="1" applyFill="1" applyAlignment="1">
      <alignment horizontal="center"/>
    </xf>
    <xf numFmtId="0" fontId="58" fillId="0" borderId="0" xfId="0" applyFont="1"/>
    <xf numFmtId="0" fontId="61" fillId="0" borderId="0" xfId="0" applyFont="1" applyFill="1"/>
    <xf numFmtId="178" fontId="11" fillId="0" borderId="6" xfId="0" applyNumberFormat="1" applyFont="1" applyFill="1" applyBorder="1" applyAlignment="1">
      <alignment horizontal="center"/>
    </xf>
    <xf numFmtId="167" fontId="0" fillId="6" borderId="0" xfId="0" applyNumberFormat="1" applyFill="1" applyAlignment="1">
      <alignment horizontal="center"/>
    </xf>
    <xf numFmtId="0" fontId="37" fillId="0" borderId="0" xfId="0" applyFont="1" applyFill="1" applyAlignment="1">
      <alignment horizontal="center"/>
    </xf>
    <xf numFmtId="1" fontId="0" fillId="6" borderId="0" xfId="0" applyNumberFormat="1" applyFill="1" applyAlignment="1">
      <alignment horizontal="center"/>
    </xf>
    <xf numFmtId="221" fontId="0" fillId="0" borderId="0" xfId="0" applyNumberFormat="1" applyFill="1" applyAlignment="1">
      <alignment horizontal="center"/>
    </xf>
    <xf numFmtId="183" fontId="0" fillId="0" borderId="0" xfId="0" applyNumberFormat="1" applyFill="1" applyAlignment="1">
      <alignment horizontal="center"/>
    </xf>
    <xf numFmtId="0" fontId="37" fillId="0" borderId="0" xfId="0" applyFont="1"/>
    <xf numFmtId="168" fontId="0" fillId="0" borderId="6" xfId="0" applyNumberFormat="1" applyFill="1" applyBorder="1" applyAlignment="1">
      <alignment horizontal="center"/>
    </xf>
    <xf numFmtId="168" fontId="3" fillId="0" borderId="0" xfId="0" applyNumberFormat="1" applyFont="1" applyFill="1" applyBorder="1" applyAlignment="1">
      <alignment horizontal="center"/>
    </xf>
    <xf numFmtId="172" fontId="11" fillId="0" borderId="0" xfId="0" applyNumberFormat="1" applyFont="1" applyFill="1" applyBorder="1" applyAlignment="1">
      <alignment horizontal="center" vertical="center"/>
    </xf>
    <xf numFmtId="172" fontId="12" fillId="0" borderId="0" xfId="0" applyNumberFormat="1" applyFont="1" applyFill="1" applyBorder="1" applyAlignment="1">
      <alignment horizontal="center" vertical="center"/>
    </xf>
    <xf numFmtId="172" fontId="11" fillId="0" borderId="0" xfId="1" applyNumberFormat="1" applyFont="1" applyFill="1" applyBorder="1" applyAlignment="1">
      <alignment horizontal="center" vertical="center"/>
    </xf>
    <xf numFmtId="172" fontId="12" fillId="0" borderId="0" xfId="1" applyNumberFormat="1" applyFont="1" applyFill="1" applyBorder="1" applyAlignment="1">
      <alignment horizontal="center" vertical="center"/>
    </xf>
    <xf numFmtId="0" fontId="7" fillId="0" borderId="0" xfId="0" applyFont="1" applyFill="1" applyAlignment="1">
      <alignment horizontal="right" vertical="center" wrapText="1"/>
    </xf>
    <xf numFmtId="0" fontId="11" fillId="0" borderId="0" xfId="0" applyFont="1" applyFill="1" applyAlignment="1">
      <alignment horizontal="right" vertical="center" wrapText="1"/>
    </xf>
    <xf numFmtId="0" fontId="12" fillId="0" borderId="1" xfId="0" applyFont="1" applyFill="1" applyBorder="1" applyAlignment="1">
      <alignment horizontal="right" vertical="center" wrapText="1"/>
    </xf>
    <xf numFmtId="0" fontId="5" fillId="0" borderId="0" xfId="0" applyFont="1" applyFill="1" applyAlignment="1">
      <alignment horizontal="right" vertical="center" wrapText="1"/>
    </xf>
    <xf numFmtId="0" fontId="11" fillId="0" borderId="20" xfId="0" applyFont="1" applyFill="1" applyBorder="1" applyAlignment="1">
      <alignment vertical="center" wrapText="1"/>
    </xf>
    <xf numFmtId="0" fontId="12" fillId="0" borderId="0" xfId="0" applyFont="1" applyFill="1" applyAlignment="1">
      <alignment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7" fillId="0" borderId="0" xfId="0" applyFont="1" applyFill="1" applyBorder="1" applyAlignment="1">
      <alignment vertical="center"/>
    </xf>
    <xf numFmtId="0" fontId="17" fillId="7" borderId="0" xfId="0" applyFont="1" applyFill="1"/>
    <xf numFmtId="0" fontId="12" fillId="7" borderId="0" xfId="0" applyFont="1" applyFill="1" applyAlignment="1">
      <alignment horizontal="center"/>
    </xf>
    <xf numFmtId="0" fontId="11" fillId="7" borderId="0" xfId="0" applyFont="1" applyFill="1"/>
    <xf numFmtId="0" fontId="12" fillId="7" borderId="0" xfId="0" applyFont="1" applyFill="1"/>
    <xf numFmtId="0" fontId="39" fillId="7" borderId="0" xfId="0" applyFont="1" applyFill="1"/>
    <xf numFmtId="0" fontId="0" fillId="7" borderId="0" xfId="0" applyFill="1"/>
    <xf numFmtId="0" fontId="0" fillId="7" borderId="0" xfId="0" applyFill="1" applyAlignment="1">
      <alignment horizontal="center"/>
    </xf>
    <xf numFmtId="168" fontId="12" fillId="7" borderId="0" xfId="1" applyNumberFormat="1" applyFont="1" applyFill="1"/>
    <xf numFmtId="0" fontId="0" fillId="6" borderId="0" xfId="0" applyFill="1" applyAlignment="1">
      <alignment horizontal="center"/>
    </xf>
    <xf numFmtId="0" fontId="5" fillId="6" borderId="0" xfId="0" applyFont="1" applyFill="1" applyAlignment="1">
      <alignment horizontal="left"/>
    </xf>
    <xf numFmtId="0" fontId="0" fillId="6" borderId="0" xfId="0" applyFill="1"/>
    <xf numFmtId="9" fontId="0" fillId="6" borderId="0" xfId="1" applyFont="1" applyFill="1"/>
    <xf numFmtId="0" fontId="1" fillId="6" borderId="0" xfId="0" applyFont="1" applyFill="1" applyBorder="1"/>
    <xf numFmtId="0" fontId="0" fillId="6" borderId="0" xfId="0" applyFill="1" applyBorder="1"/>
    <xf numFmtId="9" fontId="0" fillId="6" borderId="0" xfId="0" applyNumberFormat="1" applyFill="1" applyBorder="1" applyAlignment="1">
      <alignment horizontal="center"/>
    </xf>
    <xf numFmtId="0" fontId="0" fillId="6" borderId="0" xfId="0" applyFill="1" applyBorder="1" applyAlignment="1">
      <alignment wrapText="1"/>
    </xf>
    <xf numFmtId="9" fontId="0" fillId="6" borderId="0" xfId="0" applyNumberFormat="1" applyFill="1" applyBorder="1" applyAlignment="1">
      <alignment wrapText="1"/>
    </xf>
    <xf numFmtId="183" fontId="3" fillId="6" borderId="2" xfId="0" applyNumberFormat="1" applyFont="1" applyFill="1" applyBorder="1" applyAlignment="1">
      <alignment horizontal="center"/>
    </xf>
    <xf numFmtId="183" fontId="0" fillId="6" borderId="2" xfId="0" applyNumberFormat="1" applyFill="1" applyBorder="1" applyAlignment="1">
      <alignment horizontal="center"/>
    </xf>
    <xf numFmtId="183" fontId="3" fillId="6" borderId="21" xfId="0" applyNumberFormat="1" applyFont="1" applyFill="1" applyBorder="1" applyAlignment="1">
      <alignment horizontal="center"/>
    </xf>
    <xf numFmtId="183" fontId="0" fillId="6" borderId="21" xfId="0" applyNumberFormat="1" applyFill="1" applyBorder="1" applyAlignment="1">
      <alignment horizontal="center"/>
    </xf>
    <xf numFmtId="9" fontId="1" fillId="0" borderId="3" xfId="1" applyFont="1" applyFill="1" applyBorder="1" applyAlignment="1">
      <alignment horizontal="center"/>
    </xf>
    <xf numFmtId="203" fontId="0" fillId="0" borderId="5" xfId="0" applyNumberFormat="1" applyFill="1" applyBorder="1" applyAlignment="1">
      <alignment horizontal="center"/>
    </xf>
    <xf numFmtId="203" fontId="1" fillId="0" borderId="22" xfId="0" applyNumberFormat="1" applyFont="1" applyFill="1" applyBorder="1" applyAlignment="1">
      <alignment horizontal="center"/>
    </xf>
    <xf numFmtId="203" fontId="1" fillId="0" borderId="23" xfId="0" applyNumberFormat="1" applyFont="1" applyFill="1" applyBorder="1" applyAlignment="1">
      <alignment horizontal="center"/>
    </xf>
    <xf numFmtId="1" fontId="1" fillId="0" borderId="21" xfId="0" applyNumberFormat="1" applyFont="1" applyFill="1" applyBorder="1" applyAlignment="1">
      <alignment horizontal="center"/>
    </xf>
    <xf numFmtId="3" fontId="5" fillId="0" borderId="23" xfId="0" applyNumberFormat="1" applyFont="1" applyFill="1" applyBorder="1" applyAlignment="1">
      <alignment horizontal="center"/>
    </xf>
    <xf numFmtId="195" fontId="1" fillId="6" borderId="21" xfId="0" applyNumberFormat="1" applyFont="1" applyFill="1" applyBorder="1" applyAlignment="1">
      <alignment horizontal="center"/>
    </xf>
    <xf numFmtId="178" fontId="53" fillId="0" borderId="0" xfId="0" applyNumberFormat="1" applyFont="1" applyFill="1" applyAlignment="1">
      <alignment horizontal="center"/>
    </xf>
    <xf numFmtId="178" fontId="11" fillId="6" borderId="0" xfId="0" applyNumberFormat="1" applyFont="1" applyFill="1" applyBorder="1" applyAlignment="1">
      <alignment horizontal="center"/>
    </xf>
    <xf numFmtId="178" fontId="11" fillId="6" borderId="6" xfId="0" applyNumberFormat="1" applyFont="1" applyFill="1" applyBorder="1" applyAlignment="1">
      <alignment horizontal="center"/>
    </xf>
    <xf numFmtId="167" fontId="0" fillId="6" borderId="0" xfId="0" applyNumberFormat="1" applyFill="1" applyBorder="1" applyAlignment="1">
      <alignment horizontal="center"/>
    </xf>
    <xf numFmtId="3" fontId="0" fillId="6" borderId="0" xfId="0" applyNumberFormat="1" applyFill="1" applyAlignment="1">
      <alignment horizontal="center"/>
    </xf>
    <xf numFmtId="197" fontId="1" fillId="0" borderId="0" xfId="0" applyNumberFormat="1" applyFont="1" applyFill="1" applyAlignment="1">
      <alignment horizontal="center"/>
    </xf>
    <xf numFmtId="9" fontId="11" fillId="0" borderId="0" xfId="1" applyFont="1" applyFill="1" applyBorder="1" applyAlignment="1">
      <alignment horizontal="center"/>
    </xf>
    <xf numFmtId="9" fontId="1" fillId="0" borderId="0" xfId="1" applyFont="1" applyFill="1" applyBorder="1" applyAlignment="1">
      <alignment horizontal="center"/>
    </xf>
    <xf numFmtId="205" fontId="1" fillId="0" borderId="0" xfId="0" applyNumberFormat="1" applyFont="1" applyFill="1" applyBorder="1" applyAlignment="1">
      <alignment horizontal="center"/>
    </xf>
    <xf numFmtId="9" fontId="1" fillId="0" borderId="1" xfId="1" applyFont="1" applyFill="1" applyBorder="1" applyAlignment="1">
      <alignment horizontal="center"/>
    </xf>
    <xf numFmtId="205" fontId="1" fillId="0" borderId="1" xfId="0" applyNumberFormat="1" applyFont="1" applyFill="1" applyBorder="1" applyAlignment="1">
      <alignment horizontal="center"/>
    </xf>
    <xf numFmtId="9" fontId="0" fillId="6" borderId="0" xfId="1" applyFont="1" applyFill="1" applyBorder="1" applyAlignment="1">
      <alignment horizontal="center"/>
    </xf>
    <xf numFmtId="205" fontId="0" fillId="6" borderId="0" xfId="0" applyNumberFormat="1" applyFill="1" applyBorder="1" applyAlignment="1">
      <alignment horizontal="center"/>
    </xf>
    <xf numFmtId="0" fontId="7" fillId="0" borderId="0" xfId="0" applyFont="1" applyFill="1" applyBorder="1"/>
    <xf numFmtId="166" fontId="0" fillId="6" borderId="0" xfId="0" applyNumberFormat="1" applyFill="1" applyBorder="1" applyAlignment="1">
      <alignment horizontal="center"/>
    </xf>
    <xf numFmtId="0" fontId="0" fillId="6" borderId="0" xfId="0" applyFill="1" applyBorder="1" applyAlignment="1">
      <alignment horizontal="center"/>
    </xf>
    <xf numFmtId="4" fontId="0" fillId="6" borderId="0" xfId="0" applyNumberFormat="1" applyFill="1" applyBorder="1" applyAlignment="1">
      <alignment horizontal="center"/>
    </xf>
    <xf numFmtId="2" fontId="0" fillId="6" borderId="0" xfId="0" applyNumberFormat="1" applyFill="1" applyBorder="1" applyAlignment="1">
      <alignment horizontal="center"/>
    </xf>
    <xf numFmtId="201" fontId="0" fillId="6" borderId="0" xfId="0" applyNumberFormat="1" applyFill="1" applyBorder="1" applyAlignment="1">
      <alignment horizontal="center"/>
    </xf>
    <xf numFmtId="198" fontId="0" fillId="6" borderId="0" xfId="0" applyNumberFormat="1" applyFill="1" applyBorder="1" applyAlignment="1">
      <alignment horizontal="center"/>
    </xf>
    <xf numFmtId="166" fontId="5" fillId="0" borderId="0" xfId="0" applyNumberFormat="1" applyFont="1" applyFill="1" applyBorder="1" applyAlignment="1">
      <alignment horizontal="center"/>
    </xf>
    <xf numFmtId="0" fontId="5" fillId="0" borderId="0" xfId="0" applyFont="1" applyFill="1" applyBorder="1" applyAlignment="1">
      <alignment horizontal="center"/>
    </xf>
    <xf numFmtId="3" fontId="0" fillId="6" borderId="0" xfId="0" applyNumberFormat="1" applyFill="1" applyBorder="1" applyAlignment="1">
      <alignment horizontal="center"/>
    </xf>
    <xf numFmtId="188" fontId="0" fillId="6" borderId="0" xfId="0" applyNumberFormat="1" applyFill="1" applyBorder="1" applyAlignment="1">
      <alignment horizontal="center"/>
    </xf>
    <xf numFmtId="169" fontId="0" fillId="6" borderId="0" xfId="0" applyNumberFormat="1" applyFill="1" applyBorder="1" applyAlignment="1">
      <alignment horizontal="center"/>
    </xf>
    <xf numFmtId="2" fontId="12" fillId="6" borderId="0" xfId="0" applyNumberFormat="1" applyFont="1" applyFill="1" applyBorder="1"/>
    <xf numFmtId="1" fontId="12" fillId="6" borderId="0" xfId="0" applyNumberFormat="1" applyFont="1" applyFill="1" applyBorder="1" applyAlignment="1">
      <alignment horizontal="center"/>
    </xf>
    <xf numFmtId="211" fontId="12" fillId="6" borderId="0" xfId="0" applyNumberFormat="1" applyFont="1" applyFill="1" applyBorder="1" applyAlignment="1">
      <alignment horizontal="center"/>
    </xf>
    <xf numFmtId="1" fontId="0" fillId="6" borderId="1" xfId="0" applyNumberFormat="1" applyFill="1" applyBorder="1" applyAlignment="1">
      <alignment horizontal="center"/>
    </xf>
    <xf numFmtId="0" fontId="0" fillId="6" borderId="1" xfId="0" applyFill="1" applyBorder="1" applyAlignment="1">
      <alignment horizontal="center"/>
    </xf>
    <xf numFmtId="211" fontId="0" fillId="6" borderId="0" xfId="0" applyNumberFormat="1" applyFill="1" applyAlignment="1">
      <alignment horizontal="center"/>
    </xf>
    <xf numFmtId="178" fontId="0" fillId="7" borderId="0" xfId="0" applyNumberFormat="1" applyFill="1" applyAlignment="1">
      <alignment horizontal="center"/>
    </xf>
    <xf numFmtId="1" fontId="0" fillId="7" borderId="0" xfId="0" applyNumberFormat="1" applyFill="1" applyAlignment="1">
      <alignment horizontal="center"/>
    </xf>
    <xf numFmtId="1" fontId="0" fillId="6" borderId="0" xfId="0" applyNumberFormat="1" applyFill="1" applyBorder="1" applyAlignment="1">
      <alignment horizontal="center"/>
    </xf>
    <xf numFmtId="0" fontId="5" fillId="7" borderId="0" xfId="0" applyFont="1" applyFill="1" applyBorder="1"/>
    <xf numFmtId="0" fontId="8" fillId="0" borderId="0" xfId="0" applyFont="1" applyFill="1" applyBorder="1" applyAlignment="1">
      <alignment horizontal="right"/>
    </xf>
    <xf numFmtId="190" fontId="12" fillId="0" borderId="6" xfId="0" applyNumberFormat="1" applyFont="1" applyFill="1" applyBorder="1" applyAlignment="1">
      <alignment horizontal="center"/>
    </xf>
    <xf numFmtId="190" fontId="1" fillId="0" borderId="0" xfId="0" applyNumberFormat="1" applyFont="1" applyFill="1" applyBorder="1" applyAlignment="1">
      <alignment horizontal="center"/>
    </xf>
    <xf numFmtId="168" fontId="12" fillId="0" borderId="6" xfId="0" applyNumberFormat="1" applyFont="1" applyFill="1" applyBorder="1" applyAlignment="1">
      <alignment horizontal="center"/>
    </xf>
    <xf numFmtId="0" fontId="7" fillId="7" borderId="0" xfId="0" applyFont="1" applyFill="1"/>
    <xf numFmtId="0" fontId="9" fillId="7" borderId="0" xfId="0" applyFont="1" applyFill="1"/>
    <xf numFmtId="1" fontId="9" fillId="7" borderId="0" xfId="0" applyNumberFormat="1" applyFont="1" applyFill="1"/>
    <xf numFmtId="167" fontId="9" fillId="7" borderId="0" xfId="0" applyNumberFormat="1" applyFont="1" applyFill="1" applyAlignment="1">
      <alignment horizontal="center"/>
    </xf>
    <xf numFmtId="168" fontId="7" fillId="7" borderId="0" xfId="0" applyNumberFormat="1" applyFont="1" applyFill="1" applyBorder="1" applyAlignment="1">
      <alignment horizontal="center"/>
    </xf>
    <xf numFmtId="9" fontId="3" fillId="2" borderId="0" xfId="1" applyFill="1" applyAlignment="1">
      <alignment horizontal="center"/>
    </xf>
    <xf numFmtId="0" fontId="30" fillId="7" borderId="0" xfId="0" applyFont="1" applyFill="1"/>
    <xf numFmtId="0" fontId="24" fillId="7" borderId="0" xfId="0" applyFont="1" applyFill="1"/>
    <xf numFmtId="166" fontId="24" fillId="7" borderId="0" xfId="0" applyNumberFormat="1" applyFont="1" applyFill="1" applyAlignment="1">
      <alignment horizontal="center"/>
    </xf>
    <xf numFmtId="167" fontId="24" fillId="7" borderId="0" xfId="0" applyNumberFormat="1" applyFont="1" applyFill="1" applyAlignment="1">
      <alignment horizontal="center"/>
    </xf>
    <xf numFmtId="168" fontId="30" fillId="7" borderId="0" xfId="0" applyNumberFormat="1" applyFont="1" applyFill="1" applyBorder="1" applyAlignment="1">
      <alignment horizontal="center"/>
    </xf>
    <xf numFmtId="9" fontId="22" fillId="7" borderId="0" xfId="1" applyFont="1" applyFill="1" applyAlignment="1">
      <alignment horizontal="center"/>
    </xf>
    <xf numFmtId="0" fontId="5" fillId="7" borderId="0" xfId="0" applyFont="1" applyFill="1"/>
    <xf numFmtId="0" fontId="31" fillId="7" borderId="0" xfId="0" applyFont="1" applyFill="1"/>
    <xf numFmtId="167" fontId="0" fillId="7" borderId="0" xfId="0" applyNumberFormat="1" applyFill="1" applyAlignment="1">
      <alignment horizontal="center"/>
    </xf>
    <xf numFmtId="168" fontId="1" fillId="7" borderId="0" xfId="0" applyNumberFormat="1" applyFont="1" applyFill="1" applyAlignment="1">
      <alignment horizontal="center"/>
    </xf>
    <xf numFmtId="9" fontId="3" fillId="7" borderId="0" xfId="1" applyFill="1" applyAlignment="1">
      <alignment horizontal="center"/>
    </xf>
    <xf numFmtId="166" fontId="11" fillId="0" borderId="0" xfId="0" applyNumberFormat="1" applyFont="1" applyFill="1" applyAlignment="1">
      <alignment horizontal="center"/>
    </xf>
    <xf numFmtId="0" fontId="8" fillId="7" borderId="0" xfId="0" applyFont="1" applyFill="1"/>
    <xf numFmtId="166" fontId="8" fillId="7" borderId="0" xfId="0" applyNumberFormat="1" applyFont="1" applyFill="1" applyAlignment="1">
      <alignment horizontal="center"/>
    </xf>
    <xf numFmtId="167" fontId="8" fillId="7" borderId="0" xfId="0" applyNumberFormat="1" applyFont="1" applyFill="1" applyAlignment="1">
      <alignment horizontal="center"/>
    </xf>
    <xf numFmtId="0" fontId="22" fillId="7" borderId="0" xfId="0" applyFont="1" applyFill="1"/>
    <xf numFmtId="0" fontId="32" fillId="7" borderId="0" xfId="0" applyFont="1" applyFill="1"/>
    <xf numFmtId="166" fontId="32" fillId="7" borderId="0" xfId="0" applyNumberFormat="1" applyFont="1" applyFill="1" applyAlignment="1">
      <alignment horizontal="center"/>
    </xf>
    <xf numFmtId="167" fontId="32" fillId="7" borderId="0" xfId="0" applyNumberFormat="1" applyFont="1" applyFill="1" applyAlignment="1">
      <alignment horizontal="center"/>
    </xf>
    <xf numFmtId="168" fontId="22" fillId="7" borderId="0" xfId="0" applyNumberFormat="1" applyFont="1" applyFill="1" applyBorder="1" applyAlignment="1">
      <alignment horizontal="center"/>
    </xf>
    <xf numFmtId="168" fontId="31" fillId="7" borderId="0" xfId="0" applyNumberFormat="1" applyFont="1" applyFill="1" applyBorder="1" applyAlignment="1">
      <alignment horizontal="center"/>
    </xf>
    <xf numFmtId="176" fontId="0" fillId="0" borderId="0" xfId="0" applyNumberFormat="1" applyFill="1" applyBorder="1" applyAlignment="1">
      <alignment horizontal="center"/>
    </xf>
    <xf numFmtId="0" fontId="28" fillId="0" borderId="0" xfId="0" applyFont="1" applyFill="1" applyBorder="1" applyAlignment="1">
      <alignment horizontal="right"/>
    </xf>
    <xf numFmtId="0" fontId="11" fillId="0" borderId="0" xfId="0" applyFont="1" applyFill="1" applyBorder="1" applyAlignment="1">
      <alignment horizontal="center"/>
    </xf>
    <xf numFmtId="214" fontId="12" fillId="0" borderId="0" xfId="0" applyNumberFormat="1" applyFont="1" applyFill="1" applyBorder="1" applyAlignment="1">
      <alignment horizontal="center"/>
    </xf>
    <xf numFmtId="182" fontId="11" fillId="0" borderId="0" xfId="0" applyNumberFormat="1" applyFont="1" applyFill="1" applyBorder="1" applyAlignment="1">
      <alignment horizontal="center"/>
    </xf>
    <xf numFmtId="0" fontId="1" fillId="0" borderId="13" xfId="0" applyFont="1" applyFill="1" applyBorder="1" applyAlignment="1">
      <alignment horizontal="right"/>
    </xf>
    <xf numFmtId="0" fontId="28" fillId="0" borderId="0" xfId="0" applyFont="1" applyFill="1"/>
    <xf numFmtId="0" fontId="8" fillId="7" borderId="0" xfId="0" applyFont="1" applyFill="1" applyAlignment="1">
      <alignment horizontal="center"/>
    </xf>
    <xf numFmtId="0" fontId="18" fillId="7" borderId="0" xfId="0" applyFont="1" applyFill="1"/>
    <xf numFmtId="0" fontId="18" fillId="7" borderId="0" xfId="0" applyFont="1" applyFill="1" applyAlignment="1">
      <alignment horizontal="center"/>
    </xf>
    <xf numFmtId="166" fontId="18" fillId="7" borderId="0" xfId="0" applyNumberFormat="1" applyFont="1" applyFill="1" applyAlignment="1">
      <alignment horizontal="center"/>
    </xf>
    <xf numFmtId="167" fontId="18" fillId="7" borderId="0" xfId="0" applyNumberFormat="1" applyFont="1" applyFill="1" applyAlignment="1">
      <alignment horizontal="center"/>
    </xf>
    <xf numFmtId="167" fontId="3" fillId="0" borderId="0" xfId="0" applyNumberFormat="1" applyFont="1" applyFill="1" applyBorder="1" applyAlignment="1">
      <alignment horizontal="center"/>
    </xf>
    <xf numFmtId="0" fontId="7" fillId="7" borderId="0" xfId="0" applyFont="1" applyFill="1" applyAlignment="1">
      <alignment horizontal="center"/>
    </xf>
    <xf numFmtId="167" fontId="7" fillId="7" borderId="0" xfId="0" applyNumberFormat="1" applyFont="1" applyFill="1" applyAlignment="1">
      <alignment horizontal="center"/>
    </xf>
    <xf numFmtId="168" fontId="11" fillId="0" borderId="6" xfId="0" applyNumberFormat="1" applyFont="1" applyFill="1" applyBorder="1" applyAlignment="1">
      <alignment horizontal="center"/>
    </xf>
    <xf numFmtId="212" fontId="12" fillId="0" borderId="0" xfId="0" applyNumberFormat="1" applyFont="1" applyFill="1" applyAlignment="1">
      <alignment horizontal="left"/>
    </xf>
    <xf numFmtId="0" fontId="14" fillId="7" borderId="0" xfId="0" applyFont="1" applyFill="1"/>
    <xf numFmtId="0" fontId="52" fillId="7" borderId="0" xfId="0" applyFont="1" applyFill="1"/>
    <xf numFmtId="168" fontId="5" fillId="0" borderId="0" xfId="0" applyNumberFormat="1" applyFont="1" applyFill="1" applyAlignment="1">
      <alignment horizontal="center"/>
    </xf>
    <xf numFmtId="186" fontId="0" fillId="0" borderId="0" xfId="0" applyNumberFormat="1" applyFill="1"/>
    <xf numFmtId="168" fontId="52" fillId="7" borderId="0" xfId="1" applyNumberFormat="1" applyFont="1" applyFill="1"/>
    <xf numFmtId="168" fontId="0" fillId="0" borderId="0" xfId="0" applyNumberFormat="1" applyFill="1" applyBorder="1" applyAlignment="1">
      <alignment horizontal="center" vertical="center"/>
    </xf>
    <xf numFmtId="168" fontId="14" fillId="7" borderId="0" xfId="1" applyNumberFormat="1" applyFont="1" applyFill="1"/>
    <xf numFmtId="9" fontId="53" fillId="0" borderId="0" xfId="1" applyFont="1" applyFill="1" applyBorder="1" applyAlignment="1">
      <alignment horizontal="center"/>
    </xf>
    <xf numFmtId="168" fontId="8" fillId="0" borderId="0" xfId="0" applyNumberFormat="1" applyFont="1" applyFill="1" applyBorder="1" applyAlignment="1">
      <alignment horizontal="center"/>
    </xf>
    <xf numFmtId="0" fontId="14" fillId="7" borderId="0" xfId="0" applyFont="1" applyFill="1" applyBorder="1"/>
    <xf numFmtId="192" fontId="31" fillId="7" borderId="0" xfId="0" applyNumberFormat="1" applyFont="1" applyFill="1" applyBorder="1" applyAlignment="1">
      <alignment horizontal="center"/>
    </xf>
    <xf numFmtId="192" fontId="30" fillId="7" borderId="0" xfId="0" applyNumberFormat="1" applyFont="1" applyFill="1" applyBorder="1" applyAlignment="1">
      <alignment horizontal="center"/>
    </xf>
    <xf numFmtId="168" fontId="14" fillId="7" borderId="0" xfId="0" applyNumberFormat="1" applyFont="1" applyFill="1" applyBorder="1" applyAlignment="1">
      <alignment horizontal="center"/>
    </xf>
    <xf numFmtId="168" fontId="36" fillId="7" borderId="0" xfId="0" applyNumberFormat="1" applyFont="1" applyFill="1" applyBorder="1" applyAlignment="1">
      <alignment horizontal="center"/>
    </xf>
    <xf numFmtId="0" fontId="52" fillId="7" borderId="0" xfId="0" applyFont="1" applyFill="1" applyBorder="1"/>
    <xf numFmtId="0" fontId="52" fillId="7" borderId="0" xfId="0" applyFont="1" applyFill="1" applyBorder="1" applyAlignment="1">
      <alignment horizontal="center"/>
    </xf>
    <xf numFmtId="166" fontId="52" fillId="7" borderId="0" xfId="0" applyNumberFormat="1" applyFont="1" applyFill="1" applyBorder="1" applyAlignment="1">
      <alignment horizontal="center"/>
    </xf>
    <xf numFmtId="167" fontId="52" fillId="7" borderId="0" xfId="0" applyNumberFormat="1" applyFont="1" applyFill="1" applyBorder="1" applyAlignment="1">
      <alignment horizontal="center"/>
    </xf>
    <xf numFmtId="0" fontId="39" fillId="7" borderId="0" xfId="0" applyFont="1" applyFill="1" applyBorder="1"/>
    <xf numFmtId="0" fontId="48" fillId="7" borderId="0" xfId="0" applyFont="1" applyFill="1" applyBorder="1"/>
    <xf numFmtId="0" fontId="48" fillId="7" borderId="0" xfId="0" applyFont="1" applyFill="1" applyBorder="1" applyAlignment="1">
      <alignment horizontal="center"/>
    </xf>
    <xf numFmtId="166" fontId="48" fillId="7" borderId="0" xfId="0" applyNumberFormat="1" applyFont="1" applyFill="1" applyBorder="1" applyAlignment="1">
      <alignment horizontal="center"/>
    </xf>
    <xf numFmtId="167" fontId="48" fillId="7" borderId="0" xfId="0" applyNumberFormat="1" applyFont="1" applyFill="1" applyBorder="1" applyAlignment="1">
      <alignment horizontal="center"/>
    </xf>
    <xf numFmtId="167" fontId="9" fillId="7" borderId="0" xfId="0" applyNumberFormat="1" applyFont="1" applyFill="1" applyBorder="1" applyAlignment="1">
      <alignment horizontal="center"/>
    </xf>
    <xf numFmtId="167" fontId="31" fillId="7" borderId="0" xfId="0" applyNumberFormat="1" applyFont="1" applyFill="1" applyBorder="1" applyAlignment="1">
      <alignment horizontal="center"/>
    </xf>
    <xf numFmtId="193" fontId="7" fillId="0" borderId="0" xfId="0" applyNumberFormat="1" applyFont="1" applyFill="1" applyBorder="1" applyAlignment="1">
      <alignment horizontal="center"/>
    </xf>
    <xf numFmtId="216" fontId="5" fillId="0" borderId="0" xfId="0" applyNumberFormat="1" applyFont="1" applyFill="1" applyBorder="1" applyAlignment="1">
      <alignment horizontal="center"/>
    </xf>
    <xf numFmtId="172" fontId="14" fillId="0" borderId="0" xfId="1" applyNumberFormat="1" applyFont="1" applyFill="1" applyBorder="1" applyAlignment="1">
      <alignment horizontal="center"/>
    </xf>
    <xf numFmtId="40" fontId="5" fillId="0" borderId="0" xfId="0" applyNumberFormat="1" applyFont="1" applyFill="1" applyBorder="1"/>
    <xf numFmtId="190" fontId="11" fillId="0" borderId="0" xfId="0" applyNumberFormat="1" applyFont="1" applyFill="1" applyBorder="1" applyAlignment="1">
      <alignment horizontal="center"/>
    </xf>
    <xf numFmtId="169" fontId="12" fillId="0" borderId="0" xfId="0" applyNumberFormat="1" applyFont="1" applyFill="1" applyBorder="1" applyAlignment="1">
      <alignment horizontal="center"/>
    </xf>
    <xf numFmtId="170" fontId="12" fillId="0" borderId="0" xfId="0" applyNumberFormat="1" applyFont="1" applyFill="1" applyBorder="1" applyAlignment="1">
      <alignment horizontal="center"/>
    </xf>
    <xf numFmtId="190" fontId="0" fillId="0" borderId="0" xfId="0" applyNumberFormat="1" applyBorder="1" applyAlignment="1">
      <alignment horizontal="center"/>
    </xf>
    <xf numFmtId="190" fontId="12" fillId="0" borderId="0" xfId="0" applyNumberFormat="1" applyFont="1" applyBorder="1" applyAlignment="1">
      <alignment horizontal="center"/>
    </xf>
    <xf numFmtId="168" fontId="7" fillId="7" borderId="0" xfId="0" applyNumberFormat="1" applyFont="1" applyFill="1" applyAlignment="1">
      <alignment horizontal="center"/>
    </xf>
    <xf numFmtId="210" fontId="22" fillId="7" borderId="0" xfId="0" applyNumberFormat="1" applyFont="1" applyFill="1" applyAlignment="1">
      <alignment horizontal="center"/>
    </xf>
    <xf numFmtId="3" fontId="5" fillId="7" borderId="0" xfId="0" applyNumberFormat="1" applyFont="1" applyFill="1" applyAlignment="1">
      <alignment horizontal="center"/>
    </xf>
    <xf numFmtId="175" fontId="5" fillId="7" borderId="0" xfId="0" applyNumberFormat="1" applyFont="1" applyFill="1" applyAlignment="1">
      <alignment horizontal="center"/>
    </xf>
    <xf numFmtId="0" fontId="41" fillId="0" borderId="0" xfId="0" applyFont="1" applyFill="1" applyAlignment="1">
      <alignment horizontal="left"/>
    </xf>
    <xf numFmtId="0" fontId="0" fillId="0" borderId="10" xfId="0" applyFill="1" applyBorder="1" applyAlignment="1">
      <alignment horizontal="right"/>
    </xf>
    <xf numFmtId="0" fontId="0" fillId="0" borderId="3" xfId="0" applyFill="1" applyBorder="1" applyAlignment="1">
      <alignment horizontal="center"/>
    </xf>
    <xf numFmtId="0" fontId="8" fillId="0" borderId="5" xfId="0" applyFont="1" applyFill="1" applyBorder="1"/>
    <xf numFmtId="0" fontId="11" fillId="0" borderId="0" xfId="0" applyFont="1" applyFill="1" applyAlignment="1"/>
    <xf numFmtId="0" fontId="0" fillId="0" borderId="0" xfId="0" applyFill="1" applyAlignment="1">
      <alignment horizontal="right"/>
    </xf>
    <xf numFmtId="1" fontId="11" fillId="6" borderId="0" xfId="0" applyNumberFormat="1" applyFont="1" applyFill="1" applyAlignment="1">
      <alignment horizontal="center"/>
    </xf>
    <xf numFmtId="1" fontId="1" fillId="6" borderId="0" xfId="0" applyNumberFormat="1" applyFont="1" applyFill="1" applyAlignment="1">
      <alignment horizontal="center"/>
    </xf>
    <xf numFmtId="3" fontId="11" fillId="6" borderId="0" xfId="0" applyNumberFormat="1" applyFont="1" applyFill="1" applyAlignment="1">
      <alignment horizontal="center"/>
    </xf>
    <xf numFmtId="0" fontId="11" fillId="6" borderId="0" xfId="0" applyFont="1" applyFill="1" applyAlignment="1">
      <alignment horizontal="center"/>
    </xf>
    <xf numFmtId="167" fontId="12" fillId="0" borderId="6" xfId="0" applyNumberFormat="1" applyFont="1" applyFill="1" applyBorder="1" applyAlignment="1">
      <alignment horizontal="center"/>
    </xf>
    <xf numFmtId="166" fontId="12" fillId="6" borderId="0" xfId="0" applyNumberFormat="1" applyFont="1" applyFill="1" applyBorder="1" applyAlignment="1">
      <alignment horizontal="center"/>
    </xf>
    <xf numFmtId="0" fontId="8" fillId="0" borderId="0" xfId="0" applyFont="1" applyFill="1" applyAlignment="1">
      <alignment horizontal="right"/>
    </xf>
    <xf numFmtId="1" fontId="0" fillId="7" borderId="0" xfId="0" applyNumberFormat="1" applyFill="1"/>
    <xf numFmtId="168" fontId="5" fillId="7" borderId="0" xfId="0" applyNumberFormat="1" applyFont="1" applyFill="1" applyBorder="1" applyAlignment="1">
      <alignment horizontal="center"/>
    </xf>
    <xf numFmtId="9" fontId="1" fillId="7" borderId="0" xfId="1" applyFont="1" applyFill="1" applyAlignment="1">
      <alignment horizontal="center"/>
    </xf>
    <xf numFmtId="9" fontId="5" fillId="7" borderId="0" xfId="1" applyFont="1" applyFill="1" applyAlignment="1">
      <alignment horizontal="center"/>
    </xf>
    <xf numFmtId="0" fontId="0" fillId="0" borderId="0" xfId="0" applyNumberFormat="1" applyFill="1" applyAlignment="1">
      <alignment horizontal="center"/>
    </xf>
    <xf numFmtId="0" fontId="7" fillId="7" borderId="17" xfId="0" applyFont="1" applyFill="1" applyBorder="1" applyAlignment="1">
      <alignment horizontal="left"/>
    </xf>
    <xf numFmtId="0" fontId="7" fillId="7" borderId="0" xfId="0" applyFont="1" applyFill="1" applyBorder="1" applyAlignment="1">
      <alignment horizontal="left"/>
    </xf>
    <xf numFmtId="0" fontId="8" fillId="0" borderId="0" xfId="0" applyFont="1" applyFill="1" applyAlignment="1">
      <alignment wrapText="1"/>
    </xf>
    <xf numFmtId="4" fontId="0" fillId="0" borderId="0" xfId="0" applyNumberFormat="1" applyFill="1" applyAlignment="1">
      <alignment horizontal="center"/>
    </xf>
    <xf numFmtId="0" fontId="18" fillId="0" borderId="0" xfId="0" applyFont="1" applyFill="1" applyBorder="1"/>
    <xf numFmtId="3" fontId="12" fillId="0" borderId="0" xfId="0" applyNumberFormat="1" applyFont="1" applyFill="1" applyAlignment="1">
      <alignment horizontal="center"/>
    </xf>
    <xf numFmtId="0" fontId="12" fillId="0" borderId="0" xfId="0" applyFont="1" applyFill="1" applyBorder="1" applyAlignment="1">
      <alignment horizontal="left"/>
    </xf>
    <xf numFmtId="176" fontId="12" fillId="0" borderId="0" xfId="0" applyNumberFormat="1" applyFont="1" applyFill="1" applyBorder="1" applyAlignment="1">
      <alignment horizontal="center"/>
    </xf>
    <xf numFmtId="0" fontId="30" fillId="7" borderId="0" xfId="0" applyFont="1" applyFill="1" applyAlignment="1">
      <alignment horizontal="center"/>
    </xf>
    <xf numFmtId="167" fontId="30" fillId="7" borderId="0" xfId="0" applyNumberFormat="1" applyFont="1" applyFill="1" applyAlignment="1">
      <alignment horizontal="center"/>
    </xf>
    <xf numFmtId="4" fontId="0" fillId="0" borderId="0" xfId="0" applyNumberFormat="1" applyFill="1" applyBorder="1"/>
    <xf numFmtId="0" fontId="39" fillId="0" borderId="0" xfId="0" applyFont="1" applyFill="1" applyBorder="1"/>
    <xf numFmtId="0" fontId="7" fillId="0" borderId="0" xfId="0" applyFont="1" applyFill="1" applyBorder="1" applyAlignment="1">
      <alignment horizontal="left"/>
    </xf>
    <xf numFmtId="9" fontId="7" fillId="0" borderId="0" xfId="1" applyFont="1" applyFill="1" applyBorder="1" applyAlignment="1">
      <alignment horizontal="center"/>
    </xf>
    <xf numFmtId="0" fontId="5" fillId="0" borderId="0" xfId="0" applyFont="1" applyFill="1" applyBorder="1" applyAlignment="1">
      <alignment vertical="center"/>
    </xf>
    <xf numFmtId="168" fontId="52" fillId="0" borderId="0" xfId="0" applyNumberFormat="1" applyFont="1" applyFill="1" applyBorder="1" applyAlignment="1">
      <alignment horizontal="center"/>
    </xf>
    <xf numFmtId="168" fontId="7" fillId="0" borderId="0" xfId="1" applyNumberFormat="1" applyFont="1" applyFill="1" applyBorder="1" applyAlignment="1">
      <alignment horizontal="center"/>
    </xf>
    <xf numFmtId="0" fontId="22" fillId="3" borderId="0" xfId="0" applyFont="1" applyFill="1" applyBorder="1" applyAlignment="1">
      <alignment horizontal="left" vertical="center"/>
    </xf>
    <xf numFmtId="0" fontId="36" fillId="3" borderId="0" xfId="0" applyFont="1" applyFill="1" applyAlignment="1"/>
    <xf numFmtId="0" fontId="62" fillId="3" borderId="0" xfId="0" applyFont="1" applyFill="1" applyAlignment="1">
      <alignment horizontal="left"/>
    </xf>
    <xf numFmtId="0" fontId="35" fillId="3" borderId="0" xfId="0" applyFont="1" applyFill="1" applyAlignment="1">
      <alignment horizontal="left"/>
    </xf>
    <xf numFmtId="0" fontId="8" fillId="3" borderId="0" xfId="0" applyFont="1" applyFill="1" applyBorder="1" applyAlignment="1">
      <alignment horizontal="center"/>
    </xf>
    <xf numFmtId="0" fontId="0" fillId="3" borderId="0" xfId="0" applyFill="1"/>
    <xf numFmtId="0" fontId="22" fillId="0" borderId="0" xfId="0" applyFont="1" applyFill="1" applyBorder="1" applyAlignment="1">
      <alignment horizontal="left" vertical="center"/>
    </xf>
    <xf numFmtId="0" fontId="22" fillId="5" borderId="0" xfId="0" applyFont="1" applyFill="1"/>
    <xf numFmtId="0" fontId="36" fillId="5" borderId="0" xfId="0" applyFont="1" applyFill="1" applyAlignment="1"/>
    <xf numFmtId="0" fontId="35" fillId="5" borderId="0" xfId="0" applyFont="1" applyFill="1" applyAlignment="1">
      <alignment horizontal="left"/>
    </xf>
    <xf numFmtId="0" fontId="0" fillId="5" borderId="0" xfId="0" applyFill="1" applyBorder="1" applyAlignment="1">
      <alignment horizontal="center"/>
    </xf>
    <xf numFmtId="0" fontId="0" fillId="5" borderId="0" xfId="0" applyFill="1"/>
    <xf numFmtId="0" fontId="36" fillId="0" borderId="0" xfId="0" applyFont="1" applyFill="1" applyAlignment="1"/>
    <xf numFmtId="0" fontId="35" fillId="0" borderId="0" xfId="0" applyFont="1" applyFill="1" applyAlignment="1">
      <alignment horizontal="left"/>
    </xf>
    <xf numFmtId="168" fontId="12" fillId="7" borderId="0" xfId="0" applyNumberFormat="1" applyFont="1" applyFill="1"/>
    <xf numFmtId="168" fontId="11" fillId="7" borderId="0" xfId="0" applyNumberFormat="1" applyFont="1" applyFill="1"/>
    <xf numFmtId="168" fontId="5" fillId="7" borderId="0" xfId="0" applyNumberFormat="1" applyFont="1" applyFill="1" applyAlignment="1">
      <alignment horizontal="center"/>
    </xf>
    <xf numFmtId="168" fontId="0" fillId="7" borderId="0" xfId="0" applyNumberFormat="1" applyFill="1"/>
    <xf numFmtId="168" fontId="1" fillId="7" borderId="0" xfId="0" applyNumberFormat="1" applyFont="1" applyFill="1"/>
    <xf numFmtId="3" fontId="5" fillId="6" borderId="0" xfId="0" applyNumberFormat="1" applyFont="1" applyFill="1" applyAlignment="1">
      <alignment horizontal="center"/>
    </xf>
    <xf numFmtId="176" fontId="11" fillId="6" borderId="0" xfId="0" applyNumberFormat="1" applyFont="1" applyFill="1" applyAlignment="1">
      <alignment horizontal="center"/>
    </xf>
    <xf numFmtId="176" fontId="0" fillId="6" borderId="0" xfId="0" applyNumberFormat="1" applyFill="1" applyAlignment="1">
      <alignment horizontal="center"/>
    </xf>
    <xf numFmtId="177" fontId="0" fillId="6" borderId="0" xfId="0" applyNumberFormat="1" applyFill="1" applyAlignment="1">
      <alignment horizontal="center"/>
    </xf>
    <xf numFmtId="0" fontId="12" fillId="0" borderId="0" xfId="0" applyFont="1" applyFill="1" applyBorder="1" applyAlignment="1">
      <alignment horizontal="center" vertical="center"/>
    </xf>
    <xf numFmtId="211" fontId="12" fillId="0" borderId="0" xfId="0" applyNumberFormat="1" applyFont="1" applyFill="1" applyBorder="1" applyAlignment="1">
      <alignment horizontal="center"/>
    </xf>
    <xf numFmtId="9" fontId="6" fillId="0" borderId="0" xfId="1" applyFont="1" applyFill="1" applyBorder="1" applyAlignment="1">
      <alignment horizontal="center"/>
    </xf>
    <xf numFmtId="9" fontId="23" fillId="0" borderId="0" xfId="1" applyFont="1" applyFill="1" applyAlignment="1">
      <alignment horizontal="center"/>
    </xf>
    <xf numFmtId="9" fontId="11" fillId="7" borderId="0" xfId="1" applyFont="1" applyFill="1" applyAlignment="1">
      <alignment horizontal="center"/>
    </xf>
    <xf numFmtId="166" fontId="0" fillId="0" borderId="6" xfId="0" applyNumberFormat="1" applyFill="1" applyBorder="1" applyAlignment="1">
      <alignment horizontal="center"/>
    </xf>
    <xf numFmtId="9" fontId="64" fillId="0" borderId="0" xfId="1" applyFont="1" applyFill="1" applyAlignment="1">
      <alignment horizontal="center"/>
    </xf>
    <xf numFmtId="9" fontId="64" fillId="0" borderId="0" xfId="1" applyFont="1" applyFill="1" applyBorder="1" applyAlignment="1">
      <alignment horizontal="center"/>
    </xf>
    <xf numFmtId="168" fontId="3" fillId="0" borderId="6" xfId="0" applyNumberFormat="1" applyFont="1" applyFill="1" applyBorder="1" applyAlignment="1">
      <alignment horizontal="center"/>
    </xf>
    <xf numFmtId="0" fontId="23" fillId="0" borderId="0" xfId="0" applyFont="1" applyFill="1" applyBorder="1" applyAlignment="1">
      <alignment horizontal="center"/>
    </xf>
    <xf numFmtId="9" fontId="23" fillId="0" borderId="0" xfId="1" applyFont="1" applyFill="1" applyBorder="1" applyAlignment="1">
      <alignment horizontal="center"/>
    </xf>
    <xf numFmtId="9" fontId="23" fillId="0" borderId="0" xfId="1" applyFont="1" applyBorder="1" applyAlignment="1">
      <alignment horizontal="center"/>
    </xf>
    <xf numFmtId="9" fontId="3" fillId="0" borderId="0" xfId="1" applyFont="1" applyBorder="1" applyAlignment="1">
      <alignment horizontal="center"/>
    </xf>
    <xf numFmtId="0" fontId="12" fillId="0" borderId="6" xfId="0" applyFont="1" applyBorder="1" applyAlignment="1">
      <alignment horizontal="center"/>
    </xf>
    <xf numFmtId="0" fontId="30" fillId="7" borderId="0" xfId="0" applyFont="1" applyFill="1" applyBorder="1"/>
    <xf numFmtId="0" fontId="18" fillId="7" borderId="0" xfId="0" applyFont="1" applyFill="1" applyBorder="1"/>
    <xf numFmtId="2" fontId="12" fillId="0" borderId="0" xfId="0" applyNumberFormat="1" applyFont="1" applyFill="1" applyBorder="1" applyAlignment="1">
      <alignment horizontal="center"/>
    </xf>
    <xf numFmtId="168" fontId="1" fillId="2" borderId="0" xfId="0" applyNumberFormat="1" applyFont="1" applyFill="1" applyBorder="1" applyAlignment="1">
      <alignment horizontal="center"/>
    </xf>
    <xf numFmtId="2" fontId="12" fillId="0" borderId="6" xfId="0" applyNumberFormat="1" applyFont="1" applyFill="1" applyBorder="1" applyAlignment="1">
      <alignment horizontal="center"/>
    </xf>
    <xf numFmtId="1" fontId="12" fillId="0" borderId="6" xfId="0" applyNumberFormat="1" applyFont="1" applyFill="1" applyBorder="1" applyAlignment="1">
      <alignment horizontal="center"/>
    </xf>
    <xf numFmtId="0" fontId="52" fillId="8" borderId="0" xfId="0" applyFont="1" applyFill="1" applyBorder="1" applyAlignment="1">
      <alignment horizontal="center"/>
    </xf>
    <xf numFmtId="0" fontId="14" fillId="8" borderId="0" xfId="0" applyFont="1" applyFill="1" applyBorder="1"/>
    <xf numFmtId="0" fontId="52" fillId="8" borderId="0" xfId="0" applyFont="1" applyFill="1" applyBorder="1"/>
    <xf numFmtId="0" fontId="14" fillId="8" borderId="0" xfId="0" applyFont="1" applyFill="1" applyBorder="1" applyAlignment="1">
      <alignment horizontal="center"/>
    </xf>
    <xf numFmtId="0" fontId="0" fillId="0" borderId="0" xfId="0" applyFill="1" applyBorder="1" applyAlignment="1"/>
    <xf numFmtId="0" fontId="12" fillId="0" borderId="0" xfId="0" applyFont="1" applyBorder="1" applyAlignment="1">
      <alignment horizontal="center"/>
    </xf>
    <xf numFmtId="0" fontId="12" fillId="0" borderId="0" xfId="0" applyFont="1" applyBorder="1" applyAlignment="1">
      <alignment horizontal="right"/>
    </xf>
    <xf numFmtId="0" fontId="0" fillId="0" borderId="0" xfId="0" applyBorder="1" applyAlignment="1">
      <alignment horizontal="right"/>
    </xf>
    <xf numFmtId="0" fontId="12" fillId="0" borderId="0" xfId="0" applyFont="1" applyFill="1" applyBorder="1" applyAlignment="1">
      <alignment horizontal="right"/>
    </xf>
    <xf numFmtId="0" fontId="3" fillId="0" borderId="0" xfId="0" applyFont="1" applyFill="1" applyBorder="1" applyAlignment="1">
      <alignment horizontal="right"/>
    </xf>
    <xf numFmtId="176" fontId="3" fillId="0" borderId="0" xfId="0" applyNumberFormat="1" applyFont="1" applyFill="1" applyBorder="1" applyAlignment="1">
      <alignment horizontal="left"/>
    </xf>
    <xf numFmtId="212" fontId="33" fillId="0" borderId="0" xfId="0" applyNumberFormat="1" applyFont="1" applyFill="1" applyBorder="1" applyAlignment="1">
      <alignment horizontal="left"/>
    </xf>
    <xf numFmtId="9" fontId="12" fillId="0" borderId="0" xfId="1" applyFont="1" applyFill="1" applyBorder="1" applyAlignment="1">
      <alignment horizontal="left"/>
    </xf>
    <xf numFmtId="190" fontId="12" fillId="0" borderId="0" xfId="1" applyNumberFormat="1" applyFont="1" applyFill="1" applyBorder="1" applyAlignment="1">
      <alignment horizontal="center"/>
    </xf>
    <xf numFmtId="187" fontId="0" fillId="0" borderId="0" xfId="0" applyNumberFormat="1" applyFill="1" applyBorder="1" applyAlignment="1">
      <alignment horizontal="center"/>
    </xf>
    <xf numFmtId="168" fontId="0" fillId="0" borderId="6" xfId="0" applyNumberFormat="1" applyBorder="1" applyAlignment="1">
      <alignment horizontal="center"/>
    </xf>
    <xf numFmtId="205" fontId="11" fillId="0" borderId="0" xfId="0" applyNumberFormat="1" applyFont="1" applyFill="1" applyBorder="1" applyAlignment="1">
      <alignment horizontal="center"/>
    </xf>
    <xf numFmtId="180" fontId="3" fillId="0" borderId="0" xfId="0" applyNumberFormat="1" applyFont="1" applyFill="1" applyBorder="1" applyAlignment="1">
      <alignment horizontal="left"/>
    </xf>
    <xf numFmtId="180" fontId="11" fillId="0" borderId="0" xfId="0" applyNumberFormat="1" applyFont="1" applyFill="1" applyBorder="1" applyAlignment="1">
      <alignment horizontal="center"/>
    </xf>
    <xf numFmtId="184" fontId="0" fillId="0" borderId="0" xfId="0" applyNumberFormat="1" applyFill="1" applyBorder="1" applyAlignment="1">
      <alignment horizontal="center"/>
    </xf>
    <xf numFmtId="10" fontId="0" fillId="0" borderId="0" xfId="1" applyNumberFormat="1" applyFont="1" applyFill="1" applyBorder="1" applyAlignment="1">
      <alignment horizontal="center"/>
    </xf>
    <xf numFmtId="168" fontId="7" fillId="0" borderId="6" xfId="0" applyNumberFormat="1" applyFont="1" applyFill="1" applyBorder="1" applyAlignment="1">
      <alignment horizontal="center"/>
    </xf>
    <xf numFmtId="0" fontId="0" fillId="8" borderId="13" xfId="0" applyFill="1" applyBorder="1"/>
    <xf numFmtId="0" fontId="0" fillId="8" borderId="0" xfId="0" applyFill="1"/>
    <xf numFmtId="0" fontId="12" fillId="8" borderId="0" xfId="0" applyFont="1" applyFill="1"/>
    <xf numFmtId="0" fontId="11" fillId="8" borderId="0" xfId="0" applyFont="1" applyFill="1"/>
    <xf numFmtId="206" fontId="5" fillId="8" borderId="0" xfId="0" applyNumberFormat="1" applyFont="1" applyFill="1" applyAlignment="1">
      <alignment horizontal="center"/>
    </xf>
    <xf numFmtId="0" fontId="5" fillId="8" borderId="0" xfId="0" applyFont="1" applyFill="1"/>
    <xf numFmtId="0" fontId="17" fillId="8" borderId="0" xfId="0" applyFont="1" applyFill="1"/>
    <xf numFmtId="0" fontId="52" fillId="0" borderId="0" xfId="0" applyFont="1" applyBorder="1"/>
    <xf numFmtId="194" fontId="0" fillId="6" borderId="0" xfId="0" applyNumberFormat="1" applyFill="1" applyBorder="1" applyAlignment="1">
      <alignment horizontal="center"/>
    </xf>
    <xf numFmtId="194" fontId="11" fillId="0" borderId="0" xfId="0" applyNumberFormat="1" applyFont="1" applyFill="1" applyBorder="1" applyAlignment="1">
      <alignment horizontal="center"/>
    </xf>
    <xf numFmtId="194" fontId="0" fillId="0" borderId="6" xfId="0" applyNumberFormat="1" applyFill="1" applyBorder="1" applyAlignment="1">
      <alignment horizontal="center"/>
    </xf>
    <xf numFmtId="165" fontId="1" fillId="6" borderId="0" xfId="0" applyNumberFormat="1" applyFont="1" applyFill="1" applyBorder="1" applyAlignment="1">
      <alignment horizontal="center"/>
    </xf>
    <xf numFmtId="9" fontId="11" fillId="6" borderId="0" xfId="1" applyFont="1" applyFill="1" applyBorder="1" applyAlignment="1">
      <alignment horizontal="center"/>
    </xf>
    <xf numFmtId="178" fontId="53" fillId="0" borderId="0" xfId="0" applyNumberFormat="1" applyFont="1" applyFill="1" applyBorder="1" applyAlignment="1">
      <alignment horizontal="center"/>
    </xf>
    <xf numFmtId="190" fontId="11" fillId="6" borderId="0" xfId="0" applyNumberFormat="1" applyFont="1" applyFill="1" applyBorder="1" applyAlignment="1">
      <alignment horizontal="center"/>
    </xf>
    <xf numFmtId="172" fontId="1" fillId="6" borderId="0" xfId="1" applyNumberFormat="1" applyFont="1" applyFill="1" applyBorder="1" applyAlignment="1">
      <alignment horizontal="center"/>
    </xf>
    <xf numFmtId="202" fontId="0" fillId="6" borderId="0" xfId="0" applyNumberFormat="1" applyFill="1" applyBorder="1" applyAlignment="1">
      <alignment horizontal="center"/>
    </xf>
    <xf numFmtId="202" fontId="0" fillId="6" borderId="0" xfId="0" applyNumberFormat="1" applyFill="1" applyBorder="1"/>
    <xf numFmtId="168" fontId="1" fillId="6" borderId="0" xfId="0" applyNumberFormat="1" applyFont="1" applyFill="1" applyBorder="1" applyAlignment="1">
      <alignment horizontal="center"/>
    </xf>
    <xf numFmtId="207" fontId="11" fillId="6" borderId="0" xfId="0" applyNumberFormat="1" applyFont="1" applyFill="1" applyBorder="1" applyAlignment="1">
      <alignment horizontal="center"/>
    </xf>
    <xf numFmtId="165" fontId="1" fillId="0" borderId="0" xfId="0" applyNumberFormat="1" applyFont="1" applyFill="1" applyBorder="1" applyAlignment="1">
      <alignment horizontal="center"/>
    </xf>
    <xf numFmtId="172" fontId="1" fillId="0" borderId="0" xfId="1" applyNumberFormat="1" applyFont="1" applyFill="1" applyBorder="1" applyAlignment="1">
      <alignment horizontal="center"/>
    </xf>
    <xf numFmtId="181" fontId="11" fillId="0" borderId="0" xfId="0" applyNumberFormat="1" applyFont="1" applyFill="1" applyBorder="1" applyAlignment="1">
      <alignment horizontal="center"/>
    </xf>
    <xf numFmtId="0" fontId="0" fillId="2" borderId="0" xfId="0" applyFill="1"/>
    <xf numFmtId="0" fontId="0" fillId="2" borderId="0" xfId="0" applyFill="1" applyBorder="1" applyAlignment="1">
      <alignment horizontal="right"/>
    </xf>
    <xf numFmtId="0" fontId="11" fillId="2" borderId="0" xfId="0" applyFont="1" applyFill="1" applyBorder="1" applyAlignment="1">
      <alignment horizontal="center"/>
    </xf>
    <xf numFmtId="0" fontId="0" fillId="2" borderId="0" xfId="0" applyFill="1" applyBorder="1"/>
    <xf numFmtId="0" fontId="11" fillId="2" borderId="0" xfId="0" applyFont="1" applyFill="1" applyBorder="1" applyAlignment="1">
      <alignment horizontal="right"/>
    </xf>
    <xf numFmtId="178" fontId="11" fillId="2" borderId="0" xfId="0" applyNumberFormat="1" applyFont="1" applyFill="1" applyBorder="1" applyAlignment="1">
      <alignment horizontal="center"/>
    </xf>
    <xf numFmtId="0" fontId="11" fillId="2" borderId="0" xfId="0" applyFont="1" applyFill="1" applyBorder="1" applyAlignment="1">
      <alignment horizontal="center" wrapText="1"/>
    </xf>
    <xf numFmtId="0" fontId="29" fillId="0" borderId="0" xfId="0" applyFont="1" applyFill="1" applyBorder="1"/>
    <xf numFmtId="0" fontId="11" fillId="0" borderId="0" xfId="0" applyFont="1" applyBorder="1" applyAlignment="1">
      <alignment horizontal="left"/>
    </xf>
    <xf numFmtId="199" fontId="0" fillId="6" borderId="0" xfId="0" applyNumberFormat="1" applyFill="1" applyBorder="1" applyAlignment="1">
      <alignment horizontal="center"/>
    </xf>
    <xf numFmtId="190" fontId="0" fillId="6" borderId="0" xfId="0" applyNumberFormat="1" applyFill="1" applyBorder="1" applyAlignment="1">
      <alignment horizontal="center"/>
    </xf>
    <xf numFmtId="0" fontId="53" fillId="7" borderId="0" xfId="0" applyFont="1" applyFill="1" applyBorder="1"/>
    <xf numFmtId="0" fontId="11" fillId="0" borderId="13" xfId="0" applyFont="1" applyFill="1" applyBorder="1" applyAlignment="1">
      <alignment horizontal="center"/>
    </xf>
    <xf numFmtId="0" fontId="4" fillId="0" borderId="0" xfId="0" applyFont="1" applyFill="1" applyBorder="1"/>
    <xf numFmtId="166" fontId="5" fillId="2" borderId="0" xfId="0" applyNumberFormat="1" applyFont="1" applyFill="1" applyBorder="1" applyAlignment="1">
      <alignment horizontal="center"/>
    </xf>
    <xf numFmtId="0" fontId="5" fillId="2" borderId="0" xfId="0" applyFont="1" applyFill="1" applyBorder="1" applyAlignment="1">
      <alignment horizontal="center"/>
    </xf>
    <xf numFmtId="166" fontId="11" fillId="0" borderId="0" xfId="0" applyNumberFormat="1" applyFont="1" applyFill="1" applyBorder="1" applyAlignment="1">
      <alignment horizontal="center" vertical="center"/>
    </xf>
    <xf numFmtId="166" fontId="11" fillId="2" borderId="0" xfId="0" applyNumberFormat="1" applyFont="1" applyFill="1" applyBorder="1" applyAlignment="1">
      <alignment horizontal="center" vertical="center"/>
    </xf>
    <xf numFmtId="183" fontId="0" fillId="0" borderId="0" xfId="0" applyNumberFormat="1" applyFill="1" applyBorder="1" applyAlignment="1">
      <alignment horizontal="center"/>
    </xf>
    <xf numFmtId="221" fontId="0" fillId="0" borderId="0" xfId="0" applyNumberFormat="1" applyFill="1" applyBorder="1" applyAlignment="1">
      <alignment horizontal="center"/>
    </xf>
    <xf numFmtId="9" fontId="3" fillId="6" borderId="0" xfId="1" applyFill="1" applyBorder="1" applyAlignment="1">
      <alignment horizontal="center"/>
    </xf>
    <xf numFmtId="168" fontId="12" fillId="6" borderId="0" xfId="0" applyNumberFormat="1" applyFont="1" applyFill="1" applyBorder="1" applyAlignment="1">
      <alignment horizontal="center"/>
    </xf>
    <xf numFmtId="0" fontId="40" fillId="8" borderId="0" xfId="0" applyFont="1" applyFill="1"/>
    <xf numFmtId="0" fontId="39" fillId="8" borderId="0" xfId="0" applyFont="1" applyFill="1" applyAlignment="1">
      <alignment horizontal="center"/>
    </xf>
    <xf numFmtId="0" fontId="5" fillId="8" borderId="0" xfId="0" applyFont="1" applyFill="1" applyAlignment="1">
      <alignment vertical="center"/>
    </xf>
    <xf numFmtId="0" fontId="8" fillId="2" borderId="0" xfId="0" applyFont="1" applyFill="1" applyBorder="1" applyAlignment="1">
      <alignment horizontal="center"/>
    </xf>
    <xf numFmtId="0" fontId="49" fillId="8" borderId="0" xfId="0" applyFont="1" applyFill="1" applyAlignment="1">
      <alignment horizontal="center" vertical="center"/>
    </xf>
    <xf numFmtId="0" fontId="1" fillId="0" borderId="0" xfId="0" applyFont="1" applyFill="1" applyBorder="1" applyAlignment="1">
      <alignment horizontal="center"/>
    </xf>
    <xf numFmtId="9" fontId="3" fillId="2" borderId="0" xfId="1" applyFill="1" applyBorder="1" applyAlignment="1">
      <alignment horizontal="center"/>
    </xf>
    <xf numFmtId="196" fontId="0" fillId="0" borderId="0" xfId="0" applyNumberFormat="1" applyFill="1" applyBorder="1" applyAlignment="1">
      <alignment horizontal="right"/>
    </xf>
    <xf numFmtId="9" fontId="23" fillId="2" borderId="0" xfId="1" applyFont="1" applyFill="1" applyAlignment="1">
      <alignment horizontal="center"/>
    </xf>
    <xf numFmtId="9" fontId="23" fillId="2" borderId="0" xfId="1" applyFont="1" applyFill="1" applyBorder="1" applyAlignment="1">
      <alignment horizontal="center"/>
    </xf>
    <xf numFmtId="0" fontId="6" fillId="0" borderId="0" xfId="0" applyFont="1" applyFill="1" applyBorder="1" applyAlignment="1">
      <alignment horizontal="right"/>
    </xf>
    <xf numFmtId="1" fontId="11" fillId="0" borderId="0" xfId="0" applyNumberFormat="1" applyFont="1" applyFill="1" applyBorder="1" applyAlignment="1">
      <alignment horizontal="center"/>
    </xf>
    <xf numFmtId="9" fontId="63" fillId="0" borderId="0" xfId="1" applyFont="1" applyFill="1" applyBorder="1" applyAlignment="1">
      <alignment horizontal="center"/>
    </xf>
    <xf numFmtId="0" fontId="0" fillId="7" borderId="0" xfId="0" applyFill="1" applyBorder="1"/>
    <xf numFmtId="0" fontId="0" fillId="8" borderId="1" xfId="0" applyFill="1" applyBorder="1"/>
    <xf numFmtId="0" fontId="0" fillId="8" borderId="0" xfId="0" applyFill="1" applyBorder="1"/>
    <xf numFmtId="0" fontId="0" fillId="8" borderId="0" xfId="0" applyFill="1" applyBorder="1" applyAlignment="1">
      <alignment horizontal="center"/>
    </xf>
    <xf numFmtId="0" fontId="7" fillId="0" borderId="0" xfId="0" applyFont="1" applyBorder="1"/>
    <xf numFmtId="0" fontId="31" fillId="3" borderId="0" xfId="0" applyFont="1" applyFill="1" applyBorder="1" applyAlignment="1">
      <alignment horizontal="center" vertical="center"/>
    </xf>
    <xf numFmtId="0" fontId="30" fillId="8" borderId="0" xfId="0" applyFont="1" applyFill="1" applyBorder="1"/>
    <xf numFmtId="0" fontId="31" fillId="8" borderId="0" xfId="0" applyFont="1" applyFill="1" applyBorder="1" applyAlignment="1">
      <alignment horizontal="left" vertical="center"/>
    </xf>
    <xf numFmtId="206" fontId="5" fillId="8" borderId="0" xfId="0" applyNumberFormat="1" applyFont="1" applyFill="1" applyAlignment="1">
      <alignment horizontal="center" vertical="center"/>
    </xf>
    <xf numFmtId="0" fontId="38" fillId="0" borderId="0" xfId="0" applyFont="1" applyFill="1" applyBorder="1" applyAlignment="1">
      <alignment horizontal="right"/>
    </xf>
    <xf numFmtId="0" fontId="38" fillId="0" borderId="0" xfId="0" applyFont="1" applyFill="1" applyBorder="1"/>
    <xf numFmtId="0" fontId="30" fillId="0" borderId="0" xfId="0" applyFont="1" applyFill="1" applyBorder="1" applyAlignment="1">
      <alignment horizontal="center"/>
    </xf>
    <xf numFmtId="0" fontId="0" fillId="2" borderId="0" xfId="0" applyFill="1" applyBorder="1" applyAlignment="1"/>
    <xf numFmtId="168" fontId="12" fillId="2" borderId="0" xfId="0" applyNumberFormat="1" applyFont="1" applyFill="1" applyBorder="1" applyAlignment="1">
      <alignment horizontal="center"/>
    </xf>
    <xf numFmtId="2" fontId="0" fillId="0" borderId="6" xfId="0" applyNumberFormat="1" applyFill="1" applyBorder="1" applyAlignment="1">
      <alignment horizontal="center"/>
    </xf>
    <xf numFmtId="9" fontId="3" fillId="0" borderId="6" xfId="1" applyFont="1" applyFill="1" applyBorder="1" applyAlignment="1">
      <alignment horizontal="center"/>
    </xf>
    <xf numFmtId="0" fontId="36" fillId="7" borderId="0" xfId="0" applyFont="1" applyFill="1" applyBorder="1"/>
    <xf numFmtId="168" fontId="3" fillId="2" borderId="0" xfId="0" applyNumberFormat="1" applyFont="1" applyFill="1" applyBorder="1" applyAlignment="1">
      <alignment horizontal="center"/>
    </xf>
    <xf numFmtId="209" fontId="12" fillId="0" borderId="0" xfId="0" applyNumberFormat="1" applyFont="1" applyFill="1" applyBorder="1" applyAlignment="1">
      <alignment horizontal="center"/>
    </xf>
    <xf numFmtId="4" fontId="12" fillId="0" borderId="0" xfId="0" applyNumberFormat="1" applyFont="1" applyFill="1" applyBorder="1" applyAlignment="1">
      <alignment horizontal="center"/>
    </xf>
    <xf numFmtId="49" fontId="5" fillId="0" borderId="0" xfId="0" applyNumberFormat="1" applyFont="1" applyFill="1" applyBorder="1" applyAlignment="1">
      <alignment horizontal="left" vertical="center" wrapText="1"/>
    </xf>
    <xf numFmtId="49" fontId="12" fillId="0" borderId="0" xfId="0" applyNumberFormat="1" applyFont="1" applyFill="1" applyBorder="1" applyAlignment="1">
      <alignment vertical="center" wrapText="1"/>
    </xf>
    <xf numFmtId="168" fontId="11" fillId="0" borderId="0" xfId="0" applyNumberFormat="1" applyFont="1" applyFill="1" applyBorder="1" applyAlignment="1">
      <alignment horizontal="center" vertical="center"/>
    </xf>
    <xf numFmtId="171" fontId="12" fillId="0" borderId="0" xfId="0" applyNumberFormat="1" applyFont="1" applyFill="1" applyBorder="1" applyAlignment="1">
      <alignment horizontal="center" vertical="center"/>
    </xf>
    <xf numFmtId="168" fontId="12" fillId="0" borderId="0" xfId="0" applyNumberFormat="1" applyFont="1" applyFill="1" applyBorder="1" applyAlignment="1">
      <alignment horizontal="center" vertical="center"/>
    </xf>
    <xf numFmtId="9" fontId="12" fillId="0" borderId="0" xfId="1" applyFont="1" applyFill="1" applyBorder="1" applyAlignment="1">
      <alignment horizontal="center" vertical="center"/>
    </xf>
    <xf numFmtId="212" fontId="12" fillId="0" borderId="0" xfId="0" applyNumberFormat="1" applyFont="1" applyFill="1" applyBorder="1" applyAlignment="1">
      <alignment horizontal="left"/>
    </xf>
    <xf numFmtId="0" fontId="28" fillId="0" borderId="0" xfId="0" applyFont="1" applyBorder="1" applyAlignment="1">
      <alignment horizontal="right"/>
    </xf>
    <xf numFmtId="49" fontId="3" fillId="0" borderId="0" xfId="0" applyNumberFormat="1" applyFont="1" applyFill="1" applyBorder="1" applyAlignment="1">
      <alignment vertical="center" wrapText="1"/>
    </xf>
    <xf numFmtId="171" fontId="0" fillId="0" borderId="0" xfId="0" applyNumberFormat="1" applyFill="1" applyBorder="1" applyAlignment="1">
      <alignment horizontal="center" vertical="center"/>
    </xf>
    <xf numFmtId="0" fontId="1" fillId="0" borderId="0" xfId="0" applyFont="1" applyBorder="1" applyAlignment="1">
      <alignment horizontal="right"/>
    </xf>
    <xf numFmtId="0" fontId="3" fillId="0" borderId="0" xfId="0" applyFont="1" applyBorder="1" applyAlignment="1">
      <alignment horizontal="right"/>
    </xf>
    <xf numFmtId="200" fontId="11" fillId="0" borderId="0" xfId="0" applyNumberFormat="1" applyFont="1" applyFill="1" applyBorder="1" applyAlignment="1">
      <alignment horizontal="center"/>
    </xf>
    <xf numFmtId="184" fontId="12" fillId="0" borderId="0" xfId="0" applyNumberFormat="1" applyFont="1" applyFill="1" applyBorder="1" applyAlignment="1">
      <alignment horizontal="center"/>
    </xf>
    <xf numFmtId="10" fontId="12" fillId="0" borderId="0" xfId="1" applyNumberFormat="1" applyFont="1" applyFill="1" applyBorder="1" applyAlignment="1">
      <alignment horizontal="center"/>
    </xf>
    <xf numFmtId="2" fontId="9" fillId="0" borderId="0" xfId="0" applyNumberFormat="1" applyFont="1" applyFill="1" applyBorder="1" applyAlignment="1">
      <alignment horizontal="center"/>
    </xf>
    <xf numFmtId="9" fontId="11" fillId="0" borderId="0" xfId="1" applyFont="1" applyFill="1" applyBorder="1" applyAlignment="1">
      <alignment horizontal="center" vertical="center"/>
    </xf>
    <xf numFmtId="0" fontId="1" fillId="0" borderId="0" xfId="0" applyFont="1" applyFill="1" applyBorder="1" applyAlignment="1">
      <alignment horizontal="right"/>
    </xf>
    <xf numFmtId="0" fontId="0" fillId="2" borderId="0" xfId="0" applyFill="1" applyBorder="1" applyAlignment="1">
      <alignment horizontal="center" vertical="center"/>
    </xf>
    <xf numFmtId="9" fontId="11" fillId="0" borderId="0" xfId="1" applyFont="1" applyBorder="1" applyAlignment="1">
      <alignment horizontal="center"/>
    </xf>
    <xf numFmtId="0" fontId="0" fillId="2" borderId="0" xfId="0" applyFill="1" applyBorder="1" applyAlignment="1">
      <alignment horizontal="center" vertical="center" wrapText="1"/>
    </xf>
    <xf numFmtId="0" fontId="11" fillId="0" borderId="0" xfId="0" applyFont="1" applyBorder="1" applyAlignment="1">
      <alignment vertical="center" wrapText="1"/>
    </xf>
    <xf numFmtId="190" fontId="0" fillId="0" borderId="6" xfId="0" applyNumberFormat="1" applyFill="1" applyBorder="1" applyAlignment="1">
      <alignment horizontal="center"/>
    </xf>
    <xf numFmtId="0" fontId="5" fillId="0" borderId="0" xfId="0" applyFont="1" applyBorder="1" applyAlignment="1">
      <alignment vertical="center"/>
    </xf>
    <xf numFmtId="9" fontId="11" fillId="0" borderId="0" xfId="0" applyNumberFormat="1" applyFont="1" applyFill="1" applyBorder="1" applyAlignment="1">
      <alignment horizontal="center"/>
    </xf>
    <xf numFmtId="0" fontId="5" fillId="0" borderId="0" xfId="0" applyFont="1" applyBorder="1" applyAlignment="1">
      <alignment vertical="center" wrapText="1"/>
    </xf>
    <xf numFmtId="0" fontId="0" fillId="2" borderId="0" xfId="0" applyFill="1" applyBorder="1" applyAlignment="1">
      <alignment vertical="center"/>
    </xf>
    <xf numFmtId="2" fontId="11" fillId="0" borderId="0" xfId="0" applyNumberFormat="1" applyFont="1" applyFill="1" applyBorder="1"/>
    <xf numFmtId="0" fontId="5" fillId="0" borderId="0" xfId="0" applyFont="1" applyFill="1" applyBorder="1" applyAlignment="1">
      <alignment vertical="center" wrapText="1"/>
    </xf>
    <xf numFmtId="164" fontId="0" fillId="0" borderId="0" xfId="0" applyNumberFormat="1" applyFill="1" applyBorder="1" applyAlignment="1">
      <alignment horizontal="center"/>
    </xf>
    <xf numFmtId="0" fontId="1" fillId="0" borderId="0" xfId="0" applyFont="1" applyBorder="1" applyAlignment="1">
      <alignment horizontal="center"/>
    </xf>
    <xf numFmtId="168" fontId="0" fillId="0" borderId="0" xfId="0" applyNumberFormat="1" applyFill="1" applyBorder="1"/>
    <xf numFmtId="0" fontId="0" fillId="0" borderId="15" xfId="0" applyBorder="1"/>
    <xf numFmtId="0" fontId="0" fillId="0" borderId="12" xfId="0" applyBorder="1" applyAlignment="1">
      <alignment horizontal="center"/>
    </xf>
    <xf numFmtId="190" fontId="0" fillId="0" borderId="12" xfId="0" applyNumberFormat="1" applyFill="1" applyBorder="1" applyAlignment="1">
      <alignment horizontal="center"/>
    </xf>
    <xf numFmtId="190" fontId="12" fillId="0" borderId="12" xfId="0" applyNumberFormat="1" applyFont="1" applyFill="1" applyBorder="1" applyAlignment="1">
      <alignment horizontal="center"/>
    </xf>
    <xf numFmtId="40" fontId="5" fillId="0" borderId="12" xfId="0" applyNumberFormat="1" applyFont="1" applyFill="1" applyBorder="1"/>
    <xf numFmtId="9" fontId="0" fillId="0" borderId="12" xfId="1" applyFont="1" applyFill="1" applyBorder="1" applyAlignment="1">
      <alignment horizontal="center"/>
    </xf>
    <xf numFmtId="168" fontId="0" fillId="0" borderId="12" xfId="0" applyNumberFormat="1" applyFill="1" applyBorder="1" applyAlignment="1">
      <alignment horizontal="center"/>
    </xf>
    <xf numFmtId="168" fontId="3" fillId="0" borderId="24" xfId="0" applyNumberFormat="1" applyFont="1" applyFill="1" applyBorder="1" applyAlignment="1">
      <alignment horizontal="center"/>
    </xf>
    <xf numFmtId="164" fontId="0" fillId="0" borderId="2" xfId="0" applyNumberFormat="1" applyFill="1" applyBorder="1" applyAlignment="1">
      <alignment horizontal="center"/>
    </xf>
    <xf numFmtId="164" fontId="11" fillId="0" borderId="2" xfId="0" applyNumberFormat="1" applyFont="1" applyFill="1" applyBorder="1" applyAlignment="1">
      <alignment horizontal="center"/>
    </xf>
    <xf numFmtId="0" fontId="12" fillId="0" borderId="13" xfId="0" applyFont="1" applyBorder="1"/>
    <xf numFmtId="164" fontId="12" fillId="0" borderId="2" xfId="0" applyNumberFormat="1" applyFont="1" applyFill="1" applyBorder="1" applyAlignment="1">
      <alignment horizontal="center"/>
    </xf>
    <xf numFmtId="0" fontId="3" fillId="0" borderId="13" xfId="0" applyFont="1" applyBorder="1"/>
    <xf numFmtId="0" fontId="0" fillId="0" borderId="16" xfId="0" applyBorder="1"/>
    <xf numFmtId="190" fontId="0" fillId="0" borderId="1" xfId="0" applyNumberFormat="1" applyBorder="1" applyAlignment="1">
      <alignment horizontal="center"/>
    </xf>
    <xf numFmtId="190" fontId="12" fillId="0" borderId="1" xfId="0" applyNumberFormat="1" applyFont="1" applyBorder="1" applyAlignment="1">
      <alignment horizontal="center"/>
    </xf>
    <xf numFmtId="40" fontId="5" fillId="0" borderId="1" xfId="0" applyNumberFormat="1" applyFont="1" applyFill="1" applyBorder="1"/>
    <xf numFmtId="9" fontId="0" fillId="0" borderId="1" xfId="1" applyFont="1" applyFill="1" applyBorder="1" applyAlignment="1">
      <alignment horizontal="center"/>
    </xf>
    <xf numFmtId="169" fontId="0" fillId="0" borderId="1" xfId="0" applyNumberFormat="1" applyFill="1" applyBorder="1" applyAlignment="1">
      <alignment horizontal="center"/>
    </xf>
    <xf numFmtId="170" fontId="0" fillId="0" borderId="1" xfId="0" applyNumberFormat="1" applyFill="1" applyBorder="1" applyAlignment="1">
      <alignment horizontal="center"/>
    </xf>
    <xf numFmtId="164" fontId="0" fillId="0" borderId="25" xfId="0" applyNumberFormat="1" applyFill="1" applyBorder="1" applyAlignment="1">
      <alignment horizontal="center"/>
    </xf>
    <xf numFmtId="0" fontId="0" fillId="8" borderId="15" xfId="0" applyFill="1" applyBorder="1"/>
    <xf numFmtId="0" fontId="0" fillId="8" borderId="12" xfId="0" applyFill="1" applyBorder="1"/>
    <xf numFmtId="0" fontId="3" fillId="8" borderId="24" xfId="0" applyFont="1" applyFill="1" applyBorder="1"/>
    <xf numFmtId="0" fontId="11" fillId="8" borderId="0" xfId="0" applyFont="1" applyFill="1" applyBorder="1" applyAlignment="1">
      <alignment horizontal="center"/>
    </xf>
    <xf numFmtId="0" fontId="1" fillId="8" borderId="0" xfId="0" applyFont="1" applyFill="1" applyBorder="1" applyAlignment="1">
      <alignment horizontal="center"/>
    </xf>
    <xf numFmtId="0" fontId="1" fillId="8" borderId="0" xfId="0" applyFont="1" applyFill="1" applyBorder="1"/>
    <xf numFmtId="0" fontId="1" fillId="8" borderId="2" xfId="0" applyFont="1" applyFill="1" applyBorder="1" applyAlignment="1">
      <alignment horizontal="center"/>
    </xf>
    <xf numFmtId="0" fontId="5" fillId="9" borderId="26" xfId="0" applyFont="1" applyFill="1" applyBorder="1" applyAlignment="1">
      <alignment horizontal="center" vertical="center" wrapText="1"/>
    </xf>
    <xf numFmtId="0" fontId="11" fillId="9" borderId="21" xfId="0" applyFont="1" applyFill="1" applyBorder="1" applyAlignment="1">
      <alignment horizontal="center"/>
    </xf>
    <xf numFmtId="168" fontId="11" fillId="9" borderId="26" xfId="0" applyNumberFormat="1" applyFont="1" applyFill="1" applyBorder="1" applyAlignment="1">
      <alignment horizontal="center"/>
    </xf>
    <xf numFmtId="168" fontId="11" fillId="9" borderId="21" xfId="0" applyNumberFormat="1" applyFont="1" applyFill="1" applyBorder="1" applyAlignment="1">
      <alignment horizontal="center"/>
    </xf>
    <xf numFmtId="168" fontId="11" fillId="9" borderId="27" xfId="0" applyNumberFormat="1" applyFont="1" applyFill="1" applyBorder="1" applyAlignment="1">
      <alignment horizontal="center"/>
    </xf>
    <xf numFmtId="9" fontId="3" fillId="0" borderId="1" xfId="1" applyFill="1" applyBorder="1" applyAlignment="1">
      <alignment horizontal="center"/>
    </xf>
    <xf numFmtId="0" fontId="0" fillId="8" borderId="24" xfId="0" applyFill="1" applyBorder="1"/>
    <xf numFmtId="0" fontId="0" fillId="8" borderId="1" xfId="0" applyFill="1" applyBorder="1" applyAlignment="1">
      <alignment horizontal="center"/>
    </xf>
    <xf numFmtId="0" fontId="11" fillId="8" borderId="1" xfId="0" applyFont="1" applyFill="1" applyBorder="1" applyAlignment="1">
      <alignment horizontal="center"/>
    </xf>
    <xf numFmtId="0" fontId="1" fillId="8" borderId="1" xfId="0" applyFont="1" applyFill="1" applyBorder="1" applyAlignment="1">
      <alignment horizontal="center"/>
    </xf>
    <xf numFmtId="0" fontId="1" fillId="8" borderId="1" xfId="0" applyFont="1" applyFill="1" applyBorder="1"/>
    <xf numFmtId="0" fontId="11" fillId="8" borderId="25" xfId="0" applyFont="1" applyFill="1" applyBorder="1" applyAlignment="1">
      <alignment horizontal="center"/>
    </xf>
    <xf numFmtId="0" fontId="0" fillId="8" borderId="16" xfId="0" applyFill="1" applyBorder="1"/>
    <xf numFmtId="0" fontId="11" fillId="9" borderId="27" xfId="0" applyFont="1" applyFill="1" applyBorder="1" applyAlignment="1">
      <alignment horizontal="center"/>
    </xf>
    <xf numFmtId="0" fontId="37" fillId="0" borderId="0" xfId="0" applyFont="1" applyFill="1"/>
    <xf numFmtId="167" fontId="12" fillId="6" borderId="0" xfId="0" applyNumberFormat="1" applyFont="1" applyFill="1" applyBorder="1" applyAlignment="1">
      <alignment horizontal="center"/>
    </xf>
    <xf numFmtId="166" fontId="12" fillId="6" borderId="0" xfId="0" applyNumberFormat="1" applyFont="1" applyFill="1" applyAlignment="1">
      <alignment horizontal="center"/>
    </xf>
    <xf numFmtId="0" fontId="0" fillId="0" borderId="0" xfId="0" applyBorder="1" applyAlignment="1">
      <alignment horizontal="center" vertical="center"/>
    </xf>
    <xf numFmtId="49" fontId="11" fillId="0" borderId="0" xfId="0" applyNumberFormat="1" applyFont="1" applyFill="1" applyBorder="1" applyAlignment="1"/>
    <xf numFmtId="49" fontId="17" fillId="0" borderId="0" xfId="0" applyNumberFormat="1" applyFont="1" applyFill="1" applyBorder="1" applyAlignment="1">
      <alignment horizontal="center" vertical="center"/>
    </xf>
    <xf numFmtId="9" fontId="48" fillId="0" borderId="0" xfId="1" applyFont="1" applyFill="1" applyBorder="1" applyAlignment="1">
      <alignment horizontal="center"/>
    </xf>
    <xf numFmtId="9" fontId="9" fillId="0" borderId="0" xfId="1" applyFont="1" applyFill="1" applyBorder="1" applyAlignment="1">
      <alignment horizontal="center"/>
    </xf>
    <xf numFmtId="9" fontId="8" fillId="0" borderId="0" xfId="1" applyFont="1" applyFill="1" applyBorder="1" applyAlignment="1">
      <alignment horizontal="center"/>
    </xf>
    <xf numFmtId="0" fontId="0" fillId="0" borderId="0" xfId="0" applyFill="1" applyBorder="1" applyAlignment="1">
      <alignment vertical="center"/>
    </xf>
    <xf numFmtId="0" fontId="8" fillId="0" borderId="0" xfId="0" applyFont="1" applyFill="1" applyBorder="1" applyAlignment="1">
      <alignment horizontal="center" vertical="center"/>
    </xf>
    <xf numFmtId="172" fontId="5" fillId="0" borderId="0" xfId="1" applyNumberFormat="1" applyFont="1" applyFill="1" applyBorder="1" applyAlignment="1" applyProtection="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0" fillId="0" borderId="0" xfId="0" applyBorder="1" applyAlignment="1">
      <alignment vertical="center"/>
    </xf>
    <xf numFmtId="0" fontId="12"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0" fillId="0" borderId="0" xfId="0" applyFill="1" applyBorder="1" applyAlignment="1">
      <alignment horizontal="center" vertical="center"/>
    </xf>
    <xf numFmtId="49" fontId="8" fillId="0" borderId="0" xfId="0" applyNumberFormat="1" applyFont="1" applyFill="1" applyBorder="1" applyAlignment="1">
      <alignment horizontal="center" vertical="center" wrapText="1"/>
    </xf>
    <xf numFmtId="172" fontId="11" fillId="10" borderId="0" xfId="1" applyNumberFormat="1" applyFont="1" applyFill="1" applyBorder="1" applyAlignment="1" applyProtection="1">
      <alignment horizontal="center" vertical="center"/>
    </xf>
    <xf numFmtId="0" fontId="7" fillId="10" borderId="0" xfId="0" applyFont="1" applyFill="1" applyBorder="1" applyAlignment="1">
      <alignment horizontal="center" vertical="center" wrapText="1"/>
    </xf>
    <xf numFmtId="0" fontId="5" fillId="0" borderId="0" xfId="0" applyFont="1" applyFill="1" applyBorder="1" applyAlignment="1">
      <alignment horizontal="center" wrapText="1"/>
    </xf>
    <xf numFmtId="49" fontId="7" fillId="10" borderId="0" xfId="0" applyNumberFormat="1" applyFont="1" applyFill="1" applyBorder="1" applyAlignment="1">
      <alignment horizontal="center" vertical="center" wrapText="1"/>
    </xf>
    <xf numFmtId="172" fontId="12" fillId="10" borderId="0" xfId="1" applyNumberFormat="1" applyFont="1" applyFill="1" applyBorder="1" applyAlignment="1" applyProtection="1">
      <alignment horizontal="center" vertical="center"/>
    </xf>
    <xf numFmtId="0" fontId="5" fillId="10" borderId="0" xfId="0" applyFont="1" applyFill="1" applyBorder="1" applyAlignment="1">
      <alignment horizontal="center" vertical="center"/>
    </xf>
    <xf numFmtId="49" fontId="8" fillId="10" borderId="0" xfId="0" applyNumberFormat="1" applyFont="1" applyFill="1" applyBorder="1" applyAlignment="1">
      <alignment horizontal="center" vertical="center" wrapText="1"/>
    </xf>
    <xf numFmtId="0" fontId="5" fillId="10" borderId="0" xfId="0" applyFont="1" applyFill="1" applyBorder="1" applyAlignment="1">
      <alignment horizontal="center" vertical="center" wrapText="1"/>
    </xf>
    <xf numFmtId="49" fontId="5" fillId="10" borderId="0" xfId="0" applyNumberFormat="1" applyFont="1" applyFill="1" applyBorder="1" applyAlignment="1">
      <alignment horizontal="center" vertical="center" wrapText="1"/>
    </xf>
    <xf numFmtId="49" fontId="11" fillId="10" borderId="0" xfId="0" applyNumberFormat="1" applyFont="1" applyFill="1" applyBorder="1" applyAlignment="1">
      <alignment horizontal="center" vertical="center" wrapText="1"/>
    </xf>
    <xf numFmtId="0" fontId="5" fillId="10" borderId="0" xfId="0" applyFont="1" applyFill="1" applyBorder="1" applyAlignment="1">
      <alignment horizontal="center" wrapText="1"/>
    </xf>
    <xf numFmtId="0" fontId="11" fillId="0" borderId="0" xfId="0" applyFont="1" applyBorder="1" applyAlignment="1">
      <alignment vertical="center"/>
    </xf>
    <xf numFmtId="49" fontId="7" fillId="0" borderId="0" xfId="0" applyNumberFormat="1" applyFont="1" applyFill="1" applyBorder="1" applyAlignment="1">
      <alignment horizontal="center"/>
    </xf>
    <xf numFmtId="0" fontId="8" fillId="0" borderId="0" xfId="0" applyFont="1" applyBorder="1" applyAlignment="1">
      <alignment horizontal="center" vertical="center"/>
    </xf>
    <xf numFmtId="168" fontId="8" fillId="0" borderId="0" xfId="0" applyNumberFormat="1" applyFont="1" applyFill="1" applyBorder="1" applyAlignment="1">
      <alignment horizontal="center" vertical="center"/>
    </xf>
    <xf numFmtId="172" fontId="8" fillId="0" borderId="0" xfId="1" applyNumberFormat="1" applyFont="1" applyFill="1" applyBorder="1" applyAlignment="1" applyProtection="1">
      <alignment horizontal="center" vertical="center"/>
    </xf>
    <xf numFmtId="0" fontId="8" fillId="0" borderId="0" xfId="0" applyFont="1" applyFill="1" applyBorder="1" applyAlignment="1">
      <alignment horizontal="center" vertical="center" wrapText="1"/>
    </xf>
    <xf numFmtId="0" fontId="5" fillId="0" borderId="0" xfId="0" applyFont="1" applyBorder="1" applyAlignment="1">
      <alignment horizontal="center" vertical="center"/>
    </xf>
    <xf numFmtId="172" fontId="8" fillId="0" borderId="0" xfId="1" applyNumberFormat="1" applyFont="1" applyFill="1" applyBorder="1" applyAlignment="1" applyProtection="1">
      <alignment horizontal="center"/>
    </xf>
    <xf numFmtId="172" fontId="12" fillId="10" borderId="0" xfId="1" applyNumberFormat="1" applyFont="1" applyFill="1" applyBorder="1" applyAlignment="1">
      <alignment horizontal="center" vertical="center"/>
    </xf>
    <xf numFmtId="172" fontId="8" fillId="10" borderId="0" xfId="1" applyNumberFormat="1" applyFont="1" applyFill="1" applyBorder="1" applyAlignment="1" applyProtection="1">
      <alignment horizontal="center" vertical="center"/>
    </xf>
    <xf numFmtId="9" fontId="12" fillId="10" borderId="0" xfId="1" applyFont="1" applyFill="1" applyAlignment="1">
      <alignment horizontal="center" vertical="center"/>
    </xf>
    <xf numFmtId="208" fontId="11" fillId="6" borderId="22" xfId="0" applyNumberFormat="1" applyFont="1" applyFill="1" applyBorder="1" applyAlignment="1">
      <alignment horizontal="center"/>
    </xf>
    <xf numFmtId="0" fontId="35" fillId="8" borderId="0" xfId="0" applyFont="1" applyFill="1" applyAlignment="1">
      <alignment vertical="center" wrapText="1"/>
    </xf>
    <xf numFmtId="0" fontId="49" fillId="0" borderId="0" xfId="0" applyFont="1" applyFill="1" applyAlignment="1">
      <alignment horizontal="left" vertical="center"/>
    </xf>
    <xf numFmtId="0" fontId="31" fillId="3" borderId="0" xfId="0" applyFont="1" applyFill="1" applyAlignment="1">
      <alignment horizontal="left" vertical="center"/>
    </xf>
    <xf numFmtId="0" fontId="31" fillId="5" borderId="0" xfId="0" applyFont="1" applyFill="1" applyAlignment="1">
      <alignment horizontal="left" vertical="center"/>
    </xf>
    <xf numFmtId="0" fontId="0" fillId="0" borderId="0" xfId="0" applyFill="1" applyAlignment="1"/>
    <xf numFmtId="0" fontId="0" fillId="0" borderId="0" xfId="0" applyAlignment="1"/>
    <xf numFmtId="0" fontId="11" fillId="0" borderId="11" xfId="0" applyFont="1" applyFill="1" applyBorder="1"/>
    <xf numFmtId="208" fontId="11" fillId="0" borderId="22" xfId="0" applyNumberFormat="1" applyFont="1" applyFill="1" applyBorder="1" applyAlignment="1">
      <alignment horizontal="center"/>
    </xf>
    <xf numFmtId="0" fontId="11" fillId="0" borderId="0" xfId="0" applyFont="1" applyAlignment="1">
      <alignment horizontal="left"/>
    </xf>
    <xf numFmtId="0" fontId="12" fillId="8" borderId="0" xfId="0" applyFont="1" applyFill="1" applyBorder="1"/>
    <xf numFmtId="0" fontId="11" fillId="8" borderId="0" xfId="0" applyFont="1" applyFill="1" applyBorder="1"/>
    <xf numFmtId="206" fontId="5" fillId="8" borderId="0" xfId="0" applyNumberFormat="1" applyFont="1" applyFill="1" applyBorder="1" applyAlignment="1">
      <alignment horizontal="center"/>
    </xf>
    <xf numFmtId="0" fontId="5" fillId="8" borderId="0" xfId="0" applyFont="1" applyFill="1" applyBorder="1"/>
    <xf numFmtId="0" fontId="17" fillId="8" borderId="0" xfId="0" applyFont="1" applyFill="1" applyBorder="1"/>
    <xf numFmtId="0" fontId="3" fillId="8" borderId="0" xfId="0" applyFont="1" applyFill="1" applyBorder="1"/>
    <xf numFmtId="167" fontId="0" fillId="8" borderId="0" xfId="0" applyNumberFormat="1" applyFill="1" applyBorder="1" applyAlignment="1">
      <alignment horizontal="center"/>
    </xf>
    <xf numFmtId="168" fontId="0" fillId="8" borderId="0" xfId="0" applyNumberFormat="1" applyFill="1" applyBorder="1" applyAlignment="1">
      <alignment horizontal="center"/>
    </xf>
    <xf numFmtId="0" fontId="15" fillId="7" borderId="0" xfId="0" applyFont="1" applyFill="1" applyBorder="1"/>
    <xf numFmtId="189" fontId="16" fillId="8" borderId="0" xfId="0" applyNumberFormat="1" applyFont="1" applyFill="1" applyBorder="1" applyAlignment="1">
      <alignment horizontal="left"/>
    </xf>
    <xf numFmtId="211" fontId="65" fillId="6" borderId="0" xfId="0" applyNumberFormat="1" applyFont="1" applyFill="1" applyAlignment="1">
      <alignment horizontal="center"/>
    </xf>
    <xf numFmtId="211" fontId="65" fillId="6" borderId="0" xfId="0" applyNumberFormat="1" applyFont="1" applyFill="1" applyBorder="1" applyAlignment="1">
      <alignment horizontal="center"/>
    </xf>
    <xf numFmtId="0" fontId="31" fillId="8" borderId="0" xfId="0" applyFont="1" applyFill="1" applyAlignment="1">
      <alignment horizontal="left" vertical="center"/>
    </xf>
    <xf numFmtId="0" fontId="49" fillId="8" borderId="0" xfId="0" applyFont="1" applyFill="1" applyAlignment="1">
      <alignment horizontal="left" vertical="center"/>
    </xf>
    <xf numFmtId="0" fontId="37" fillId="0" borderId="0" xfId="0" applyFont="1" applyBorder="1"/>
    <xf numFmtId="0" fontId="8" fillId="0" borderId="0" xfId="0" applyFont="1" applyFill="1" applyBorder="1" applyAlignment="1">
      <alignment horizontal="left" vertical="center" wrapText="1"/>
    </xf>
    <xf numFmtId="166" fontId="3" fillId="0" borderId="6" xfId="0" applyNumberFormat="1" applyFont="1" applyFill="1" applyBorder="1" applyAlignment="1">
      <alignment horizontal="center"/>
    </xf>
    <xf numFmtId="0" fontId="49" fillId="8" borderId="0" xfId="0" applyFont="1" applyFill="1" applyBorder="1" applyAlignment="1">
      <alignment horizontal="left" vertical="center"/>
    </xf>
    <xf numFmtId="0" fontId="12" fillId="6" borderId="0" xfId="0" applyFont="1" applyFill="1" applyBorder="1" applyAlignment="1">
      <alignment horizontal="left"/>
    </xf>
    <xf numFmtId="168" fontId="0" fillId="6" borderId="0" xfId="0" applyNumberFormat="1" applyFill="1" applyAlignment="1">
      <alignment horizontal="center"/>
    </xf>
    <xf numFmtId="9" fontId="3" fillId="0" borderId="0" xfId="1" applyFill="1" applyBorder="1" applyAlignment="1">
      <alignment horizontal="center" vertical="center"/>
    </xf>
    <xf numFmtId="9" fontId="3" fillId="7" borderId="0" xfId="1" applyFill="1" applyBorder="1" applyAlignment="1">
      <alignment horizontal="center"/>
    </xf>
    <xf numFmtId="9" fontId="48" fillId="7" borderId="0" xfId="1" applyFont="1" applyFill="1" applyBorder="1" applyAlignment="1">
      <alignment horizontal="center"/>
    </xf>
    <xf numFmtId="0" fontId="25" fillId="0" borderId="0" xfId="0" applyFont="1" applyFill="1" applyBorder="1"/>
    <xf numFmtId="0" fontId="19" fillId="0" borderId="0" xfId="0" applyFont="1" applyFill="1" applyBorder="1"/>
    <xf numFmtId="186" fontId="0" fillId="0" borderId="0" xfId="0" applyNumberFormat="1" applyFill="1" applyBorder="1"/>
    <xf numFmtId="3" fontId="54" fillId="0" borderId="0" xfId="0" applyNumberFormat="1" applyFont="1" applyFill="1" applyBorder="1"/>
    <xf numFmtId="3" fontId="55" fillId="0" borderId="0" xfId="0" applyNumberFormat="1" applyFont="1" applyFill="1" applyBorder="1"/>
    <xf numFmtId="3" fontId="21" fillId="0" borderId="0" xfId="0" applyNumberFormat="1" applyFont="1" applyFill="1" applyBorder="1"/>
    <xf numFmtId="3" fontId="19" fillId="0" borderId="0" xfId="0" applyNumberFormat="1" applyFont="1" applyFill="1" applyBorder="1"/>
    <xf numFmtId="0" fontId="19" fillId="0" borderId="0" xfId="0" applyFont="1" applyBorder="1"/>
    <xf numFmtId="0" fontId="12" fillId="6" borderId="0" xfId="0" applyFont="1" applyFill="1" applyBorder="1"/>
    <xf numFmtId="0" fontId="51" fillId="7" borderId="0" xfId="0" applyFont="1" applyFill="1" applyBorder="1"/>
    <xf numFmtId="0" fontId="51" fillId="7" borderId="0" xfId="0" applyFont="1" applyFill="1" applyBorder="1" applyAlignment="1">
      <alignment horizontal="center"/>
    </xf>
    <xf numFmtId="166" fontId="51" fillId="7" borderId="0" xfId="0" applyNumberFormat="1" applyFont="1" applyFill="1" applyBorder="1" applyAlignment="1">
      <alignment horizontal="center"/>
    </xf>
    <xf numFmtId="167" fontId="51" fillId="7" borderId="0" xfId="0" applyNumberFormat="1" applyFont="1" applyFill="1" applyBorder="1" applyAlignment="1">
      <alignment horizontal="center"/>
    </xf>
    <xf numFmtId="9" fontId="51" fillId="7" borderId="0" xfId="1" applyFont="1" applyFill="1" applyBorder="1" applyAlignment="1">
      <alignment horizontal="center"/>
    </xf>
    <xf numFmtId="0" fontId="18" fillId="7" borderId="0" xfId="0" applyFont="1" applyFill="1" applyBorder="1" applyAlignment="1">
      <alignment horizontal="center"/>
    </xf>
    <xf numFmtId="166" fontId="18" fillId="7" borderId="0" xfId="0" applyNumberFormat="1" applyFont="1" applyFill="1" applyBorder="1" applyAlignment="1">
      <alignment horizontal="center"/>
    </xf>
    <xf numFmtId="167" fontId="18" fillId="7" borderId="0" xfId="0" applyNumberFormat="1" applyFont="1" applyFill="1" applyBorder="1" applyAlignment="1">
      <alignment horizontal="center"/>
    </xf>
    <xf numFmtId="9" fontId="17" fillId="7" borderId="0" xfId="1" applyFont="1" applyFill="1" applyBorder="1" applyAlignment="1">
      <alignment horizontal="center"/>
    </xf>
    <xf numFmtId="0" fontId="31" fillId="7" borderId="0" xfId="0" applyFont="1" applyFill="1" applyBorder="1"/>
    <xf numFmtId="0" fontId="32" fillId="7" borderId="0" xfId="0" applyFont="1" applyFill="1" applyBorder="1"/>
    <xf numFmtId="0" fontId="32" fillId="7" borderId="0" xfId="0" applyFont="1" applyFill="1" applyBorder="1" applyAlignment="1">
      <alignment horizontal="center"/>
    </xf>
    <xf numFmtId="166" fontId="32" fillId="7" borderId="0" xfId="0" applyNumberFormat="1" applyFont="1" applyFill="1" applyBorder="1" applyAlignment="1">
      <alignment horizontal="center"/>
    </xf>
    <xf numFmtId="167" fontId="32" fillId="7" borderId="0" xfId="0" applyNumberFormat="1" applyFont="1" applyFill="1" applyBorder="1" applyAlignment="1">
      <alignment horizontal="center"/>
    </xf>
    <xf numFmtId="9" fontId="24" fillId="7" borderId="0" xfId="1" applyFont="1" applyFill="1" applyBorder="1" applyAlignment="1">
      <alignment horizontal="center"/>
    </xf>
    <xf numFmtId="0" fontId="22" fillId="7" borderId="0" xfId="0" applyFont="1" applyFill="1" applyBorder="1"/>
    <xf numFmtId="9" fontId="66" fillId="7" borderId="0" xfId="1" applyFont="1" applyFill="1" applyBorder="1" applyAlignment="1">
      <alignment horizontal="center"/>
    </xf>
    <xf numFmtId="0" fontId="52" fillId="7" borderId="0" xfId="0" applyFont="1" applyFill="1" applyAlignment="1">
      <alignment horizontal="center"/>
    </xf>
    <xf numFmtId="166" fontId="52" fillId="7" borderId="0" xfId="0" applyNumberFormat="1" applyFont="1" applyFill="1" applyAlignment="1">
      <alignment horizontal="center"/>
    </xf>
    <xf numFmtId="167" fontId="52" fillId="7" borderId="0" xfId="0" applyNumberFormat="1" applyFont="1" applyFill="1" applyAlignment="1">
      <alignment horizontal="center"/>
    </xf>
    <xf numFmtId="0" fontId="7" fillId="0" borderId="28" xfId="0" applyFont="1" applyFill="1" applyBorder="1" applyAlignment="1">
      <alignment horizontal="left"/>
    </xf>
    <xf numFmtId="2" fontId="9" fillId="0" borderId="28" xfId="0" applyNumberFormat="1" applyFont="1" applyFill="1" applyBorder="1" applyAlignment="1">
      <alignment horizontal="center"/>
    </xf>
    <xf numFmtId="167" fontId="9" fillId="0" borderId="28" xfId="0" applyNumberFormat="1" applyFont="1" applyFill="1" applyBorder="1" applyAlignment="1">
      <alignment horizontal="center"/>
    </xf>
    <xf numFmtId="167" fontId="7" fillId="0" borderId="28" xfId="0" applyNumberFormat="1" applyFont="1" applyFill="1" applyBorder="1" applyAlignment="1">
      <alignment horizontal="center"/>
    </xf>
    <xf numFmtId="207" fontId="0" fillId="6" borderId="0" xfId="0" applyNumberFormat="1" applyFill="1" applyBorder="1" applyAlignment="1">
      <alignment horizontal="center"/>
    </xf>
    <xf numFmtId="0" fontId="3" fillId="6" borderId="0" xfId="0" applyFont="1" applyFill="1" applyBorder="1"/>
    <xf numFmtId="207" fontId="0" fillId="0" borderId="0" xfId="0" applyNumberFormat="1" applyFill="1" applyBorder="1" applyAlignment="1">
      <alignment horizontal="center"/>
    </xf>
    <xf numFmtId="168" fontId="11" fillId="0" borderId="12" xfId="0" applyNumberFormat="1" applyFont="1" applyFill="1" applyBorder="1" applyAlignment="1">
      <alignment horizontal="center"/>
    </xf>
    <xf numFmtId="166" fontId="12" fillId="0" borderId="0" xfId="0" applyNumberFormat="1" applyFont="1" applyFill="1" applyAlignment="1">
      <alignment horizontal="center"/>
    </xf>
    <xf numFmtId="168" fontId="1" fillId="0" borderId="14" xfId="0" applyNumberFormat="1" applyFont="1" applyFill="1" applyBorder="1" applyAlignment="1">
      <alignment horizontal="center"/>
    </xf>
    <xf numFmtId="168" fontId="11" fillId="0" borderId="14" xfId="0" applyNumberFormat="1" applyFont="1" applyFill="1" applyBorder="1" applyAlignment="1">
      <alignment horizontal="center"/>
    </xf>
    <xf numFmtId="227" fontId="0" fillId="0" borderId="0" xfId="0" applyNumberFormat="1" applyBorder="1"/>
    <xf numFmtId="197" fontId="0" fillId="0" borderId="0" xfId="0" applyNumberFormat="1" applyBorder="1"/>
    <xf numFmtId="0" fontId="23" fillId="0" borderId="0" xfId="0" applyFont="1" applyBorder="1"/>
    <xf numFmtId="167" fontId="0" fillId="0" borderId="0" xfId="0" applyNumberFormat="1" applyBorder="1"/>
    <xf numFmtId="196" fontId="68" fillId="0" borderId="0" xfId="0" applyNumberFormat="1" applyFont="1" applyBorder="1" applyAlignment="1">
      <alignment horizontal="left"/>
    </xf>
    <xf numFmtId="234" fontId="0" fillId="0" borderId="0" xfId="0" applyNumberFormat="1" applyBorder="1"/>
    <xf numFmtId="233" fontId="0" fillId="0" borderId="0" xfId="0" applyNumberFormat="1" applyBorder="1" applyAlignment="1">
      <alignment horizontal="center"/>
    </xf>
    <xf numFmtId="0" fontId="67" fillId="0" borderId="0" xfId="0" applyFont="1" applyBorder="1"/>
    <xf numFmtId="225" fontId="0" fillId="0" borderId="0" xfId="0" applyNumberFormat="1" applyBorder="1"/>
    <xf numFmtId="229" fontId="0" fillId="0" borderId="0" xfId="0" applyNumberFormat="1" applyBorder="1"/>
    <xf numFmtId="168" fontId="12" fillId="0" borderId="0" xfId="0" applyNumberFormat="1" applyFont="1" applyBorder="1" applyAlignment="1">
      <alignment horizontal="center"/>
    </xf>
    <xf numFmtId="0" fontId="11" fillId="2" borderId="0" xfId="0" applyFont="1" applyFill="1"/>
    <xf numFmtId="168" fontId="5" fillId="0" borderId="14" xfId="0" applyNumberFormat="1" applyFont="1" applyFill="1" applyBorder="1" applyAlignment="1">
      <alignment horizontal="center"/>
    </xf>
    <xf numFmtId="0" fontId="13" fillId="7" borderId="0" xfId="0" applyFont="1" applyFill="1"/>
    <xf numFmtId="0" fontId="13" fillId="11" borderId="0" xfId="0" applyFont="1" applyFill="1"/>
    <xf numFmtId="0" fontId="13" fillId="11" borderId="0" xfId="0" applyFont="1" applyFill="1" applyAlignment="1">
      <alignment horizontal="center"/>
    </xf>
    <xf numFmtId="9" fontId="0" fillId="6" borderId="0" xfId="0" applyNumberFormat="1" applyFill="1"/>
    <xf numFmtId="9" fontId="0" fillId="0" borderId="0" xfId="0" applyNumberFormat="1"/>
    <xf numFmtId="0" fontId="13" fillId="5" borderId="0" xfId="0" applyFont="1" applyFill="1"/>
    <xf numFmtId="3" fontId="13" fillId="5" borderId="0" xfId="0" applyNumberFormat="1" applyFont="1" applyFill="1" applyAlignment="1">
      <alignment horizontal="center"/>
    </xf>
    <xf numFmtId="9" fontId="13" fillId="5" borderId="0" xfId="0" applyNumberFormat="1" applyFont="1" applyFill="1" applyAlignment="1">
      <alignment horizontal="center"/>
    </xf>
    <xf numFmtId="235" fontId="0" fillId="6" borderId="0" xfId="0" applyNumberFormat="1" applyFill="1" applyAlignment="1">
      <alignment horizontal="center"/>
    </xf>
    <xf numFmtId="1" fontId="0" fillId="8" borderId="0" xfId="0" applyNumberFormat="1" applyFill="1" applyAlignment="1">
      <alignment horizontal="center"/>
    </xf>
    <xf numFmtId="0" fontId="23" fillId="0" borderId="0" xfId="0" applyFont="1" applyFill="1" applyBorder="1"/>
    <xf numFmtId="198" fontId="63" fillId="0" borderId="0" xfId="0" applyNumberFormat="1" applyFont="1" applyFill="1" applyBorder="1" applyAlignment="1">
      <alignment horizontal="center"/>
    </xf>
    <xf numFmtId="237" fontId="63" fillId="0" borderId="0" xfId="0" applyNumberFormat="1" applyFont="1" applyFill="1" applyBorder="1" applyAlignment="1">
      <alignment horizontal="center"/>
    </xf>
    <xf numFmtId="0" fontId="6" fillId="0" borderId="0" xfId="0" applyFont="1" applyFill="1" applyBorder="1"/>
    <xf numFmtId="1" fontId="31" fillId="7" borderId="0" xfId="0" applyNumberFormat="1" applyFont="1" applyFill="1" applyBorder="1" applyAlignment="1">
      <alignment horizontal="center"/>
    </xf>
    <xf numFmtId="9" fontId="48" fillId="7" borderId="0" xfId="1" applyFont="1" applyFill="1" applyAlignment="1">
      <alignment horizontal="center"/>
    </xf>
    <xf numFmtId="0" fontId="31" fillId="7" borderId="0" xfId="0" applyNumberFormat="1" applyFont="1" applyFill="1" applyBorder="1" applyAlignment="1">
      <alignment horizontal="center"/>
    </xf>
    <xf numFmtId="9" fontId="3" fillId="0" borderId="0" xfId="1" applyFont="1" applyFill="1" applyAlignment="1">
      <alignment horizontal="center"/>
    </xf>
    <xf numFmtId="1" fontId="0" fillId="6" borderId="6" xfId="0" applyNumberFormat="1" applyFill="1" applyBorder="1" applyAlignment="1">
      <alignment horizontal="center"/>
    </xf>
    <xf numFmtId="1" fontId="0" fillId="0" borderId="0" xfId="0" applyNumberFormat="1" applyAlignment="1">
      <alignment horizontal="center"/>
    </xf>
    <xf numFmtId="185" fontId="12" fillId="0" borderId="0" xfId="0" applyNumberFormat="1" applyFont="1" applyFill="1" applyBorder="1" applyAlignment="1">
      <alignment horizontal="left"/>
    </xf>
    <xf numFmtId="1" fontId="3" fillId="0" borderId="0" xfId="0" applyNumberFormat="1" applyFont="1" applyFill="1" applyBorder="1" applyAlignment="1">
      <alignment horizontal="center"/>
    </xf>
    <xf numFmtId="241" fontId="0" fillId="6" borderId="0" xfId="0" applyNumberFormat="1" applyFill="1" applyAlignment="1">
      <alignment horizontal="center"/>
    </xf>
    <xf numFmtId="0" fontId="73" fillId="5" borderId="0" xfId="0" applyFont="1" applyFill="1" applyAlignment="1">
      <alignment horizontal="left" vertical="center"/>
    </xf>
    <xf numFmtId="0" fontId="74" fillId="8" borderId="0" xfId="0" applyFont="1" applyFill="1" applyAlignment="1">
      <alignment horizontal="left" vertical="center"/>
    </xf>
    <xf numFmtId="0" fontId="6" fillId="8" borderId="0" xfId="0" applyFont="1" applyFill="1"/>
    <xf numFmtId="0" fontId="64" fillId="8" borderId="0" xfId="0" applyFont="1" applyFill="1"/>
    <xf numFmtId="206" fontId="64" fillId="8" borderId="0" xfId="0" applyNumberFormat="1" applyFont="1" applyFill="1" applyAlignment="1">
      <alignment horizontal="center"/>
    </xf>
    <xf numFmtId="0" fontId="23" fillId="0" borderId="0" xfId="0" applyFont="1"/>
    <xf numFmtId="197" fontId="23" fillId="7" borderId="17" xfId="0" applyNumberFormat="1" applyFont="1" applyFill="1" applyBorder="1" applyAlignment="1">
      <alignment horizontal="left"/>
    </xf>
    <xf numFmtId="223" fontId="64" fillId="7" borderId="0" xfId="0" applyNumberFormat="1" applyFont="1" applyFill="1" applyBorder="1" applyAlignment="1">
      <alignment horizontal="center"/>
    </xf>
    <xf numFmtId="222" fontId="23" fillId="7" borderId="0" xfId="0" applyNumberFormat="1" applyFont="1" applyFill="1" applyBorder="1" applyAlignment="1">
      <alignment horizontal="left"/>
    </xf>
    <xf numFmtId="0" fontId="64" fillId="2" borderId="0" xfId="0" applyFont="1" applyFill="1" applyBorder="1" applyAlignment="1">
      <alignment horizontal="center"/>
    </xf>
    <xf numFmtId="0" fontId="23" fillId="2" borderId="0" xfId="0" applyFont="1" applyFill="1" applyAlignment="1">
      <alignment horizontal="center"/>
    </xf>
    <xf numFmtId="224" fontId="64" fillId="2" borderId="0" xfId="0" applyNumberFormat="1" applyFont="1" applyFill="1" applyBorder="1" applyAlignment="1">
      <alignment horizontal="center"/>
    </xf>
    <xf numFmtId="0" fontId="64" fillId="0" borderId="0" xfId="0" applyFont="1" applyBorder="1"/>
    <xf numFmtId="226" fontId="23" fillId="0" borderId="0" xfId="0" applyNumberFormat="1" applyFont="1" applyBorder="1"/>
    <xf numFmtId="2" fontId="23" fillId="0" borderId="0" xfId="0" applyNumberFormat="1" applyFont="1" applyBorder="1"/>
    <xf numFmtId="197" fontId="23" fillId="0" borderId="0" xfId="0" applyNumberFormat="1" applyFont="1" applyBorder="1"/>
    <xf numFmtId="225" fontId="23" fillId="0" borderId="0" xfId="0" applyNumberFormat="1" applyFont="1" applyBorder="1"/>
    <xf numFmtId="0" fontId="75" fillId="0" borderId="0" xfId="0" applyFont="1" applyBorder="1"/>
    <xf numFmtId="0" fontId="76" fillId="0" borderId="0" xfId="0" applyFont="1" applyBorder="1"/>
    <xf numFmtId="227" fontId="23" fillId="6" borderId="0" xfId="0" applyNumberFormat="1" applyFont="1" applyFill="1" applyBorder="1"/>
    <xf numFmtId="228" fontId="23" fillId="6" borderId="0" xfId="0" applyNumberFormat="1" applyFont="1" applyFill="1" applyBorder="1"/>
    <xf numFmtId="197" fontId="23" fillId="6" borderId="0" xfId="0" applyNumberFormat="1" applyFont="1" applyFill="1" applyBorder="1"/>
    <xf numFmtId="226" fontId="64" fillId="6" borderId="0" xfId="0" applyNumberFormat="1" applyFont="1" applyFill="1" applyBorder="1"/>
    <xf numFmtId="2" fontId="64" fillId="6" borderId="0" xfId="0" applyNumberFormat="1" applyFont="1" applyFill="1" applyBorder="1"/>
    <xf numFmtId="197" fontId="64" fillId="6" borderId="0" xfId="0" applyNumberFormat="1" applyFont="1" applyFill="1" applyBorder="1"/>
    <xf numFmtId="197" fontId="64" fillId="0" borderId="0" xfId="0" applyNumberFormat="1" applyFont="1" applyBorder="1"/>
    <xf numFmtId="225" fontId="64" fillId="0" borderId="14" xfId="0" applyNumberFormat="1" applyFont="1" applyBorder="1"/>
    <xf numFmtId="226" fontId="23" fillId="6" borderId="0" xfId="0" applyNumberFormat="1" applyFont="1" applyFill="1" applyBorder="1"/>
    <xf numFmtId="229" fontId="23" fillId="6" borderId="0" xfId="0" applyNumberFormat="1" applyFont="1" applyFill="1" applyBorder="1"/>
    <xf numFmtId="0" fontId="23" fillId="6" borderId="0" xfId="0" applyFont="1" applyFill="1" applyBorder="1"/>
    <xf numFmtId="225" fontId="23" fillId="0" borderId="6" xfId="0" applyNumberFormat="1" applyFont="1" applyBorder="1"/>
    <xf numFmtId="0" fontId="64" fillId="0" borderId="0" xfId="0" applyFont="1" applyFill="1" applyBorder="1"/>
    <xf numFmtId="227" fontId="64" fillId="6" borderId="0" xfId="0" applyNumberFormat="1" applyFont="1" applyFill="1" applyBorder="1"/>
    <xf numFmtId="228" fontId="64" fillId="6" borderId="0" xfId="0" applyNumberFormat="1" applyFont="1" applyFill="1" applyBorder="1"/>
    <xf numFmtId="225" fontId="64" fillId="0" borderId="0" xfId="0" applyNumberFormat="1" applyFont="1" applyBorder="1"/>
    <xf numFmtId="0" fontId="6" fillId="0" borderId="0" xfId="0" applyFont="1" applyBorder="1"/>
    <xf numFmtId="227" fontId="6" fillId="6" borderId="0" xfId="0" applyNumberFormat="1" applyFont="1" applyFill="1" applyBorder="1"/>
    <xf numFmtId="229" fontId="6" fillId="6" borderId="0" xfId="0" applyNumberFormat="1" applyFont="1" applyFill="1" applyBorder="1"/>
    <xf numFmtId="197" fontId="6" fillId="6" borderId="0" xfId="0" applyNumberFormat="1" applyFont="1" applyFill="1" applyBorder="1"/>
    <xf numFmtId="197" fontId="6" fillId="0" borderId="0" xfId="0" applyNumberFormat="1" applyFont="1" applyBorder="1"/>
    <xf numFmtId="225" fontId="6" fillId="0" borderId="0" xfId="0" applyNumberFormat="1" applyFont="1" applyBorder="1"/>
    <xf numFmtId="227" fontId="64" fillId="0" borderId="0" xfId="0" applyNumberFormat="1" applyFont="1" applyBorder="1"/>
    <xf numFmtId="228" fontId="64" fillId="0" borderId="0" xfId="0" applyNumberFormat="1" applyFont="1" applyBorder="1"/>
    <xf numFmtId="227" fontId="23" fillId="0" borderId="0" xfId="0" applyNumberFormat="1" applyFont="1" applyBorder="1"/>
    <xf numFmtId="228" fontId="23" fillId="0" borderId="0" xfId="0" applyNumberFormat="1" applyFont="1" applyBorder="1"/>
    <xf numFmtId="0" fontId="23" fillId="2" borderId="0" xfId="0" applyFont="1" applyFill="1" applyBorder="1"/>
    <xf numFmtId="197" fontId="23" fillId="2" borderId="0" xfId="0" applyNumberFormat="1" applyFont="1" applyFill="1" applyBorder="1" applyAlignment="1">
      <alignment horizontal="center"/>
    </xf>
    <xf numFmtId="225" fontId="23" fillId="2" borderId="0" xfId="0" applyNumberFormat="1" applyFont="1" applyFill="1" applyBorder="1" applyAlignment="1">
      <alignment horizontal="center"/>
    </xf>
    <xf numFmtId="0" fontId="63" fillId="0" borderId="0" xfId="0" applyFont="1" applyBorder="1"/>
    <xf numFmtId="230" fontId="23" fillId="6" borderId="0" xfId="0" applyNumberFormat="1" applyFont="1" applyFill="1" applyBorder="1" applyAlignment="1"/>
    <xf numFmtId="226" fontId="23" fillId="6" borderId="0" xfId="0" applyNumberFormat="1" applyFont="1" applyFill="1" applyBorder="1" applyAlignment="1">
      <alignment horizontal="right"/>
    </xf>
    <xf numFmtId="166" fontId="23" fillId="6" borderId="0" xfId="0" applyNumberFormat="1" applyFont="1" applyFill="1" applyBorder="1"/>
    <xf numFmtId="166" fontId="23" fillId="0" borderId="0" xfId="0" applyNumberFormat="1" applyFont="1" applyBorder="1" applyAlignment="1">
      <alignment horizontal="center"/>
    </xf>
    <xf numFmtId="231" fontId="23" fillId="6" borderId="0" xfId="0" applyNumberFormat="1" applyFont="1" applyFill="1" applyBorder="1" applyAlignment="1">
      <alignment horizontal="center"/>
    </xf>
    <xf numFmtId="232" fontId="23" fillId="6" borderId="0" xfId="0" applyNumberFormat="1" applyFont="1" applyFill="1" applyBorder="1" applyAlignment="1">
      <alignment horizontal="right"/>
    </xf>
    <xf numFmtId="0" fontId="23" fillId="6" borderId="0" xfId="0" applyFont="1" applyFill="1" applyBorder="1" applyAlignment="1"/>
    <xf numFmtId="0" fontId="23" fillId="6" borderId="0" xfId="0" applyFont="1" applyFill="1" applyBorder="1" applyAlignment="1">
      <alignment horizontal="right"/>
    </xf>
    <xf numFmtId="198" fontId="23" fillId="6" borderId="0" xfId="0" applyNumberFormat="1" applyFont="1" applyFill="1" applyBorder="1"/>
    <xf numFmtId="233" fontId="23" fillId="6" borderId="0" xfId="0" applyNumberFormat="1" applyFont="1" applyFill="1" applyBorder="1"/>
    <xf numFmtId="9" fontId="23" fillId="0" borderId="0" xfId="0" applyNumberFormat="1" applyFont="1" applyBorder="1"/>
    <xf numFmtId="0" fontId="23" fillId="0" borderId="0" xfId="0" applyFont="1" applyBorder="1" applyAlignment="1"/>
    <xf numFmtId="166" fontId="23" fillId="0" borderId="0" xfId="0" applyNumberFormat="1" applyFont="1" applyBorder="1"/>
    <xf numFmtId="229" fontId="23" fillId="0" borderId="0" xfId="0" applyNumberFormat="1" applyFont="1" applyBorder="1"/>
    <xf numFmtId="196" fontId="23" fillId="0" borderId="0" xfId="0" applyNumberFormat="1" applyFont="1" applyBorder="1" applyAlignment="1">
      <alignment horizontal="left"/>
    </xf>
    <xf numFmtId="234" fontId="23" fillId="6" borderId="0" xfId="0" applyNumberFormat="1" applyFont="1" applyFill="1" applyBorder="1"/>
    <xf numFmtId="233" fontId="23" fillId="6" borderId="0" xfId="0" applyNumberFormat="1" applyFont="1" applyFill="1" applyBorder="1" applyAlignment="1">
      <alignment horizontal="center"/>
    </xf>
    <xf numFmtId="167" fontId="23" fillId="6" borderId="0" xfId="0" applyNumberFormat="1" applyFont="1" applyFill="1" applyBorder="1"/>
    <xf numFmtId="167" fontId="23" fillId="0" borderId="0" xfId="0" applyNumberFormat="1" applyFont="1" applyBorder="1"/>
    <xf numFmtId="234" fontId="23" fillId="0" borderId="0" xfId="0" applyNumberFormat="1" applyFont="1" applyBorder="1"/>
    <xf numFmtId="233" fontId="23" fillId="0" borderId="0" xfId="0" applyNumberFormat="1" applyFont="1" applyBorder="1" applyAlignment="1">
      <alignment horizontal="center"/>
    </xf>
    <xf numFmtId="197" fontId="23" fillId="0" borderId="0" xfId="0" applyNumberFormat="1" applyFont="1" applyFill="1" applyBorder="1" applyAlignment="1">
      <alignment horizontal="left"/>
    </xf>
    <xf numFmtId="222" fontId="23" fillId="0" borderId="0" xfId="0" applyNumberFormat="1" applyFont="1" applyFill="1" applyBorder="1" applyAlignment="1">
      <alignment horizontal="left"/>
    </xf>
    <xf numFmtId="183" fontId="23" fillId="0" borderId="0" xfId="0" applyNumberFormat="1" applyFont="1" applyFill="1" applyBorder="1" applyAlignment="1">
      <alignment horizontal="left"/>
    </xf>
    <xf numFmtId="223" fontId="64" fillId="0" borderId="0" xfId="0" applyNumberFormat="1" applyFont="1" applyFill="1" applyBorder="1" applyAlignment="1">
      <alignment horizontal="center"/>
    </xf>
    <xf numFmtId="224" fontId="64" fillId="0" borderId="0" xfId="0" applyNumberFormat="1" applyFont="1" applyFill="1" applyBorder="1" applyAlignment="1">
      <alignment horizontal="center"/>
    </xf>
    <xf numFmtId="236" fontId="64" fillId="0" borderId="0" xfId="0" applyNumberFormat="1" applyFont="1" applyFill="1" applyBorder="1" applyAlignment="1">
      <alignment horizontal="left"/>
    </xf>
    <xf numFmtId="2" fontId="23" fillId="6" borderId="0" xfId="0" applyNumberFormat="1" applyFont="1" applyFill="1" applyBorder="1" applyAlignment="1">
      <alignment horizontal="center"/>
    </xf>
    <xf numFmtId="197" fontId="23" fillId="0" borderId="0" xfId="0" applyNumberFormat="1" applyFont="1" applyFill="1" applyBorder="1"/>
    <xf numFmtId="225" fontId="23" fillId="0" borderId="0" xfId="0" applyNumberFormat="1" applyFont="1" applyFill="1" applyBorder="1"/>
    <xf numFmtId="0" fontId="67" fillId="0" borderId="0" xfId="0" applyFont="1" applyFill="1" applyBorder="1"/>
    <xf numFmtId="0" fontId="75" fillId="0" borderId="0" xfId="0" applyFont="1" applyFill="1" applyBorder="1"/>
    <xf numFmtId="0" fontId="76" fillId="0" borderId="0" xfId="0" applyFont="1" applyFill="1" applyBorder="1"/>
    <xf numFmtId="225" fontId="23" fillId="0" borderId="6" xfId="0" applyNumberFormat="1" applyFont="1" applyFill="1" applyBorder="1"/>
    <xf numFmtId="0" fontId="63" fillId="0" borderId="0" xfId="0" applyFont="1" applyFill="1" applyBorder="1"/>
    <xf numFmtId="0" fontId="63" fillId="6" borderId="0" xfId="0" applyFont="1" applyFill="1" applyBorder="1"/>
    <xf numFmtId="2" fontId="63" fillId="6" borderId="0" xfId="0" applyNumberFormat="1" applyFont="1" applyFill="1" applyBorder="1"/>
    <xf numFmtId="2" fontId="63" fillId="0" borderId="0" xfId="0" applyNumberFormat="1" applyFont="1" applyFill="1" applyBorder="1"/>
    <xf numFmtId="225" fontId="63" fillId="0" borderId="0" xfId="0" applyNumberFormat="1" applyFont="1" applyFill="1" applyBorder="1"/>
    <xf numFmtId="0" fontId="77" fillId="0" borderId="0" xfId="0" applyFont="1" applyFill="1" applyBorder="1"/>
    <xf numFmtId="227" fontId="77" fillId="6" borderId="0" xfId="0" applyNumberFormat="1" applyFont="1" applyFill="1" applyBorder="1"/>
    <xf numFmtId="229" fontId="77" fillId="6" borderId="0" xfId="0" applyNumberFormat="1" applyFont="1" applyFill="1" applyBorder="1"/>
    <xf numFmtId="197" fontId="77" fillId="6" borderId="0" xfId="0" applyNumberFormat="1" applyFont="1" applyFill="1" applyBorder="1"/>
    <xf numFmtId="197" fontId="77" fillId="0" borderId="0" xfId="0" applyNumberFormat="1" applyFont="1" applyFill="1" applyBorder="1"/>
    <xf numFmtId="225" fontId="67" fillId="0" borderId="0" xfId="0" applyNumberFormat="1" applyFont="1" applyFill="1" applyBorder="1"/>
    <xf numFmtId="0" fontId="63" fillId="0" borderId="0" xfId="0" applyFont="1" applyFill="1" applyBorder="1" applyAlignment="1">
      <alignment horizontal="center"/>
    </xf>
    <xf numFmtId="0" fontId="63" fillId="0" borderId="0" xfId="0" applyFont="1" applyFill="1" applyBorder="1" applyAlignment="1">
      <alignment horizontal="left"/>
    </xf>
    <xf numFmtId="237" fontId="63" fillId="0" borderId="0" xfId="0" applyNumberFormat="1" applyFont="1" applyFill="1" applyBorder="1" applyAlignment="1">
      <alignment horizontal="left"/>
    </xf>
    <xf numFmtId="0" fontId="23" fillId="0" borderId="0" xfId="0" applyFont="1" applyFill="1" applyBorder="1" applyAlignment="1"/>
    <xf numFmtId="196" fontId="23" fillId="6" borderId="0" xfId="0" applyNumberFormat="1" applyFont="1" applyFill="1" applyBorder="1" applyAlignment="1">
      <alignment horizontal="right"/>
    </xf>
    <xf numFmtId="166" fontId="23" fillId="6" borderId="0" xfId="0" applyNumberFormat="1" applyFont="1" applyFill="1" applyBorder="1" applyAlignment="1">
      <alignment horizontal="center"/>
    </xf>
    <xf numFmtId="230" fontId="23" fillId="0" borderId="0" xfId="0" applyNumberFormat="1" applyFont="1" applyFill="1" applyBorder="1" applyAlignment="1"/>
    <xf numFmtId="231" fontId="23" fillId="0" borderId="0" xfId="0" applyNumberFormat="1" applyFont="1" applyFill="1" applyBorder="1" applyAlignment="1">
      <alignment horizontal="center"/>
    </xf>
    <xf numFmtId="198" fontId="23" fillId="0" borderId="0" xfId="0" applyNumberFormat="1" applyFont="1" applyFill="1" applyBorder="1"/>
    <xf numFmtId="9" fontId="23" fillId="0" borderId="0" xfId="0" applyNumberFormat="1" applyFont="1" applyFill="1" applyBorder="1"/>
    <xf numFmtId="166" fontId="63" fillId="6" borderId="0" xfId="0" applyNumberFormat="1" applyFont="1" applyFill="1" applyBorder="1"/>
    <xf numFmtId="225" fontId="23" fillId="0" borderId="0" xfId="0" applyNumberFormat="1" applyFont="1" applyFill="1" applyBorder="1" applyAlignment="1">
      <alignment horizontal="center"/>
    </xf>
    <xf numFmtId="166" fontId="23" fillId="0" borderId="0" xfId="0" applyNumberFormat="1" applyFont="1" applyFill="1" applyBorder="1"/>
    <xf numFmtId="0" fontId="23" fillId="6" borderId="0" xfId="0" applyFont="1" applyFill="1" applyBorder="1" applyAlignment="1">
      <alignment horizontal="center"/>
    </xf>
    <xf numFmtId="238" fontId="23" fillId="0" borderId="0" xfId="0" applyNumberFormat="1" applyFont="1" applyFill="1" applyBorder="1" applyAlignment="1">
      <alignment horizontal="center"/>
    </xf>
    <xf numFmtId="238" fontId="23" fillId="6" borderId="0" xfId="0" applyNumberFormat="1" applyFont="1" applyFill="1" applyBorder="1" applyAlignment="1">
      <alignment horizontal="left"/>
    </xf>
    <xf numFmtId="239" fontId="23" fillId="0" borderId="0" xfId="0" applyNumberFormat="1" applyFont="1" applyFill="1" applyBorder="1" applyAlignment="1">
      <alignment horizontal="left"/>
    </xf>
    <xf numFmtId="167" fontId="23" fillId="0" borderId="0" xfId="0" applyNumberFormat="1" applyFont="1" applyFill="1" applyBorder="1" applyAlignment="1">
      <alignment horizontal="center"/>
    </xf>
    <xf numFmtId="196" fontId="23" fillId="0" borderId="0" xfId="0" applyNumberFormat="1" applyFont="1" applyFill="1" applyBorder="1" applyAlignment="1">
      <alignment horizontal="left"/>
    </xf>
    <xf numFmtId="240" fontId="23" fillId="0" borderId="0" xfId="0" applyNumberFormat="1" applyFont="1" applyFill="1" applyBorder="1"/>
    <xf numFmtId="233" fontId="23" fillId="0" borderId="0" xfId="0" applyNumberFormat="1" applyFont="1" applyFill="1" applyBorder="1" applyAlignment="1">
      <alignment horizontal="left"/>
    </xf>
    <xf numFmtId="167" fontId="23" fillId="0" borderId="0" xfId="0" applyNumberFormat="1" applyFont="1" applyFill="1" applyBorder="1"/>
    <xf numFmtId="233" fontId="23" fillId="0" borderId="0" xfId="0" applyNumberFormat="1" applyFont="1" applyFill="1" applyBorder="1" applyAlignment="1">
      <alignment horizontal="center"/>
    </xf>
    <xf numFmtId="241" fontId="23" fillId="0" borderId="0" xfId="0" applyNumberFormat="1" applyFont="1" applyFill="1" applyBorder="1" applyAlignment="1">
      <alignment horizontal="center"/>
    </xf>
    <xf numFmtId="235" fontId="23" fillId="0" borderId="0" xfId="0" applyNumberFormat="1" applyFont="1" applyFill="1" applyBorder="1"/>
    <xf numFmtId="0" fontId="74" fillId="0" borderId="0" xfId="0" applyFont="1" applyFill="1" applyAlignment="1">
      <alignment horizontal="left" vertical="center"/>
    </xf>
    <xf numFmtId="0" fontId="78" fillId="0" borderId="0" xfId="0" applyFont="1" applyFill="1"/>
    <xf numFmtId="0" fontId="73" fillId="3" borderId="0" xfId="0" applyFont="1" applyFill="1" applyAlignment="1">
      <alignment horizontal="left" vertical="center"/>
    </xf>
    <xf numFmtId="0" fontId="74" fillId="8" borderId="0" xfId="0" applyFont="1" applyFill="1" applyAlignment="1">
      <alignment horizontal="center" vertical="center"/>
    </xf>
    <xf numFmtId="0" fontId="64" fillId="8" borderId="0" xfId="0" applyFont="1" applyFill="1" applyAlignment="1">
      <alignment vertical="center"/>
    </xf>
    <xf numFmtId="0" fontId="6" fillId="0" borderId="0" xfId="0" applyFont="1" applyFill="1" applyBorder="1" applyAlignment="1">
      <alignment horizontal="left" vertical="center" wrapText="1"/>
    </xf>
    <xf numFmtId="0" fontId="6" fillId="7" borderId="0" xfId="0" applyFont="1" applyFill="1" applyBorder="1" applyAlignment="1">
      <alignment horizontal="left"/>
    </xf>
    <xf numFmtId="225" fontId="63" fillId="0" borderId="0" xfId="0" applyNumberFormat="1" applyFont="1" applyBorder="1"/>
    <xf numFmtId="227" fontId="23" fillId="0" borderId="0" xfId="0" applyNumberFormat="1" applyFont="1" applyFill="1" applyBorder="1"/>
    <xf numFmtId="226" fontId="64" fillId="0" borderId="0" xfId="0" applyNumberFormat="1" applyFont="1" applyFill="1" applyBorder="1"/>
    <xf numFmtId="226" fontId="23" fillId="0" borderId="0" xfId="0" applyNumberFormat="1" applyFont="1" applyFill="1" applyBorder="1" applyAlignment="1">
      <alignment horizontal="right"/>
    </xf>
    <xf numFmtId="166" fontId="23" fillId="6" borderId="6" xfId="0" applyNumberFormat="1" applyFont="1" applyFill="1" applyBorder="1"/>
    <xf numFmtId="226" fontId="23" fillId="0" borderId="0" xfId="0" applyNumberFormat="1" applyFont="1" applyFill="1" applyBorder="1"/>
    <xf numFmtId="0" fontId="64" fillId="6" borderId="0" xfId="0" applyFont="1" applyFill="1" applyBorder="1"/>
    <xf numFmtId="2" fontId="64" fillId="0" borderId="0" xfId="0" applyNumberFormat="1" applyFont="1" applyFill="1" applyBorder="1"/>
    <xf numFmtId="225" fontId="64" fillId="0" borderId="0" xfId="0" applyNumberFormat="1" applyFont="1" applyFill="1" applyBorder="1"/>
    <xf numFmtId="0" fontId="79" fillId="0" borderId="0" xfId="0" applyFont="1" applyFill="1" applyBorder="1"/>
    <xf numFmtId="227" fontId="79" fillId="6" borderId="0" xfId="0" applyNumberFormat="1" applyFont="1" applyFill="1" applyBorder="1"/>
    <xf numFmtId="229" fontId="79" fillId="6" borderId="0" xfId="0" applyNumberFormat="1" applyFont="1" applyFill="1" applyBorder="1"/>
    <xf numFmtId="197" fontId="79" fillId="6" borderId="0" xfId="0" applyNumberFormat="1" applyFont="1" applyFill="1" applyBorder="1"/>
    <xf numFmtId="197" fontId="79" fillId="0" borderId="0" xfId="0" applyNumberFormat="1" applyFont="1" applyFill="1" applyBorder="1"/>
    <xf numFmtId="225" fontId="6" fillId="0" borderId="0" xfId="0" applyNumberFormat="1" applyFont="1" applyFill="1" applyBorder="1"/>
    <xf numFmtId="0" fontId="6" fillId="0" borderId="0" xfId="0" applyFont="1" applyFill="1" applyBorder="1" applyAlignment="1"/>
    <xf numFmtId="0" fontId="6" fillId="6" borderId="0" xfId="0" applyFont="1" applyFill="1" applyBorder="1"/>
    <xf numFmtId="231" fontId="6" fillId="0" borderId="0" xfId="0" applyNumberFormat="1" applyFont="1" applyFill="1" applyBorder="1" applyAlignment="1">
      <alignment horizontal="center"/>
    </xf>
    <xf numFmtId="225" fontId="6" fillId="0" borderId="0" xfId="0" applyNumberFormat="1" applyFont="1" applyFill="1" applyBorder="1" applyAlignment="1">
      <alignment horizontal="center"/>
    </xf>
    <xf numFmtId="196" fontId="6" fillId="0" borderId="0" xfId="0" applyNumberFormat="1" applyFont="1" applyFill="1" applyBorder="1" applyAlignment="1">
      <alignment horizontal="left"/>
    </xf>
    <xf numFmtId="240" fontId="6" fillId="0" borderId="0" xfId="0" applyNumberFormat="1" applyFont="1" applyFill="1" applyBorder="1"/>
    <xf numFmtId="0" fontId="5" fillId="6" borderId="0" xfId="0" applyFont="1" applyFill="1" applyBorder="1"/>
    <xf numFmtId="0" fontId="82" fillId="7" borderId="0" xfId="0" applyFont="1" applyFill="1" applyAlignment="1">
      <alignment horizontal="center"/>
    </xf>
    <xf numFmtId="0" fontId="4" fillId="7" borderId="0" xfId="0" applyFont="1" applyFill="1"/>
    <xf numFmtId="216" fontId="5" fillId="0" borderId="29" xfId="0" applyNumberFormat="1" applyFont="1" applyFill="1" applyBorder="1" applyAlignment="1">
      <alignment horizontal="center" vertical="center"/>
    </xf>
    <xf numFmtId="216" fontId="8" fillId="0" borderId="30" xfId="0" applyNumberFormat="1" applyFont="1" applyFill="1" applyBorder="1" applyAlignment="1">
      <alignment horizontal="center" vertical="center"/>
    </xf>
    <xf numFmtId="176" fontId="5" fillId="0" borderId="30" xfId="0" applyNumberFormat="1" applyFont="1" applyFill="1" applyBorder="1" applyAlignment="1">
      <alignment horizontal="center" vertical="center"/>
    </xf>
    <xf numFmtId="176" fontId="8" fillId="0" borderId="31" xfId="0" applyNumberFormat="1" applyFont="1" applyFill="1" applyBorder="1" applyAlignment="1">
      <alignment horizontal="center" vertical="center"/>
    </xf>
    <xf numFmtId="176" fontId="7" fillId="0" borderId="29" xfId="0" applyNumberFormat="1" applyFont="1" applyFill="1" applyBorder="1" applyAlignment="1">
      <alignment horizontal="center" vertical="center"/>
    </xf>
    <xf numFmtId="176" fontId="12" fillId="0" borderId="30" xfId="0" applyNumberFormat="1" applyFont="1" applyFill="1" applyBorder="1" applyAlignment="1">
      <alignment horizontal="center" vertical="center"/>
    </xf>
    <xf numFmtId="167" fontId="12" fillId="0" borderId="30" xfId="0" applyNumberFormat="1" applyFont="1" applyFill="1" applyBorder="1" applyAlignment="1">
      <alignment horizontal="center" vertical="center"/>
    </xf>
    <xf numFmtId="9" fontId="11" fillId="0" borderId="30" xfId="1" applyFont="1" applyFill="1" applyBorder="1" applyAlignment="1">
      <alignment horizontal="center" vertical="center"/>
    </xf>
    <xf numFmtId="9" fontId="11" fillId="0" borderId="30" xfId="0" applyNumberFormat="1" applyFont="1" applyFill="1" applyBorder="1" applyAlignment="1">
      <alignment horizontal="center" vertical="center"/>
    </xf>
    <xf numFmtId="9" fontId="12" fillId="0" borderId="30" xfId="1" applyFont="1" applyFill="1" applyBorder="1" applyAlignment="1">
      <alignment horizontal="center" vertical="center"/>
    </xf>
    <xf numFmtId="177" fontId="11" fillId="0" borderId="30" xfId="0" applyNumberFormat="1" applyFont="1" applyFill="1" applyBorder="1" applyAlignment="1">
      <alignment horizontal="center" vertical="center"/>
    </xf>
    <xf numFmtId="0" fontId="12" fillId="0" borderId="30" xfId="0" applyFont="1" applyFill="1" applyBorder="1" applyAlignment="1">
      <alignment horizontal="center" vertical="center"/>
    </xf>
    <xf numFmtId="205" fontId="11" fillId="0" borderId="30" xfId="0" applyNumberFormat="1" applyFont="1" applyFill="1" applyBorder="1" applyAlignment="1">
      <alignment horizontal="center" vertical="center"/>
    </xf>
    <xf numFmtId="167" fontId="11" fillId="0" borderId="30" xfId="0" applyNumberFormat="1" applyFont="1" applyFill="1" applyBorder="1" applyAlignment="1">
      <alignment horizontal="center" vertical="center"/>
    </xf>
    <xf numFmtId="9" fontId="12" fillId="0" borderId="30" xfId="0" applyNumberFormat="1" applyFont="1" applyFill="1" applyBorder="1" applyAlignment="1">
      <alignment horizontal="center" vertical="center"/>
    </xf>
    <xf numFmtId="204" fontId="12" fillId="0" borderId="30" xfId="0" applyNumberFormat="1" applyFont="1" applyFill="1" applyBorder="1" applyAlignment="1">
      <alignment horizontal="center" vertical="center"/>
    </xf>
    <xf numFmtId="3" fontId="12" fillId="0" borderId="30" xfId="0" applyNumberFormat="1" applyFont="1" applyFill="1" applyBorder="1" applyAlignment="1">
      <alignment horizontal="center" vertical="center"/>
    </xf>
    <xf numFmtId="190" fontId="12" fillId="0" borderId="30" xfId="0" applyNumberFormat="1" applyFont="1" applyFill="1" applyBorder="1" applyAlignment="1">
      <alignment horizontal="center" vertical="center"/>
    </xf>
    <xf numFmtId="1" fontId="12" fillId="0" borderId="30" xfId="1" applyNumberFormat="1" applyFont="1" applyFill="1" applyBorder="1" applyAlignment="1">
      <alignment horizontal="center" vertical="center"/>
    </xf>
    <xf numFmtId="241" fontId="12" fillId="0" borderId="30" xfId="1" applyNumberFormat="1" applyFont="1" applyFill="1" applyBorder="1" applyAlignment="1">
      <alignment horizontal="center" vertical="center"/>
    </xf>
    <xf numFmtId="1" fontId="12" fillId="0" borderId="31" xfId="1" applyNumberFormat="1" applyFont="1" applyFill="1" applyBorder="1" applyAlignment="1">
      <alignment horizontal="center" vertical="center"/>
    </xf>
    <xf numFmtId="168" fontId="5" fillId="10" borderId="29" xfId="0" applyNumberFormat="1" applyFont="1" applyFill="1" applyBorder="1" applyAlignment="1">
      <alignment horizontal="center" vertical="center"/>
    </xf>
    <xf numFmtId="0" fontId="12" fillId="0" borderId="30" xfId="0" applyFont="1" applyFill="1" applyBorder="1" applyAlignment="1">
      <alignment vertical="center"/>
    </xf>
    <xf numFmtId="168" fontId="12" fillId="0" borderId="30" xfId="0" applyNumberFormat="1" applyFont="1" applyFill="1" applyBorder="1" applyAlignment="1">
      <alignment horizontal="center" vertical="center"/>
    </xf>
    <xf numFmtId="217" fontId="5" fillId="10" borderId="30" xfId="0" applyNumberFormat="1" applyFont="1" applyFill="1" applyBorder="1" applyAlignment="1">
      <alignment horizontal="center" vertical="center"/>
    </xf>
    <xf numFmtId="179" fontId="5" fillId="10" borderId="30" xfId="0" applyNumberFormat="1" applyFont="1" applyFill="1" applyBorder="1" applyAlignment="1">
      <alignment horizontal="center" vertical="center"/>
    </xf>
    <xf numFmtId="179" fontId="5" fillId="0" borderId="30" xfId="0" applyNumberFormat="1" applyFont="1" applyFill="1" applyBorder="1" applyAlignment="1">
      <alignment horizontal="center" vertical="center"/>
    </xf>
    <xf numFmtId="179" fontId="12" fillId="0" borderId="30" xfId="0" applyNumberFormat="1" applyFont="1" applyFill="1" applyBorder="1" applyAlignment="1">
      <alignment horizontal="center" vertical="center"/>
    </xf>
    <xf numFmtId="168" fontId="5" fillId="0" borderId="30" xfId="0" applyNumberFormat="1" applyFont="1" applyFill="1" applyBorder="1" applyAlignment="1">
      <alignment horizontal="center" vertical="center"/>
    </xf>
    <xf numFmtId="168" fontId="8" fillId="0" borderId="30" xfId="0" applyNumberFormat="1" applyFont="1" applyFill="1" applyBorder="1" applyAlignment="1">
      <alignment horizontal="center" vertical="center"/>
    </xf>
    <xf numFmtId="168" fontId="8" fillId="0" borderId="31" xfId="0" applyNumberFormat="1" applyFont="1" applyFill="1" applyBorder="1" applyAlignment="1">
      <alignment horizontal="center" vertical="center"/>
    </xf>
    <xf numFmtId="0" fontId="0" fillId="0" borderId="29" xfId="0" applyFill="1" applyBorder="1"/>
    <xf numFmtId="193" fontId="5" fillId="10" borderId="30" xfId="0" applyNumberFormat="1" applyFont="1" applyFill="1" applyBorder="1" applyAlignment="1">
      <alignment horizontal="center" vertical="center"/>
    </xf>
    <xf numFmtId="190" fontId="5" fillId="10" borderId="30" xfId="0" applyNumberFormat="1" applyFont="1" applyFill="1" applyBorder="1" applyAlignment="1">
      <alignment horizontal="center" vertical="center"/>
    </xf>
    <xf numFmtId="9" fontId="5" fillId="10" borderId="30" xfId="1" applyFont="1" applyFill="1" applyBorder="1" applyAlignment="1">
      <alignment horizontal="center" vertical="center"/>
    </xf>
    <xf numFmtId="172" fontId="5" fillId="10" borderId="30" xfId="1" applyNumberFormat="1" applyFont="1" applyFill="1" applyBorder="1" applyAlignment="1">
      <alignment horizontal="center" vertical="center"/>
    </xf>
    <xf numFmtId="172" fontId="5" fillId="0" borderId="30" xfId="1" applyNumberFormat="1" applyFont="1" applyFill="1" applyBorder="1" applyAlignment="1">
      <alignment horizontal="center" vertical="center"/>
    </xf>
    <xf numFmtId="0" fontId="0" fillId="0" borderId="30" xfId="0" applyBorder="1" applyAlignment="1">
      <alignment vertical="center"/>
    </xf>
    <xf numFmtId="190" fontId="5" fillId="10" borderId="31" xfId="0" applyNumberFormat="1" applyFont="1" applyFill="1" applyBorder="1" applyAlignment="1">
      <alignment horizontal="center" vertical="center"/>
    </xf>
    <xf numFmtId="193" fontId="5" fillId="10" borderId="29" xfId="0" applyNumberFormat="1" applyFont="1" applyFill="1" applyBorder="1" applyAlignment="1">
      <alignment horizontal="center" vertical="center"/>
    </xf>
    <xf numFmtId="193" fontId="8" fillId="0" borderId="30" xfId="0" applyNumberFormat="1" applyFont="1" applyFill="1" applyBorder="1" applyAlignment="1">
      <alignment horizontal="center" vertical="center"/>
    </xf>
    <xf numFmtId="218" fontId="5" fillId="10" borderId="30" xfId="0" applyNumberFormat="1" applyFont="1" applyFill="1" applyBorder="1" applyAlignment="1">
      <alignment horizontal="center" vertical="center"/>
    </xf>
    <xf numFmtId="191" fontId="5" fillId="0" borderId="30" xfId="0" applyNumberFormat="1" applyFont="1" applyFill="1" applyBorder="1" applyAlignment="1">
      <alignment horizontal="center" vertical="center"/>
    </xf>
    <xf numFmtId="190" fontId="8" fillId="0" borderId="30" xfId="1" applyNumberFormat="1" applyFont="1" applyFill="1" applyBorder="1" applyAlignment="1">
      <alignment horizontal="center"/>
    </xf>
    <xf numFmtId="186" fontId="8" fillId="0" borderId="30" xfId="0" applyNumberFormat="1" applyFont="1" applyFill="1" applyBorder="1" applyAlignment="1">
      <alignment horizontal="center" vertical="center"/>
    </xf>
    <xf numFmtId="9" fontId="8" fillId="0" borderId="30" xfId="0" applyNumberFormat="1" applyFont="1" applyFill="1" applyBorder="1" applyAlignment="1">
      <alignment horizontal="center" vertical="center"/>
    </xf>
    <xf numFmtId="191" fontId="8" fillId="0" borderId="30" xfId="0" applyNumberFormat="1" applyFont="1" applyFill="1" applyBorder="1" applyAlignment="1">
      <alignment horizontal="center" vertical="center"/>
    </xf>
    <xf numFmtId="9" fontId="8" fillId="0" borderId="30" xfId="1" applyFont="1" applyFill="1" applyBorder="1" applyAlignment="1">
      <alignment horizontal="center" vertical="center"/>
    </xf>
    <xf numFmtId="191" fontId="8" fillId="0" borderId="31" xfId="0" applyNumberFormat="1" applyFont="1" applyFill="1" applyBorder="1" applyAlignment="1">
      <alignment horizontal="center" vertical="center"/>
    </xf>
    <xf numFmtId="0" fontId="31" fillId="3" borderId="29" xfId="0" applyFont="1" applyFill="1" applyBorder="1" applyAlignment="1">
      <alignment horizontal="center" vertical="center"/>
    </xf>
    <xf numFmtId="0" fontId="39" fillId="0" borderId="30" xfId="0" applyFont="1" applyFill="1" applyBorder="1" applyAlignment="1">
      <alignment horizontal="center" vertical="center" wrapText="1"/>
    </xf>
    <xf numFmtId="190" fontId="11" fillId="0" borderId="30" xfId="0" applyNumberFormat="1" applyFont="1" applyFill="1" applyBorder="1" applyAlignment="1">
      <alignment horizontal="center" vertical="center"/>
    </xf>
    <xf numFmtId="0" fontId="12" fillId="0" borderId="30" xfId="0" applyFont="1" applyFill="1" applyBorder="1"/>
    <xf numFmtId="178" fontId="5" fillId="10" borderId="30" xfId="0" applyNumberFormat="1" applyFont="1" applyFill="1" applyBorder="1" applyAlignment="1">
      <alignment horizontal="center" vertical="center"/>
    </xf>
    <xf numFmtId="205" fontId="5" fillId="0" borderId="30" xfId="0" applyNumberFormat="1" applyFont="1" applyFill="1" applyBorder="1" applyAlignment="1">
      <alignment horizontal="center" vertical="center"/>
    </xf>
    <xf numFmtId="215" fontId="5" fillId="0" borderId="31" xfId="0" applyNumberFormat="1" applyFont="1" applyFill="1" applyBorder="1" applyAlignment="1">
      <alignment horizontal="center" vertical="center"/>
    </xf>
    <xf numFmtId="190" fontId="11" fillId="0" borderId="30" xfId="0" applyNumberFormat="1" applyFont="1" applyFill="1" applyBorder="1" applyAlignment="1">
      <alignment horizontal="center" vertical="center" wrapText="1"/>
    </xf>
    <xf numFmtId="190" fontId="5" fillId="0" borderId="30" xfId="0" applyNumberFormat="1" applyFont="1" applyFill="1" applyBorder="1" applyAlignment="1">
      <alignment horizontal="center" vertical="center" wrapText="1"/>
    </xf>
    <xf numFmtId="0" fontId="0" fillId="0" borderId="30" xfId="0" applyFill="1" applyBorder="1"/>
    <xf numFmtId="9" fontId="0" fillId="0" borderId="30" xfId="0" applyNumberFormat="1" applyFill="1" applyBorder="1" applyAlignment="1">
      <alignment horizontal="center"/>
    </xf>
    <xf numFmtId="9" fontId="0" fillId="0" borderId="31" xfId="0" applyNumberFormat="1" applyFill="1" applyBorder="1" applyAlignment="1">
      <alignment horizontal="center"/>
    </xf>
    <xf numFmtId="0" fontId="0" fillId="0" borderId="30" xfId="0" applyBorder="1"/>
    <xf numFmtId="9" fontId="0" fillId="0" borderId="30" xfId="0" applyNumberFormat="1" applyBorder="1" applyAlignment="1">
      <alignment horizontal="center"/>
    </xf>
    <xf numFmtId="9" fontId="0" fillId="0" borderId="31" xfId="0" applyNumberFormat="1" applyBorder="1" applyAlignment="1">
      <alignment horizontal="center"/>
    </xf>
    <xf numFmtId="190" fontId="11" fillId="0" borderId="30" xfId="0" applyNumberFormat="1" applyFont="1" applyBorder="1" applyAlignment="1">
      <alignment horizontal="center" vertical="center"/>
    </xf>
    <xf numFmtId="190" fontId="12" fillId="0" borderId="30" xfId="0" applyNumberFormat="1" applyFont="1" applyBorder="1" applyAlignment="1">
      <alignment horizontal="center" vertical="center"/>
    </xf>
    <xf numFmtId="168" fontId="12" fillId="0" borderId="30" xfId="1" applyNumberFormat="1" applyFont="1" applyBorder="1" applyAlignment="1">
      <alignment horizontal="center" vertical="center"/>
    </xf>
    <xf numFmtId="9" fontId="12" fillId="0" borderId="31" xfId="0" applyNumberFormat="1" applyFont="1" applyBorder="1" applyAlignment="1">
      <alignment horizontal="center" vertical="center"/>
    </xf>
    <xf numFmtId="0" fontId="31" fillId="3" borderId="32" xfId="0" applyFont="1" applyFill="1" applyBorder="1" applyAlignment="1">
      <alignment horizontal="center" vertical="center"/>
    </xf>
    <xf numFmtId="190" fontId="11" fillId="0" borderId="33" xfId="0" applyNumberFormat="1" applyFont="1" applyBorder="1" applyAlignment="1">
      <alignment horizontal="center"/>
    </xf>
    <xf numFmtId="190" fontId="12" fillId="0" borderId="33" xfId="0" applyNumberFormat="1" applyFont="1" applyBorder="1" applyAlignment="1">
      <alignment horizontal="center" vertical="center"/>
    </xf>
    <xf numFmtId="0" fontId="0" fillId="0" borderId="33" xfId="0" applyBorder="1"/>
    <xf numFmtId="9" fontId="12" fillId="0" borderId="33" xfId="0" applyNumberFormat="1" applyFont="1" applyBorder="1" applyAlignment="1">
      <alignment horizontal="center" vertical="center"/>
    </xf>
    <xf numFmtId="9" fontId="12" fillId="0" borderId="34" xfId="0" applyNumberFormat="1" applyFont="1" applyBorder="1" applyAlignment="1">
      <alignment horizontal="center" vertical="center"/>
    </xf>
    <xf numFmtId="0" fontId="0" fillId="0" borderId="35" xfId="0" applyBorder="1"/>
    <xf numFmtId="219" fontId="0" fillId="0" borderId="33" xfId="0" applyNumberFormat="1" applyBorder="1" applyAlignment="1">
      <alignment horizontal="center"/>
    </xf>
    <xf numFmtId="1" fontId="0" fillId="0" borderId="33" xfId="0" applyNumberFormat="1" applyBorder="1" applyAlignment="1">
      <alignment horizontal="center"/>
    </xf>
    <xf numFmtId="1" fontId="11" fillId="0" borderId="33" xfId="0" applyNumberFormat="1" applyFont="1" applyBorder="1" applyAlignment="1">
      <alignment horizontal="center"/>
    </xf>
    <xf numFmtId="1" fontId="0" fillId="0" borderId="36" xfId="0" applyNumberFormat="1" applyBorder="1" applyAlignment="1">
      <alignment horizontal="center"/>
    </xf>
    <xf numFmtId="0" fontId="31" fillId="3" borderId="37" xfId="0" applyFont="1" applyFill="1" applyBorder="1" applyAlignment="1">
      <alignment horizontal="center" vertical="center"/>
    </xf>
    <xf numFmtId="190" fontId="11" fillId="0" borderId="38" xfId="0" applyNumberFormat="1" applyFont="1" applyBorder="1" applyAlignment="1">
      <alignment horizontal="center" vertical="center"/>
    </xf>
    <xf numFmtId="168" fontId="12" fillId="0" borderId="33" xfId="0" applyNumberFormat="1" applyFont="1" applyBorder="1" applyAlignment="1">
      <alignment horizontal="center" vertical="center"/>
    </xf>
    <xf numFmtId="9" fontId="12" fillId="0" borderId="36" xfId="0" applyNumberFormat="1" applyFont="1" applyBorder="1" applyAlignment="1">
      <alignment horizontal="center" vertical="center"/>
    </xf>
    <xf numFmtId="190" fontId="5" fillId="0" borderId="33" xfId="0" applyNumberFormat="1" applyFont="1" applyBorder="1" applyAlignment="1">
      <alignment horizontal="center" vertical="center"/>
    </xf>
    <xf numFmtId="9" fontId="0" fillId="0" borderId="33" xfId="0" applyNumberFormat="1" applyBorder="1" applyAlignment="1">
      <alignment horizontal="center"/>
    </xf>
    <xf numFmtId="9" fontId="0" fillId="0" borderId="36" xfId="0" applyNumberFormat="1" applyBorder="1" applyAlignment="1">
      <alignment horizontal="center"/>
    </xf>
    <xf numFmtId="49" fontId="31" fillId="5" borderId="39" xfId="0" applyNumberFormat="1" applyFont="1" applyFill="1" applyBorder="1" applyAlignment="1">
      <alignment horizontal="center" vertical="center"/>
    </xf>
    <xf numFmtId="176" fontId="7" fillId="6" borderId="40" xfId="0" applyNumberFormat="1" applyFont="1" applyFill="1" applyBorder="1" applyAlignment="1" applyProtection="1">
      <alignment horizontal="center" vertical="center"/>
      <protection locked="0"/>
    </xf>
    <xf numFmtId="176" fontId="12" fillId="6" borderId="41" xfId="0" applyNumberFormat="1" applyFont="1" applyFill="1" applyBorder="1" applyAlignment="1" applyProtection="1">
      <alignment horizontal="center" vertical="center"/>
      <protection locked="0"/>
    </xf>
    <xf numFmtId="9" fontId="11" fillId="6" borderId="41" xfId="1" applyFont="1" applyFill="1" applyBorder="1" applyAlignment="1" applyProtection="1">
      <alignment horizontal="center" vertical="center"/>
      <protection locked="0"/>
    </xf>
    <xf numFmtId="9" fontId="12" fillId="6" borderId="41" xfId="1" applyFont="1" applyFill="1" applyBorder="1" applyAlignment="1" applyProtection="1">
      <alignment horizontal="center" vertical="center"/>
      <protection locked="0"/>
    </xf>
    <xf numFmtId="9" fontId="12" fillId="6" borderId="41" xfId="1" applyFont="1" applyFill="1" applyBorder="1" applyAlignment="1" applyProtection="1">
      <alignment horizontal="center" vertical="center"/>
    </xf>
    <xf numFmtId="177" fontId="11" fillId="6" borderId="41" xfId="0" applyNumberFormat="1" applyFont="1" applyFill="1" applyBorder="1" applyAlignment="1" applyProtection="1">
      <alignment horizontal="center" vertical="center"/>
      <protection locked="0"/>
    </xf>
    <xf numFmtId="0" fontId="11" fillId="6" borderId="41" xfId="0" applyFont="1" applyFill="1" applyBorder="1" applyAlignment="1" applyProtection="1">
      <alignment vertical="center"/>
      <protection locked="0"/>
    </xf>
    <xf numFmtId="205" fontId="11" fillId="6" borderId="41" xfId="0" applyNumberFormat="1" applyFont="1" applyFill="1" applyBorder="1" applyAlignment="1" applyProtection="1">
      <alignment horizontal="center" vertical="center"/>
      <protection locked="0"/>
    </xf>
    <xf numFmtId="167" fontId="11" fillId="6" borderId="41" xfId="0" applyNumberFormat="1" applyFont="1" applyFill="1" applyBorder="1" applyAlignment="1" applyProtection="1">
      <alignment horizontal="center" vertical="center"/>
      <protection locked="0"/>
    </xf>
    <xf numFmtId="186" fontId="12" fillId="6" borderId="41" xfId="1" applyNumberFormat="1" applyFont="1" applyFill="1" applyBorder="1" applyAlignment="1" applyProtection="1">
      <alignment horizontal="center" vertical="center"/>
      <protection locked="0"/>
    </xf>
    <xf numFmtId="3" fontId="12" fillId="6" borderId="41" xfId="0" applyNumberFormat="1" applyFont="1" applyFill="1" applyBorder="1" applyAlignment="1" applyProtection="1">
      <alignment horizontal="center" vertical="center"/>
      <protection locked="0"/>
    </xf>
    <xf numFmtId="167" fontId="12" fillId="6" borderId="41" xfId="0" applyNumberFormat="1" applyFont="1" applyFill="1" applyBorder="1" applyAlignment="1" applyProtection="1">
      <alignment horizontal="center" vertical="center"/>
      <protection locked="0"/>
    </xf>
    <xf numFmtId="190" fontId="12" fillId="6" borderId="41" xfId="0" applyNumberFormat="1" applyFont="1" applyFill="1" applyBorder="1" applyAlignment="1">
      <alignment horizontal="center" vertical="center"/>
    </xf>
    <xf numFmtId="190" fontId="12" fillId="6" borderId="41" xfId="0" applyNumberFormat="1" applyFont="1" applyFill="1" applyBorder="1" applyAlignment="1" applyProtection="1">
      <alignment horizontal="center" vertical="center"/>
      <protection locked="0"/>
    </xf>
    <xf numFmtId="1" fontId="12" fillId="6" borderId="41" xfId="1" applyNumberFormat="1" applyFont="1" applyFill="1" applyBorder="1" applyAlignment="1" applyProtection="1">
      <alignment horizontal="center" vertical="center"/>
      <protection locked="0"/>
    </xf>
    <xf numFmtId="241" fontId="12" fillId="6" borderId="41" xfId="1" applyNumberFormat="1" applyFont="1" applyFill="1" applyBorder="1" applyAlignment="1" applyProtection="1">
      <alignment horizontal="center" vertical="center"/>
      <protection locked="0"/>
    </xf>
    <xf numFmtId="1" fontId="12" fillId="6" borderId="42" xfId="1" applyNumberFormat="1" applyFont="1" applyFill="1" applyBorder="1" applyAlignment="1" applyProtection="1">
      <alignment horizontal="center" vertical="center"/>
      <protection locked="0"/>
    </xf>
    <xf numFmtId="49" fontId="22" fillId="5" borderId="39" xfId="0" applyNumberFormat="1" applyFont="1" applyFill="1" applyBorder="1" applyAlignment="1">
      <alignment horizontal="center" vertical="center"/>
    </xf>
    <xf numFmtId="216" fontId="8" fillId="0" borderId="41" xfId="0" applyNumberFormat="1" applyFont="1" applyFill="1" applyBorder="1" applyAlignment="1">
      <alignment horizontal="center" vertical="center"/>
    </xf>
    <xf numFmtId="176" fontId="5" fillId="0" borderId="41" xfId="0" applyNumberFormat="1" applyFont="1" applyFill="1" applyBorder="1" applyAlignment="1">
      <alignment horizontal="center" vertical="center"/>
    </xf>
    <xf numFmtId="176" fontId="8" fillId="0" borderId="42" xfId="0" applyNumberFormat="1" applyFont="1" applyFill="1" applyBorder="1" applyAlignment="1">
      <alignment horizontal="center" vertical="center"/>
    </xf>
    <xf numFmtId="49" fontId="22" fillId="0" borderId="41" xfId="0" applyNumberFormat="1" applyFont="1" applyFill="1" applyBorder="1" applyAlignment="1">
      <alignment horizontal="center"/>
    </xf>
    <xf numFmtId="168" fontId="5" fillId="10" borderId="41" xfId="0" applyNumberFormat="1" applyFont="1" applyFill="1" applyBorder="1" applyAlignment="1">
      <alignment horizontal="center" vertical="center"/>
    </xf>
    <xf numFmtId="0" fontId="12" fillId="0" borderId="41" xfId="0" applyFont="1" applyFill="1" applyBorder="1" applyAlignment="1">
      <alignment vertical="center"/>
    </xf>
    <xf numFmtId="168" fontId="12" fillId="0" borderId="41" xfId="0" applyNumberFormat="1" applyFont="1" applyFill="1" applyBorder="1" applyAlignment="1">
      <alignment horizontal="center" vertical="center"/>
    </xf>
    <xf numFmtId="217" fontId="5" fillId="10" borderId="41" xfId="0" applyNumberFormat="1" applyFont="1" applyFill="1" applyBorder="1" applyAlignment="1">
      <alignment horizontal="center" vertical="center"/>
    </xf>
    <xf numFmtId="176" fontId="5" fillId="10" borderId="41" xfId="0" applyNumberFormat="1" applyFont="1" applyFill="1" applyBorder="1" applyAlignment="1">
      <alignment horizontal="center" vertical="center"/>
    </xf>
    <xf numFmtId="179" fontId="5" fillId="10" borderId="41" xfId="0" applyNumberFormat="1" applyFont="1" applyFill="1" applyBorder="1" applyAlignment="1">
      <alignment horizontal="center" vertical="center"/>
    </xf>
    <xf numFmtId="179" fontId="12" fillId="0" borderId="41" xfId="0" applyNumberFormat="1" applyFont="1" applyFill="1" applyBorder="1" applyAlignment="1">
      <alignment horizontal="center" vertical="center"/>
    </xf>
    <xf numFmtId="168" fontId="5" fillId="0" borderId="41" xfId="0" applyNumberFormat="1" applyFont="1" applyFill="1" applyBorder="1" applyAlignment="1">
      <alignment horizontal="center" vertical="center"/>
    </xf>
    <xf numFmtId="168" fontId="8" fillId="0" borderId="41" xfId="0" applyNumberFormat="1" applyFont="1" applyFill="1" applyBorder="1" applyAlignment="1">
      <alignment horizontal="center" vertical="center"/>
    </xf>
    <xf numFmtId="168" fontId="8" fillId="0" borderId="42" xfId="0" applyNumberFormat="1" applyFont="1" applyFill="1" applyBorder="1" applyAlignment="1">
      <alignment horizontal="center" vertical="center"/>
    </xf>
    <xf numFmtId="0" fontId="0" fillId="0" borderId="41" xfId="0" applyFill="1" applyBorder="1"/>
    <xf numFmtId="193" fontId="5" fillId="10" borderId="41" xfId="0" applyNumberFormat="1" applyFont="1" applyFill="1" applyBorder="1" applyAlignment="1">
      <alignment horizontal="center" vertical="center"/>
    </xf>
    <xf numFmtId="190" fontId="5" fillId="10" borderId="41" xfId="0" applyNumberFormat="1" applyFont="1" applyFill="1" applyBorder="1" applyAlignment="1">
      <alignment horizontal="center" vertical="center"/>
    </xf>
    <xf numFmtId="9" fontId="5" fillId="10" borderId="41" xfId="1" applyNumberFormat="1" applyFont="1" applyFill="1" applyBorder="1" applyAlignment="1">
      <alignment horizontal="center" vertical="center"/>
    </xf>
    <xf numFmtId="172" fontId="5" fillId="10" borderId="41" xfId="1" applyNumberFormat="1" applyFont="1" applyFill="1" applyBorder="1" applyAlignment="1">
      <alignment horizontal="center" vertical="center"/>
    </xf>
    <xf numFmtId="172" fontId="5" fillId="0" borderId="41" xfId="1" applyNumberFormat="1" applyFont="1" applyFill="1" applyBorder="1" applyAlignment="1">
      <alignment horizontal="center" vertical="center"/>
    </xf>
    <xf numFmtId="190" fontId="5" fillId="10" borderId="42" xfId="0" applyNumberFormat="1" applyFont="1" applyFill="1" applyBorder="1" applyAlignment="1">
      <alignment horizontal="center" vertical="center"/>
    </xf>
    <xf numFmtId="0" fontId="12" fillId="0" borderId="41" xfId="0" applyFont="1" applyFill="1" applyBorder="1" applyAlignment="1">
      <alignment horizontal="center" vertical="center" wrapText="1"/>
    </xf>
    <xf numFmtId="193" fontId="8" fillId="0" borderId="41" xfId="0" applyNumberFormat="1" applyFont="1" applyFill="1" applyBorder="1" applyAlignment="1">
      <alignment horizontal="center" vertical="center"/>
    </xf>
    <xf numFmtId="218" fontId="5" fillId="10" borderId="41" xfId="0" applyNumberFormat="1" applyFont="1" applyFill="1" applyBorder="1" applyAlignment="1">
      <alignment horizontal="center" vertical="center"/>
    </xf>
    <xf numFmtId="191" fontId="5" fillId="0" borderId="41" xfId="0" applyNumberFormat="1" applyFont="1" applyFill="1" applyBorder="1" applyAlignment="1">
      <alignment horizontal="center" vertical="center"/>
    </xf>
    <xf numFmtId="190" fontId="8" fillId="0" borderId="41" xfId="1" applyNumberFormat="1" applyFont="1" applyFill="1" applyBorder="1" applyAlignment="1">
      <alignment horizontal="center"/>
    </xf>
    <xf numFmtId="186" fontId="8" fillId="0" borderId="41" xfId="0" applyNumberFormat="1" applyFont="1" applyFill="1" applyBorder="1" applyAlignment="1">
      <alignment horizontal="center" vertical="center"/>
    </xf>
    <xf numFmtId="9" fontId="8" fillId="0" borderId="41" xfId="0" applyNumberFormat="1" applyFont="1" applyFill="1" applyBorder="1" applyAlignment="1">
      <alignment horizontal="center" vertical="center"/>
    </xf>
    <xf numFmtId="191" fontId="8" fillId="0" borderId="41" xfId="0" applyNumberFormat="1" applyFont="1" applyFill="1" applyBorder="1" applyAlignment="1">
      <alignment horizontal="center" vertical="center"/>
    </xf>
    <xf numFmtId="9" fontId="8" fillId="0" borderId="41" xfId="1" applyFont="1" applyFill="1" applyBorder="1" applyAlignment="1">
      <alignment horizontal="center" vertical="center"/>
    </xf>
    <xf numFmtId="191" fontId="8" fillId="0" borderId="42" xfId="0" applyNumberFormat="1" applyFont="1" applyFill="1" applyBorder="1" applyAlignment="1">
      <alignment horizontal="center" vertical="center"/>
    </xf>
    <xf numFmtId="0" fontId="39" fillId="0" borderId="41" xfId="0" applyFont="1" applyFill="1" applyBorder="1" applyAlignment="1">
      <alignment horizontal="center" vertical="center" wrapText="1"/>
    </xf>
    <xf numFmtId="190" fontId="11" fillId="0" borderId="41" xfId="0" applyNumberFormat="1" applyFont="1" applyFill="1" applyBorder="1" applyAlignment="1">
      <alignment horizontal="center" vertical="center"/>
    </xf>
    <xf numFmtId="0" fontId="12" fillId="0" borderId="41" xfId="0" applyFont="1" applyFill="1" applyBorder="1"/>
    <xf numFmtId="178" fontId="5" fillId="10" borderId="41" xfId="0" applyNumberFormat="1" applyFont="1" applyFill="1" applyBorder="1" applyAlignment="1">
      <alignment horizontal="center" vertical="center"/>
    </xf>
    <xf numFmtId="0" fontId="12" fillId="0" borderId="41" xfId="0" applyFont="1" applyFill="1" applyBorder="1" applyAlignment="1">
      <alignment horizontal="center" vertical="center"/>
    </xf>
    <xf numFmtId="205" fontId="5" fillId="0" borderId="41" xfId="0" applyNumberFormat="1" applyFont="1" applyFill="1" applyBorder="1" applyAlignment="1">
      <alignment horizontal="center" vertical="center"/>
    </xf>
    <xf numFmtId="215" fontId="5" fillId="0" borderId="42" xfId="0" applyNumberFormat="1" applyFont="1" applyFill="1" applyBorder="1" applyAlignment="1">
      <alignment horizontal="center" vertical="center"/>
    </xf>
    <xf numFmtId="190" fontId="11" fillId="0" borderId="41" xfId="0" applyNumberFormat="1" applyFont="1" applyFill="1" applyBorder="1" applyAlignment="1">
      <alignment horizontal="center" vertical="center" wrapText="1"/>
    </xf>
    <xf numFmtId="190" fontId="11" fillId="0" borderId="43" xfId="0" applyNumberFormat="1" applyFont="1" applyFill="1" applyBorder="1" applyAlignment="1">
      <alignment horizontal="center" vertical="center" wrapText="1"/>
    </xf>
    <xf numFmtId="190" fontId="5" fillId="0" borderId="41" xfId="0" applyNumberFormat="1" applyFont="1" applyFill="1" applyBorder="1" applyAlignment="1">
      <alignment horizontal="center" vertical="center" wrapText="1"/>
    </xf>
    <xf numFmtId="9" fontId="0" fillId="0" borderId="41" xfId="0" applyNumberFormat="1" applyFill="1" applyBorder="1" applyAlignment="1">
      <alignment horizontal="center"/>
    </xf>
    <xf numFmtId="9" fontId="0" fillId="0" borderId="42" xfId="0" applyNumberFormat="1" applyFill="1" applyBorder="1" applyAlignment="1">
      <alignment horizontal="center"/>
    </xf>
    <xf numFmtId="0" fontId="0" fillId="0" borderId="41" xfId="0" applyBorder="1"/>
    <xf numFmtId="9" fontId="0" fillId="0" borderId="41" xfId="0" applyNumberFormat="1" applyBorder="1" applyAlignment="1">
      <alignment horizontal="center"/>
    </xf>
    <xf numFmtId="9" fontId="0" fillId="0" borderId="42" xfId="0" applyNumberFormat="1" applyBorder="1" applyAlignment="1">
      <alignment horizontal="center"/>
    </xf>
    <xf numFmtId="190" fontId="5" fillId="0" borderId="40" xfId="0" applyNumberFormat="1" applyFont="1" applyFill="1" applyBorder="1" applyAlignment="1">
      <alignment horizontal="center" vertical="center" wrapText="1"/>
    </xf>
    <xf numFmtId="168" fontId="5" fillId="0" borderId="43" xfId="0" applyNumberFormat="1" applyFont="1" applyFill="1" applyBorder="1" applyAlignment="1">
      <alignment horizontal="center" vertical="center"/>
    </xf>
    <xf numFmtId="190" fontId="12" fillId="0" borderId="43" xfId="0" applyNumberFormat="1" applyFont="1" applyBorder="1" applyAlignment="1">
      <alignment horizontal="center" vertical="center"/>
    </xf>
    <xf numFmtId="190" fontId="12" fillId="0" borderId="41" xfId="0" applyNumberFormat="1" applyFont="1" applyBorder="1" applyAlignment="1">
      <alignment horizontal="center" vertical="center"/>
    </xf>
    <xf numFmtId="9" fontId="11" fillId="0" borderId="41" xfId="0" applyNumberFormat="1" applyFont="1" applyFill="1" applyBorder="1" applyAlignment="1">
      <alignment horizontal="center" vertical="center"/>
    </xf>
    <xf numFmtId="9" fontId="12" fillId="0" borderId="42" xfId="0" applyNumberFormat="1" applyFont="1" applyFill="1" applyBorder="1" applyAlignment="1">
      <alignment horizontal="center" vertical="center"/>
    </xf>
    <xf numFmtId="190" fontId="11" fillId="0" borderId="41" xfId="0" applyNumberFormat="1" applyFont="1" applyBorder="1" applyAlignment="1">
      <alignment horizontal="center" vertical="center"/>
    </xf>
    <xf numFmtId="49" fontId="22" fillId="5" borderId="44" xfId="0" applyNumberFormat="1" applyFont="1" applyFill="1" applyBorder="1" applyAlignment="1">
      <alignment horizontal="center" vertical="center"/>
    </xf>
    <xf numFmtId="190" fontId="11" fillId="0" borderId="45" xfId="0" applyNumberFormat="1" applyFont="1" applyBorder="1" applyAlignment="1">
      <alignment horizontal="center"/>
    </xf>
    <xf numFmtId="190" fontId="11" fillId="0" borderId="46" xfId="0" applyNumberFormat="1" applyFont="1" applyBorder="1" applyAlignment="1">
      <alignment horizontal="center"/>
    </xf>
    <xf numFmtId="0" fontId="0" fillId="0" borderId="45" xfId="0" applyBorder="1"/>
    <xf numFmtId="9" fontId="12" fillId="0" borderId="45" xfId="0" applyNumberFormat="1" applyFont="1" applyBorder="1" applyAlignment="1">
      <alignment horizontal="center"/>
    </xf>
    <xf numFmtId="9" fontId="12" fillId="0" borderId="46" xfId="0" applyNumberFormat="1" applyFont="1" applyBorder="1" applyAlignment="1">
      <alignment horizontal="center"/>
    </xf>
    <xf numFmtId="0" fontId="0" fillId="0" borderId="47" xfId="0" applyBorder="1"/>
    <xf numFmtId="219" fontId="0" fillId="0" borderId="45" xfId="0" applyNumberFormat="1" applyBorder="1" applyAlignment="1">
      <alignment horizontal="center"/>
    </xf>
    <xf numFmtId="1" fontId="0" fillId="0" borderId="45" xfId="0" applyNumberFormat="1" applyBorder="1" applyAlignment="1">
      <alignment horizontal="center"/>
    </xf>
    <xf numFmtId="0" fontId="0" fillId="0" borderId="45" xfId="0" applyBorder="1" applyAlignment="1">
      <alignment horizontal="center"/>
    </xf>
    <xf numFmtId="0" fontId="0" fillId="0" borderId="48" xfId="0" applyBorder="1" applyAlignment="1">
      <alignment horizontal="center"/>
    </xf>
    <xf numFmtId="1" fontId="11" fillId="0" borderId="45" xfId="0" applyNumberFormat="1" applyFont="1" applyBorder="1" applyAlignment="1">
      <alignment horizontal="center"/>
    </xf>
    <xf numFmtId="1" fontId="0" fillId="0" borderId="49" xfId="0" applyNumberFormat="1" applyBorder="1" applyAlignment="1">
      <alignment horizontal="center"/>
    </xf>
    <xf numFmtId="9" fontId="12" fillId="0" borderId="49" xfId="0" applyNumberFormat="1" applyFont="1" applyBorder="1" applyAlignment="1">
      <alignment horizontal="center"/>
    </xf>
    <xf numFmtId="190" fontId="5" fillId="0" borderId="45" xfId="0" applyNumberFormat="1" applyFont="1" applyBorder="1" applyAlignment="1">
      <alignment horizontal="center"/>
    </xf>
    <xf numFmtId="9" fontId="0" fillId="0" borderId="45" xfId="0" applyNumberFormat="1" applyBorder="1" applyAlignment="1">
      <alignment horizontal="center"/>
    </xf>
    <xf numFmtId="9" fontId="0" fillId="0" borderId="49" xfId="0" applyNumberFormat="1" applyBorder="1" applyAlignment="1">
      <alignment horizontal="center"/>
    </xf>
    <xf numFmtId="0" fontId="4" fillId="7" borderId="0" xfId="0" applyFont="1" applyFill="1" applyBorder="1" applyAlignment="1">
      <alignment horizontal="left"/>
    </xf>
    <xf numFmtId="178" fontId="12" fillId="0" borderId="0" xfId="0" applyNumberFormat="1" applyFont="1" applyFill="1" applyBorder="1" applyAlignment="1">
      <alignment horizontal="left"/>
    </xf>
    <xf numFmtId="0" fontId="3" fillId="0" borderId="0" xfId="0" applyFont="1" applyFill="1" applyAlignment="1">
      <alignment horizontal="right" vertical="center" wrapText="1"/>
    </xf>
    <xf numFmtId="9" fontId="3" fillId="0" borderId="1" xfId="0" applyNumberFormat="1" applyFont="1" applyFill="1" applyBorder="1" applyAlignment="1">
      <alignment horizontal="right" vertical="center" wrapText="1"/>
    </xf>
    <xf numFmtId="0" fontId="3" fillId="0" borderId="0" xfId="0" applyFont="1" applyFill="1" applyAlignment="1">
      <alignment horizontal="left" vertical="center" wrapText="1"/>
    </xf>
    <xf numFmtId="207" fontId="0" fillId="6" borderId="41" xfId="0" applyNumberFormat="1" applyFill="1" applyBorder="1" applyAlignment="1">
      <alignment horizontal="center"/>
    </xf>
    <xf numFmtId="202" fontId="0" fillId="6" borderId="41" xfId="0" applyNumberFormat="1" applyFill="1" applyBorder="1" applyAlignment="1">
      <alignment horizontal="center"/>
    </xf>
    <xf numFmtId="181" fontId="0" fillId="0" borderId="0" xfId="0" applyNumberFormat="1" applyFill="1" applyBorder="1" applyAlignment="1">
      <alignment horizontal="center"/>
    </xf>
    <xf numFmtId="202" fontId="0" fillId="0" borderId="0" xfId="0" applyNumberFormat="1" applyFill="1" applyBorder="1" applyAlignment="1">
      <alignment horizontal="center"/>
    </xf>
    <xf numFmtId="207" fontId="0" fillId="0" borderId="30" xfId="0" applyNumberFormat="1" applyFill="1" applyBorder="1" applyAlignment="1">
      <alignment horizontal="center"/>
    </xf>
    <xf numFmtId="202" fontId="0" fillId="0" borderId="30" xfId="0" applyNumberFormat="1" applyFill="1" applyBorder="1" applyAlignment="1">
      <alignment horizontal="center"/>
    </xf>
    <xf numFmtId="0" fontId="11" fillId="2" borderId="0" xfId="0" applyFont="1" applyFill="1" applyBorder="1" applyAlignment="1">
      <alignment wrapText="1"/>
    </xf>
    <xf numFmtId="0" fontId="11" fillId="0" borderId="0" xfId="0" applyFont="1" applyFill="1" applyBorder="1" applyAlignment="1">
      <alignment wrapText="1"/>
    </xf>
    <xf numFmtId="242" fontId="33" fillId="6" borderId="0" xfId="0" applyNumberFormat="1" applyFont="1" applyFill="1" applyBorder="1" applyAlignment="1">
      <alignment horizontal="center"/>
    </xf>
    <xf numFmtId="243" fontId="0" fillId="0" borderId="0" xfId="0" applyNumberFormat="1" applyFill="1" applyBorder="1" applyAlignment="1">
      <alignment horizontal="center"/>
    </xf>
    <xf numFmtId="244" fontId="11" fillId="0" borderId="0" xfId="0" applyNumberFormat="1" applyFont="1" applyFill="1" applyBorder="1" applyAlignment="1">
      <alignment horizontal="center"/>
    </xf>
    <xf numFmtId="245" fontId="12" fillId="0" borderId="0" xfId="0" applyNumberFormat="1" applyFont="1" applyFill="1" applyBorder="1" applyAlignment="1">
      <alignment horizontal="center"/>
    </xf>
    <xf numFmtId="246" fontId="0" fillId="0" borderId="0" xfId="0" applyNumberFormat="1" applyFill="1" applyBorder="1" applyAlignment="1">
      <alignment horizontal="center"/>
    </xf>
    <xf numFmtId="243" fontId="12" fillId="0" borderId="0" xfId="0" applyNumberFormat="1" applyFont="1" applyFill="1" applyBorder="1" applyAlignment="1">
      <alignment horizontal="center"/>
    </xf>
    <xf numFmtId="245" fontId="0" fillId="0" borderId="0" xfId="0" applyNumberFormat="1" applyFill="1" applyBorder="1" applyAlignment="1">
      <alignment horizontal="center"/>
    </xf>
    <xf numFmtId="3" fontId="0" fillId="0" borderId="0" xfId="0" applyNumberFormat="1" applyFill="1"/>
    <xf numFmtId="183" fontId="0" fillId="12" borderId="2" xfId="0" applyNumberFormat="1" applyFill="1" applyBorder="1" applyAlignment="1">
      <alignment horizontal="center"/>
    </xf>
    <xf numFmtId="168" fontId="3" fillId="0" borderId="0" xfId="1" applyNumberFormat="1" applyFill="1" applyBorder="1" applyAlignment="1">
      <alignment horizontal="center"/>
    </xf>
    <xf numFmtId="0" fontId="11" fillId="0" borderId="0" xfId="0" applyFont="1" applyFill="1" applyBorder="1" applyAlignment="1">
      <alignment vertical="center"/>
    </xf>
    <xf numFmtId="0" fontId="3" fillId="0" borderId="0" xfId="0" applyFont="1" applyFill="1" applyBorder="1" applyAlignment="1">
      <alignment vertical="center"/>
    </xf>
    <xf numFmtId="1" fontId="0" fillId="0" borderId="50" xfId="0" applyNumberFormat="1" applyBorder="1" applyAlignment="1">
      <alignment horizontal="center"/>
    </xf>
    <xf numFmtId="1" fontId="0" fillId="0" borderId="0" xfId="0" applyNumberFormat="1"/>
    <xf numFmtId="1" fontId="19" fillId="0" borderId="0" xfId="0" applyNumberFormat="1" applyFont="1" applyFill="1"/>
    <xf numFmtId="1" fontId="19" fillId="0" borderId="0" xfId="0" applyNumberFormat="1" applyFont="1" applyFill="1" applyAlignment="1">
      <alignment horizontal="center"/>
    </xf>
    <xf numFmtId="1" fontId="8" fillId="0" borderId="0" xfId="0" applyNumberFormat="1" applyFont="1"/>
    <xf numFmtId="1" fontId="8" fillId="0" borderId="0" xfId="0" applyNumberFormat="1" applyFont="1" applyAlignment="1">
      <alignment horizontal="center"/>
    </xf>
    <xf numFmtId="1" fontId="52" fillId="0" borderId="0" xfId="0" applyNumberFormat="1" applyFont="1"/>
    <xf numFmtId="1" fontId="9" fillId="0" borderId="0" xfId="0" applyNumberFormat="1" applyFont="1"/>
    <xf numFmtId="1" fontId="52" fillId="0" borderId="0" xfId="0" applyNumberFormat="1" applyFont="1" applyFill="1" applyBorder="1"/>
    <xf numFmtId="167" fontId="12" fillId="2" borderId="0" xfId="0" applyNumberFormat="1" applyFont="1" applyFill="1" applyBorder="1" applyAlignment="1">
      <alignment horizontal="center"/>
    </xf>
    <xf numFmtId="168" fontId="0" fillId="0" borderId="0" xfId="0" applyNumberFormat="1" applyBorder="1" applyAlignment="1">
      <alignment horizontal="right"/>
    </xf>
    <xf numFmtId="178" fontId="11" fillId="6" borderId="0" xfId="0" applyNumberFormat="1" applyFont="1" applyFill="1" applyAlignment="1">
      <alignment horizontal="left"/>
    </xf>
    <xf numFmtId="0" fontId="0" fillId="2" borderId="0" xfId="0" applyFill="1" applyBorder="1" applyAlignment="1">
      <alignment horizontal="center" wrapText="1"/>
    </xf>
    <xf numFmtId="49" fontId="8" fillId="8" borderId="0" xfId="0" applyNumberFormat="1" applyFont="1" applyFill="1" applyAlignment="1">
      <alignment wrapText="1"/>
    </xf>
    <xf numFmtId="168" fontId="12" fillId="0" borderId="1" xfId="0" applyNumberFormat="1" applyFont="1" applyFill="1" applyBorder="1" applyAlignment="1">
      <alignment horizontal="center"/>
    </xf>
    <xf numFmtId="172" fontId="12" fillId="6" borderId="41" xfId="1" applyNumberFormat="1" applyFont="1" applyFill="1" applyBorder="1" applyAlignment="1" applyProtection="1">
      <alignment horizontal="center" vertical="center"/>
      <protection locked="0"/>
    </xf>
    <xf numFmtId="172" fontId="12" fillId="0" borderId="30" xfId="1" applyNumberFormat="1" applyFont="1" applyFill="1" applyBorder="1" applyAlignment="1">
      <alignment horizontal="center" vertical="center"/>
    </xf>
    <xf numFmtId="176" fontId="11" fillId="12" borderId="0" xfId="0" applyNumberFormat="1" applyFont="1" applyFill="1" applyAlignment="1">
      <alignment horizontal="center"/>
    </xf>
    <xf numFmtId="176" fontId="0" fillId="12" borderId="0" xfId="0" applyNumberFormat="1" applyFill="1" applyAlignment="1">
      <alignment horizontal="center"/>
    </xf>
    <xf numFmtId="0" fontId="12" fillId="12" borderId="0" xfId="0" applyFont="1" applyFill="1"/>
    <xf numFmtId="177" fontId="0" fillId="12" borderId="0" xfId="0" applyNumberFormat="1" applyFill="1" applyAlignment="1">
      <alignment horizontal="center"/>
    </xf>
    <xf numFmtId="179" fontId="0" fillId="12" borderId="0" xfId="0" applyNumberFormat="1" applyFill="1" applyAlignment="1">
      <alignment horizontal="center"/>
    </xf>
    <xf numFmtId="178" fontId="0" fillId="12" borderId="0" xfId="0" applyNumberFormat="1" applyFill="1" applyAlignment="1">
      <alignment horizontal="center"/>
    </xf>
    <xf numFmtId="0" fontId="0" fillId="12" borderId="0" xfId="0" applyFill="1" applyAlignment="1">
      <alignment horizontal="center"/>
    </xf>
    <xf numFmtId="3" fontId="0" fillId="0" borderId="6" xfId="0" applyNumberFormat="1" applyBorder="1" applyAlignment="1">
      <alignment horizontal="center"/>
    </xf>
    <xf numFmtId="167" fontId="0" fillId="0" borderId="6" xfId="0" applyNumberFormat="1" applyBorder="1" applyAlignment="1">
      <alignment horizontal="center"/>
    </xf>
    <xf numFmtId="2" fontId="0" fillId="0" borderId="0" xfId="0" applyNumberFormat="1" applyBorder="1" applyAlignment="1">
      <alignment horizontal="center"/>
    </xf>
    <xf numFmtId="185" fontId="12" fillId="0" borderId="0" xfId="0" applyNumberFormat="1" applyFont="1" applyFill="1" applyBorder="1"/>
    <xf numFmtId="0" fontId="1" fillId="6" borderId="0" xfId="0" applyFont="1" applyFill="1"/>
    <xf numFmtId="0" fontId="3"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7" fillId="0" borderId="0" xfId="0" applyFont="1" applyFill="1" applyBorder="1" applyAlignment="1">
      <alignment horizontal="center"/>
    </xf>
    <xf numFmtId="0" fontId="3" fillId="12" borderId="0" xfId="0" applyFont="1" applyFill="1" applyBorder="1"/>
    <xf numFmtId="1" fontId="11" fillId="12" borderId="0" xfId="0" applyNumberFormat="1" applyFont="1" applyFill="1" applyBorder="1" applyAlignment="1">
      <alignment horizontal="center"/>
    </xf>
    <xf numFmtId="0" fontId="11" fillId="12" borderId="0" xfId="0" applyFont="1" applyFill="1" applyBorder="1" applyAlignment="1">
      <alignment horizontal="center"/>
    </xf>
    <xf numFmtId="168" fontId="1" fillId="0" borderId="0" xfId="0" applyNumberFormat="1" applyFont="1" applyAlignment="1">
      <alignment horizontal="center"/>
    </xf>
    <xf numFmtId="2" fontId="0" fillId="12" borderId="0" xfId="0" applyNumberFormat="1" applyFill="1" applyBorder="1" applyAlignment="1">
      <alignment horizontal="center"/>
    </xf>
    <xf numFmtId="4" fontId="0" fillId="12" borderId="0" xfId="0" applyNumberFormat="1" applyFill="1" applyBorder="1" applyAlignment="1">
      <alignment horizontal="center"/>
    </xf>
    <xf numFmtId="207" fontId="0" fillId="12" borderId="0" xfId="0" applyNumberFormat="1" applyFill="1" applyBorder="1" applyAlignment="1">
      <alignment horizontal="center"/>
    </xf>
    <xf numFmtId="178" fontId="11" fillId="12" borderId="0" xfId="0" applyNumberFormat="1" applyFont="1" applyFill="1" applyBorder="1" applyAlignment="1">
      <alignment horizontal="center"/>
    </xf>
    <xf numFmtId="0" fontId="0" fillId="12" borderId="0" xfId="0" applyFill="1" applyBorder="1" applyAlignment="1">
      <alignment horizontal="center"/>
    </xf>
    <xf numFmtId="178" fontId="0" fillId="12" borderId="0" xfId="0" applyNumberFormat="1" applyFill="1" applyBorder="1" applyAlignment="1">
      <alignment horizontal="center"/>
    </xf>
    <xf numFmtId="169" fontId="0" fillId="12" borderId="0" xfId="0" applyNumberFormat="1" applyFill="1" applyBorder="1" applyAlignment="1">
      <alignment horizontal="center"/>
    </xf>
    <xf numFmtId="167" fontId="0" fillId="12" borderId="0" xfId="0" applyNumberFormat="1" applyFill="1" applyBorder="1" applyAlignment="1">
      <alignment horizontal="center"/>
    </xf>
    <xf numFmtId="211" fontId="3" fillId="6" borderId="0" xfId="0" applyNumberFormat="1" applyFont="1" applyFill="1" applyBorder="1" applyAlignment="1">
      <alignment horizontal="center"/>
    </xf>
    <xf numFmtId="9" fontId="3" fillId="12" borderId="0" xfId="0" applyNumberFormat="1" applyFont="1" applyFill="1" applyBorder="1"/>
    <xf numFmtId="167" fontId="3" fillId="6" borderId="0" xfId="0" applyNumberFormat="1" applyFont="1" applyFill="1" applyBorder="1" applyAlignment="1">
      <alignment horizontal="center"/>
    </xf>
    <xf numFmtId="0" fontId="64" fillId="0" borderId="0" xfId="0" applyFont="1" applyFill="1" applyBorder="1" applyAlignment="1">
      <alignment horizontal="center"/>
    </xf>
    <xf numFmtId="0" fontId="23" fillId="0" borderId="0" xfId="0" applyFont="1" applyFill="1" applyAlignment="1">
      <alignment horizontal="center"/>
    </xf>
    <xf numFmtId="9" fontId="23" fillId="0" borderId="0" xfId="0" applyNumberFormat="1" applyFont="1" applyFill="1" applyBorder="1" applyAlignment="1">
      <alignment horizontal="center"/>
    </xf>
    <xf numFmtId="0" fontId="23" fillId="12" borderId="0" xfId="0" applyFont="1" applyFill="1" applyBorder="1"/>
    <xf numFmtId="227" fontId="23" fillId="12" borderId="0" xfId="0" applyNumberFormat="1" applyFont="1" applyFill="1" applyBorder="1"/>
    <xf numFmtId="197" fontId="23" fillId="12" borderId="0" xfId="0" applyNumberFormat="1" applyFont="1" applyFill="1" applyBorder="1"/>
    <xf numFmtId="233" fontId="64" fillId="0" borderId="0" xfId="0" applyNumberFormat="1" applyFont="1" applyBorder="1"/>
    <xf numFmtId="225" fontId="23" fillId="12" borderId="0" xfId="0" applyNumberFormat="1" applyFont="1" applyFill="1" applyBorder="1"/>
    <xf numFmtId="166" fontId="23" fillId="13" borderId="0" xfId="0" applyNumberFormat="1" applyFont="1" applyFill="1" applyBorder="1" applyAlignment="1">
      <alignment horizontal="center"/>
    </xf>
    <xf numFmtId="9" fontId="0" fillId="12" borderId="0" xfId="0" applyNumberFormat="1" applyFill="1"/>
    <xf numFmtId="173" fontId="6" fillId="6" borderId="0" xfId="0" applyNumberFormat="1" applyFont="1" applyFill="1" applyBorder="1"/>
    <xf numFmtId="173" fontId="6" fillId="6" borderId="6" xfId="0" applyNumberFormat="1" applyFont="1" applyFill="1" applyBorder="1"/>
    <xf numFmtId="173" fontId="64" fillId="0" borderId="0" xfId="0" applyNumberFormat="1" applyFont="1" applyBorder="1"/>
    <xf numFmtId="1" fontId="23" fillId="0" borderId="0" xfId="0" applyNumberFormat="1" applyFont="1" applyBorder="1"/>
    <xf numFmtId="2" fontId="64" fillId="0" borderId="0" xfId="0" applyNumberFormat="1" applyFont="1" applyBorder="1"/>
    <xf numFmtId="197" fontId="23" fillId="13" borderId="0" xfId="0" applyNumberFormat="1" applyFont="1" applyFill="1" applyBorder="1"/>
    <xf numFmtId="226" fontId="23" fillId="12" borderId="0" xfId="0" applyNumberFormat="1" applyFont="1" applyFill="1" applyBorder="1"/>
    <xf numFmtId="2" fontId="23" fillId="12" borderId="0" xfId="0" applyNumberFormat="1" applyFont="1" applyFill="1" applyBorder="1"/>
    <xf numFmtId="0" fontId="1" fillId="0" borderId="0" xfId="0" applyFont="1" applyFill="1" applyAlignment="1">
      <alignment horizontal="center" vertical="center" wrapText="1"/>
    </xf>
    <xf numFmtId="0" fontId="4" fillId="7" borderId="0" xfId="0" applyFont="1" applyFill="1" applyBorder="1" applyAlignment="1">
      <alignment horizontal="left"/>
    </xf>
    <xf numFmtId="0" fontId="3" fillId="12" borderId="0" xfId="0" applyFont="1" applyFill="1" applyBorder="1" applyAlignment="1">
      <alignment horizontal="center"/>
    </xf>
    <xf numFmtId="0" fontId="16" fillId="8" borderId="0" xfId="0" applyFont="1" applyFill="1" applyBorder="1" applyAlignment="1">
      <alignment horizontal="center"/>
    </xf>
    <xf numFmtId="0" fontId="39" fillId="7" borderId="0" xfId="0" applyFont="1" applyFill="1" applyAlignment="1">
      <alignment horizontal="left"/>
    </xf>
    <xf numFmtId="0" fontId="14" fillId="8" borderId="0" xfId="0" applyFont="1" applyFill="1" applyAlignment="1">
      <alignment horizontal="left"/>
    </xf>
    <xf numFmtId="0" fontId="39" fillId="7" borderId="0" xfId="0" applyFont="1" applyFill="1" applyBorder="1" applyAlignment="1">
      <alignment horizontal="center" vertical="center" wrapText="1"/>
    </xf>
    <xf numFmtId="0" fontId="12" fillId="7" borderId="0" xfId="0" applyFont="1" applyFill="1" applyBorder="1" applyAlignment="1">
      <alignment horizontal="center" vertical="center" wrapText="1"/>
    </xf>
    <xf numFmtId="0" fontId="5" fillId="8" borderId="0" xfId="0" applyFont="1" applyFill="1" applyBorder="1" applyAlignment="1">
      <alignment horizontal="left"/>
    </xf>
    <xf numFmtId="0" fontId="8" fillId="0" borderId="0" xfId="0" applyFont="1" applyFill="1" applyBorder="1" applyAlignment="1">
      <alignment horizontal="left" vertical="center" wrapText="1" indent="1"/>
    </xf>
    <xf numFmtId="0" fontId="12" fillId="0" borderId="0" xfId="0" applyFont="1" applyFill="1" applyAlignment="1">
      <alignment horizontal="left" vertical="center" indent="1"/>
    </xf>
    <xf numFmtId="0" fontId="5" fillId="0" borderId="0" xfId="0" applyFont="1" applyFill="1" applyBorder="1" applyAlignment="1">
      <alignment horizontal="left" vertical="center" wrapText="1" indent="1"/>
    </xf>
    <xf numFmtId="49" fontId="22" fillId="8" borderId="0" xfId="0" applyNumberFormat="1" applyFont="1" applyFill="1" applyBorder="1" applyAlignment="1">
      <alignment horizontal="center" vertical="center" wrapText="1"/>
    </xf>
    <xf numFmtId="0" fontId="17" fillId="8" borderId="0" xfId="0" applyFont="1" applyFill="1" applyBorder="1" applyAlignment="1">
      <alignment horizontal="center" vertical="center" wrapText="1"/>
    </xf>
    <xf numFmtId="49" fontId="8" fillId="8" borderId="0" xfId="0" applyNumberFormat="1" applyFont="1" applyFill="1" applyAlignment="1">
      <alignment horizontal="left" vertical="center" wrapText="1"/>
    </xf>
    <xf numFmtId="49" fontId="3" fillId="8" borderId="0" xfId="0" applyNumberFormat="1" applyFont="1" applyFill="1" applyAlignment="1">
      <alignment horizontal="left" vertical="center" wrapText="1"/>
    </xf>
    <xf numFmtId="0" fontId="11" fillId="0" borderId="0" xfId="0" applyFont="1" applyFill="1" applyBorder="1" applyAlignment="1">
      <alignment horizontal="center" vertical="center"/>
    </xf>
    <xf numFmtId="0" fontId="4" fillId="7" borderId="0" xfId="0" applyFont="1" applyFill="1" applyBorder="1" applyAlignment="1">
      <alignment horizontal="left"/>
    </xf>
    <xf numFmtId="0" fontId="8" fillId="8" borderId="0" xfId="0" applyFont="1" applyFill="1" applyBorder="1" applyAlignment="1">
      <alignment horizontal="left" vertical="center" wrapText="1"/>
    </xf>
    <xf numFmtId="0" fontId="29" fillId="5" borderId="0" xfId="0" applyFont="1" applyFill="1" applyAlignment="1">
      <alignment horizontal="left" vertical="center" wrapText="1"/>
    </xf>
    <xf numFmtId="0" fontId="5" fillId="6" borderId="0" xfId="0" applyFont="1" applyFill="1" applyAlignment="1">
      <alignment horizontal="left"/>
    </xf>
    <xf numFmtId="0" fontId="0" fillId="6" borderId="0" xfId="0" applyFill="1" applyAlignment="1"/>
    <xf numFmtId="178" fontId="12" fillId="0" borderId="0" xfId="0" applyNumberFormat="1" applyFont="1" applyFill="1" applyBorder="1" applyAlignment="1">
      <alignment horizontal="left"/>
    </xf>
    <xf numFmtId="0" fontId="11" fillId="0" borderId="0" xfId="0" applyFont="1" applyFill="1" applyBorder="1" applyAlignment="1">
      <alignment horizontal="left"/>
    </xf>
    <xf numFmtId="2" fontId="12" fillId="0" borderId="0" xfId="0" applyNumberFormat="1" applyFont="1" applyFill="1" applyBorder="1" applyAlignment="1">
      <alignment horizontal="center" wrapText="1"/>
    </xf>
    <xf numFmtId="0" fontId="3" fillId="0" borderId="0" xfId="0" applyFont="1" applyFill="1" applyBorder="1" applyAlignment="1">
      <alignment horizontal="center" wrapText="1"/>
    </xf>
    <xf numFmtId="0" fontId="0" fillId="0" borderId="0" xfId="0" applyAlignment="1"/>
    <xf numFmtId="0" fontId="64" fillId="7" borderId="0" xfId="0" applyFont="1" applyFill="1" applyBorder="1" applyAlignment="1">
      <alignment horizontal="left"/>
    </xf>
    <xf numFmtId="0" fontId="63" fillId="7" borderId="0" xfId="0" applyFont="1" applyFill="1" applyBorder="1" applyAlignment="1">
      <alignment horizontal="left"/>
    </xf>
    <xf numFmtId="0" fontId="1" fillId="0" borderId="0" xfId="0" applyFont="1" applyFill="1" applyBorder="1" applyAlignment="1">
      <alignment horizontal="center" vertical="center"/>
    </xf>
    <xf numFmtId="0" fontId="12" fillId="0" borderId="13" xfId="0" applyFont="1" applyFill="1" applyBorder="1" applyAlignment="1">
      <alignment horizontal="left" vertical="center"/>
    </xf>
    <xf numFmtId="0" fontId="14" fillId="8" borderId="0" xfId="0" applyFont="1" applyFill="1" applyBorder="1" applyAlignment="1">
      <alignment horizontal="center"/>
    </xf>
    <xf numFmtId="0" fontId="12" fillId="0" borderId="0" xfId="0" applyFont="1" applyFill="1" applyBorder="1" applyAlignment="1">
      <alignment horizontal="right" vertical="center"/>
    </xf>
    <xf numFmtId="0" fontId="5" fillId="2" borderId="0" xfId="0" applyFont="1" applyFill="1" applyBorder="1" applyAlignment="1">
      <alignment horizontal="center"/>
    </xf>
    <xf numFmtId="0" fontId="6" fillId="0" borderId="0" xfId="0" applyFont="1" applyFill="1" applyBorder="1" applyAlignment="1">
      <alignment horizontal="center" wrapText="1"/>
    </xf>
    <xf numFmtId="0" fontId="6" fillId="0" borderId="0" xfId="0" applyFont="1" applyFill="1" applyBorder="1" applyAlignment="1">
      <alignment horizontal="center"/>
    </xf>
    <xf numFmtId="189" fontId="28" fillId="0" borderId="0" xfId="0" applyNumberFormat="1" applyFont="1" applyFill="1" applyBorder="1" applyAlignment="1">
      <alignment horizontal="left" wrapText="1"/>
    </xf>
    <xf numFmtId="0" fontId="0" fillId="0" borderId="0" xfId="0" applyFill="1" applyBorder="1" applyAlignment="1">
      <alignment wrapText="1"/>
    </xf>
    <xf numFmtId="174" fontId="29" fillId="5" borderId="0" xfId="0" applyNumberFormat="1" applyFont="1" applyFill="1" applyAlignment="1">
      <alignment horizontal="left"/>
    </xf>
    <xf numFmtId="174" fontId="29" fillId="5" borderId="2" xfId="0" applyNumberFormat="1" applyFont="1" applyFill="1" applyBorder="1" applyAlignment="1">
      <alignment horizontal="left"/>
    </xf>
    <xf numFmtId="0" fontId="0" fillId="2" borderId="0" xfId="0" applyFill="1" applyBorder="1" applyAlignment="1">
      <alignment horizontal="center" wrapText="1"/>
    </xf>
    <xf numFmtId="0" fontId="0" fillId="2" borderId="0" xfId="0" applyFill="1" applyBorder="1" applyAlignment="1">
      <alignment horizontal="center"/>
    </xf>
    <xf numFmtId="0" fontId="12" fillId="0" borderId="0" xfId="0" applyFont="1" applyAlignment="1">
      <alignment horizontal="center"/>
    </xf>
    <xf numFmtId="0" fontId="0" fillId="0" borderId="0" xfId="0" applyFill="1" applyAlignment="1">
      <alignment horizontal="center"/>
    </xf>
    <xf numFmtId="0" fontId="8" fillId="0" borderId="0" xfId="0" applyFont="1" applyFill="1" applyBorder="1" applyAlignment="1">
      <alignment wrapText="1"/>
    </xf>
    <xf numFmtId="0" fontId="12" fillId="0" borderId="0" xfId="0" applyFont="1" applyFill="1" applyBorder="1" applyAlignment="1">
      <alignment horizontal="left" vertical="center"/>
    </xf>
    <xf numFmtId="0" fontId="8" fillId="7" borderId="0" xfId="0" applyFont="1" applyFill="1" applyAlignment="1">
      <alignment horizontal="left"/>
    </xf>
    <xf numFmtId="0" fontId="29" fillId="3" borderId="0" xfId="0" applyFont="1" applyFill="1" applyAlignment="1">
      <alignment horizontal="left" vertical="center" wrapText="1"/>
    </xf>
    <xf numFmtId="0" fontId="5" fillId="6" borderId="0" xfId="0" applyFont="1" applyFill="1" applyAlignment="1">
      <alignment horizontal="left" wrapText="1"/>
    </xf>
    <xf numFmtId="178" fontId="11" fillId="6" borderId="0" xfId="0" applyNumberFormat="1" applyFont="1" applyFill="1" applyAlignment="1">
      <alignment horizontal="left"/>
    </xf>
    <xf numFmtId="0" fontId="22" fillId="3" borderId="0" xfId="0" applyFont="1" applyFill="1" applyAlignment="1">
      <alignment horizontal="left" vertical="center" wrapText="1"/>
    </xf>
    <xf numFmtId="0" fontId="6" fillId="7" borderId="0" xfId="0" applyFont="1" applyFill="1" applyBorder="1" applyAlignment="1">
      <alignment horizontal="left"/>
    </xf>
    <xf numFmtId="0" fontId="6" fillId="8" borderId="0" xfId="0" applyFont="1" applyFill="1" applyBorder="1" applyAlignment="1">
      <alignment horizontal="left" vertical="center" wrapText="1"/>
    </xf>
    <xf numFmtId="0" fontId="12" fillId="0" borderId="0" xfId="0" applyFont="1" applyFill="1" applyBorder="1" applyAlignment="1">
      <alignment horizontal="center" vertical="center"/>
    </xf>
    <xf numFmtId="0" fontId="3" fillId="0" borderId="0" xfId="0" applyFont="1" applyFill="1" applyBorder="1" applyAlignment="1">
      <alignment horizontal="center" vertical="center"/>
    </xf>
    <xf numFmtId="174" fontId="29" fillId="3" borderId="0" xfId="0" applyNumberFormat="1" applyFont="1" applyFill="1" applyAlignment="1">
      <alignment horizontal="left"/>
    </xf>
    <xf numFmtId="174" fontId="29" fillId="3" borderId="2" xfId="0" applyNumberFormat="1" applyFont="1" applyFill="1" applyBorder="1" applyAlignment="1">
      <alignment horizontal="left"/>
    </xf>
    <xf numFmtId="0" fontId="8" fillId="7" borderId="0" xfId="0" applyFont="1" applyFill="1" applyBorder="1" applyAlignment="1">
      <alignment horizontal="left"/>
    </xf>
  </cellXfs>
  <cellStyles count="3">
    <cellStyle name="Prozent" xfId="1" builtinId="5"/>
    <cellStyle name="Standard" xfId="0" builtinId="0"/>
    <cellStyle name="Standard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CC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microsoft.com/office/2006/relationships/attachedToolbars" Target="attachedToolbars.bin"/><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424242"/>
                </a:solidFill>
                <a:latin typeface="Arial"/>
                <a:ea typeface="Arial"/>
                <a:cs typeface="Arial"/>
              </a:defRPr>
            </a:pPr>
            <a:r>
              <a:rPr lang="de-CH" sz="1725" b="1" i="0" u="none" strike="noStrike" baseline="0">
                <a:solidFill>
                  <a:srgbClr val="424242"/>
                </a:solidFill>
                <a:latin typeface="Arial"/>
                <a:cs typeface="Arial"/>
              </a:rPr>
              <a:t> Cashflow-Kurve</a:t>
            </a:r>
          </a:p>
          <a:p>
            <a:pPr>
              <a:defRPr sz="1200" b="0" i="0" u="none" strike="noStrike" baseline="0">
                <a:solidFill>
                  <a:srgbClr val="424242"/>
                </a:solidFill>
                <a:latin typeface="Arial"/>
                <a:ea typeface="Arial"/>
                <a:cs typeface="Arial"/>
              </a:defRPr>
            </a:pPr>
            <a:r>
              <a:rPr lang="de-CH" sz="1200" b="1" i="0" u="none" strike="noStrike" baseline="0">
                <a:solidFill>
                  <a:srgbClr val="424242"/>
                </a:solidFill>
                <a:latin typeface="Arial"/>
                <a:cs typeface="Arial"/>
              </a:rPr>
              <a:t>Geldflusskurve</a:t>
            </a:r>
          </a:p>
        </c:rich>
      </c:tx>
      <c:layout>
        <c:manualLayout>
          <c:xMode val="edge"/>
          <c:yMode val="edge"/>
          <c:x val="0.39614848956888521"/>
          <c:y val="2.868087750713404E-2"/>
        </c:manualLayout>
      </c:layout>
      <c:overlay val="0"/>
      <c:spPr>
        <a:noFill/>
        <a:ln w="25400">
          <a:noFill/>
        </a:ln>
      </c:spPr>
    </c:title>
    <c:autoTitleDeleted val="0"/>
    <c:plotArea>
      <c:layout>
        <c:manualLayout>
          <c:layoutTarget val="inner"/>
          <c:xMode val="edge"/>
          <c:yMode val="edge"/>
          <c:x val="0.22833562585969738"/>
          <c:y val="0.19885277246653921"/>
          <c:w val="0.72764786795048142"/>
          <c:h val="0.60038240917782026"/>
        </c:manualLayout>
      </c:layout>
      <c:scatterChart>
        <c:scatterStyle val="lineMarker"/>
        <c:varyColors val="0"/>
        <c:ser>
          <c:idx val="0"/>
          <c:order val="0"/>
          <c:tx>
            <c:strRef>
              <c:f>'Standard Cashflow'!$C$21</c:f>
              <c:strCache>
                <c:ptCount val="1"/>
                <c:pt idx="0">
                  <c:v>Standard</c:v>
                </c:pt>
              </c:strCache>
            </c:strRef>
          </c:tx>
          <c:spPr>
            <a:ln w="38100">
              <a:solidFill>
                <a:srgbClr val="000080"/>
              </a:solidFill>
              <a:prstDash val="solid"/>
            </a:ln>
          </c:spPr>
          <c:marker>
            <c:symbol val="diamond"/>
            <c:size val="9"/>
            <c:spPr>
              <a:solidFill>
                <a:srgbClr val="000080"/>
              </a:solidFill>
              <a:ln>
                <a:solidFill>
                  <a:srgbClr val="000080"/>
                </a:solidFill>
                <a:prstDash val="solid"/>
              </a:ln>
            </c:spPr>
          </c:marker>
          <c:xVal>
            <c:numRef>
              <c:f>'Standard Cashflow'!$B$22:$B$37</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xVal>
          <c:yVal>
            <c:numRef>
              <c:f>'Standard Cashflow'!$C$22:$C$37</c:f>
              <c:numCache>
                <c:formatCode>\ #,##0\ "Fr."</c:formatCode>
                <c:ptCount val="16"/>
                <c:pt idx="0">
                  <c:v>-98699.605099999986</c:v>
                </c:pt>
                <c:pt idx="1">
                  <c:v>-110349.50154589998</c:v>
                </c:pt>
                <c:pt idx="2">
                  <c:v>-114181.59737231309</c:v>
                </c:pt>
                <c:pt idx="3">
                  <c:v>-128692.35713928891</c:v>
                </c:pt>
                <c:pt idx="4">
                  <c:v>-136389.29236395916</c:v>
                </c:pt>
                <c:pt idx="5">
                  <c:v>-137695.67524002647</c:v>
                </c:pt>
                <c:pt idx="6">
                  <c:v>-132553.99079635338</c:v>
                </c:pt>
                <c:pt idx="7">
                  <c:v>-133197.81743943202</c:v>
                </c:pt>
                <c:pt idx="8">
                  <c:v>-133847.43852229838</c:v>
                </c:pt>
                <c:pt idx="9">
                  <c:v>-122929.05348983238</c:v>
                </c:pt>
                <c:pt idx="10">
                  <c:v>-109759.12807019922</c:v>
                </c:pt>
                <c:pt idx="11">
                  <c:v>-104186.57512517477</c:v>
                </c:pt>
                <c:pt idx="12">
                  <c:v>-104485.37523880132</c:v>
                </c:pt>
                <c:pt idx="13">
                  <c:v>-101915.83132428385</c:v>
                </c:pt>
                <c:pt idx="14">
                  <c:v>-98537.093207244063</c:v>
                </c:pt>
                <c:pt idx="15">
                  <c:v>-105502.80629090092</c:v>
                </c:pt>
              </c:numCache>
            </c:numRef>
          </c:yVal>
          <c:smooth val="0"/>
          <c:extLst>
            <c:ext xmlns:c16="http://schemas.microsoft.com/office/drawing/2014/chart" uri="{C3380CC4-5D6E-409C-BE32-E72D297353CC}">
              <c16:uniqueId val="{00000000-8114-4ABD-9E31-3F54A746A7EC}"/>
            </c:ext>
          </c:extLst>
        </c:ser>
        <c:ser>
          <c:idx val="1"/>
          <c:order val="1"/>
          <c:tx>
            <c:strRef>
              <c:f>'Variante Cashflow'!$C$21</c:f>
              <c:strCache>
                <c:ptCount val="1"/>
                <c:pt idx="0">
                  <c:v>Variante</c:v>
                </c:pt>
              </c:strCache>
            </c:strRef>
          </c:tx>
          <c:spPr>
            <a:ln w="38100">
              <a:solidFill>
                <a:srgbClr val="008000"/>
              </a:solidFill>
              <a:prstDash val="solid"/>
            </a:ln>
          </c:spPr>
          <c:marker>
            <c:symbol val="circle"/>
            <c:size val="9"/>
            <c:spPr>
              <a:solidFill>
                <a:srgbClr val="008000"/>
              </a:solidFill>
              <a:ln>
                <a:solidFill>
                  <a:srgbClr val="008000"/>
                </a:solidFill>
                <a:prstDash val="solid"/>
              </a:ln>
            </c:spPr>
          </c:marker>
          <c:xVal>
            <c:numRef>
              <c:f>'Variante Cashflow'!$B$22:$B$37</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xVal>
          <c:yVal>
            <c:numRef>
              <c:f>'Variante Cashflow'!$C$22:$C$37</c:f>
              <c:numCache>
                <c:formatCode>\ #,##0\ "Fr."</c:formatCode>
                <c:ptCount val="16"/>
                <c:pt idx="0">
                  <c:v>-98699.605099999986</c:v>
                </c:pt>
                <c:pt idx="1">
                  <c:v>-110349.50154589998</c:v>
                </c:pt>
                <c:pt idx="2">
                  <c:v>-114181.59737231309</c:v>
                </c:pt>
                <c:pt idx="3">
                  <c:v>-128692.35713928891</c:v>
                </c:pt>
                <c:pt idx="4">
                  <c:v>-136389.27236395917</c:v>
                </c:pt>
                <c:pt idx="5">
                  <c:v>-137695.63506002649</c:v>
                </c:pt>
                <c:pt idx="6">
                  <c:v>-132553.93025473339</c:v>
                </c:pt>
                <c:pt idx="7">
                  <c:v>-133197.73635293744</c:v>
                </c:pt>
                <c:pt idx="8">
                  <c:v>-133847.33670602535</c:v>
                </c:pt>
                <c:pt idx="9">
                  <c:v>-122928.93075721292</c:v>
                </c:pt>
                <c:pt idx="10">
                  <c:v>-109758.98423298617</c:v>
                </c:pt>
                <c:pt idx="11">
                  <c:v>-104186.40999342682</c:v>
                </c:pt>
                <c:pt idx="12">
                  <c:v>-104485.18862086764</c:v>
                </c:pt>
                <c:pt idx="13">
                  <c:v>-101915.62302678879</c:v>
                </c:pt>
                <c:pt idx="14">
                  <c:v>-98605.173035071552</c:v>
                </c:pt>
                <c:pt idx="15">
                  <c:v>-105571.47883717885</c:v>
                </c:pt>
              </c:numCache>
            </c:numRef>
          </c:yVal>
          <c:smooth val="0"/>
          <c:extLst>
            <c:ext xmlns:c16="http://schemas.microsoft.com/office/drawing/2014/chart" uri="{C3380CC4-5D6E-409C-BE32-E72D297353CC}">
              <c16:uniqueId val="{00000001-8114-4ABD-9E31-3F54A746A7EC}"/>
            </c:ext>
          </c:extLst>
        </c:ser>
        <c:dLbls>
          <c:showLegendKey val="0"/>
          <c:showVal val="0"/>
          <c:showCatName val="0"/>
          <c:showSerName val="0"/>
          <c:showPercent val="0"/>
          <c:showBubbleSize val="0"/>
        </c:dLbls>
        <c:axId val="532864816"/>
        <c:axId val="1"/>
      </c:scatterChart>
      <c:valAx>
        <c:axId val="532864816"/>
        <c:scaling>
          <c:orientation val="minMax"/>
        </c:scaling>
        <c:delete val="0"/>
        <c:axPos val="b"/>
        <c:title>
          <c:tx>
            <c:rich>
              <a:bodyPr/>
              <a:lstStyle/>
              <a:p>
                <a:pPr>
                  <a:defRPr sz="1100" b="0" i="0" u="none" strike="noStrike" baseline="0">
                    <a:solidFill>
                      <a:srgbClr val="000000"/>
                    </a:solidFill>
                    <a:latin typeface="Arial"/>
                    <a:ea typeface="Arial"/>
                    <a:cs typeface="Arial"/>
                  </a:defRPr>
                </a:pPr>
                <a:r>
                  <a:rPr lang="de-CH" sz="1200" b="1" i="0" u="none" strike="noStrike" baseline="0">
                    <a:solidFill>
                      <a:srgbClr val="424242"/>
                    </a:solidFill>
                    <a:latin typeface="Arial"/>
                    <a:cs typeface="Arial"/>
                  </a:rPr>
                  <a:t>Standjahre </a:t>
                </a:r>
                <a:r>
                  <a:rPr lang="de-CH" sz="1200" b="0" i="0" u="none" strike="noStrike" baseline="0">
                    <a:solidFill>
                      <a:srgbClr val="424242"/>
                    </a:solidFill>
                    <a:latin typeface="Arial"/>
                    <a:cs typeface="Arial"/>
                  </a:rPr>
                  <a:t>(0 = Erstellung)</a:t>
                </a:r>
              </a:p>
            </c:rich>
          </c:tx>
          <c:layout>
            <c:manualLayout>
              <c:xMode val="edge"/>
              <c:yMode val="edge"/>
              <c:x val="0.44979365384205022"/>
              <c:y val="0.81835569619218151"/>
            </c:manualLayout>
          </c:layout>
          <c:overlay val="0"/>
          <c:spPr>
            <a:noFill/>
            <a:ln w="25400">
              <a:noFill/>
            </a:ln>
          </c:spPr>
        </c:title>
        <c:numFmt formatCode="General" sourceLinked="1"/>
        <c:majorTickMark val="out"/>
        <c:minorTickMark val="out"/>
        <c:tickLblPos val="nextTo"/>
        <c:spPr>
          <a:ln w="3175">
            <a:solidFill>
              <a:srgbClr val="000000"/>
            </a:solidFill>
            <a:prstDash val="solid"/>
          </a:ln>
        </c:spPr>
        <c:txPr>
          <a:bodyPr rot="0" vert="horz"/>
          <a:lstStyle/>
          <a:p>
            <a:pPr>
              <a:defRPr sz="1200" b="0" i="0" u="none" strike="noStrike" baseline="0">
                <a:solidFill>
                  <a:srgbClr val="424242"/>
                </a:solidFill>
                <a:latin typeface="Arial"/>
                <a:ea typeface="Arial"/>
                <a:cs typeface="Arial"/>
              </a:defRPr>
            </a:pPr>
            <a:endParaRPr lang="de-DE"/>
          </a:p>
        </c:txPr>
        <c:crossAx val="1"/>
        <c:crosses val="autoZero"/>
        <c:crossBetween val="midCat"/>
        <c:majorUnit val="2"/>
        <c:minorUnit val="1"/>
      </c:val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424242"/>
                    </a:solidFill>
                    <a:latin typeface="Arial"/>
                    <a:ea typeface="Arial"/>
                    <a:cs typeface="Arial"/>
                  </a:defRPr>
                </a:pPr>
                <a:r>
                  <a:rPr lang="de-CH"/>
                  <a:t>Fr. / ha</a:t>
                </a:r>
              </a:p>
            </c:rich>
          </c:tx>
          <c:layout>
            <c:manualLayout>
              <c:xMode val="edge"/>
              <c:yMode val="edge"/>
              <c:x val="5.639601960324065E-2"/>
              <c:y val="0.44550674156384662"/>
            </c:manualLayout>
          </c:layout>
          <c:overlay val="0"/>
          <c:spPr>
            <a:noFill/>
            <a:ln w="25400">
              <a:noFill/>
            </a:ln>
          </c:spPr>
        </c:title>
        <c:numFmt formatCode="\ #,##0\ &quot;Fr.&quot;"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424242"/>
                </a:solidFill>
                <a:latin typeface="Arial"/>
                <a:ea typeface="Arial"/>
                <a:cs typeface="Arial"/>
              </a:defRPr>
            </a:pPr>
            <a:endParaRPr lang="de-DE"/>
          </a:p>
        </c:txPr>
        <c:crossAx val="532864816"/>
        <c:crosses val="autoZero"/>
        <c:crossBetween val="midCat"/>
      </c:valAx>
      <c:spPr>
        <a:solidFill>
          <a:srgbClr val="FFFFFF"/>
        </a:solidFill>
        <a:ln w="12700">
          <a:solidFill>
            <a:srgbClr val="FFFFFF"/>
          </a:solidFill>
          <a:prstDash val="solid"/>
        </a:ln>
      </c:spPr>
    </c:plotArea>
    <c:legend>
      <c:legendPos val="r"/>
      <c:layout>
        <c:manualLayout>
          <c:xMode val="edge"/>
          <c:yMode val="edge"/>
          <c:x val="0.37398416661331968"/>
          <c:y val="0.91757450879387736"/>
          <c:w val="0.29403836715532505"/>
          <c:h val="4.9766723084848086E-2"/>
        </c:manualLayout>
      </c:layout>
      <c:overlay val="0"/>
      <c:spPr>
        <a:solidFill>
          <a:srgbClr val="FFFFFF"/>
        </a:solidFill>
        <a:ln w="3175">
          <a:solidFill>
            <a:srgbClr val="000000"/>
          </a:solidFill>
          <a:prstDash val="solid"/>
        </a:ln>
      </c:spPr>
      <c:txPr>
        <a:bodyPr/>
        <a:lstStyle/>
        <a:p>
          <a:pPr>
            <a:defRPr sz="925"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C0C0C0"/>
    </a:solidFill>
    <a:ln w="3175">
      <a:solidFill>
        <a:srgbClr val="000000"/>
      </a:solidFill>
      <a:prstDash val="solid"/>
    </a:ln>
  </c:spPr>
  <c:txPr>
    <a:bodyPr/>
    <a:lstStyle/>
    <a:p>
      <a:pPr>
        <a:defRPr sz="1200"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4" verticalDpi="464"/>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75" b="1" i="0" u="sng" strike="noStrike" baseline="0">
                <a:solidFill>
                  <a:srgbClr val="424242"/>
                </a:solidFill>
                <a:latin typeface="Arial"/>
                <a:ea typeface="Arial"/>
                <a:cs typeface="Arial"/>
              </a:defRPr>
            </a:pPr>
            <a:r>
              <a:rPr lang="de-CH"/>
              <a:t>Anteil der Erntekosten</a:t>
            </a:r>
          </a:p>
        </c:rich>
      </c:tx>
      <c:layout>
        <c:manualLayout>
          <c:xMode val="edge"/>
          <c:yMode val="edge"/>
          <c:x val="0.35566193557015569"/>
          <c:y val="3.1042149143121815E-2"/>
        </c:manualLayout>
      </c:layout>
      <c:overlay val="0"/>
      <c:spPr>
        <a:noFill/>
        <a:ln w="25400">
          <a:noFill/>
        </a:ln>
      </c:spPr>
    </c:title>
    <c:autoTitleDeleted val="0"/>
    <c:plotArea>
      <c:layout>
        <c:manualLayout>
          <c:layoutTarget val="inner"/>
          <c:xMode val="edge"/>
          <c:yMode val="edge"/>
          <c:x val="0.26156299840510366"/>
          <c:y val="0.17516629711751663"/>
          <c:w val="0.68102073365231264"/>
          <c:h val="0.70731707317073167"/>
        </c:manualLayout>
      </c:layout>
      <c:barChart>
        <c:barDir val="bar"/>
        <c:grouping val="clustered"/>
        <c:varyColors val="0"/>
        <c:ser>
          <c:idx val="0"/>
          <c:order val="0"/>
          <c:tx>
            <c:strRef>
              <c:f>'Standard Ertragsphase'!$B$198</c:f>
              <c:strCache>
                <c:ptCount val="1"/>
                <c:pt idx="0">
                  <c:v>Standard</c:v>
                </c:pt>
              </c:strCache>
            </c:strRef>
          </c:tx>
          <c:spPr>
            <a:solidFill>
              <a:srgbClr val="000080"/>
            </a:solidFill>
            <a:ln w="12700">
              <a:solidFill>
                <a:srgbClr val="000000"/>
              </a:solidFill>
              <a:prstDash val="solid"/>
            </a:ln>
          </c:spPr>
          <c:invertIfNegative val="0"/>
          <c:cat>
            <c:strRef>
              <c:f>'Standard Ertragsphase'!$A$195:$A$196</c:f>
              <c:strCache>
                <c:ptCount val="2"/>
                <c:pt idx="0">
                  <c:v>Total Ernte</c:v>
                </c:pt>
                <c:pt idx="1">
                  <c:v>übrige Produktionskosten</c:v>
                </c:pt>
              </c:strCache>
            </c:strRef>
          </c:cat>
          <c:val>
            <c:numRef>
              <c:f>'Standard Ertragsphase'!$B$195:$B$196</c:f>
              <c:numCache>
                <c:formatCode>\ #,##0\ "Fr."</c:formatCode>
                <c:ptCount val="2"/>
                <c:pt idx="0">
                  <c:v>9687.5374999999985</c:v>
                </c:pt>
                <c:pt idx="1">
                  <c:v>37590.524474965052</c:v>
                </c:pt>
              </c:numCache>
            </c:numRef>
          </c:val>
          <c:extLst>
            <c:ext xmlns:c16="http://schemas.microsoft.com/office/drawing/2014/chart" uri="{C3380CC4-5D6E-409C-BE32-E72D297353CC}">
              <c16:uniqueId val="{00000000-547F-4A67-A0AA-851B920A51A5}"/>
            </c:ext>
          </c:extLst>
        </c:ser>
        <c:ser>
          <c:idx val="1"/>
          <c:order val="1"/>
          <c:tx>
            <c:strRef>
              <c:f>Eingabeseite!$J$242</c:f>
              <c:strCache>
                <c:ptCount val="1"/>
                <c:pt idx="0">
                  <c:v>Variante </c:v>
                </c:pt>
              </c:strCache>
            </c:strRef>
          </c:tx>
          <c:spPr>
            <a:solidFill>
              <a:srgbClr val="008000"/>
            </a:solidFill>
            <a:ln w="12700">
              <a:solidFill>
                <a:srgbClr val="000000"/>
              </a:solidFill>
              <a:prstDash val="solid"/>
            </a:ln>
          </c:spPr>
          <c:invertIfNegative val="0"/>
          <c:cat>
            <c:strRef>
              <c:f>'Standard Ertragsphase'!$A$195:$A$196</c:f>
              <c:strCache>
                <c:ptCount val="2"/>
                <c:pt idx="0">
                  <c:v>Total Ernte</c:v>
                </c:pt>
                <c:pt idx="1">
                  <c:v>übrige Produktionskosten</c:v>
                </c:pt>
              </c:strCache>
            </c:strRef>
          </c:cat>
          <c:val>
            <c:numRef>
              <c:f>Eingabeseite!$J$243:$J$244</c:f>
              <c:numCache>
                <c:formatCode>#,##0\ "Fr."</c:formatCode>
                <c:ptCount val="2"/>
                <c:pt idx="0">
                  <c:v>9687.5374999999985</c:v>
                </c:pt>
                <c:pt idx="1">
                  <c:v>37590.504474965048</c:v>
                </c:pt>
              </c:numCache>
            </c:numRef>
          </c:val>
          <c:extLst>
            <c:ext xmlns:c16="http://schemas.microsoft.com/office/drawing/2014/chart" uri="{C3380CC4-5D6E-409C-BE32-E72D297353CC}">
              <c16:uniqueId val="{00000001-547F-4A67-A0AA-851B920A51A5}"/>
            </c:ext>
          </c:extLst>
        </c:ser>
        <c:dLbls>
          <c:showLegendKey val="0"/>
          <c:showVal val="0"/>
          <c:showCatName val="0"/>
          <c:showSerName val="0"/>
          <c:showPercent val="0"/>
          <c:showBubbleSize val="0"/>
        </c:dLbls>
        <c:gapWidth val="150"/>
        <c:axId val="533927240"/>
        <c:axId val="1"/>
      </c:barChart>
      <c:catAx>
        <c:axId val="533927240"/>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424242"/>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 #,##0\ &quot;Fr.&quot;"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424242"/>
                </a:solidFill>
                <a:latin typeface="Arial"/>
                <a:ea typeface="Arial"/>
                <a:cs typeface="Arial"/>
              </a:defRPr>
            </a:pPr>
            <a:endParaRPr lang="de-DE"/>
          </a:p>
        </c:txPr>
        <c:crossAx val="533927240"/>
        <c:crosses val="max"/>
        <c:crossBetween val="between"/>
      </c:valAx>
      <c:spPr>
        <a:noFill/>
        <a:ln w="3175">
          <a:solidFill>
            <a:srgbClr val="000000"/>
          </a:solidFill>
          <a:prstDash val="solid"/>
        </a:ln>
      </c:spPr>
    </c:plotArea>
    <c:legend>
      <c:legendPos val="r"/>
      <c:layout>
        <c:manualLayout>
          <c:xMode val="edge"/>
          <c:yMode val="edge"/>
          <c:x val="0.77990554524633471"/>
          <c:y val="0.19015712402465529"/>
          <c:w val="0.15470518414497547"/>
          <c:h val="0.2102913267063336"/>
        </c:manualLayout>
      </c:layout>
      <c:overlay val="0"/>
      <c:spPr>
        <a:solidFill>
          <a:srgbClr val="FFFFFF"/>
        </a:solidFill>
        <a:ln w="3175">
          <a:solidFill>
            <a:srgbClr val="000000"/>
          </a:solidFill>
          <a:prstDash val="solid"/>
        </a:ln>
      </c:spPr>
      <c:txPr>
        <a:bodyPr/>
        <a:lstStyle/>
        <a:p>
          <a:pPr>
            <a:defRPr sz="925"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4"/>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75" b="1" i="0" u="sng" strike="noStrike" baseline="0">
                <a:solidFill>
                  <a:srgbClr val="424242"/>
                </a:solidFill>
                <a:latin typeface="Arial"/>
                <a:ea typeface="Arial"/>
                <a:cs typeface="Arial"/>
              </a:defRPr>
            </a:pPr>
            <a:r>
              <a:rPr lang="de-CH"/>
              <a:t>Gliederung der Erntekosten</a:t>
            </a:r>
          </a:p>
        </c:rich>
      </c:tx>
      <c:layout>
        <c:manualLayout>
          <c:xMode val="edge"/>
          <c:yMode val="edge"/>
          <c:x val="0.32373050066854853"/>
          <c:y val="3.1125474987268385E-2"/>
        </c:manualLayout>
      </c:layout>
      <c:overlay val="0"/>
      <c:spPr>
        <a:noFill/>
        <a:ln w="25400">
          <a:noFill/>
        </a:ln>
      </c:spPr>
    </c:title>
    <c:autoTitleDeleted val="0"/>
    <c:plotArea>
      <c:layout>
        <c:manualLayout>
          <c:layoutTarget val="inner"/>
          <c:xMode val="edge"/>
          <c:yMode val="edge"/>
          <c:x val="0.15243614219679438"/>
          <c:y val="0.11731861862564007"/>
          <c:w val="0.79832536325743853"/>
          <c:h val="0.73503705955247955"/>
        </c:manualLayout>
      </c:layout>
      <c:barChart>
        <c:barDir val="bar"/>
        <c:grouping val="clustered"/>
        <c:varyColors val="0"/>
        <c:ser>
          <c:idx val="0"/>
          <c:order val="0"/>
          <c:tx>
            <c:strRef>
              <c:f>'Standard Ertragsphase'!$B$198</c:f>
              <c:strCache>
                <c:ptCount val="1"/>
                <c:pt idx="0">
                  <c:v>Standard</c:v>
                </c:pt>
              </c:strCache>
            </c:strRef>
          </c:tx>
          <c:spPr>
            <a:solidFill>
              <a:srgbClr val="000080"/>
            </a:solidFill>
            <a:ln w="12700">
              <a:solidFill>
                <a:srgbClr val="000000"/>
              </a:solidFill>
              <a:prstDash val="solid"/>
            </a:ln>
          </c:spPr>
          <c:invertIfNegative val="0"/>
          <c:cat>
            <c:strRef>
              <c:f>'Standard Ertragsphase'!$A$199:$A$200</c:f>
              <c:strCache>
                <c:ptCount val="2"/>
                <c:pt idx="0">
                  <c:v>Maschinen</c:v>
                </c:pt>
                <c:pt idx="1">
                  <c:v>Arbeit</c:v>
                </c:pt>
              </c:strCache>
            </c:strRef>
          </c:cat>
          <c:val>
            <c:numRef>
              <c:f>'Standard Ertragsphase'!$B$199:$B$200</c:f>
              <c:numCache>
                <c:formatCode>\ #,##0\ "Fr."</c:formatCode>
                <c:ptCount val="2"/>
                <c:pt idx="0">
                  <c:v>465.49999999999994</c:v>
                </c:pt>
                <c:pt idx="1">
                  <c:v>9222.0374999999985</c:v>
                </c:pt>
              </c:numCache>
            </c:numRef>
          </c:val>
          <c:extLst>
            <c:ext xmlns:c16="http://schemas.microsoft.com/office/drawing/2014/chart" uri="{C3380CC4-5D6E-409C-BE32-E72D297353CC}">
              <c16:uniqueId val="{00000000-BBCB-4A59-9498-E97409273351}"/>
            </c:ext>
          </c:extLst>
        </c:ser>
        <c:ser>
          <c:idx val="1"/>
          <c:order val="1"/>
          <c:tx>
            <c:strRef>
              <c:f>Eingabeseite!$J$265</c:f>
              <c:strCache>
                <c:ptCount val="1"/>
                <c:pt idx="0">
                  <c:v>Variante </c:v>
                </c:pt>
              </c:strCache>
            </c:strRef>
          </c:tx>
          <c:spPr>
            <a:solidFill>
              <a:srgbClr val="008000"/>
            </a:solidFill>
            <a:ln w="12700">
              <a:solidFill>
                <a:srgbClr val="000000"/>
              </a:solidFill>
              <a:prstDash val="solid"/>
            </a:ln>
          </c:spPr>
          <c:invertIfNegative val="0"/>
          <c:cat>
            <c:strRef>
              <c:f>'Standard Ertragsphase'!$A$199:$A$200</c:f>
              <c:strCache>
                <c:ptCount val="2"/>
                <c:pt idx="0">
                  <c:v>Maschinen</c:v>
                </c:pt>
                <c:pt idx="1">
                  <c:v>Arbeit</c:v>
                </c:pt>
              </c:strCache>
            </c:strRef>
          </c:cat>
          <c:val>
            <c:numRef>
              <c:f>Eingabeseite!$J$266:$J$267</c:f>
              <c:numCache>
                <c:formatCode>#,##0\ "Fr."</c:formatCode>
                <c:ptCount val="2"/>
                <c:pt idx="0">
                  <c:v>465.49999999999994</c:v>
                </c:pt>
                <c:pt idx="1">
                  <c:v>9222.0374999999985</c:v>
                </c:pt>
              </c:numCache>
            </c:numRef>
          </c:val>
          <c:extLst>
            <c:ext xmlns:c16="http://schemas.microsoft.com/office/drawing/2014/chart" uri="{C3380CC4-5D6E-409C-BE32-E72D297353CC}">
              <c16:uniqueId val="{00000001-BBCB-4A59-9498-E97409273351}"/>
            </c:ext>
          </c:extLst>
        </c:ser>
        <c:dLbls>
          <c:showLegendKey val="0"/>
          <c:showVal val="0"/>
          <c:showCatName val="0"/>
          <c:showSerName val="0"/>
          <c:showPercent val="0"/>
          <c:showBubbleSize val="0"/>
        </c:dLbls>
        <c:gapWidth val="150"/>
        <c:axId val="533931176"/>
        <c:axId val="1"/>
      </c:barChart>
      <c:catAx>
        <c:axId val="53393117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424242"/>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 #,##0\ &quot;Fr.&quot;"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424242"/>
                </a:solidFill>
                <a:latin typeface="Arial"/>
                <a:ea typeface="Arial"/>
                <a:cs typeface="Arial"/>
              </a:defRPr>
            </a:pPr>
            <a:endParaRPr lang="de-DE"/>
          </a:p>
        </c:txPr>
        <c:crossAx val="533931176"/>
        <c:crosses val="max"/>
        <c:crossBetween val="between"/>
      </c:valAx>
      <c:spPr>
        <a:noFill/>
        <a:ln w="3175">
          <a:solidFill>
            <a:srgbClr val="000000"/>
          </a:solidFill>
          <a:prstDash val="solid"/>
        </a:ln>
      </c:spPr>
    </c:plotArea>
    <c:legend>
      <c:legendPos val="r"/>
      <c:layout>
        <c:manualLayout>
          <c:xMode val="edge"/>
          <c:yMode val="edge"/>
          <c:x val="0.75905511811023618"/>
          <c:y val="0.12469463705096565"/>
          <c:w val="0.17480314960629928"/>
          <c:h val="0.22004909834031935"/>
        </c:manualLayout>
      </c:layout>
      <c:overlay val="0"/>
      <c:spPr>
        <a:solidFill>
          <a:srgbClr val="FFFFFF"/>
        </a:solidFill>
        <a:ln w="3175">
          <a:solidFill>
            <a:srgbClr val="000000"/>
          </a:solidFill>
          <a:prstDash val="solid"/>
        </a:ln>
      </c:spPr>
      <c:txPr>
        <a:bodyPr/>
        <a:lstStyle/>
        <a:p>
          <a:pPr>
            <a:defRPr sz="925"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75" b="1" i="0" u="sng" strike="noStrike" baseline="0">
                <a:solidFill>
                  <a:srgbClr val="424242"/>
                </a:solidFill>
                <a:latin typeface="Arial"/>
                <a:ea typeface="Arial"/>
                <a:cs typeface="Arial"/>
              </a:defRPr>
            </a:pPr>
            <a:r>
              <a:rPr lang="de-CH"/>
              <a:t>Gliederung nach Direkt- und Strukturkosten</a:t>
            </a:r>
          </a:p>
        </c:rich>
      </c:tx>
      <c:layout>
        <c:manualLayout>
          <c:xMode val="edge"/>
          <c:yMode val="edge"/>
          <c:x val="0.22075190601174852"/>
          <c:y val="3.2046292140943525E-2"/>
        </c:manualLayout>
      </c:layout>
      <c:overlay val="0"/>
      <c:spPr>
        <a:noFill/>
        <a:ln w="25400">
          <a:noFill/>
        </a:ln>
      </c:spPr>
    </c:title>
    <c:autoTitleDeleted val="0"/>
    <c:plotArea>
      <c:layout>
        <c:manualLayout>
          <c:layoutTarget val="inner"/>
          <c:xMode val="edge"/>
          <c:yMode val="edge"/>
          <c:x val="0.21144674085850557"/>
          <c:y val="0.17380352644836272"/>
          <c:w val="0.71065182829888707"/>
          <c:h val="0.70528967254408059"/>
        </c:manualLayout>
      </c:layout>
      <c:barChart>
        <c:barDir val="bar"/>
        <c:grouping val="clustered"/>
        <c:varyColors val="0"/>
        <c:ser>
          <c:idx val="0"/>
          <c:order val="0"/>
          <c:tx>
            <c:strRef>
              <c:f>'Standard Ertragsphase'!$B$154</c:f>
              <c:strCache>
                <c:ptCount val="1"/>
                <c:pt idx="0">
                  <c:v>Standard</c:v>
                </c:pt>
              </c:strCache>
            </c:strRef>
          </c:tx>
          <c:spPr>
            <a:solidFill>
              <a:srgbClr val="000080"/>
            </a:solidFill>
            <a:ln w="12700">
              <a:solidFill>
                <a:srgbClr val="000000"/>
              </a:solidFill>
              <a:prstDash val="solid"/>
            </a:ln>
          </c:spPr>
          <c:invertIfNegative val="0"/>
          <c:cat>
            <c:strRef>
              <c:f>Eingabeseite!$G$164:$G$165</c:f>
              <c:strCache>
                <c:ptCount val="2"/>
                <c:pt idx="0">
                  <c:v>Total Direktkosten</c:v>
                </c:pt>
                <c:pt idx="1">
                  <c:v>Total Strukturkosten</c:v>
                </c:pt>
              </c:strCache>
            </c:strRef>
          </c:cat>
          <c:val>
            <c:numRef>
              <c:f>'Standard Ertragsphase'!$B$155:$B$156</c:f>
              <c:numCache>
                <c:formatCode>\ #,##0\ "Fr."</c:formatCode>
                <c:ptCount val="2"/>
                <c:pt idx="0">
                  <c:v>20013.243052378119</c:v>
                </c:pt>
                <c:pt idx="1">
                  <c:v>27264.818922586928</c:v>
                </c:pt>
              </c:numCache>
            </c:numRef>
          </c:val>
          <c:extLst>
            <c:ext xmlns:c16="http://schemas.microsoft.com/office/drawing/2014/chart" uri="{C3380CC4-5D6E-409C-BE32-E72D297353CC}">
              <c16:uniqueId val="{00000000-61F1-4DAB-8CE9-04F336B25619}"/>
            </c:ext>
          </c:extLst>
        </c:ser>
        <c:ser>
          <c:idx val="1"/>
          <c:order val="1"/>
          <c:tx>
            <c:strRef>
              <c:f>Eingabeseite!$J$163</c:f>
              <c:strCache>
                <c:ptCount val="1"/>
                <c:pt idx="0">
                  <c:v>Variante </c:v>
                </c:pt>
              </c:strCache>
            </c:strRef>
          </c:tx>
          <c:spPr>
            <a:solidFill>
              <a:srgbClr val="339933"/>
            </a:solidFill>
            <a:ln w="12700">
              <a:solidFill>
                <a:srgbClr val="000000"/>
              </a:solidFill>
              <a:prstDash val="solid"/>
            </a:ln>
          </c:spPr>
          <c:invertIfNegative val="0"/>
          <c:cat>
            <c:strRef>
              <c:f>Eingabeseite!$G$164:$G$165</c:f>
              <c:strCache>
                <c:ptCount val="2"/>
                <c:pt idx="0">
                  <c:v>Total Direktkosten</c:v>
                </c:pt>
                <c:pt idx="1">
                  <c:v>Total Strukturkosten</c:v>
                </c:pt>
              </c:strCache>
            </c:strRef>
          </c:cat>
          <c:val>
            <c:numRef>
              <c:f>Eingabeseite!$J$164:$J$165</c:f>
              <c:numCache>
                <c:formatCode>#,##0\ "Fr."</c:formatCode>
                <c:ptCount val="2"/>
                <c:pt idx="0">
                  <c:v>20013.243052378115</c:v>
                </c:pt>
                <c:pt idx="1">
                  <c:v>27264.798922586931</c:v>
                </c:pt>
              </c:numCache>
            </c:numRef>
          </c:val>
          <c:extLst>
            <c:ext xmlns:c16="http://schemas.microsoft.com/office/drawing/2014/chart" uri="{C3380CC4-5D6E-409C-BE32-E72D297353CC}">
              <c16:uniqueId val="{00000001-61F1-4DAB-8CE9-04F336B25619}"/>
            </c:ext>
          </c:extLst>
        </c:ser>
        <c:dLbls>
          <c:showLegendKey val="0"/>
          <c:showVal val="0"/>
          <c:showCatName val="0"/>
          <c:showSerName val="0"/>
          <c:showPercent val="0"/>
          <c:showBubbleSize val="0"/>
        </c:dLbls>
        <c:gapWidth val="150"/>
        <c:axId val="534137408"/>
        <c:axId val="1"/>
      </c:barChart>
      <c:catAx>
        <c:axId val="534137408"/>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424242"/>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 #,##0\ &quot;Fr.&quot;"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424242"/>
                </a:solidFill>
                <a:latin typeface="Arial"/>
                <a:ea typeface="Arial"/>
                <a:cs typeface="Arial"/>
              </a:defRPr>
            </a:pPr>
            <a:endParaRPr lang="de-DE"/>
          </a:p>
        </c:txPr>
        <c:crossAx val="534137408"/>
        <c:crosses val="max"/>
        <c:crossBetween val="between"/>
      </c:valAx>
      <c:spPr>
        <a:noFill/>
        <a:ln w="3175">
          <a:solidFill>
            <a:srgbClr val="000000"/>
          </a:solidFill>
          <a:prstDash val="solid"/>
        </a:ln>
      </c:spPr>
    </c:plotArea>
    <c:legend>
      <c:legendPos val="r"/>
      <c:layout>
        <c:manualLayout>
          <c:xMode val="edge"/>
          <c:yMode val="edge"/>
          <c:x val="0.74085855934674827"/>
          <c:y val="0.19395482300463737"/>
          <c:w val="0.16375203099612545"/>
          <c:h val="0.22670066500754762"/>
        </c:manualLayout>
      </c:layout>
      <c:overlay val="0"/>
      <c:spPr>
        <a:solidFill>
          <a:srgbClr val="FFFFFF"/>
        </a:solidFill>
        <a:ln w="3175">
          <a:solidFill>
            <a:srgbClr val="000000"/>
          </a:solidFill>
          <a:prstDash val="solid"/>
        </a:ln>
      </c:spPr>
      <c:txPr>
        <a:bodyPr/>
        <a:lstStyle/>
        <a:p>
          <a:pPr>
            <a:defRPr sz="925"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FFFFFF"/>
    </a:solidFill>
    <a:ln w="25400">
      <a:solidFill>
        <a:srgbClr val="000080"/>
      </a:solidFill>
      <a:prstDash val="solid"/>
    </a:ln>
  </c:spPr>
  <c:txPr>
    <a:bodyPr/>
    <a:lstStyle/>
    <a:p>
      <a:pPr>
        <a:defRPr sz="900"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28237005605029"/>
          <c:y val="0.15391135510196036"/>
          <c:w val="0.76548517474231437"/>
          <c:h val="0.73423285794541748"/>
        </c:manualLayout>
      </c:layout>
      <c:scatterChart>
        <c:scatterStyle val="lineMarker"/>
        <c:varyColors val="0"/>
        <c:ser>
          <c:idx val="0"/>
          <c:order val="0"/>
          <c:spPr>
            <a:ln w="25400">
              <a:solidFill>
                <a:srgbClr val="008000"/>
              </a:solidFill>
              <a:prstDash val="solid"/>
            </a:ln>
          </c:spPr>
          <c:marker>
            <c:symbol val="diamond"/>
            <c:size val="7"/>
            <c:spPr>
              <a:solidFill>
                <a:srgbClr val="008000"/>
              </a:solidFill>
              <a:ln>
                <a:solidFill>
                  <a:srgbClr val="008000"/>
                </a:solidFill>
                <a:prstDash val="solid"/>
              </a:ln>
            </c:spPr>
          </c:marker>
          <c:xVal>
            <c:numRef>
              <c:f>'Variante Cashflow'!$B$22:$B$37</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xVal>
          <c:yVal>
            <c:numRef>
              <c:f>'Variante Cashflow'!$C$22:$C$37</c:f>
              <c:numCache>
                <c:formatCode>\ #,##0\ "Fr."</c:formatCode>
                <c:ptCount val="16"/>
                <c:pt idx="0">
                  <c:v>-98699.605099999986</c:v>
                </c:pt>
                <c:pt idx="1">
                  <c:v>-110349.50154589998</c:v>
                </c:pt>
                <c:pt idx="2">
                  <c:v>-114181.59737231309</c:v>
                </c:pt>
                <c:pt idx="3">
                  <c:v>-128692.35713928891</c:v>
                </c:pt>
                <c:pt idx="4">
                  <c:v>-136389.27236395917</c:v>
                </c:pt>
                <c:pt idx="5">
                  <c:v>-137695.63506002649</c:v>
                </c:pt>
                <c:pt idx="6">
                  <c:v>-132553.93025473339</c:v>
                </c:pt>
                <c:pt idx="7">
                  <c:v>-133197.73635293744</c:v>
                </c:pt>
                <c:pt idx="8">
                  <c:v>-133847.33670602535</c:v>
                </c:pt>
                <c:pt idx="9">
                  <c:v>-122928.93075721292</c:v>
                </c:pt>
                <c:pt idx="10">
                  <c:v>-109758.98423298617</c:v>
                </c:pt>
                <c:pt idx="11">
                  <c:v>-104186.40999342682</c:v>
                </c:pt>
                <c:pt idx="12">
                  <c:v>-104485.18862086764</c:v>
                </c:pt>
                <c:pt idx="13">
                  <c:v>-101915.62302678879</c:v>
                </c:pt>
                <c:pt idx="14">
                  <c:v>-98605.173035071552</c:v>
                </c:pt>
                <c:pt idx="15">
                  <c:v>-105571.47883717885</c:v>
                </c:pt>
              </c:numCache>
            </c:numRef>
          </c:yVal>
          <c:smooth val="0"/>
          <c:extLst>
            <c:ext xmlns:c16="http://schemas.microsoft.com/office/drawing/2014/chart" uri="{C3380CC4-5D6E-409C-BE32-E72D297353CC}">
              <c16:uniqueId val="{00000000-2D9C-493A-8904-490044251CE6}"/>
            </c:ext>
          </c:extLst>
        </c:ser>
        <c:dLbls>
          <c:showLegendKey val="0"/>
          <c:showVal val="0"/>
          <c:showCatName val="0"/>
          <c:showSerName val="0"/>
          <c:showPercent val="0"/>
          <c:showBubbleSize val="0"/>
        </c:dLbls>
        <c:axId val="534136752"/>
        <c:axId val="1"/>
      </c:scatterChart>
      <c:valAx>
        <c:axId val="534136752"/>
        <c:scaling>
          <c:orientation val="minMax"/>
        </c:scaling>
        <c:delete val="0"/>
        <c:axPos val="b"/>
        <c:title>
          <c:tx>
            <c:rich>
              <a:bodyPr/>
              <a:lstStyle/>
              <a:p>
                <a:pPr>
                  <a:defRPr sz="1200" b="1" i="0" u="none" strike="noStrike" baseline="0">
                    <a:solidFill>
                      <a:srgbClr val="424242"/>
                    </a:solidFill>
                    <a:latin typeface="Arial"/>
                    <a:ea typeface="Arial"/>
                    <a:cs typeface="Arial"/>
                  </a:defRPr>
                </a:pPr>
                <a:r>
                  <a:rPr lang="de-CH"/>
                  <a:t>Standjahre</a:t>
                </a:r>
              </a:p>
            </c:rich>
          </c:tx>
          <c:layout>
            <c:manualLayout>
              <c:xMode val="edge"/>
              <c:yMode val="edge"/>
              <c:x val="0.51614669787898138"/>
              <c:y val="0.9158986187332645"/>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424242"/>
                </a:solidFill>
                <a:latin typeface="Arial"/>
                <a:ea typeface="Arial"/>
                <a:cs typeface="Arial"/>
              </a:defRPr>
            </a:pPr>
            <a:endParaRPr lang="de-DE"/>
          </a:p>
        </c:txPr>
        <c:crossAx val="1"/>
        <c:crosses val="autoZero"/>
        <c:crossBetween val="midCat"/>
        <c:majorUnit val="1"/>
      </c:valAx>
      <c:valAx>
        <c:axId val="1"/>
        <c:scaling>
          <c:orientation val="minMax"/>
        </c:scaling>
        <c:delete val="0"/>
        <c:axPos val="l"/>
        <c:majorGridlines>
          <c:spPr>
            <a:ln w="12700">
              <a:solidFill>
                <a:srgbClr val="000000"/>
              </a:solidFill>
              <a:prstDash val="sysDash"/>
            </a:ln>
          </c:spPr>
        </c:majorGridlines>
        <c:title>
          <c:tx>
            <c:rich>
              <a:bodyPr/>
              <a:lstStyle/>
              <a:p>
                <a:pPr>
                  <a:defRPr sz="1200" b="1" i="0" u="none" strike="noStrike" baseline="0">
                    <a:solidFill>
                      <a:srgbClr val="424242"/>
                    </a:solidFill>
                    <a:latin typeface="Arial"/>
                    <a:ea typeface="Arial"/>
                    <a:cs typeface="Arial"/>
                  </a:defRPr>
                </a:pPr>
                <a:r>
                  <a:rPr lang="de-CH"/>
                  <a:t>Fr. / ha</a:t>
                </a:r>
              </a:p>
            </c:rich>
          </c:tx>
          <c:layout>
            <c:manualLayout>
              <c:xMode val="edge"/>
              <c:yMode val="edge"/>
              <c:x val="7.9407800575007608E-3"/>
              <c:y val="0.44911848140194599"/>
            </c:manualLayout>
          </c:layout>
          <c:overlay val="0"/>
          <c:spPr>
            <a:noFill/>
            <a:ln w="25400">
              <a:noFill/>
            </a:ln>
          </c:spPr>
        </c:title>
        <c:numFmt formatCode="\ #,##0\ &quot;Fr.&quot;"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424242"/>
                </a:solidFill>
                <a:latin typeface="Arial"/>
                <a:ea typeface="Arial"/>
                <a:cs typeface="Arial"/>
              </a:defRPr>
            </a:pPr>
            <a:endParaRPr lang="de-DE"/>
          </a:p>
        </c:txPr>
        <c:crossAx val="534136752"/>
        <c:crosses val="autoZero"/>
        <c:crossBetween val="midCat"/>
      </c:valAx>
      <c:spPr>
        <a:solidFill>
          <a:srgbClr val="FFFFFF"/>
        </a:solidFill>
        <a:ln w="12700">
          <a:solidFill>
            <a:srgbClr val="FFFFFF"/>
          </a:solidFill>
          <a:prstDash val="solid"/>
        </a:ln>
      </c:spPr>
    </c:plotArea>
    <c:plotVisOnly val="1"/>
    <c:dispBlanksAs val="gap"/>
    <c:showDLblsOverMax val="0"/>
  </c:chart>
  <c:spPr>
    <a:solidFill>
      <a:srgbClr val="C0C0C0"/>
    </a:solidFill>
    <a:ln w="3175">
      <a:solidFill>
        <a:srgbClr val="000000"/>
      </a:solidFill>
      <a:prstDash val="solid"/>
    </a:ln>
  </c:spPr>
  <c:txPr>
    <a:bodyPr/>
    <a:lstStyle/>
    <a:p>
      <a:pPr>
        <a:defRPr sz="800" b="0" i="0" u="none" strike="noStrike" baseline="0">
          <a:solidFill>
            <a:srgbClr val="424242"/>
          </a:solidFill>
          <a:latin typeface="Arial"/>
          <a:ea typeface="Arial"/>
          <a:cs typeface="Arial"/>
        </a:defRPr>
      </a:pPr>
      <a:endParaRPr lang="de-DE"/>
    </a:p>
  </c:txPr>
  <c:printSettings>
    <c:headerFooter alignWithMargins="0">
      <c:oddHeader>&amp;B</c:oddHeader>
      <c:oddFooter>Seite &amp;S</c:oddFooter>
    </c:headerFooter>
    <c:pageMargins b="0.984251969" l="0.78740157499999996" r="0.78740157499999996" t="0.984251969" header="0.4921259845" footer="0.492125984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30025881740354"/>
          <c:y val="0.1533950541489649"/>
          <c:w val="0.76529090157281343"/>
          <c:h val="0.73931386753763417"/>
        </c:manualLayout>
      </c:layout>
      <c:scatterChart>
        <c:scatterStyle val="lineMarker"/>
        <c:varyColors val="0"/>
        <c:ser>
          <c:idx val="0"/>
          <c:order val="0"/>
          <c:spPr>
            <a:ln w="25400">
              <a:solidFill>
                <a:srgbClr val="000080"/>
              </a:solidFill>
              <a:prstDash val="solid"/>
            </a:ln>
          </c:spPr>
          <c:marker>
            <c:symbol val="diamond"/>
            <c:size val="7"/>
            <c:spPr>
              <a:solidFill>
                <a:srgbClr val="000080"/>
              </a:solidFill>
              <a:ln>
                <a:solidFill>
                  <a:srgbClr val="000080"/>
                </a:solidFill>
                <a:prstDash val="solid"/>
              </a:ln>
            </c:spPr>
          </c:marker>
          <c:xVal>
            <c:numRef>
              <c:f>'Standard Cashflow'!$B$22:$B$37</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xVal>
          <c:yVal>
            <c:numRef>
              <c:f>'Standard Cashflow'!$C$22:$C$37</c:f>
              <c:numCache>
                <c:formatCode>\ #,##0\ "Fr."</c:formatCode>
                <c:ptCount val="16"/>
                <c:pt idx="0">
                  <c:v>-98699.605099999986</c:v>
                </c:pt>
                <c:pt idx="1">
                  <c:v>-110349.50154589998</c:v>
                </c:pt>
                <c:pt idx="2">
                  <c:v>-114181.59737231309</c:v>
                </c:pt>
                <c:pt idx="3">
                  <c:v>-128692.35713928891</c:v>
                </c:pt>
                <c:pt idx="4">
                  <c:v>-136389.29236395916</c:v>
                </c:pt>
                <c:pt idx="5">
                  <c:v>-137695.67524002647</c:v>
                </c:pt>
                <c:pt idx="6">
                  <c:v>-132553.99079635338</c:v>
                </c:pt>
                <c:pt idx="7">
                  <c:v>-133197.81743943202</c:v>
                </c:pt>
                <c:pt idx="8">
                  <c:v>-133847.43852229838</c:v>
                </c:pt>
                <c:pt idx="9">
                  <c:v>-122929.05348983238</c:v>
                </c:pt>
                <c:pt idx="10">
                  <c:v>-109759.12807019922</c:v>
                </c:pt>
                <c:pt idx="11">
                  <c:v>-104186.57512517477</c:v>
                </c:pt>
                <c:pt idx="12">
                  <c:v>-104485.37523880132</c:v>
                </c:pt>
                <c:pt idx="13">
                  <c:v>-101915.83132428385</c:v>
                </c:pt>
                <c:pt idx="14">
                  <c:v>-98537.093207244063</c:v>
                </c:pt>
                <c:pt idx="15">
                  <c:v>-105502.80629090092</c:v>
                </c:pt>
              </c:numCache>
            </c:numRef>
          </c:yVal>
          <c:smooth val="0"/>
          <c:extLst>
            <c:ext xmlns:c16="http://schemas.microsoft.com/office/drawing/2014/chart" uri="{C3380CC4-5D6E-409C-BE32-E72D297353CC}">
              <c16:uniqueId val="{00000000-0FCA-46DD-B7E2-E9E5035AF692}"/>
            </c:ext>
          </c:extLst>
        </c:ser>
        <c:dLbls>
          <c:showLegendKey val="0"/>
          <c:showVal val="0"/>
          <c:showCatName val="0"/>
          <c:showSerName val="0"/>
          <c:showPercent val="0"/>
          <c:showBubbleSize val="0"/>
        </c:dLbls>
        <c:axId val="534142656"/>
        <c:axId val="1"/>
      </c:scatterChart>
      <c:valAx>
        <c:axId val="534142656"/>
        <c:scaling>
          <c:orientation val="minMax"/>
        </c:scaling>
        <c:delete val="0"/>
        <c:axPos val="b"/>
        <c:title>
          <c:tx>
            <c:rich>
              <a:bodyPr/>
              <a:lstStyle/>
              <a:p>
                <a:pPr>
                  <a:defRPr sz="1200" b="1" i="0" u="none" strike="noStrike" baseline="0">
                    <a:solidFill>
                      <a:srgbClr val="424242"/>
                    </a:solidFill>
                    <a:latin typeface="Arial"/>
                    <a:ea typeface="Arial"/>
                    <a:cs typeface="Arial"/>
                  </a:defRPr>
                </a:pPr>
                <a:r>
                  <a:rPr lang="de-CH"/>
                  <a:t>Standjahre</a:t>
                </a:r>
              </a:p>
            </c:rich>
          </c:tx>
          <c:layout>
            <c:manualLayout>
              <c:xMode val="edge"/>
              <c:yMode val="edge"/>
              <c:x val="0.51594413905808945"/>
              <c:y val="0.9178555551369476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424242"/>
                </a:solidFill>
                <a:latin typeface="Arial"/>
                <a:ea typeface="Arial"/>
                <a:cs typeface="Arial"/>
              </a:defRPr>
            </a:pPr>
            <a:endParaRPr lang="de-DE"/>
          </a:p>
        </c:txPr>
        <c:crossAx val="1"/>
        <c:crosses val="autoZero"/>
        <c:crossBetween val="midCat"/>
        <c:majorUnit val="1"/>
      </c:valAx>
      <c:valAx>
        <c:axId val="1"/>
        <c:scaling>
          <c:orientation val="minMax"/>
        </c:scaling>
        <c:delete val="0"/>
        <c:axPos val="l"/>
        <c:majorGridlines>
          <c:spPr>
            <a:ln w="12700">
              <a:solidFill>
                <a:srgbClr val="000000"/>
              </a:solidFill>
              <a:prstDash val="sysDash"/>
            </a:ln>
          </c:spPr>
        </c:majorGridlines>
        <c:title>
          <c:tx>
            <c:rich>
              <a:bodyPr/>
              <a:lstStyle/>
              <a:p>
                <a:pPr>
                  <a:defRPr sz="1200" b="1" i="0" u="none" strike="noStrike" baseline="0">
                    <a:solidFill>
                      <a:srgbClr val="424242"/>
                    </a:solidFill>
                    <a:latin typeface="Arial"/>
                    <a:ea typeface="Arial"/>
                    <a:cs typeface="Arial"/>
                  </a:defRPr>
                </a:pPr>
                <a:r>
                  <a:rPr lang="de-CH"/>
                  <a:t>Fr. / ha</a:t>
                </a:r>
              </a:p>
            </c:rich>
          </c:tx>
          <c:layout>
            <c:manualLayout>
              <c:xMode val="edge"/>
              <c:yMode val="edge"/>
              <c:x val="7.8411660806550123E-3"/>
              <c:y val="0.45264137437365787"/>
            </c:manualLayout>
          </c:layout>
          <c:overlay val="0"/>
          <c:spPr>
            <a:noFill/>
            <a:ln w="25400">
              <a:noFill/>
            </a:ln>
          </c:spPr>
        </c:title>
        <c:numFmt formatCode="\ #,##0\ &quot;Fr.&quot;"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424242"/>
                </a:solidFill>
                <a:latin typeface="Arial"/>
                <a:ea typeface="Arial"/>
                <a:cs typeface="Arial"/>
              </a:defRPr>
            </a:pPr>
            <a:endParaRPr lang="de-DE"/>
          </a:p>
        </c:txPr>
        <c:crossAx val="534142656"/>
        <c:crosses val="autoZero"/>
        <c:crossBetween val="midCat"/>
      </c:valAx>
      <c:spPr>
        <a:solidFill>
          <a:srgbClr val="FFFFFF"/>
        </a:solidFill>
        <a:ln w="12700">
          <a:solidFill>
            <a:srgbClr val="FFFFFF"/>
          </a:solidFill>
          <a:prstDash val="solid"/>
        </a:ln>
      </c:spPr>
    </c:plotArea>
    <c:plotVisOnly val="1"/>
    <c:dispBlanksAs val="gap"/>
    <c:showDLblsOverMax val="0"/>
  </c:chart>
  <c:spPr>
    <a:solidFill>
      <a:srgbClr val="C0C0C0"/>
    </a:solidFill>
    <a:ln w="3175">
      <a:solidFill>
        <a:srgbClr val="000000"/>
      </a:solidFill>
      <a:prstDash val="solid"/>
    </a:ln>
  </c:spPr>
  <c:txPr>
    <a:bodyPr/>
    <a:lstStyle/>
    <a:p>
      <a:pPr>
        <a:defRPr sz="800" b="0" i="0" u="none" strike="noStrike" baseline="0">
          <a:solidFill>
            <a:srgbClr val="424242"/>
          </a:solidFill>
          <a:latin typeface="Arial"/>
          <a:ea typeface="Arial"/>
          <a:cs typeface="Arial"/>
        </a:defRPr>
      </a:pPr>
      <a:endParaRPr lang="de-DE"/>
    </a:p>
  </c:txPr>
  <c:printSettings>
    <c:headerFooter alignWithMargins="0">
      <c:oddHeader>&amp;B</c:oddHeader>
      <c:oddFooter>Seite &amp;S</c:oddFooter>
    </c:headerFooter>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75" b="1" i="0" u="sng" strike="noStrike" baseline="0">
                <a:solidFill>
                  <a:srgbClr val="424242"/>
                </a:solidFill>
                <a:latin typeface="Arial"/>
                <a:ea typeface="Arial"/>
                <a:cs typeface="Arial"/>
              </a:defRPr>
            </a:pPr>
            <a:r>
              <a:rPr lang="de-CH"/>
              <a:t>Gliederung der Sachkosten</a:t>
            </a:r>
          </a:p>
        </c:rich>
      </c:tx>
      <c:layout>
        <c:manualLayout>
          <c:xMode val="edge"/>
          <c:yMode val="edge"/>
          <c:x val="0.33197380955251959"/>
          <c:y val="3.1224934383202101E-2"/>
        </c:manualLayout>
      </c:layout>
      <c:overlay val="0"/>
      <c:spPr>
        <a:noFill/>
        <a:ln w="25400">
          <a:noFill/>
        </a:ln>
      </c:spPr>
    </c:title>
    <c:autoTitleDeleted val="0"/>
    <c:plotArea>
      <c:layout>
        <c:manualLayout>
          <c:layoutTarget val="inner"/>
          <c:xMode val="edge"/>
          <c:yMode val="edge"/>
          <c:x val="4.4478527607361963E-2"/>
          <c:y val="0.12039312039312039"/>
          <c:w val="0.91257668711656437"/>
          <c:h val="0.67321867321867324"/>
        </c:manualLayout>
      </c:layout>
      <c:barChart>
        <c:barDir val="bar"/>
        <c:grouping val="clustered"/>
        <c:varyColors val="0"/>
        <c:ser>
          <c:idx val="0"/>
          <c:order val="0"/>
          <c:tx>
            <c:strRef>
              <c:f>'Standard Ertragsphase'!$B$146</c:f>
              <c:strCache>
                <c:ptCount val="1"/>
                <c:pt idx="0">
                  <c:v>Standard</c:v>
                </c:pt>
              </c:strCache>
            </c:strRef>
          </c:tx>
          <c:spPr>
            <a:solidFill>
              <a:srgbClr val="000080"/>
            </a:solidFill>
            <a:ln w="12700">
              <a:solidFill>
                <a:srgbClr val="000000"/>
              </a:solidFill>
              <a:prstDash val="solid"/>
            </a:ln>
          </c:spPr>
          <c:invertIfNegative val="0"/>
          <c:cat>
            <c:strRef>
              <c:f>'Standard Ertragsphase'!$A$147:$A$150</c:f>
              <c:strCache>
                <c:ptCount val="4"/>
                <c:pt idx="0">
                  <c:v>Abzüge   </c:v>
                </c:pt>
                <c:pt idx="1">
                  <c:v>Abschreibung Obstanlage </c:v>
                </c:pt>
                <c:pt idx="2">
                  <c:v>Maschinen und Geräte</c:v>
                </c:pt>
                <c:pt idx="3">
                  <c:v>übrige Kosten (inkl. PSM u. Düngung)</c:v>
                </c:pt>
              </c:strCache>
            </c:strRef>
          </c:cat>
          <c:val>
            <c:numRef>
              <c:f>'Standard Ertragsphase'!$B$147:$B$150</c:f>
              <c:numCache>
                <c:formatCode>\ #,##0\ "Fr."</c:formatCode>
                <c:ptCount val="4"/>
                <c:pt idx="0">
                  <c:v>367</c:v>
                </c:pt>
                <c:pt idx="1">
                  <c:v>10724.363094940743</c:v>
                </c:pt>
                <c:pt idx="2">
                  <c:v>5793.2502083333329</c:v>
                </c:pt>
                <c:pt idx="3">
                  <c:v>9071.879957437377</c:v>
                </c:pt>
              </c:numCache>
            </c:numRef>
          </c:val>
          <c:extLst>
            <c:ext xmlns:c16="http://schemas.microsoft.com/office/drawing/2014/chart" uri="{C3380CC4-5D6E-409C-BE32-E72D297353CC}">
              <c16:uniqueId val="{00000000-5AD8-404C-9D0D-83B3C385C0FE}"/>
            </c:ext>
          </c:extLst>
        </c:ser>
        <c:ser>
          <c:idx val="1"/>
          <c:order val="1"/>
          <c:tx>
            <c:strRef>
              <c:f>Eingabeseite!$J$140</c:f>
              <c:strCache>
                <c:ptCount val="1"/>
                <c:pt idx="0">
                  <c:v>Variante </c:v>
                </c:pt>
              </c:strCache>
            </c:strRef>
          </c:tx>
          <c:spPr>
            <a:solidFill>
              <a:srgbClr val="339933"/>
            </a:solidFill>
            <a:ln w="12700">
              <a:solidFill>
                <a:srgbClr val="000000"/>
              </a:solidFill>
              <a:prstDash val="solid"/>
            </a:ln>
          </c:spPr>
          <c:invertIfNegative val="0"/>
          <c:cat>
            <c:strRef>
              <c:f>'Standard Ertragsphase'!$A$147:$A$150</c:f>
              <c:strCache>
                <c:ptCount val="4"/>
                <c:pt idx="0">
                  <c:v>Abzüge   </c:v>
                </c:pt>
                <c:pt idx="1">
                  <c:v>Abschreibung Obstanlage </c:v>
                </c:pt>
                <c:pt idx="2">
                  <c:v>Maschinen und Geräte</c:v>
                </c:pt>
                <c:pt idx="3">
                  <c:v>übrige Kosten (inkl. PSM u. Düngung)</c:v>
                </c:pt>
              </c:strCache>
            </c:strRef>
          </c:cat>
          <c:val>
            <c:numRef>
              <c:f>Eingabeseite!$J$141:$J$144</c:f>
              <c:numCache>
                <c:formatCode>\ #,##0\ "Fr."</c:formatCode>
                <c:ptCount val="4"/>
                <c:pt idx="0">
                  <c:v>367</c:v>
                </c:pt>
                <c:pt idx="1">
                  <c:v>10724.363094940743</c:v>
                </c:pt>
                <c:pt idx="2">
                  <c:v>5793.2302083333334</c:v>
                </c:pt>
                <c:pt idx="3">
                  <c:v>9071.8799574373734</c:v>
                </c:pt>
              </c:numCache>
            </c:numRef>
          </c:val>
          <c:extLst>
            <c:ext xmlns:c16="http://schemas.microsoft.com/office/drawing/2014/chart" uri="{C3380CC4-5D6E-409C-BE32-E72D297353CC}">
              <c16:uniqueId val="{00000001-5AD8-404C-9D0D-83B3C385C0FE}"/>
            </c:ext>
          </c:extLst>
        </c:ser>
        <c:dLbls>
          <c:showLegendKey val="0"/>
          <c:showVal val="0"/>
          <c:showCatName val="0"/>
          <c:showSerName val="0"/>
          <c:showPercent val="0"/>
          <c:showBubbleSize val="0"/>
        </c:dLbls>
        <c:gapWidth val="150"/>
        <c:axId val="532861864"/>
        <c:axId val="1"/>
      </c:barChart>
      <c:catAx>
        <c:axId val="53286186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424242"/>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 #,##0\ &quot;Fr.&quot;"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424242"/>
                </a:solidFill>
                <a:latin typeface="Arial"/>
                <a:ea typeface="Arial"/>
                <a:cs typeface="Arial"/>
              </a:defRPr>
            </a:pPr>
            <a:endParaRPr lang="de-DE"/>
          </a:p>
        </c:txPr>
        <c:crossAx val="532861864"/>
        <c:crosses val="max"/>
        <c:crossBetween val="between"/>
      </c:valAx>
      <c:spPr>
        <a:noFill/>
        <a:ln w="3175">
          <a:solidFill>
            <a:srgbClr val="000000"/>
          </a:solidFill>
          <a:prstDash val="solid"/>
        </a:ln>
      </c:spPr>
    </c:plotArea>
    <c:legend>
      <c:legendPos val="r"/>
      <c:layout>
        <c:manualLayout>
          <c:xMode val="edge"/>
          <c:yMode val="edge"/>
          <c:x val="0.75920303223965302"/>
          <c:y val="0.67076167979002621"/>
          <c:w val="0.15797550574172103"/>
          <c:h val="0.21130209973753278"/>
        </c:manualLayout>
      </c:layout>
      <c:overlay val="0"/>
      <c:spPr>
        <a:solidFill>
          <a:srgbClr val="FFFFFF"/>
        </a:solidFill>
        <a:ln w="3175">
          <a:solidFill>
            <a:srgbClr val="000000"/>
          </a:solidFill>
          <a:prstDash val="solid"/>
        </a:ln>
      </c:spPr>
      <c:txPr>
        <a:bodyPr/>
        <a:lstStyle/>
        <a:p>
          <a:pPr>
            <a:defRPr sz="925"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FFFFFF"/>
    </a:solidFill>
    <a:ln w="25400">
      <a:solidFill>
        <a:srgbClr val="000080"/>
      </a:solidFill>
      <a:prstDash val="solid"/>
    </a:ln>
  </c:spPr>
  <c:txPr>
    <a:bodyPr/>
    <a:lstStyle/>
    <a:p>
      <a:pPr>
        <a:defRPr sz="925"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0" i="0" u="none" strike="noStrike" baseline="0">
                <a:solidFill>
                  <a:srgbClr val="424242"/>
                </a:solidFill>
                <a:latin typeface="Arial"/>
                <a:ea typeface="Arial"/>
                <a:cs typeface="Arial"/>
              </a:defRPr>
            </a:pPr>
            <a:r>
              <a:rPr lang="de-CH" sz="1700" b="1" i="0" u="none" strike="noStrike" baseline="0">
                <a:solidFill>
                  <a:srgbClr val="424242"/>
                </a:solidFill>
                <a:latin typeface="Arial"/>
                <a:cs typeface="Arial"/>
              </a:rPr>
              <a:t>Produktionskosten- / </a:t>
            </a:r>
          </a:p>
          <a:p>
            <a:pPr>
              <a:defRPr sz="1075" b="0" i="0" u="none" strike="noStrike" baseline="0">
                <a:solidFill>
                  <a:srgbClr val="424242"/>
                </a:solidFill>
                <a:latin typeface="Arial"/>
                <a:ea typeface="Arial"/>
                <a:cs typeface="Arial"/>
              </a:defRPr>
            </a:pPr>
            <a:r>
              <a:rPr lang="de-CH" sz="1700" b="1" i="0" u="none" strike="noStrike" baseline="0">
                <a:solidFill>
                  <a:srgbClr val="424242"/>
                </a:solidFill>
                <a:latin typeface="Arial"/>
                <a:cs typeface="Arial"/>
              </a:rPr>
              <a:t>Leistungsvergleich</a:t>
            </a:r>
          </a:p>
          <a:p>
            <a:pPr>
              <a:defRPr sz="1075" b="0" i="0" u="none" strike="noStrike" baseline="0">
                <a:solidFill>
                  <a:srgbClr val="424242"/>
                </a:solidFill>
                <a:latin typeface="Arial"/>
                <a:ea typeface="Arial"/>
                <a:cs typeface="Arial"/>
              </a:defRPr>
            </a:pPr>
            <a:endParaRPr lang="de-CH" sz="1700" b="1" i="0" u="none" strike="noStrike" baseline="0">
              <a:solidFill>
                <a:srgbClr val="424242"/>
              </a:solidFill>
              <a:latin typeface="Arial"/>
              <a:cs typeface="Arial"/>
            </a:endParaRPr>
          </a:p>
          <a:p>
            <a:pPr>
              <a:defRPr sz="1075" b="0" i="0" u="none" strike="noStrike" baseline="0">
                <a:solidFill>
                  <a:srgbClr val="424242"/>
                </a:solidFill>
                <a:latin typeface="Arial"/>
                <a:ea typeface="Arial"/>
                <a:cs typeface="Arial"/>
              </a:defRPr>
            </a:pPr>
            <a:r>
              <a:rPr lang="de-CH" sz="1700" b="1" i="0" u="none" strike="noStrike" baseline="0">
                <a:solidFill>
                  <a:srgbClr val="0000FF"/>
                </a:solidFill>
                <a:latin typeface="Arial"/>
                <a:cs typeface="Arial"/>
              </a:rPr>
              <a:t>Standardwerte</a:t>
            </a:r>
            <a:endParaRPr lang="de-CH" sz="1700" b="1" i="1" u="none" strike="noStrike" baseline="0">
              <a:solidFill>
                <a:srgbClr val="000080"/>
              </a:solidFill>
              <a:latin typeface="Arial"/>
              <a:cs typeface="Arial"/>
            </a:endParaRPr>
          </a:p>
          <a:p>
            <a:pPr>
              <a:defRPr sz="1075" b="0" i="0" u="none" strike="noStrike" baseline="0">
                <a:solidFill>
                  <a:srgbClr val="424242"/>
                </a:solidFill>
                <a:latin typeface="Arial"/>
                <a:ea typeface="Arial"/>
                <a:cs typeface="Arial"/>
              </a:defRPr>
            </a:pPr>
            <a:endParaRPr lang="de-CH" sz="1700" b="1" i="1" u="none" strike="noStrike" baseline="0">
              <a:solidFill>
                <a:srgbClr val="000080"/>
              </a:solidFill>
              <a:latin typeface="Arial"/>
              <a:cs typeface="Arial"/>
            </a:endParaRPr>
          </a:p>
        </c:rich>
      </c:tx>
      <c:layout>
        <c:manualLayout>
          <c:xMode val="edge"/>
          <c:yMode val="edge"/>
          <c:x val="0.30752877044215626"/>
          <c:y val="2.4669306167237569E-2"/>
        </c:manualLayout>
      </c:layout>
      <c:overlay val="0"/>
      <c:spPr>
        <a:noFill/>
        <a:ln w="25400">
          <a:noFill/>
        </a:ln>
      </c:spPr>
    </c:title>
    <c:autoTitleDeleted val="0"/>
    <c:plotArea>
      <c:layout>
        <c:manualLayout>
          <c:layoutTarget val="inner"/>
          <c:xMode val="edge"/>
          <c:yMode val="edge"/>
          <c:x val="0.19861226686020686"/>
          <c:y val="0.18233847417220764"/>
          <c:w val="0.77843194914564939"/>
          <c:h val="0.70146683593308112"/>
        </c:manualLayout>
      </c:layout>
      <c:barChart>
        <c:barDir val="col"/>
        <c:grouping val="clustered"/>
        <c:varyColors val="0"/>
        <c:ser>
          <c:idx val="0"/>
          <c:order val="0"/>
          <c:tx>
            <c:strRef>
              <c:f>'Standard Cashflow'!$D$21</c:f>
              <c:strCache>
                <c:ptCount val="1"/>
                <c:pt idx="0">
                  <c:v>Leistung</c:v>
                </c:pt>
              </c:strCache>
            </c:strRef>
          </c:tx>
          <c:spPr>
            <a:solidFill>
              <a:srgbClr val="69FFFF"/>
            </a:solidFill>
            <a:ln w="12700">
              <a:solidFill>
                <a:srgbClr val="000000"/>
              </a:solidFill>
              <a:prstDash val="solid"/>
            </a:ln>
          </c:spPr>
          <c:invertIfNegative val="0"/>
          <c:cat>
            <c:numRef>
              <c:f>'Standard Cashflow'!$B$22:$B$37</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'Standard Cashflow'!$D$22:$D$37</c:f>
              <c:numCache>
                <c:formatCode>#,##0\ "Fr."</c:formatCode>
                <c:ptCount val="16"/>
                <c:pt idx="0">
                  <c:v>0</c:v>
                </c:pt>
                <c:pt idx="1">
                  <c:v>1100</c:v>
                </c:pt>
                <c:pt idx="2">
                  <c:v>12402.2</c:v>
                </c:pt>
                <c:pt idx="3">
                  <c:v>15227.750000000002</c:v>
                </c:pt>
                <c:pt idx="4">
                  <c:v>25588.100000000002</c:v>
                </c:pt>
                <c:pt idx="5">
                  <c:v>34064.75</c:v>
                </c:pt>
                <c:pt idx="6">
                  <c:v>42541.4</c:v>
                </c:pt>
                <c:pt idx="7">
                  <c:v>34888.868750000001</c:v>
                </c:pt>
                <c:pt idx="8">
                  <c:v>34888.868750000001</c:v>
                </c:pt>
                <c:pt idx="9">
                  <c:v>50076.200000000004</c:v>
                </c:pt>
                <c:pt idx="10">
                  <c:v>52901.750000000007</c:v>
                </c:pt>
                <c:pt idx="11">
                  <c:v>42776.862499999996</c:v>
                </c:pt>
                <c:pt idx="12">
                  <c:v>35006.600000000006</c:v>
                </c:pt>
                <c:pt idx="13">
                  <c:v>38774</c:v>
                </c:pt>
                <c:pt idx="14">
                  <c:v>39715.85</c:v>
                </c:pt>
                <c:pt idx="15">
                  <c:v>34064.75</c:v>
                </c:pt>
              </c:numCache>
            </c:numRef>
          </c:val>
          <c:extLst>
            <c:ext xmlns:c16="http://schemas.microsoft.com/office/drawing/2014/chart" uri="{C3380CC4-5D6E-409C-BE32-E72D297353CC}">
              <c16:uniqueId val="{00000000-640F-40C2-8169-31CB9F8C0B40}"/>
            </c:ext>
          </c:extLst>
        </c:ser>
        <c:ser>
          <c:idx val="1"/>
          <c:order val="1"/>
          <c:tx>
            <c:strRef>
              <c:f>'Standard Cashflow'!$E$21</c:f>
              <c:strCache>
                <c:ptCount val="1"/>
                <c:pt idx="0">
                  <c:v>Produktionskosten</c:v>
                </c:pt>
              </c:strCache>
            </c:strRef>
          </c:tx>
          <c:spPr>
            <a:solidFill>
              <a:srgbClr val="0000FF"/>
            </a:solidFill>
            <a:ln w="12700">
              <a:solidFill>
                <a:srgbClr val="000000"/>
              </a:solidFill>
              <a:prstDash val="solid"/>
            </a:ln>
          </c:spPr>
          <c:invertIfNegative val="0"/>
          <c:cat>
            <c:numRef>
              <c:f>'Standard Cashflow'!$B$22:$B$37</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'Standard Cashflow'!$E$22:$E$37</c:f>
              <c:numCache>
                <c:formatCode>#,##0\ "Fr."</c:formatCode>
                <c:ptCount val="16"/>
                <c:pt idx="0">
                  <c:v>98699.605099999986</c:v>
                </c:pt>
                <c:pt idx="1">
                  <c:v>12749.896445900002</c:v>
                </c:pt>
                <c:pt idx="2">
                  <c:v>16234.295826413099</c:v>
                </c:pt>
                <c:pt idx="3">
                  <c:v>29738.509766975818</c:v>
                </c:pt>
                <c:pt idx="4">
                  <c:v>33285.035224670268</c:v>
                </c:pt>
                <c:pt idx="5">
                  <c:v>35371.132876067299</c:v>
                </c:pt>
                <c:pt idx="6">
                  <c:v>37399.715556326904</c:v>
                </c:pt>
                <c:pt idx="7">
                  <c:v>35532.69539307864</c:v>
                </c:pt>
                <c:pt idx="8">
                  <c:v>35538.489832866348</c:v>
                </c:pt>
                <c:pt idx="9">
                  <c:v>39157.814967534017</c:v>
                </c:pt>
                <c:pt idx="10">
                  <c:v>39731.824580366825</c:v>
                </c:pt>
                <c:pt idx="11">
                  <c:v>37204.309554975538</c:v>
                </c:pt>
                <c:pt idx="12">
                  <c:v>35305.400113626572</c:v>
                </c:pt>
                <c:pt idx="13">
                  <c:v>36204.456085482539</c:v>
                </c:pt>
                <c:pt idx="14">
                  <c:v>36337.11188296022</c:v>
                </c:pt>
                <c:pt idx="15">
                  <c:v>41030.463083656861</c:v>
                </c:pt>
              </c:numCache>
            </c:numRef>
          </c:val>
          <c:extLst>
            <c:ext xmlns:c16="http://schemas.microsoft.com/office/drawing/2014/chart" uri="{C3380CC4-5D6E-409C-BE32-E72D297353CC}">
              <c16:uniqueId val="{00000001-640F-40C2-8169-31CB9F8C0B40}"/>
            </c:ext>
          </c:extLst>
        </c:ser>
        <c:dLbls>
          <c:showLegendKey val="0"/>
          <c:showVal val="0"/>
          <c:showCatName val="0"/>
          <c:showSerName val="0"/>
          <c:showPercent val="0"/>
          <c:showBubbleSize val="0"/>
        </c:dLbls>
        <c:gapWidth val="150"/>
        <c:axId val="533581024"/>
        <c:axId val="1"/>
      </c:barChart>
      <c:catAx>
        <c:axId val="533581024"/>
        <c:scaling>
          <c:orientation val="minMax"/>
        </c:scaling>
        <c:delete val="0"/>
        <c:axPos val="b"/>
        <c:title>
          <c:tx>
            <c:rich>
              <a:bodyPr/>
              <a:lstStyle/>
              <a:p>
                <a:pPr>
                  <a:defRPr sz="1075" b="1" i="0" u="none" strike="noStrike" baseline="0">
                    <a:solidFill>
                      <a:srgbClr val="424242"/>
                    </a:solidFill>
                    <a:latin typeface="Arial"/>
                    <a:ea typeface="Arial"/>
                    <a:cs typeface="Arial"/>
                  </a:defRPr>
                </a:pPr>
                <a:r>
                  <a:rPr lang="de-CH"/>
                  <a:t>Standjahre</a:t>
                </a:r>
              </a:p>
            </c:rich>
          </c:tx>
          <c:layout>
            <c:manualLayout>
              <c:xMode val="edge"/>
              <c:yMode val="edge"/>
              <c:x val="0.52536139713305074"/>
              <c:y val="0.9116922757536664"/>
            </c:manualLayout>
          </c:layout>
          <c:overlay val="0"/>
          <c:spPr>
            <a:noFill/>
            <a:ln w="25400">
              <a:noFill/>
            </a:ln>
          </c:spPr>
        </c:title>
        <c:numFmt formatCode="General" sourceLinked="1"/>
        <c:majorTickMark val="out"/>
        <c:minorTickMark val="out"/>
        <c:tickLblPos val="nextTo"/>
        <c:spPr>
          <a:ln w="3175">
            <a:solidFill>
              <a:srgbClr val="000000"/>
            </a:solidFill>
            <a:prstDash val="solid"/>
          </a:ln>
        </c:spPr>
        <c:txPr>
          <a:bodyPr rot="0" vert="horz"/>
          <a:lstStyle/>
          <a:p>
            <a:pPr>
              <a:defRPr sz="1075" b="0" i="0" u="none" strike="noStrike" baseline="0">
                <a:solidFill>
                  <a:srgbClr val="424242"/>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075" b="1" i="0" u="none" strike="noStrike" baseline="0">
                    <a:solidFill>
                      <a:srgbClr val="424242"/>
                    </a:solidFill>
                    <a:latin typeface="Arial"/>
                    <a:ea typeface="Arial"/>
                    <a:cs typeface="Arial"/>
                  </a:defRPr>
                </a:pPr>
                <a:r>
                  <a:rPr lang="de-CH"/>
                  <a:t>Fr. / ha</a:t>
                </a:r>
              </a:p>
            </c:rich>
          </c:tx>
          <c:layout>
            <c:manualLayout>
              <c:xMode val="edge"/>
              <c:yMode val="edge"/>
              <c:x val="3.6839457567804025E-2"/>
              <c:y val="0.50518475021130826"/>
            </c:manualLayout>
          </c:layout>
          <c:overlay val="0"/>
          <c:spPr>
            <a:noFill/>
            <a:ln w="25400">
              <a:noFill/>
            </a:ln>
          </c:spPr>
        </c:title>
        <c:numFmt formatCode="#,##0\ &quot;Fr.&quot;"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424242"/>
                </a:solidFill>
                <a:latin typeface="Arial"/>
                <a:ea typeface="Arial"/>
                <a:cs typeface="Arial"/>
              </a:defRPr>
            </a:pPr>
            <a:endParaRPr lang="de-DE"/>
          </a:p>
        </c:txPr>
        <c:crossAx val="533581024"/>
        <c:crosses val="autoZero"/>
        <c:crossBetween val="between"/>
      </c:valAx>
      <c:spPr>
        <a:noFill/>
        <a:ln w="3175">
          <a:solidFill>
            <a:srgbClr val="000000"/>
          </a:solidFill>
          <a:prstDash val="solid"/>
        </a:ln>
      </c:spPr>
    </c:plotArea>
    <c:legend>
      <c:legendPos val="r"/>
      <c:layout>
        <c:manualLayout>
          <c:xMode val="edge"/>
          <c:yMode val="edge"/>
          <c:x val="0.39325846288444716"/>
          <c:y val="0.95623636875898976"/>
          <c:w val="0.34189413823272091"/>
          <c:h val="2.6258226196301693E-2"/>
        </c:manualLayout>
      </c:layout>
      <c:overlay val="0"/>
      <c:spPr>
        <a:solidFill>
          <a:srgbClr val="FFFFFF"/>
        </a:solidFill>
        <a:ln w="3175">
          <a:solidFill>
            <a:srgbClr val="000000"/>
          </a:solidFill>
          <a:prstDash val="solid"/>
        </a:ln>
      </c:spPr>
      <c:txPr>
        <a:bodyPr/>
        <a:lstStyle/>
        <a:p>
          <a:pPr>
            <a:defRPr sz="830"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75" b="1" i="0" u="sng" strike="noStrike" baseline="0">
                <a:solidFill>
                  <a:srgbClr val="424242"/>
                </a:solidFill>
                <a:latin typeface="Arial"/>
                <a:ea typeface="Arial"/>
                <a:cs typeface="Arial"/>
              </a:defRPr>
            </a:pPr>
            <a:r>
              <a:rPr lang="de-CH"/>
              <a:t>Anteil Arbeit-, Kapital- und Sachkosten</a:t>
            </a:r>
          </a:p>
        </c:rich>
      </c:tx>
      <c:layout>
        <c:manualLayout>
          <c:xMode val="edge"/>
          <c:yMode val="edge"/>
          <c:x val="0.27175588547614754"/>
          <c:y val="1.6501611795169898E-2"/>
        </c:manualLayout>
      </c:layout>
      <c:overlay val="0"/>
      <c:spPr>
        <a:noFill/>
        <a:ln w="25400">
          <a:noFill/>
        </a:ln>
      </c:spPr>
    </c:title>
    <c:autoTitleDeleted val="0"/>
    <c:plotArea>
      <c:layout>
        <c:manualLayout>
          <c:layoutTarget val="inner"/>
          <c:xMode val="edge"/>
          <c:yMode val="edge"/>
          <c:x val="0.17404580152671756"/>
          <c:y val="0.17161716171617161"/>
          <c:w val="0.76488549618320612"/>
          <c:h val="0.71617161716171618"/>
        </c:manualLayout>
      </c:layout>
      <c:barChart>
        <c:barDir val="bar"/>
        <c:grouping val="clustered"/>
        <c:varyColors val="0"/>
        <c:ser>
          <c:idx val="0"/>
          <c:order val="0"/>
          <c:tx>
            <c:strRef>
              <c:f>'Standard Ertragsphase'!$B$122</c:f>
              <c:strCache>
                <c:ptCount val="1"/>
                <c:pt idx="0">
                  <c:v>Standard</c:v>
                </c:pt>
              </c:strCache>
            </c:strRef>
          </c:tx>
          <c:spPr>
            <a:solidFill>
              <a:srgbClr val="000080"/>
            </a:solidFill>
            <a:ln w="12700">
              <a:solidFill>
                <a:srgbClr val="000000"/>
              </a:solidFill>
              <a:prstDash val="solid"/>
            </a:ln>
          </c:spPr>
          <c:invertIfNegative val="0"/>
          <c:cat>
            <c:strRef>
              <c:f>Eingabeseite!$G$86:$G$88</c:f>
              <c:strCache>
                <c:ptCount val="3"/>
                <c:pt idx="0">
                  <c:v>Arbeitskosten</c:v>
                </c:pt>
                <c:pt idx="1">
                  <c:v>Kapitalkosten (Zinsanspruch)</c:v>
                </c:pt>
                <c:pt idx="2">
                  <c:v>Sachkosten</c:v>
                </c:pt>
              </c:strCache>
            </c:strRef>
          </c:cat>
          <c:val>
            <c:numRef>
              <c:f>'Standard Ertragsphase'!$B$123:$B$125</c:f>
              <c:numCache>
                <c:formatCode>\ #,##0\ "Fr."</c:formatCode>
                <c:ptCount val="3"/>
                <c:pt idx="0">
                  <c:v>19503.337499999998</c:v>
                </c:pt>
                <c:pt idx="1">
                  <c:v>1818.2312142536002</c:v>
                </c:pt>
                <c:pt idx="2">
                  <c:v>25956.493260711453</c:v>
                </c:pt>
              </c:numCache>
            </c:numRef>
          </c:val>
          <c:extLst>
            <c:ext xmlns:c16="http://schemas.microsoft.com/office/drawing/2014/chart" uri="{C3380CC4-5D6E-409C-BE32-E72D297353CC}">
              <c16:uniqueId val="{00000000-AA6C-48AF-93AA-EFE065B6E48C}"/>
            </c:ext>
          </c:extLst>
        </c:ser>
        <c:ser>
          <c:idx val="1"/>
          <c:order val="1"/>
          <c:tx>
            <c:strRef>
              <c:f>Eingabeseite!$J$85</c:f>
              <c:strCache>
                <c:ptCount val="1"/>
                <c:pt idx="0">
                  <c:v>Variante </c:v>
                </c:pt>
              </c:strCache>
            </c:strRef>
          </c:tx>
          <c:spPr>
            <a:solidFill>
              <a:srgbClr val="339933"/>
            </a:solidFill>
            <a:ln w="12700">
              <a:solidFill>
                <a:srgbClr val="000000"/>
              </a:solidFill>
              <a:prstDash val="solid"/>
            </a:ln>
          </c:spPr>
          <c:invertIfNegative val="0"/>
          <c:cat>
            <c:strRef>
              <c:f>Eingabeseite!$G$86:$G$88</c:f>
              <c:strCache>
                <c:ptCount val="3"/>
                <c:pt idx="0">
                  <c:v>Arbeitskosten</c:v>
                </c:pt>
                <c:pt idx="1">
                  <c:v>Kapitalkosten (Zinsanspruch)</c:v>
                </c:pt>
                <c:pt idx="2">
                  <c:v>Sachkosten</c:v>
                </c:pt>
              </c:strCache>
            </c:strRef>
          </c:cat>
          <c:val>
            <c:numRef>
              <c:f>Eingabeseite!$J$86:$J$88</c:f>
              <c:numCache>
                <c:formatCode>#,##0\ "Fr."</c:formatCode>
                <c:ptCount val="3"/>
                <c:pt idx="0">
                  <c:v>19503.337499999998</c:v>
                </c:pt>
                <c:pt idx="1">
                  <c:v>1818.2312142536002</c:v>
                </c:pt>
                <c:pt idx="2">
                  <c:v>25956.473260711449</c:v>
                </c:pt>
              </c:numCache>
            </c:numRef>
          </c:val>
          <c:extLst>
            <c:ext xmlns:c16="http://schemas.microsoft.com/office/drawing/2014/chart" uri="{C3380CC4-5D6E-409C-BE32-E72D297353CC}">
              <c16:uniqueId val="{00000001-AA6C-48AF-93AA-EFE065B6E48C}"/>
            </c:ext>
          </c:extLst>
        </c:ser>
        <c:dLbls>
          <c:showLegendKey val="0"/>
          <c:showVal val="0"/>
          <c:showCatName val="0"/>
          <c:showSerName val="0"/>
          <c:showPercent val="0"/>
          <c:showBubbleSize val="0"/>
        </c:dLbls>
        <c:gapWidth val="100"/>
        <c:axId val="533586600"/>
        <c:axId val="1"/>
      </c:barChart>
      <c:catAx>
        <c:axId val="533586600"/>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424242"/>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 #,##0\ &quot;Fr.&quot;" sourceLinked="1"/>
        <c:majorTickMark val="out"/>
        <c:minorTickMark val="out"/>
        <c:tickLblPos val="nextTo"/>
        <c:spPr>
          <a:ln w="3175">
            <a:solidFill>
              <a:srgbClr val="000000"/>
            </a:solidFill>
            <a:prstDash val="solid"/>
          </a:ln>
        </c:spPr>
        <c:txPr>
          <a:bodyPr rot="0" vert="horz"/>
          <a:lstStyle/>
          <a:p>
            <a:pPr>
              <a:defRPr sz="850" b="0" i="0" u="none" strike="noStrike" baseline="0">
                <a:solidFill>
                  <a:srgbClr val="424242"/>
                </a:solidFill>
                <a:latin typeface="Arial"/>
                <a:ea typeface="Arial"/>
                <a:cs typeface="Arial"/>
              </a:defRPr>
            </a:pPr>
            <a:endParaRPr lang="de-DE"/>
          </a:p>
        </c:txPr>
        <c:crossAx val="533586600"/>
        <c:crosses val="max"/>
        <c:crossBetween val="between"/>
        <c:minorUnit val="1000"/>
      </c:valAx>
      <c:spPr>
        <a:noFill/>
        <a:ln w="3175">
          <a:solidFill>
            <a:srgbClr val="000000"/>
          </a:solidFill>
          <a:prstDash val="solid"/>
        </a:ln>
      </c:spPr>
    </c:plotArea>
    <c:legend>
      <c:legendPos val="r"/>
      <c:layout>
        <c:manualLayout>
          <c:xMode val="edge"/>
          <c:yMode val="edge"/>
          <c:x val="0.68042908376910904"/>
          <c:y val="0.17218552378939211"/>
          <c:w val="0.15749265692933423"/>
          <c:h val="0.25827828568408817"/>
        </c:manualLayout>
      </c:layout>
      <c:overlay val="0"/>
      <c:spPr>
        <a:solidFill>
          <a:srgbClr val="FFFFFF"/>
        </a:solidFill>
        <a:ln w="3175">
          <a:solidFill>
            <a:srgbClr val="000000"/>
          </a:solidFill>
          <a:prstDash val="solid"/>
        </a:ln>
      </c:spPr>
      <c:txPr>
        <a:bodyPr/>
        <a:lstStyle/>
        <a:p>
          <a:pPr>
            <a:defRPr sz="925"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200" verticalDpi="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424242"/>
                </a:solidFill>
                <a:latin typeface="Arial"/>
                <a:ea typeface="Arial"/>
                <a:cs typeface="Arial"/>
              </a:defRPr>
            </a:pPr>
            <a:r>
              <a:rPr lang="de-CH" sz="2025" b="1" i="0" u="none" strike="noStrike" baseline="0">
                <a:solidFill>
                  <a:srgbClr val="424242"/>
                </a:solidFill>
                <a:latin typeface="Arial"/>
                <a:cs typeface="Arial"/>
              </a:rPr>
              <a:t>Produktionskosten- / </a:t>
            </a:r>
          </a:p>
          <a:p>
            <a:pPr>
              <a:defRPr sz="1200" b="0" i="0" u="none" strike="noStrike" baseline="0">
                <a:solidFill>
                  <a:srgbClr val="424242"/>
                </a:solidFill>
                <a:latin typeface="Arial"/>
                <a:ea typeface="Arial"/>
                <a:cs typeface="Arial"/>
              </a:defRPr>
            </a:pPr>
            <a:r>
              <a:rPr lang="de-CH" sz="2025" b="1" i="0" u="none" strike="noStrike" baseline="0">
                <a:solidFill>
                  <a:srgbClr val="424242"/>
                </a:solidFill>
                <a:latin typeface="Arial"/>
                <a:cs typeface="Arial"/>
              </a:rPr>
              <a:t>Leistungsvergleich</a:t>
            </a:r>
          </a:p>
          <a:p>
            <a:pPr>
              <a:defRPr sz="1200" b="0" i="0" u="none" strike="noStrike" baseline="0">
                <a:solidFill>
                  <a:srgbClr val="424242"/>
                </a:solidFill>
                <a:latin typeface="Arial"/>
                <a:ea typeface="Arial"/>
                <a:cs typeface="Arial"/>
              </a:defRPr>
            </a:pPr>
            <a:endParaRPr lang="de-CH" sz="2025" b="1" i="0" u="none" strike="noStrike" baseline="0">
              <a:solidFill>
                <a:srgbClr val="424242"/>
              </a:solidFill>
              <a:latin typeface="Arial"/>
              <a:cs typeface="Arial"/>
            </a:endParaRPr>
          </a:p>
          <a:p>
            <a:pPr>
              <a:defRPr sz="1200" b="0" i="0" u="none" strike="noStrike" baseline="0">
                <a:solidFill>
                  <a:srgbClr val="424242"/>
                </a:solidFill>
                <a:latin typeface="Arial"/>
                <a:ea typeface="Arial"/>
                <a:cs typeface="Arial"/>
              </a:defRPr>
            </a:pPr>
            <a:r>
              <a:rPr lang="de-CH" sz="2025" b="1" i="0" u="none" strike="noStrike" baseline="0">
                <a:solidFill>
                  <a:srgbClr val="008000"/>
                </a:solidFill>
                <a:latin typeface="Arial"/>
                <a:cs typeface="Arial"/>
              </a:rPr>
              <a:t>Variante</a:t>
            </a:r>
          </a:p>
        </c:rich>
      </c:tx>
      <c:layout>
        <c:manualLayout>
          <c:xMode val="edge"/>
          <c:yMode val="edge"/>
          <c:x val="0.30723774447548896"/>
          <c:y val="2.4740044527276669E-2"/>
        </c:manualLayout>
      </c:layout>
      <c:overlay val="0"/>
      <c:spPr>
        <a:noFill/>
        <a:ln w="25400">
          <a:noFill/>
        </a:ln>
      </c:spPr>
    </c:title>
    <c:autoTitleDeleted val="0"/>
    <c:plotArea>
      <c:layout>
        <c:manualLayout>
          <c:layoutTarget val="inner"/>
          <c:xMode val="edge"/>
          <c:yMode val="edge"/>
          <c:x val="0.19799762104151442"/>
          <c:y val="0.19039095441281206"/>
          <c:w val="0.78106647748790514"/>
          <c:h val="0.67981402931580348"/>
        </c:manualLayout>
      </c:layout>
      <c:barChart>
        <c:barDir val="col"/>
        <c:grouping val="clustered"/>
        <c:varyColors val="0"/>
        <c:ser>
          <c:idx val="2"/>
          <c:order val="0"/>
          <c:tx>
            <c:strRef>
              <c:f>'Variante Cashflow'!$D$21</c:f>
              <c:strCache>
                <c:ptCount val="1"/>
                <c:pt idx="0">
                  <c:v>Leistung</c:v>
                </c:pt>
              </c:strCache>
            </c:strRef>
          </c:tx>
          <c:spPr>
            <a:solidFill>
              <a:srgbClr val="00FF00"/>
            </a:solidFill>
            <a:ln w="12700">
              <a:solidFill>
                <a:srgbClr val="000000"/>
              </a:solidFill>
              <a:prstDash val="solid"/>
            </a:ln>
          </c:spPr>
          <c:invertIfNegative val="0"/>
          <c:val>
            <c:numRef>
              <c:f>'Variante Cashflow'!$D$22:$D$37</c:f>
              <c:numCache>
                <c:formatCode>#,##0\ "Fr."</c:formatCode>
                <c:ptCount val="16"/>
                <c:pt idx="0">
                  <c:v>0</c:v>
                </c:pt>
                <c:pt idx="1">
                  <c:v>1100</c:v>
                </c:pt>
                <c:pt idx="2">
                  <c:v>12402.2</c:v>
                </c:pt>
                <c:pt idx="3">
                  <c:v>15227.750000000002</c:v>
                </c:pt>
                <c:pt idx="4">
                  <c:v>25588.100000000002</c:v>
                </c:pt>
                <c:pt idx="5">
                  <c:v>34064.75</c:v>
                </c:pt>
                <c:pt idx="6">
                  <c:v>42541.4</c:v>
                </c:pt>
                <c:pt idx="7">
                  <c:v>34888.868750000001</c:v>
                </c:pt>
                <c:pt idx="8">
                  <c:v>34888.868750000001</c:v>
                </c:pt>
                <c:pt idx="9">
                  <c:v>50076.200000000004</c:v>
                </c:pt>
                <c:pt idx="10">
                  <c:v>52901.750000000007</c:v>
                </c:pt>
                <c:pt idx="11">
                  <c:v>42776.862499999996</c:v>
                </c:pt>
                <c:pt idx="12">
                  <c:v>35006.600000000006</c:v>
                </c:pt>
                <c:pt idx="13">
                  <c:v>38774</c:v>
                </c:pt>
                <c:pt idx="14">
                  <c:v>39715.85</c:v>
                </c:pt>
                <c:pt idx="15">
                  <c:v>34064.75</c:v>
                </c:pt>
              </c:numCache>
            </c:numRef>
          </c:val>
          <c:extLst>
            <c:ext xmlns:c16="http://schemas.microsoft.com/office/drawing/2014/chart" uri="{C3380CC4-5D6E-409C-BE32-E72D297353CC}">
              <c16:uniqueId val="{00000000-3477-4685-BA03-FF47F178553B}"/>
            </c:ext>
          </c:extLst>
        </c:ser>
        <c:ser>
          <c:idx val="3"/>
          <c:order val="1"/>
          <c:tx>
            <c:strRef>
              <c:f>'Variante Cashflow'!$E$21</c:f>
              <c:strCache>
                <c:ptCount val="1"/>
                <c:pt idx="0">
                  <c:v>Produktionskosten</c:v>
                </c:pt>
              </c:strCache>
            </c:strRef>
          </c:tx>
          <c:spPr>
            <a:solidFill>
              <a:srgbClr val="008000"/>
            </a:solidFill>
            <a:ln w="12700">
              <a:solidFill>
                <a:srgbClr val="000000"/>
              </a:solidFill>
              <a:prstDash val="solid"/>
            </a:ln>
          </c:spPr>
          <c:invertIfNegative val="0"/>
          <c:val>
            <c:numRef>
              <c:f>'Variante Cashflow'!$E$22:$E$37</c:f>
              <c:numCache>
                <c:formatCode>#,##0\ "Fr."</c:formatCode>
                <c:ptCount val="16"/>
                <c:pt idx="0">
                  <c:v>98699.605099999986</c:v>
                </c:pt>
                <c:pt idx="1">
                  <c:v>12749.896445900002</c:v>
                </c:pt>
                <c:pt idx="2">
                  <c:v>16234.295826413099</c:v>
                </c:pt>
                <c:pt idx="3">
                  <c:v>29738.509766975818</c:v>
                </c:pt>
                <c:pt idx="4">
                  <c:v>33285.015224670264</c:v>
                </c:pt>
                <c:pt idx="5">
                  <c:v>35371.112696067299</c:v>
                </c:pt>
                <c:pt idx="6">
                  <c:v>37399.695194706903</c:v>
                </c:pt>
                <c:pt idx="7">
                  <c:v>35532.674848204057</c:v>
                </c:pt>
                <c:pt idx="8">
                  <c:v>35538.469103087897</c:v>
                </c:pt>
                <c:pt idx="9">
                  <c:v>39157.794051187564</c:v>
                </c:pt>
                <c:pt idx="10">
                  <c:v>39731.803475773253</c:v>
                </c:pt>
                <c:pt idx="11">
                  <c:v>37204.288260440626</c:v>
                </c:pt>
                <c:pt idx="12">
                  <c:v>35305.378627440841</c:v>
                </c:pt>
                <c:pt idx="13">
                  <c:v>36204.434405921143</c:v>
                </c:pt>
                <c:pt idx="14">
                  <c:v>36405.40000828277</c:v>
                </c:pt>
                <c:pt idx="15">
                  <c:v>41031.055802107308</c:v>
                </c:pt>
              </c:numCache>
            </c:numRef>
          </c:val>
          <c:extLst>
            <c:ext xmlns:c16="http://schemas.microsoft.com/office/drawing/2014/chart" uri="{C3380CC4-5D6E-409C-BE32-E72D297353CC}">
              <c16:uniqueId val="{00000001-3477-4685-BA03-FF47F178553B}"/>
            </c:ext>
          </c:extLst>
        </c:ser>
        <c:dLbls>
          <c:showLegendKey val="0"/>
          <c:showVal val="0"/>
          <c:showCatName val="0"/>
          <c:showSerName val="0"/>
          <c:showPercent val="0"/>
          <c:showBubbleSize val="0"/>
        </c:dLbls>
        <c:gapWidth val="150"/>
        <c:axId val="533586272"/>
        <c:axId val="1"/>
      </c:barChart>
      <c:catAx>
        <c:axId val="533586272"/>
        <c:scaling>
          <c:orientation val="minMax"/>
        </c:scaling>
        <c:delete val="0"/>
        <c:axPos val="b"/>
        <c:title>
          <c:tx>
            <c:rich>
              <a:bodyPr/>
              <a:lstStyle/>
              <a:p>
                <a:pPr>
                  <a:defRPr sz="1200" b="1" i="0" u="none" strike="noStrike" baseline="0">
                    <a:solidFill>
                      <a:srgbClr val="424242"/>
                    </a:solidFill>
                    <a:latin typeface="Arial"/>
                    <a:ea typeface="Arial"/>
                    <a:cs typeface="Arial"/>
                  </a:defRPr>
                </a:pPr>
                <a:r>
                  <a:rPr lang="de-CH"/>
                  <a:t>Standjahre</a:t>
                </a:r>
              </a:p>
            </c:rich>
          </c:tx>
          <c:layout>
            <c:manualLayout>
              <c:xMode val="edge"/>
              <c:yMode val="edge"/>
              <c:x val="0.52844876245308048"/>
              <c:y val="0.90892858098286977"/>
            </c:manualLayout>
          </c:layout>
          <c:overlay val="0"/>
          <c:spPr>
            <a:noFill/>
            <a:ln w="25400">
              <a:noFill/>
            </a:ln>
          </c:spPr>
        </c:title>
        <c:numFmt formatCode="General" sourceLinked="1"/>
        <c:majorTickMark val="out"/>
        <c:minorTickMark val="out"/>
        <c:tickLblPos val="nextTo"/>
        <c:spPr>
          <a:ln w="3175">
            <a:solidFill>
              <a:srgbClr val="000000"/>
            </a:solidFill>
            <a:prstDash val="solid"/>
          </a:ln>
        </c:spPr>
        <c:txPr>
          <a:bodyPr rot="0" vert="horz"/>
          <a:lstStyle/>
          <a:p>
            <a:pPr>
              <a:defRPr sz="1200" b="0" i="0" u="none" strike="noStrike" baseline="0">
                <a:solidFill>
                  <a:srgbClr val="424242"/>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424242"/>
                    </a:solidFill>
                    <a:latin typeface="Arial"/>
                    <a:ea typeface="Arial"/>
                    <a:cs typeface="Arial"/>
                  </a:defRPr>
                </a:pPr>
                <a:r>
                  <a:rPr lang="de-CH"/>
                  <a:t>Fr. / ha</a:t>
                </a:r>
              </a:p>
            </c:rich>
          </c:tx>
          <c:layout>
            <c:manualLayout>
              <c:xMode val="edge"/>
              <c:yMode val="edge"/>
              <c:x val="3.9599525865718396E-2"/>
              <c:y val="0.50017959533087808"/>
            </c:manualLayout>
          </c:layout>
          <c:overlay val="0"/>
          <c:spPr>
            <a:noFill/>
            <a:ln w="25400">
              <a:noFill/>
            </a:ln>
          </c:spPr>
        </c:title>
        <c:numFmt formatCode="#,##0\ &quot;Fr.&quot;"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424242"/>
                </a:solidFill>
                <a:latin typeface="Arial"/>
                <a:ea typeface="Arial"/>
                <a:cs typeface="Arial"/>
              </a:defRPr>
            </a:pPr>
            <a:endParaRPr lang="de-DE"/>
          </a:p>
        </c:txPr>
        <c:crossAx val="533586272"/>
        <c:crosses val="autoZero"/>
        <c:crossBetween val="between"/>
      </c:valAx>
      <c:spPr>
        <a:noFill/>
        <a:ln w="3175">
          <a:solidFill>
            <a:srgbClr val="000000"/>
          </a:solidFill>
          <a:prstDash val="solid"/>
        </a:ln>
      </c:spPr>
    </c:plotArea>
    <c:legend>
      <c:legendPos val="r"/>
      <c:layout>
        <c:manualLayout>
          <c:xMode val="edge"/>
          <c:yMode val="edge"/>
          <c:x val="0.42876400530578834"/>
          <c:y val="0.95504492855720324"/>
          <c:w val="0.32661332655998648"/>
          <c:h val="2.7412275617303195E-2"/>
        </c:manualLayout>
      </c:layout>
      <c:overlay val="0"/>
      <c:spPr>
        <a:solidFill>
          <a:srgbClr val="FFFFFF"/>
        </a:solidFill>
        <a:ln w="3175">
          <a:solidFill>
            <a:srgbClr val="000000"/>
          </a:solidFill>
          <a:prstDash val="solid"/>
        </a:ln>
      </c:spPr>
      <c:txPr>
        <a:bodyPr/>
        <a:lstStyle/>
        <a:p>
          <a:pPr>
            <a:defRPr sz="925"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75" b="1" i="0" u="sng" strike="noStrike" baseline="0">
                <a:solidFill>
                  <a:srgbClr val="424242"/>
                </a:solidFill>
                <a:latin typeface="Arial"/>
                <a:ea typeface="Arial"/>
                <a:cs typeface="Arial"/>
              </a:defRPr>
            </a:pPr>
            <a:r>
              <a:rPr lang="de-CH"/>
              <a:t>Gliederung der Kapitalkosten</a:t>
            </a:r>
          </a:p>
        </c:rich>
      </c:tx>
      <c:layout>
        <c:manualLayout>
          <c:xMode val="edge"/>
          <c:yMode val="edge"/>
          <c:x val="0.3146537576485528"/>
          <c:y val="1.5806208937258637E-2"/>
        </c:manualLayout>
      </c:layout>
      <c:overlay val="0"/>
      <c:spPr>
        <a:noFill/>
        <a:ln w="25400">
          <a:noFill/>
        </a:ln>
      </c:spPr>
    </c:title>
    <c:autoTitleDeleted val="0"/>
    <c:plotArea>
      <c:layout>
        <c:manualLayout>
          <c:layoutTarget val="inner"/>
          <c:xMode val="edge"/>
          <c:yMode val="edge"/>
          <c:x val="0.15578437456694763"/>
          <c:y val="0.1517392968721058"/>
          <c:w val="0.80514300518759074"/>
          <c:h val="0.62908583494893866"/>
        </c:manualLayout>
      </c:layout>
      <c:barChart>
        <c:barDir val="bar"/>
        <c:grouping val="clustered"/>
        <c:varyColors val="0"/>
        <c:ser>
          <c:idx val="0"/>
          <c:order val="0"/>
          <c:tx>
            <c:strRef>
              <c:f>'Standard Ertragsphase'!$B$128</c:f>
              <c:strCache>
                <c:ptCount val="1"/>
                <c:pt idx="0">
                  <c:v>Standard</c:v>
                </c:pt>
              </c:strCache>
            </c:strRef>
          </c:tx>
          <c:spPr>
            <a:solidFill>
              <a:srgbClr val="000080"/>
            </a:solidFill>
            <a:ln w="12700">
              <a:solidFill>
                <a:srgbClr val="000000"/>
              </a:solidFill>
              <a:prstDash val="solid"/>
            </a:ln>
          </c:spPr>
          <c:invertIfNegative val="0"/>
          <c:cat>
            <c:strRef>
              <c:f>'Standard Ertragsphase'!$A$129:$A$130</c:f>
              <c:strCache>
                <c:ptCount val="2"/>
                <c:pt idx="0">
                  <c:v>für Boden</c:v>
                </c:pt>
                <c:pt idx="1">
                  <c:v>für Investition Obstanlage </c:v>
                </c:pt>
              </c:strCache>
            </c:strRef>
          </c:cat>
          <c:val>
            <c:numRef>
              <c:f>'Standard Ertragsphase'!$B$129:$B$130</c:f>
              <c:numCache>
                <c:formatCode>\ #,##0\ "Fr."</c:formatCode>
                <c:ptCount val="2"/>
                <c:pt idx="0">
                  <c:v>660</c:v>
                </c:pt>
                <c:pt idx="1">
                  <c:v>1158.2312142536002</c:v>
                </c:pt>
              </c:numCache>
            </c:numRef>
          </c:val>
          <c:extLst>
            <c:ext xmlns:c16="http://schemas.microsoft.com/office/drawing/2014/chart" uri="{C3380CC4-5D6E-409C-BE32-E72D297353CC}">
              <c16:uniqueId val="{00000000-E3F8-4400-8EF4-22B63F4FEB23}"/>
            </c:ext>
          </c:extLst>
        </c:ser>
        <c:ser>
          <c:idx val="1"/>
          <c:order val="1"/>
          <c:tx>
            <c:strRef>
              <c:f>Eingabeseite!$J$100</c:f>
              <c:strCache>
                <c:ptCount val="1"/>
                <c:pt idx="0">
                  <c:v>Variante </c:v>
                </c:pt>
              </c:strCache>
            </c:strRef>
          </c:tx>
          <c:spPr>
            <a:solidFill>
              <a:srgbClr val="339933"/>
            </a:solidFill>
            <a:ln w="12700">
              <a:solidFill>
                <a:srgbClr val="000000"/>
              </a:solidFill>
              <a:prstDash val="solid"/>
            </a:ln>
          </c:spPr>
          <c:invertIfNegative val="0"/>
          <c:cat>
            <c:strRef>
              <c:f>'Standard Ertragsphase'!$A$129:$A$130</c:f>
              <c:strCache>
                <c:ptCount val="2"/>
                <c:pt idx="0">
                  <c:v>für Boden</c:v>
                </c:pt>
                <c:pt idx="1">
                  <c:v>für Investition Obstanlage </c:v>
                </c:pt>
              </c:strCache>
            </c:strRef>
          </c:cat>
          <c:val>
            <c:numRef>
              <c:f>Eingabeseite!$J$101:$J$102</c:f>
              <c:numCache>
                <c:formatCode>#,##0\ "Fr."</c:formatCode>
                <c:ptCount val="2"/>
                <c:pt idx="0">
                  <c:v>660</c:v>
                </c:pt>
                <c:pt idx="1">
                  <c:v>1158.2312142536002</c:v>
                </c:pt>
              </c:numCache>
            </c:numRef>
          </c:val>
          <c:extLst>
            <c:ext xmlns:c16="http://schemas.microsoft.com/office/drawing/2014/chart" uri="{C3380CC4-5D6E-409C-BE32-E72D297353CC}">
              <c16:uniqueId val="{00000001-E3F8-4400-8EF4-22B63F4FEB23}"/>
            </c:ext>
          </c:extLst>
        </c:ser>
        <c:dLbls>
          <c:showLegendKey val="0"/>
          <c:showVal val="0"/>
          <c:showCatName val="0"/>
          <c:showSerName val="0"/>
          <c:showPercent val="0"/>
          <c:showBubbleSize val="0"/>
        </c:dLbls>
        <c:gapWidth val="150"/>
        <c:axId val="533582008"/>
        <c:axId val="1"/>
      </c:barChart>
      <c:catAx>
        <c:axId val="533582008"/>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424242"/>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 #,##0\ &quot;Fr.&quot;"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424242"/>
                </a:solidFill>
                <a:latin typeface="Arial"/>
                <a:ea typeface="Arial"/>
                <a:cs typeface="Arial"/>
              </a:defRPr>
            </a:pPr>
            <a:endParaRPr lang="de-DE"/>
          </a:p>
        </c:txPr>
        <c:crossAx val="533582008"/>
        <c:crosses val="max"/>
        <c:crossBetween val="between"/>
      </c:valAx>
      <c:spPr>
        <a:noFill/>
        <a:ln w="3175">
          <a:solidFill>
            <a:srgbClr val="000000"/>
          </a:solidFill>
          <a:prstDash val="solid"/>
        </a:ln>
      </c:spPr>
    </c:plotArea>
    <c:legend>
      <c:legendPos val="r"/>
      <c:layout>
        <c:manualLayout>
          <c:xMode val="edge"/>
          <c:yMode val="edge"/>
          <c:x val="0.73302581399204914"/>
          <c:y val="0.20952438270057008"/>
          <c:w val="0.16049403685864383"/>
          <c:h val="0.24127054181921523"/>
        </c:manualLayout>
      </c:layout>
      <c:overlay val="0"/>
      <c:spPr>
        <a:solidFill>
          <a:srgbClr val="FFFFFF"/>
        </a:solidFill>
        <a:ln w="3175">
          <a:solidFill>
            <a:srgbClr val="000000"/>
          </a:solidFill>
          <a:prstDash val="solid"/>
        </a:ln>
      </c:spPr>
      <c:txPr>
        <a:bodyPr/>
        <a:lstStyle/>
        <a:p>
          <a:pPr>
            <a:defRPr sz="925"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FFFFFF"/>
    </a:solidFill>
    <a:ln w="25400">
      <a:solidFill>
        <a:srgbClr val="008000"/>
      </a:solidFill>
      <a:prstDash val="solid"/>
    </a:ln>
  </c:spPr>
  <c:txPr>
    <a:bodyPr/>
    <a:lstStyle/>
    <a:p>
      <a:pPr>
        <a:defRPr sz="1050"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75" b="1" i="0" u="sng" strike="noStrike" baseline="0">
                <a:solidFill>
                  <a:srgbClr val="424242"/>
                </a:solidFill>
                <a:latin typeface="Arial"/>
                <a:ea typeface="Arial"/>
                <a:cs typeface="Arial"/>
              </a:defRPr>
            </a:pPr>
            <a:r>
              <a:rPr lang="de-CH"/>
              <a:t>Gliederung der Arbeitskosten</a:t>
            </a:r>
          </a:p>
        </c:rich>
      </c:tx>
      <c:layout>
        <c:manualLayout>
          <c:xMode val="edge"/>
          <c:yMode val="edge"/>
          <c:x val="0.32432455897071061"/>
          <c:y val="4.0191446657403117E-2"/>
        </c:manualLayout>
      </c:layout>
      <c:overlay val="0"/>
      <c:spPr>
        <a:noFill/>
        <a:ln w="25400">
          <a:noFill/>
        </a:ln>
      </c:spPr>
    </c:title>
    <c:autoTitleDeleted val="0"/>
    <c:plotArea>
      <c:layout>
        <c:manualLayout>
          <c:layoutTarget val="inner"/>
          <c:xMode val="edge"/>
          <c:yMode val="edge"/>
          <c:x val="0.24386503067484663"/>
          <c:y val="0.11403508771929824"/>
          <c:w val="0.69325153374233128"/>
          <c:h val="0.74853801169590639"/>
        </c:manualLayout>
      </c:layout>
      <c:barChart>
        <c:barDir val="bar"/>
        <c:grouping val="clustered"/>
        <c:varyColors val="0"/>
        <c:ser>
          <c:idx val="0"/>
          <c:order val="0"/>
          <c:tx>
            <c:strRef>
              <c:f>'Standard Ertragsphase'!$B$133</c:f>
              <c:strCache>
                <c:ptCount val="1"/>
                <c:pt idx="0">
                  <c:v>Standard</c:v>
                </c:pt>
              </c:strCache>
            </c:strRef>
          </c:tx>
          <c:spPr>
            <a:solidFill>
              <a:srgbClr val="000080"/>
            </a:solidFill>
            <a:ln w="12700">
              <a:solidFill>
                <a:srgbClr val="000000"/>
              </a:solidFill>
              <a:prstDash val="solid"/>
            </a:ln>
          </c:spPr>
          <c:invertIfNegative val="0"/>
          <c:cat>
            <c:strRef>
              <c:f>Eingabeseite!$G$119:$G$122</c:f>
              <c:strCache>
                <c:ptCount val="4"/>
                <c:pt idx="0">
                  <c:v>Ernte baumfallend und auflesen</c:v>
                </c:pt>
                <c:pt idx="1">
                  <c:v>Baumerziehung</c:v>
                </c:pt>
                <c:pt idx="2">
                  <c:v>Behangsregulierung</c:v>
                </c:pt>
                <c:pt idx="3">
                  <c:v>übrige Arbeiten</c:v>
                </c:pt>
              </c:strCache>
            </c:strRef>
          </c:cat>
          <c:val>
            <c:numRef>
              <c:f>Eingabeseite!$H$119:$H$122</c:f>
              <c:numCache>
                <c:formatCode>#,##0\ "Fr."</c:formatCode>
                <c:ptCount val="4"/>
                <c:pt idx="0">
                  <c:v>7566.0374999999995</c:v>
                </c:pt>
                <c:pt idx="1">
                  <c:v>3924.0000000000005</c:v>
                </c:pt>
                <c:pt idx="2">
                  <c:v>3375</c:v>
                </c:pt>
                <c:pt idx="3">
                  <c:v>4180.5</c:v>
                </c:pt>
              </c:numCache>
            </c:numRef>
          </c:val>
          <c:extLst>
            <c:ext xmlns:c16="http://schemas.microsoft.com/office/drawing/2014/chart" uri="{C3380CC4-5D6E-409C-BE32-E72D297353CC}">
              <c16:uniqueId val="{00000000-102E-4D86-861E-0C5CB4EF8AE9}"/>
            </c:ext>
          </c:extLst>
        </c:ser>
        <c:ser>
          <c:idx val="1"/>
          <c:order val="1"/>
          <c:tx>
            <c:strRef>
              <c:f>Eingabeseite!$J$118</c:f>
              <c:strCache>
                <c:ptCount val="1"/>
                <c:pt idx="0">
                  <c:v>Variante </c:v>
                </c:pt>
              </c:strCache>
            </c:strRef>
          </c:tx>
          <c:spPr>
            <a:solidFill>
              <a:srgbClr val="339933"/>
            </a:solidFill>
            <a:ln w="12700">
              <a:solidFill>
                <a:srgbClr val="000000"/>
              </a:solidFill>
              <a:prstDash val="solid"/>
            </a:ln>
          </c:spPr>
          <c:invertIfNegative val="0"/>
          <c:cat>
            <c:strRef>
              <c:f>Eingabeseite!$G$119:$G$122</c:f>
              <c:strCache>
                <c:ptCount val="4"/>
                <c:pt idx="0">
                  <c:v>Ernte baumfallend und auflesen</c:v>
                </c:pt>
                <c:pt idx="1">
                  <c:v>Baumerziehung</c:v>
                </c:pt>
                <c:pt idx="2">
                  <c:v>Behangsregulierung</c:v>
                </c:pt>
                <c:pt idx="3">
                  <c:v>übrige Arbeiten</c:v>
                </c:pt>
              </c:strCache>
            </c:strRef>
          </c:cat>
          <c:val>
            <c:numRef>
              <c:f>Eingabeseite!$J$119:$J$122</c:f>
              <c:numCache>
                <c:formatCode>#,##0\ "Fr."</c:formatCode>
                <c:ptCount val="4"/>
                <c:pt idx="0">
                  <c:v>7566.0374999999995</c:v>
                </c:pt>
                <c:pt idx="1">
                  <c:v>3924.0000000000005</c:v>
                </c:pt>
                <c:pt idx="2">
                  <c:v>3375</c:v>
                </c:pt>
                <c:pt idx="3">
                  <c:v>4180.5</c:v>
                </c:pt>
              </c:numCache>
            </c:numRef>
          </c:val>
          <c:extLst>
            <c:ext xmlns:c16="http://schemas.microsoft.com/office/drawing/2014/chart" uri="{C3380CC4-5D6E-409C-BE32-E72D297353CC}">
              <c16:uniqueId val="{00000001-102E-4D86-861E-0C5CB4EF8AE9}"/>
            </c:ext>
          </c:extLst>
        </c:ser>
        <c:dLbls>
          <c:showLegendKey val="0"/>
          <c:showVal val="0"/>
          <c:showCatName val="0"/>
          <c:showSerName val="0"/>
          <c:showPercent val="0"/>
          <c:showBubbleSize val="0"/>
        </c:dLbls>
        <c:gapWidth val="150"/>
        <c:axId val="533926584"/>
        <c:axId val="1"/>
      </c:barChart>
      <c:catAx>
        <c:axId val="53392658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424242"/>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0\ &quot;Fr.&quot;"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424242"/>
                </a:solidFill>
                <a:latin typeface="Arial"/>
                <a:ea typeface="Arial"/>
                <a:cs typeface="Arial"/>
              </a:defRPr>
            </a:pPr>
            <a:endParaRPr lang="de-DE"/>
          </a:p>
        </c:txPr>
        <c:crossAx val="533926584"/>
        <c:crosses val="max"/>
        <c:crossBetween val="between"/>
      </c:valAx>
      <c:spPr>
        <a:noFill/>
        <a:ln w="3175">
          <a:solidFill>
            <a:srgbClr val="000000"/>
          </a:solidFill>
          <a:prstDash val="solid"/>
        </a:ln>
      </c:spPr>
    </c:plotArea>
    <c:legend>
      <c:legendPos val="r"/>
      <c:layout>
        <c:manualLayout>
          <c:xMode val="edge"/>
          <c:yMode val="edge"/>
          <c:x val="0.73773056315893137"/>
          <c:y val="0.59649282075034737"/>
          <c:w val="0.15184060644793063"/>
          <c:h val="0.23684267407750503"/>
        </c:manualLayout>
      </c:layout>
      <c:overlay val="0"/>
      <c:spPr>
        <a:solidFill>
          <a:srgbClr val="FFFFFF"/>
        </a:solidFill>
        <a:ln w="3175">
          <a:solidFill>
            <a:srgbClr val="000000"/>
          </a:solidFill>
          <a:prstDash val="solid"/>
        </a:ln>
      </c:spPr>
      <c:txPr>
        <a:bodyPr/>
        <a:lstStyle/>
        <a:p>
          <a:pPr>
            <a:defRPr sz="925"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FFFFFF"/>
    </a:solidFill>
    <a:ln w="25400">
      <a:solidFill>
        <a:srgbClr val="008000"/>
      </a:solidFill>
      <a:prstDash val="solid"/>
    </a:ln>
  </c:spPr>
  <c:txPr>
    <a:bodyPr/>
    <a:lstStyle/>
    <a:p>
      <a:pPr>
        <a:defRPr sz="1150"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75" b="1" i="0" u="sng" strike="noStrike" baseline="0">
                <a:solidFill>
                  <a:srgbClr val="424242"/>
                </a:solidFill>
                <a:latin typeface="Arial"/>
                <a:ea typeface="Arial"/>
                <a:cs typeface="Arial"/>
              </a:defRPr>
            </a:pPr>
            <a:r>
              <a:rPr lang="de-CH"/>
              <a:t>Gliederung der Pflanzenschutzkosten</a:t>
            </a:r>
          </a:p>
        </c:rich>
      </c:tx>
      <c:layout>
        <c:manualLayout>
          <c:xMode val="edge"/>
          <c:yMode val="edge"/>
          <c:x val="0.26204374453193352"/>
          <c:y val="3.0590162562253748E-2"/>
        </c:manualLayout>
      </c:layout>
      <c:overlay val="0"/>
      <c:spPr>
        <a:noFill/>
        <a:ln w="25400">
          <a:noFill/>
        </a:ln>
      </c:spPr>
    </c:title>
    <c:autoTitleDeleted val="0"/>
    <c:plotArea>
      <c:layout>
        <c:manualLayout>
          <c:layoutTarget val="inner"/>
          <c:xMode val="edge"/>
          <c:yMode val="edge"/>
          <c:x val="0.14769734699384904"/>
          <c:y val="9.6139976528326038E-2"/>
          <c:w val="0.80360061912782388"/>
          <c:h val="0.79096980689213703"/>
        </c:manualLayout>
      </c:layout>
      <c:barChart>
        <c:barDir val="bar"/>
        <c:grouping val="clustered"/>
        <c:varyColors val="0"/>
        <c:ser>
          <c:idx val="0"/>
          <c:order val="0"/>
          <c:tx>
            <c:strRef>
              <c:f>'Standard Ertragsphase'!$B$178</c:f>
              <c:strCache>
                <c:ptCount val="1"/>
                <c:pt idx="0">
                  <c:v>Standard</c:v>
                </c:pt>
              </c:strCache>
            </c:strRef>
          </c:tx>
          <c:spPr>
            <a:solidFill>
              <a:srgbClr val="000080"/>
            </a:solidFill>
            <a:ln w="12700">
              <a:solidFill>
                <a:srgbClr val="000000"/>
              </a:solidFill>
              <a:prstDash val="solid"/>
            </a:ln>
          </c:spPr>
          <c:invertIfNegative val="0"/>
          <c:cat>
            <c:strRef>
              <c:f>Eingabeseite!$G$213:$G$215</c:f>
              <c:strCache>
                <c:ptCount val="3"/>
                <c:pt idx="0">
                  <c:v>Material</c:v>
                </c:pt>
                <c:pt idx="1">
                  <c:v>Maschinen</c:v>
                </c:pt>
                <c:pt idx="2">
                  <c:v>Arbeit</c:v>
                </c:pt>
              </c:strCache>
            </c:strRef>
          </c:cat>
          <c:val>
            <c:numRef>
              <c:f>'Standard Ertragsphase'!$B$179:$B$181</c:f>
              <c:numCache>
                <c:formatCode>\ #,##0\ "Fr."</c:formatCode>
                <c:ptCount val="3"/>
                <c:pt idx="0">
                  <c:v>5582</c:v>
                </c:pt>
                <c:pt idx="1">
                  <c:v>2376</c:v>
                </c:pt>
                <c:pt idx="2">
                  <c:v>1569.6000000000001</c:v>
                </c:pt>
              </c:numCache>
            </c:numRef>
          </c:val>
          <c:extLst>
            <c:ext xmlns:c16="http://schemas.microsoft.com/office/drawing/2014/chart" uri="{C3380CC4-5D6E-409C-BE32-E72D297353CC}">
              <c16:uniqueId val="{00000000-AD18-4AD0-BBF8-9AF634F668B2}"/>
            </c:ext>
          </c:extLst>
        </c:ser>
        <c:ser>
          <c:idx val="1"/>
          <c:order val="1"/>
          <c:tx>
            <c:strRef>
              <c:f>Eingabeseite!$J$212</c:f>
              <c:strCache>
                <c:ptCount val="1"/>
                <c:pt idx="0">
                  <c:v>Variante </c:v>
                </c:pt>
              </c:strCache>
            </c:strRef>
          </c:tx>
          <c:spPr>
            <a:solidFill>
              <a:srgbClr val="339933"/>
            </a:solidFill>
            <a:ln w="12700">
              <a:solidFill>
                <a:srgbClr val="000000"/>
              </a:solidFill>
              <a:prstDash val="solid"/>
            </a:ln>
          </c:spPr>
          <c:invertIfNegative val="0"/>
          <c:cat>
            <c:strRef>
              <c:f>Eingabeseite!$G$213:$G$215</c:f>
              <c:strCache>
                <c:ptCount val="3"/>
                <c:pt idx="0">
                  <c:v>Material</c:v>
                </c:pt>
                <c:pt idx="1">
                  <c:v>Maschinen</c:v>
                </c:pt>
                <c:pt idx="2">
                  <c:v>Arbeit</c:v>
                </c:pt>
              </c:strCache>
            </c:strRef>
          </c:cat>
          <c:val>
            <c:numRef>
              <c:f>Eingabeseite!$J$213:$J$215</c:f>
              <c:numCache>
                <c:formatCode>#,##0\ "Fr."</c:formatCode>
                <c:ptCount val="3"/>
                <c:pt idx="0">
                  <c:v>5582</c:v>
                </c:pt>
                <c:pt idx="1">
                  <c:v>2376</c:v>
                </c:pt>
                <c:pt idx="2">
                  <c:v>1569.6000000000001</c:v>
                </c:pt>
              </c:numCache>
            </c:numRef>
          </c:val>
          <c:extLst>
            <c:ext xmlns:c16="http://schemas.microsoft.com/office/drawing/2014/chart" uri="{C3380CC4-5D6E-409C-BE32-E72D297353CC}">
              <c16:uniqueId val="{00000001-AD18-4AD0-BBF8-9AF634F668B2}"/>
            </c:ext>
          </c:extLst>
        </c:ser>
        <c:dLbls>
          <c:showLegendKey val="0"/>
          <c:showVal val="0"/>
          <c:showCatName val="0"/>
          <c:showSerName val="0"/>
          <c:showPercent val="0"/>
          <c:showBubbleSize val="0"/>
        </c:dLbls>
        <c:gapWidth val="100"/>
        <c:axId val="533932816"/>
        <c:axId val="1"/>
      </c:barChart>
      <c:catAx>
        <c:axId val="53393281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424242"/>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max val="3000"/>
        </c:scaling>
        <c:delete val="0"/>
        <c:axPos val="b"/>
        <c:majorGridlines>
          <c:spPr>
            <a:ln w="3175">
              <a:solidFill>
                <a:srgbClr val="000000"/>
              </a:solidFill>
              <a:prstDash val="solid"/>
            </a:ln>
          </c:spPr>
        </c:majorGridlines>
        <c:numFmt formatCode="\ #,##0\ &quot;Fr.&quot;" sourceLinked="1"/>
        <c:majorTickMark val="out"/>
        <c:minorTickMark val="out"/>
        <c:tickLblPos val="nextTo"/>
        <c:spPr>
          <a:ln w="3175">
            <a:solidFill>
              <a:srgbClr val="000000"/>
            </a:solidFill>
            <a:prstDash val="solid"/>
          </a:ln>
        </c:spPr>
        <c:txPr>
          <a:bodyPr rot="0" vert="horz"/>
          <a:lstStyle/>
          <a:p>
            <a:pPr>
              <a:defRPr sz="925" b="0" i="0" u="none" strike="noStrike" baseline="0">
                <a:solidFill>
                  <a:srgbClr val="424242"/>
                </a:solidFill>
                <a:latin typeface="Arial"/>
                <a:ea typeface="Arial"/>
                <a:cs typeface="Arial"/>
              </a:defRPr>
            </a:pPr>
            <a:endParaRPr lang="de-DE"/>
          </a:p>
        </c:txPr>
        <c:crossAx val="533932816"/>
        <c:crosses val="max"/>
        <c:crossBetween val="between"/>
        <c:majorUnit val="500"/>
        <c:minorUnit val="100"/>
      </c:valAx>
      <c:spPr>
        <a:noFill/>
        <a:ln w="3175">
          <a:solidFill>
            <a:srgbClr val="000000"/>
          </a:solidFill>
          <a:prstDash val="solid"/>
        </a:ln>
      </c:spPr>
    </c:plotArea>
    <c:legend>
      <c:legendPos val="r"/>
      <c:layout>
        <c:manualLayout>
          <c:xMode val="edge"/>
          <c:yMode val="edge"/>
          <c:x val="0.77106511686039247"/>
          <c:y val="0.10491082692112234"/>
          <c:w val="0.1653418322709661"/>
          <c:h val="0.17857167626256282"/>
        </c:manualLayout>
      </c:layout>
      <c:overlay val="0"/>
      <c:spPr>
        <a:solidFill>
          <a:srgbClr val="FFFFFF"/>
        </a:solidFill>
        <a:ln w="3175">
          <a:solidFill>
            <a:srgbClr val="000000"/>
          </a:solidFill>
          <a:prstDash val="solid"/>
        </a:ln>
      </c:spPr>
      <c:txPr>
        <a:bodyPr/>
        <a:lstStyle/>
        <a:p>
          <a:pPr>
            <a:defRPr sz="925"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75" b="1" i="0" u="sng" strike="noStrike" baseline="0">
                <a:solidFill>
                  <a:srgbClr val="424242"/>
                </a:solidFill>
                <a:latin typeface="Arial"/>
                <a:ea typeface="Arial"/>
                <a:cs typeface="Arial"/>
              </a:defRPr>
            </a:pPr>
            <a:r>
              <a:rPr lang="de-CH"/>
              <a:t>Anteil der Pflanzenschutzmittelkosten</a:t>
            </a:r>
          </a:p>
        </c:rich>
      </c:tx>
      <c:layout>
        <c:manualLayout>
          <c:xMode val="edge"/>
          <c:yMode val="edge"/>
          <c:x val="0.26045560971545223"/>
          <c:y val="3.3361853390373453E-2"/>
        </c:manualLayout>
      </c:layout>
      <c:overlay val="0"/>
      <c:spPr>
        <a:noFill/>
        <a:ln w="25400">
          <a:noFill/>
        </a:ln>
      </c:spPr>
    </c:title>
    <c:autoTitleDeleted val="0"/>
    <c:plotArea>
      <c:layout>
        <c:manualLayout>
          <c:layoutTarget val="inner"/>
          <c:xMode val="edge"/>
          <c:yMode val="edge"/>
          <c:x val="0.25092667553793707"/>
          <c:y val="0.15911061656366379"/>
          <c:w val="0.69560686003554717"/>
          <c:h val="0.72369667533795468"/>
        </c:manualLayout>
      </c:layout>
      <c:barChart>
        <c:barDir val="bar"/>
        <c:grouping val="clustered"/>
        <c:varyColors val="0"/>
        <c:ser>
          <c:idx val="0"/>
          <c:order val="0"/>
          <c:tx>
            <c:strRef>
              <c:f>'Standard Ertragsphase'!$B$178</c:f>
              <c:strCache>
                <c:ptCount val="1"/>
                <c:pt idx="0">
                  <c:v>Standard</c:v>
                </c:pt>
              </c:strCache>
            </c:strRef>
          </c:tx>
          <c:spPr>
            <a:solidFill>
              <a:srgbClr val="000080"/>
            </a:solidFill>
            <a:ln w="12700">
              <a:solidFill>
                <a:srgbClr val="000000"/>
              </a:solidFill>
              <a:prstDash val="solid"/>
            </a:ln>
          </c:spPr>
          <c:invertIfNegative val="0"/>
          <c:cat>
            <c:strRef>
              <c:f>Eingabeseite!$G$195:$G$196</c:f>
              <c:strCache>
                <c:ptCount val="2"/>
                <c:pt idx="0">
                  <c:v>Pflanzenschutz (Material, Maschinen, Arbeit&gt;)</c:v>
                </c:pt>
                <c:pt idx="1">
                  <c:v>übrige Produktionskosten</c:v>
                </c:pt>
              </c:strCache>
            </c:strRef>
          </c:cat>
          <c:val>
            <c:numRef>
              <c:f>'Standard Ertragsphase'!$B$175:$B$176</c:f>
              <c:numCache>
                <c:formatCode>\ #,##0\ "Fr."</c:formatCode>
                <c:ptCount val="2"/>
                <c:pt idx="0">
                  <c:v>9527.6</c:v>
                </c:pt>
                <c:pt idx="1">
                  <c:v>37750.461974965052</c:v>
                </c:pt>
              </c:numCache>
            </c:numRef>
          </c:val>
          <c:extLst>
            <c:ext xmlns:c16="http://schemas.microsoft.com/office/drawing/2014/chart" uri="{C3380CC4-5D6E-409C-BE32-E72D297353CC}">
              <c16:uniqueId val="{00000000-E181-4FED-B80C-36E30677B46E}"/>
            </c:ext>
          </c:extLst>
        </c:ser>
        <c:ser>
          <c:idx val="1"/>
          <c:order val="1"/>
          <c:tx>
            <c:strRef>
              <c:f>Eingabeseite!$J$194</c:f>
              <c:strCache>
                <c:ptCount val="1"/>
                <c:pt idx="0">
                  <c:v>Variante </c:v>
                </c:pt>
              </c:strCache>
            </c:strRef>
          </c:tx>
          <c:spPr>
            <a:solidFill>
              <a:srgbClr val="008000"/>
            </a:solidFill>
            <a:ln w="12700">
              <a:solidFill>
                <a:srgbClr val="000000"/>
              </a:solidFill>
              <a:prstDash val="solid"/>
            </a:ln>
          </c:spPr>
          <c:invertIfNegative val="0"/>
          <c:cat>
            <c:strRef>
              <c:f>Eingabeseite!$G$195:$G$196</c:f>
              <c:strCache>
                <c:ptCount val="2"/>
                <c:pt idx="0">
                  <c:v>Pflanzenschutz (Material, Maschinen, Arbeit&gt;)</c:v>
                </c:pt>
                <c:pt idx="1">
                  <c:v>übrige Produktionskosten</c:v>
                </c:pt>
              </c:strCache>
            </c:strRef>
          </c:cat>
          <c:val>
            <c:numRef>
              <c:f>Eingabeseite!$J$195:$J$196</c:f>
              <c:numCache>
                <c:formatCode>#,##0\ "Fr."</c:formatCode>
                <c:ptCount val="2"/>
                <c:pt idx="0">
                  <c:v>9527.6</c:v>
                </c:pt>
                <c:pt idx="1">
                  <c:v>37750.441974965048</c:v>
                </c:pt>
              </c:numCache>
            </c:numRef>
          </c:val>
          <c:extLst>
            <c:ext xmlns:c16="http://schemas.microsoft.com/office/drawing/2014/chart" uri="{C3380CC4-5D6E-409C-BE32-E72D297353CC}">
              <c16:uniqueId val="{00000001-E181-4FED-B80C-36E30677B46E}"/>
            </c:ext>
          </c:extLst>
        </c:ser>
        <c:dLbls>
          <c:showLegendKey val="0"/>
          <c:showVal val="0"/>
          <c:showCatName val="0"/>
          <c:showSerName val="0"/>
          <c:showPercent val="0"/>
          <c:showBubbleSize val="0"/>
        </c:dLbls>
        <c:gapWidth val="150"/>
        <c:axId val="533928880"/>
        <c:axId val="1"/>
      </c:barChart>
      <c:catAx>
        <c:axId val="533928880"/>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424242"/>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 #,##0\ &quot;Fr.&quot;"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424242"/>
                </a:solidFill>
                <a:latin typeface="Arial"/>
                <a:ea typeface="Arial"/>
                <a:cs typeface="Arial"/>
              </a:defRPr>
            </a:pPr>
            <a:endParaRPr lang="de-DE"/>
          </a:p>
        </c:txPr>
        <c:crossAx val="533928880"/>
        <c:crosses val="max"/>
        <c:crossBetween val="between"/>
      </c:valAx>
      <c:spPr>
        <a:noFill/>
        <a:ln w="3175">
          <a:solidFill>
            <a:srgbClr val="000000"/>
          </a:solidFill>
          <a:prstDash val="solid"/>
        </a:ln>
      </c:spPr>
    </c:plotArea>
    <c:legend>
      <c:legendPos val="r"/>
      <c:layout>
        <c:manualLayout>
          <c:xMode val="edge"/>
          <c:yMode val="edge"/>
          <c:x val="0.76152630921134867"/>
          <c:y val="0.17662347324694649"/>
          <c:w val="0.16375203099612545"/>
          <c:h val="0.21038984300190822"/>
        </c:manualLayout>
      </c:layout>
      <c:overlay val="0"/>
      <c:spPr>
        <a:solidFill>
          <a:srgbClr val="FFFFFF"/>
        </a:solidFill>
        <a:ln w="3175">
          <a:solidFill>
            <a:srgbClr val="000000"/>
          </a:solidFill>
          <a:prstDash val="solid"/>
        </a:ln>
      </c:spPr>
      <c:txPr>
        <a:bodyPr/>
        <a:lstStyle/>
        <a:p>
          <a:pPr>
            <a:defRPr sz="925"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4</xdr:col>
      <xdr:colOff>104775</xdr:colOff>
      <xdr:row>10</xdr:row>
      <xdr:rowOff>76200</xdr:rowOff>
    </xdr:from>
    <xdr:to>
      <xdr:col>9</xdr:col>
      <xdr:colOff>1314450</xdr:colOff>
      <xdr:row>32</xdr:row>
      <xdr:rowOff>180975</xdr:rowOff>
    </xdr:to>
    <xdr:graphicFrame macro="">
      <xdr:nvGraphicFramePr>
        <xdr:cNvPr id="5657686" name="Chart 31">
          <a:extLst>
            <a:ext uri="{FF2B5EF4-FFF2-40B4-BE49-F238E27FC236}">
              <a16:creationId xmlns:a16="http://schemas.microsoft.com/office/drawing/2014/main" id="{00000000-0008-0000-0000-000056545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32385</xdr:colOff>
      <xdr:row>6</xdr:row>
      <xdr:rowOff>30480</xdr:rowOff>
    </xdr:from>
    <xdr:to>
      <xdr:col>0</xdr:col>
      <xdr:colOff>928765</xdr:colOff>
      <xdr:row>8</xdr:row>
      <xdr:rowOff>59055</xdr:rowOff>
    </xdr:to>
    <xdr:sp macro="" textlink="">
      <xdr:nvSpPr>
        <xdr:cNvPr id="22598" name="Text Box 70">
          <a:extLst>
            <a:ext uri="{FF2B5EF4-FFF2-40B4-BE49-F238E27FC236}">
              <a16:creationId xmlns:a16="http://schemas.microsoft.com/office/drawing/2014/main" id="{00000000-0008-0000-0000-000046580000}"/>
            </a:ext>
          </a:extLst>
        </xdr:cNvPr>
        <xdr:cNvSpPr txBox="1">
          <a:spLocks noChangeArrowheads="1"/>
        </xdr:cNvSpPr>
      </xdr:nvSpPr>
      <xdr:spPr bwMode="auto">
        <a:xfrm>
          <a:off x="32385" y="1744980"/>
          <a:ext cx="896380" cy="729615"/>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endParaRPr lang="de-CH" sz="1400" b="1" i="0" u="none" strike="noStrike" baseline="0">
            <a:solidFill>
              <a:srgbClr val="000000"/>
            </a:solidFill>
            <a:latin typeface="Arial"/>
            <a:cs typeface="Arial"/>
          </a:endParaRPr>
        </a:p>
        <a:p>
          <a:pPr algn="l" rtl="0">
            <a:defRPr sz="1000"/>
          </a:pPr>
          <a:r>
            <a:rPr lang="de-CH" sz="1400" b="1" i="0" u="none" strike="noStrike" baseline="0">
              <a:solidFill>
                <a:srgbClr val="000000"/>
              </a:solidFill>
              <a:latin typeface="Arial"/>
              <a:cs typeface="Arial"/>
            </a:rPr>
            <a:t>Preis</a:t>
          </a:r>
        </a:p>
      </xdr:txBody>
    </xdr:sp>
    <xdr:clientData/>
  </xdr:twoCellAnchor>
  <xdr:twoCellAnchor>
    <xdr:from>
      <xdr:col>0</xdr:col>
      <xdr:colOff>28575</xdr:colOff>
      <xdr:row>9</xdr:row>
      <xdr:rowOff>28575</xdr:rowOff>
    </xdr:from>
    <xdr:to>
      <xdr:col>0</xdr:col>
      <xdr:colOff>905696</xdr:colOff>
      <xdr:row>12</xdr:row>
      <xdr:rowOff>66675</xdr:rowOff>
    </xdr:to>
    <xdr:sp macro="" textlink="">
      <xdr:nvSpPr>
        <xdr:cNvPr id="22599" name="Text Box 71">
          <a:extLst>
            <a:ext uri="{FF2B5EF4-FFF2-40B4-BE49-F238E27FC236}">
              <a16:creationId xmlns:a16="http://schemas.microsoft.com/office/drawing/2014/main" id="{00000000-0008-0000-0000-000047580000}"/>
            </a:ext>
          </a:extLst>
        </xdr:cNvPr>
        <xdr:cNvSpPr txBox="1">
          <a:spLocks noChangeArrowheads="1"/>
        </xdr:cNvSpPr>
      </xdr:nvSpPr>
      <xdr:spPr bwMode="auto">
        <a:xfrm>
          <a:off x="28575" y="2438400"/>
          <a:ext cx="866775" cy="7429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endParaRPr lang="de-CH" sz="1400" b="1" i="0" u="none" strike="noStrike" baseline="0">
            <a:solidFill>
              <a:srgbClr val="000000"/>
            </a:solidFill>
            <a:latin typeface="Arial"/>
            <a:cs typeface="Arial"/>
          </a:endParaRPr>
        </a:p>
        <a:p>
          <a:pPr algn="l" rtl="0">
            <a:defRPr sz="1000"/>
          </a:pPr>
          <a:r>
            <a:rPr lang="de-CH" sz="1400" b="1" i="0" u="none" strike="noStrike" baseline="0">
              <a:solidFill>
                <a:srgbClr val="000000"/>
              </a:solidFill>
              <a:latin typeface="Arial"/>
              <a:cs typeface="Arial"/>
            </a:rPr>
            <a:t>Qualität</a:t>
          </a:r>
        </a:p>
      </xdr:txBody>
    </xdr:sp>
    <xdr:clientData/>
  </xdr:twoCellAnchor>
  <xdr:twoCellAnchor>
    <xdr:from>
      <xdr:col>0</xdr:col>
      <xdr:colOff>66675</xdr:colOff>
      <xdr:row>135</xdr:row>
      <xdr:rowOff>95250</xdr:rowOff>
    </xdr:from>
    <xdr:to>
      <xdr:col>5</xdr:col>
      <xdr:colOff>161925</xdr:colOff>
      <xdr:row>157</xdr:row>
      <xdr:rowOff>76200</xdr:rowOff>
    </xdr:to>
    <xdr:graphicFrame macro="">
      <xdr:nvGraphicFramePr>
        <xdr:cNvPr id="5657689" name="Chart 58">
          <a:extLst>
            <a:ext uri="{FF2B5EF4-FFF2-40B4-BE49-F238E27FC236}">
              <a16:creationId xmlns:a16="http://schemas.microsoft.com/office/drawing/2014/main" id="{00000000-0008-0000-0000-000059545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292</xdr:row>
      <xdr:rowOff>123825</xdr:rowOff>
    </xdr:from>
    <xdr:to>
      <xdr:col>4</xdr:col>
      <xdr:colOff>9525</xdr:colOff>
      <xdr:row>346</xdr:row>
      <xdr:rowOff>85725</xdr:rowOff>
    </xdr:to>
    <xdr:graphicFrame macro="">
      <xdr:nvGraphicFramePr>
        <xdr:cNvPr id="5657690" name="Chart 28">
          <a:extLst>
            <a:ext uri="{FF2B5EF4-FFF2-40B4-BE49-F238E27FC236}">
              <a16:creationId xmlns:a16="http://schemas.microsoft.com/office/drawing/2014/main" id="{00000000-0008-0000-0000-00005A545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82</xdr:row>
      <xdr:rowOff>209550</xdr:rowOff>
    </xdr:from>
    <xdr:to>
      <xdr:col>5</xdr:col>
      <xdr:colOff>171450</xdr:colOff>
      <xdr:row>94</xdr:row>
      <xdr:rowOff>190500</xdr:rowOff>
    </xdr:to>
    <xdr:graphicFrame macro="">
      <xdr:nvGraphicFramePr>
        <xdr:cNvPr id="5657691" name="Chart 72">
          <a:extLst>
            <a:ext uri="{FF2B5EF4-FFF2-40B4-BE49-F238E27FC236}">
              <a16:creationId xmlns:a16="http://schemas.microsoft.com/office/drawing/2014/main" id="{00000000-0008-0000-0000-00005B545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9525</xdr:colOff>
      <xdr:row>292</xdr:row>
      <xdr:rowOff>123825</xdr:rowOff>
    </xdr:from>
    <xdr:to>
      <xdr:col>9</xdr:col>
      <xdr:colOff>1581150</xdr:colOff>
      <xdr:row>346</xdr:row>
      <xdr:rowOff>66675</xdr:rowOff>
    </xdr:to>
    <xdr:graphicFrame macro="">
      <xdr:nvGraphicFramePr>
        <xdr:cNvPr id="5657692" name="Chart 30">
          <a:extLst>
            <a:ext uri="{FF2B5EF4-FFF2-40B4-BE49-F238E27FC236}">
              <a16:creationId xmlns:a16="http://schemas.microsoft.com/office/drawing/2014/main" id="{00000000-0008-0000-0000-00005C545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57150</xdr:colOff>
      <xdr:row>98</xdr:row>
      <xdr:rowOff>114300</xdr:rowOff>
    </xdr:from>
    <xdr:to>
      <xdr:col>5</xdr:col>
      <xdr:colOff>114300</xdr:colOff>
      <xdr:row>111</xdr:row>
      <xdr:rowOff>104775</xdr:rowOff>
    </xdr:to>
    <xdr:graphicFrame macro="">
      <xdr:nvGraphicFramePr>
        <xdr:cNvPr id="5657693" name="Chart 124">
          <a:extLst>
            <a:ext uri="{FF2B5EF4-FFF2-40B4-BE49-F238E27FC236}">
              <a16:creationId xmlns:a16="http://schemas.microsoft.com/office/drawing/2014/main" id="{00000000-0008-0000-0000-00005D545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38100</xdr:colOff>
      <xdr:row>115</xdr:row>
      <xdr:rowOff>28575</xdr:rowOff>
    </xdr:from>
    <xdr:to>
      <xdr:col>5</xdr:col>
      <xdr:colOff>133350</xdr:colOff>
      <xdr:row>132</xdr:row>
      <xdr:rowOff>38100</xdr:rowOff>
    </xdr:to>
    <xdr:graphicFrame macro="">
      <xdr:nvGraphicFramePr>
        <xdr:cNvPr id="5657694" name="Chart 125">
          <a:extLst>
            <a:ext uri="{FF2B5EF4-FFF2-40B4-BE49-F238E27FC236}">
              <a16:creationId xmlns:a16="http://schemas.microsoft.com/office/drawing/2014/main" id="{00000000-0008-0000-0000-00005E545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211</xdr:row>
      <xdr:rowOff>142875</xdr:rowOff>
    </xdr:from>
    <xdr:to>
      <xdr:col>4</xdr:col>
      <xdr:colOff>28575</xdr:colOff>
      <xdr:row>233</xdr:row>
      <xdr:rowOff>95250</xdr:rowOff>
    </xdr:to>
    <xdr:graphicFrame macro="">
      <xdr:nvGraphicFramePr>
        <xdr:cNvPr id="5657695" name="Chart 133">
          <a:extLst>
            <a:ext uri="{FF2B5EF4-FFF2-40B4-BE49-F238E27FC236}">
              <a16:creationId xmlns:a16="http://schemas.microsoft.com/office/drawing/2014/main" id="{00000000-0008-0000-0000-00005F545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38100</xdr:colOff>
      <xdr:row>188</xdr:row>
      <xdr:rowOff>133350</xdr:rowOff>
    </xdr:from>
    <xdr:to>
      <xdr:col>4</xdr:col>
      <xdr:colOff>38100</xdr:colOff>
      <xdr:row>204</xdr:row>
      <xdr:rowOff>152400</xdr:rowOff>
    </xdr:to>
    <xdr:graphicFrame macro="">
      <xdr:nvGraphicFramePr>
        <xdr:cNvPr id="5657696" name="Chart 135">
          <a:extLst>
            <a:ext uri="{FF2B5EF4-FFF2-40B4-BE49-F238E27FC236}">
              <a16:creationId xmlns:a16="http://schemas.microsoft.com/office/drawing/2014/main" id="{00000000-0008-0000-0000-000060545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95250</xdr:colOff>
      <xdr:row>237</xdr:row>
      <xdr:rowOff>133350</xdr:rowOff>
    </xdr:from>
    <xdr:to>
      <xdr:col>4</xdr:col>
      <xdr:colOff>76200</xdr:colOff>
      <xdr:row>259</xdr:row>
      <xdr:rowOff>66675</xdr:rowOff>
    </xdr:to>
    <xdr:graphicFrame macro="">
      <xdr:nvGraphicFramePr>
        <xdr:cNvPr id="5657697" name="Chart 136">
          <a:extLst>
            <a:ext uri="{FF2B5EF4-FFF2-40B4-BE49-F238E27FC236}">
              <a16:creationId xmlns:a16="http://schemas.microsoft.com/office/drawing/2014/main" id="{00000000-0008-0000-0000-000061545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263</xdr:row>
      <xdr:rowOff>142875</xdr:rowOff>
    </xdr:from>
    <xdr:to>
      <xdr:col>4</xdr:col>
      <xdr:colOff>57150</xdr:colOff>
      <xdr:row>285</xdr:row>
      <xdr:rowOff>38100</xdr:rowOff>
    </xdr:to>
    <xdr:graphicFrame macro="">
      <xdr:nvGraphicFramePr>
        <xdr:cNvPr id="5657698" name="Chart 137">
          <a:extLst>
            <a:ext uri="{FF2B5EF4-FFF2-40B4-BE49-F238E27FC236}">
              <a16:creationId xmlns:a16="http://schemas.microsoft.com/office/drawing/2014/main" id="{00000000-0008-0000-0000-000062545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76200</xdr:colOff>
      <xdr:row>161</xdr:row>
      <xdr:rowOff>114300</xdr:rowOff>
    </xdr:from>
    <xdr:to>
      <xdr:col>4</xdr:col>
      <xdr:colOff>76200</xdr:colOff>
      <xdr:row>184</xdr:row>
      <xdr:rowOff>28575</xdr:rowOff>
    </xdr:to>
    <xdr:graphicFrame macro="">
      <xdr:nvGraphicFramePr>
        <xdr:cNvPr id="5657699" name="Chart 151">
          <a:extLst>
            <a:ext uri="{FF2B5EF4-FFF2-40B4-BE49-F238E27FC236}">
              <a16:creationId xmlns:a16="http://schemas.microsoft.com/office/drawing/2014/main" id="{00000000-0008-0000-0000-000063545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7</xdr:col>
      <xdr:colOff>90713</xdr:colOff>
      <xdr:row>0</xdr:row>
      <xdr:rowOff>0</xdr:rowOff>
    </xdr:from>
    <xdr:to>
      <xdr:col>10</xdr:col>
      <xdr:colOff>1207783</xdr:colOff>
      <xdr:row>1</xdr:row>
      <xdr:rowOff>172355</xdr:rowOff>
    </xdr:to>
    <xdr:pic>
      <xdr:nvPicPr>
        <xdr:cNvPr id="5657700" name="Grafik 1">
          <a:extLst>
            <a:ext uri="{FF2B5EF4-FFF2-40B4-BE49-F238E27FC236}">
              <a16:creationId xmlns:a16="http://schemas.microsoft.com/office/drawing/2014/main" id="{00000000-0008-0000-0000-0000645456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0323285" y="0"/>
          <a:ext cx="4890783" cy="571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66675</xdr:colOff>
      <xdr:row>0</xdr:row>
      <xdr:rowOff>47625</xdr:rowOff>
    </xdr:from>
    <xdr:to>
      <xdr:col>7</xdr:col>
      <xdr:colOff>371475</xdr:colOff>
      <xdr:row>1</xdr:row>
      <xdr:rowOff>19050</xdr:rowOff>
    </xdr:to>
    <xdr:pic>
      <xdr:nvPicPr>
        <xdr:cNvPr id="76172" name="Grafik 2">
          <a:extLst>
            <a:ext uri="{FF2B5EF4-FFF2-40B4-BE49-F238E27FC236}">
              <a16:creationId xmlns:a16="http://schemas.microsoft.com/office/drawing/2014/main" id="{00000000-0008-0000-0A00-00008C29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28925" y="47625"/>
          <a:ext cx="40862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19050</xdr:colOff>
      <xdr:row>0</xdr:row>
      <xdr:rowOff>9525</xdr:rowOff>
    </xdr:from>
    <xdr:to>
      <xdr:col>6</xdr:col>
      <xdr:colOff>571500</xdr:colOff>
      <xdr:row>2</xdr:row>
      <xdr:rowOff>85725</xdr:rowOff>
    </xdr:to>
    <xdr:pic>
      <xdr:nvPicPr>
        <xdr:cNvPr id="77224" name="Grafik 2">
          <a:extLst>
            <a:ext uri="{FF2B5EF4-FFF2-40B4-BE49-F238E27FC236}">
              <a16:creationId xmlns:a16="http://schemas.microsoft.com/office/drawing/2014/main" id="{00000000-0008-0000-0B00-0000A82D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0" y="9525"/>
          <a:ext cx="36004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95250</xdr:colOff>
      <xdr:row>1</xdr:row>
      <xdr:rowOff>104775</xdr:rowOff>
    </xdr:to>
    <xdr:pic>
      <xdr:nvPicPr>
        <xdr:cNvPr id="4723" name="Grafik 2">
          <a:extLst>
            <a:ext uri="{FF2B5EF4-FFF2-40B4-BE49-F238E27FC236}">
              <a16:creationId xmlns:a16="http://schemas.microsoft.com/office/drawing/2014/main" id="{00000000-0008-0000-0C00-0000731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 y="0"/>
          <a:ext cx="69913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99</xdr:col>
      <xdr:colOff>1590675</xdr:colOff>
      <xdr:row>80</xdr:row>
      <xdr:rowOff>95250</xdr:rowOff>
    </xdr:from>
    <xdr:to>
      <xdr:col>103</xdr:col>
      <xdr:colOff>38100</xdr:colOff>
      <xdr:row>86</xdr:row>
      <xdr:rowOff>95250</xdr:rowOff>
    </xdr:to>
    <xdr:sp macro="" textlink="">
      <xdr:nvSpPr>
        <xdr:cNvPr id="4691095" name="Line 300">
          <a:extLst>
            <a:ext uri="{FF2B5EF4-FFF2-40B4-BE49-F238E27FC236}">
              <a16:creationId xmlns:a16="http://schemas.microsoft.com/office/drawing/2014/main" id="{00000000-0008-0000-0D00-000097944700}"/>
            </a:ext>
          </a:extLst>
        </xdr:cNvPr>
        <xdr:cNvSpPr>
          <a:spLocks noChangeShapeType="1"/>
        </xdr:cNvSpPr>
      </xdr:nvSpPr>
      <xdr:spPr bwMode="auto">
        <a:xfrm flipV="1">
          <a:off x="131406900" y="18297525"/>
          <a:ext cx="3133725" cy="1390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xdr:col>
      <xdr:colOff>85725</xdr:colOff>
      <xdr:row>0</xdr:row>
      <xdr:rowOff>171450</xdr:rowOff>
    </xdr:from>
    <xdr:to>
      <xdr:col>8</xdr:col>
      <xdr:colOff>57150</xdr:colOff>
      <xdr:row>2</xdr:row>
      <xdr:rowOff>190500</xdr:rowOff>
    </xdr:to>
    <xdr:pic>
      <xdr:nvPicPr>
        <xdr:cNvPr id="4691096" name="Grafik 3">
          <a:extLst>
            <a:ext uri="{FF2B5EF4-FFF2-40B4-BE49-F238E27FC236}">
              <a16:creationId xmlns:a16="http://schemas.microsoft.com/office/drawing/2014/main" id="{00000000-0008-0000-0D00-0000989447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975" y="171450"/>
          <a:ext cx="60960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962025</xdr:colOff>
      <xdr:row>0</xdr:row>
      <xdr:rowOff>152400</xdr:rowOff>
    </xdr:from>
    <xdr:to>
      <xdr:col>7</xdr:col>
      <xdr:colOff>47625</xdr:colOff>
      <xdr:row>1</xdr:row>
      <xdr:rowOff>133350</xdr:rowOff>
    </xdr:to>
    <xdr:pic>
      <xdr:nvPicPr>
        <xdr:cNvPr id="5668" name="Grafik 2">
          <a:extLst>
            <a:ext uri="{FF2B5EF4-FFF2-40B4-BE49-F238E27FC236}">
              <a16:creationId xmlns:a16="http://schemas.microsoft.com/office/drawing/2014/main" id="{00000000-0008-0000-0E00-00002416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95850" y="152400"/>
          <a:ext cx="44767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447675</xdr:colOff>
      <xdr:row>4</xdr:row>
      <xdr:rowOff>333375</xdr:rowOff>
    </xdr:from>
    <xdr:to>
      <xdr:col>5</xdr:col>
      <xdr:colOff>9525</xdr:colOff>
      <xdr:row>14</xdr:row>
      <xdr:rowOff>504825</xdr:rowOff>
    </xdr:to>
    <xdr:graphicFrame macro="">
      <xdr:nvGraphicFramePr>
        <xdr:cNvPr id="1823" name="Chart 4">
          <a:extLst>
            <a:ext uri="{FF2B5EF4-FFF2-40B4-BE49-F238E27FC236}">
              <a16:creationId xmlns:a16="http://schemas.microsoft.com/office/drawing/2014/main" id="{00000000-0008-0000-0F00-00001F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85725</xdr:colOff>
      <xdr:row>0</xdr:row>
      <xdr:rowOff>0</xdr:rowOff>
    </xdr:from>
    <xdr:to>
      <xdr:col>5</xdr:col>
      <xdr:colOff>295275</xdr:colOff>
      <xdr:row>1</xdr:row>
      <xdr:rowOff>194582</xdr:rowOff>
    </xdr:to>
    <xdr:pic>
      <xdr:nvPicPr>
        <xdr:cNvPr id="1824" name="Grafik 3">
          <a:extLst>
            <a:ext uri="{FF2B5EF4-FFF2-40B4-BE49-F238E27FC236}">
              <a16:creationId xmlns:a16="http://schemas.microsoft.com/office/drawing/2014/main" id="{00000000-0008-0000-0F00-00002007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95525" y="0"/>
          <a:ext cx="44958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990600</xdr:colOff>
      <xdr:row>0</xdr:row>
      <xdr:rowOff>47625</xdr:rowOff>
    </xdr:from>
    <xdr:to>
      <xdr:col>6</xdr:col>
      <xdr:colOff>213633</xdr:colOff>
      <xdr:row>1</xdr:row>
      <xdr:rowOff>161925</xdr:rowOff>
    </xdr:to>
    <xdr:pic>
      <xdr:nvPicPr>
        <xdr:cNvPr id="70279" name="Grafik 2">
          <a:extLst>
            <a:ext uri="{FF2B5EF4-FFF2-40B4-BE49-F238E27FC236}">
              <a16:creationId xmlns:a16="http://schemas.microsoft.com/office/drawing/2014/main" id="{00000000-0008-0000-0200-00008712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2150" y="47625"/>
          <a:ext cx="57531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609600</xdr:colOff>
      <xdr:row>0</xdr:row>
      <xdr:rowOff>104775</xdr:rowOff>
    </xdr:from>
    <xdr:to>
      <xdr:col>7</xdr:col>
      <xdr:colOff>312988</xdr:colOff>
      <xdr:row>1</xdr:row>
      <xdr:rowOff>371475</xdr:rowOff>
    </xdr:to>
    <xdr:pic>
      <xdr:nvPicPr>
        <xdr:cNvPr id="75247" name="Grafik 2">
          <a:extLst>
            <a:ext uri="{FF2B5EF4-FFF2-40B4-BE49-F238E27FC236}">
              <a16:creationId xmlns:a16="http://schemas.microsoft.com/office/drawing/2014/main" id="{00000000-0008-0000-0300-0000EF25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 y="104775"/>
          <a:ext cx="52578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9525</xdr:rowOff>
    </xdr:from>
    <xdr:to>
      <xdr:col>0</xdr:col>
      <xdr:colOff>0</xdr:colOff>
      <xdr:row>1</xdr:row>
      <xdr:rowOff>28575</xdr:rowOff>
    </xdr:to>
    <xdr:pic>
      <xdr:nvPicPr>
        <xdr:cNvPr id="78648" name="Picture 16" descr="Logo_ACW_d_quer_rgb">
          <a:extLst>
            <a:ext uri="{FF2B5EF4-FFF2-40B4-BE49-F238E27FC236}">
              <a16:creationId xmlns:a16="http://schemas.microsoft.com/office/drawing/2014/main" id="{00000000-0008-0000-0400-00003833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466725</xdr:colOff>
      <xdr:row>0</xdr:row>
      <xdr:rowOff>38100</xdr:rowOff>
    </xdr:from>
    <xdr:to>
      <xdr:col>5</xdr:col>
      <xdr:colOff>342900</xdr:colOff>
      <xdr:row>1</xdr:row>
      <xdr:rowOff>76200</xdr:rowOff>
    </xdr:to>
    <xdr:pic>
      <xdr:nvPicPr>
        <xdr:cNvPr id="78649" name="Grafik 3">
          <a:extLst>
            <a:ext uri="{FF2B5EF4-FFF2-40B4-BE49-F238E27FC236}">
              <a16:creationId xmlns:a16="http://schemas.microsoft.com/office/drawing/2014/main" id="{00000000-0008-0000-0400-0000393301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09850" y="38100"/>
          <a:ext cx="37147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600075</xdr:colOff>
      <xdr:row>0</xdr:row>
      <xdr:rowOff>200025</xdr:rowOff>
    </xdr:from>
    <xdr:to>
      <xdr:col>3</xdr:col>
      <xdr:colOff>819150</xdr:colOff>
      <xdr:row>1</xdr:row>
      <xdr:rowOff>123825</xdr:rowOff>
    </xdr:to>
    <xdr:pic>
      <xdr:nvPicPr>
        <xdr:cNvPr id="71237" name="Grafik 2">
          <a:extLst>
            <a:ext uri="{FF2B5EF4-FFF2-40B4-BE49-F238E27FC236}">
              <a16:creationId xmlns:a16="http://schemas.microsoft.com/office/drawing/2014/main" id="{00000000-0008-0000-0500-00004516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0" y="200025"/>
          <a:ext cx="547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99</xdr:col>
      <xdr:colOff>1590675</xdr:colOff>
      <xdr:row>80</xdr:row>
      <xdr:rowOff>95250</xdr:rowOff>
    </xdr:from>
    <xdr:to>
      <xdr:col>103</xdr:col>
      <xdr:colOff>38100</xdr:colOff>
      <xdr:row>86</xdr:row>
      <xdr:rowOff>104775</xdr:rowOff>
    </xdr:to>
    <xdr:sp macro="" textlink="">
      <xdr:nvSpPr>
        <xdr:cNvPr id="72643" name="Line 14">
          <a:extLst>
            <a:ext uri="{FF2B5EF4-FFF2-40B4-BE49-F238E27FC236}">
              <a16:creationId xmlns:a16="http://schemas.microsoft.com/office/drawing/2014/main" id="{00000000-0008-0000-0600-0000C31B0100}"/>
            </a:ext>
          </a:extLst>
        </xdr:cNvPr>
        <xdr:cNvSpPr>
          <a:spLocks noChangeShapeType="1"/>
        </xdr:cNvSpPr>
      </xdr:nvSpPr>
      <xdr:spPr bwMode="auto">
        <a:xfrm flipV="1">
          <a:off x="136112250" y="17640300"/>
          <a:ext cx="3133725" cy="1400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xdr:col>
      <xdr:colOff>1171575</xdr:colOff>
      <xdr:row>0</xdr:row>
      <xdr:rowOff>190500</xdr:rowOff>
    </xdr:from>
    <xdr:to>
      <xdr:col>7</xdr:col>
      <xdr:colOff>1600200</xdr:colOff>
      <xdr:row>2</xdr:row>
      <xdr:rowOff>142875</xdr:rowOff>
    </xdr:to>
    <xdr:pic>
      <xdr:nvPicPr>
        <xdr:cNvPr id="72644" name="Grafik 3">
          <a:extLst>
            <a:ext uri="{FF2B5EF4-FFF2-40B4-BE49-F238E27FC236}">
              <a16:creationId xmlns:a16="http://schemas.microsoft.com/office/drawing/2014/main" id="{00000000-0008-0000-0600-0000C41B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34275" y="190500"/>
          <a:ext cx="54673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1000125</xdr:colOff>
      <xdr:row>0</xdr:row>
      <xdr:rowOff>190500</xdr:rowOff>
    </xdr:from>
    <xdr:to>
      <xdr:col>6</xdr:col>
      <xdr:colOff>685800</xdr:colOff>
      <xdr:row>1</xdr:row>
      <xdr:rowOff>171450</xdr:rowOff>
    </xdr:to>
    <xdr:pic>
      <xdr:nvPicPr>
        <xdr:cNvPr id="73353" name="Grafik 2">
          <a:extLst>
            <a:ext uri="{FF2B5EF4-FFF2-40B4-BE49-F238E27FC236}">
              <a16:creationId xmlns:a16="http://schemas.microsoft.com/office/drawing/2014/main" id="{00000000-0008-0000-0700-0000891E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3950" y="190500"/>
          <a:ext cx="44958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428625</xdr:colOff>
      <xdr:row>4</xdr:row>
      <xdr:rowOff>333375</xdr:rowOff>
    </xdr:from>
    <xdr:to>
      <xdr:col>4</xdr:col>
      <xdr:colOff>1447800</xdr:colOff>
      <xdr:row>14</xdr:row>
      <xdr:rowOff>295275</xdr:rowOff>
    </xdr:to>
    <xdr:graphicFrame macro="">
      <xdr:nvGraphicFramePr>
        <xdr:cNvPr id="74532" name="Chart 1">
          <a:extLst>
            <a:ext uri="{FF2B5EF4-FFF2-40B4-BE49-F238E27FC236}">
              <a16:creationId xmlns:a16="http://schemas.microsoft.com/office/drawing/2014/main" id="{00000000-0008-0000-0800-000024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0</xdr:colOff>
      <xdr:row>0</xdr:row>
      <xdr:rowOff>0</xdr:rowOff>
    </xdr:from>
    <xdr:to>
      <xdr:col>7</xdr:col>
      <xdr:colOff>1209675</xdr:colOff>
      <xdr:row>1</xdr:row>
      <xdr:rowOff>194582</xdr:rowOff>
    </xdr:to>
    <xdr:pic>
      <xdr:nvPicPr>
        <xdr:cNvPr id="74533" name="Grafik 3">
          <a:extLst>
            <a:ext uri="{FF2B5EF4-FFF2-40B4-BE49-F238E27FC236}">
              <a16:creationId xmlns:a16="http://schemas.microsoft.com/office/drawing/2014/main" id="{00000000-0008-0000-0800-0000252301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72050" y="0"/>
          <a:ext cx="44958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323850</xdr:colOff>
      <xdr:row>0</xdr:row>
      <xdr:rowOff>85725</xdr:rowOff>
    </xdr:from>
    <xdr:to>
      <xdr:col>3</xdr:col>
      <xdr:colOff>1600956</xdr:colOff>
      <xdr:row>1</xdr:row>
      <xdr:rowOff>57150</xdr:rowOff>
    </xdr:to>
    <xdr:pic>
      <xdr:nvPicPr>
        <xdr:cNvPr id="25234" name="Grafik 3">
          <a:extLst>
            <a:ext uri="{FF2B5EF4-FFF2-40B4-BE49-F238E27FC236}">
              <a16:creationId xmlns:a16="http://schemas.microsoft.com/office/drawing/2014/main" id="{00000000-0008-0000-0900-0000926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57450" y="85725"/>
          <a:ext cx="44958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Eingabeseite">
    <tabColor indexed="32"/>
  </sheetPr>
  <dimension ref="A1:N292"/>
  <sheetViews>
    <sheetView tabSelected="1" topLeftCell="A46" zoomScale="60" zoomScaleNormal="60" workbookViewId="0">
      <selection activeCell="N58" sqref="N58"/>
    </sheetView>
  </sheetViews>
  <sheetFormatPr baseColWidth="10" defaultRowHeight="12.75" x14ac:dyDescent="0.2"/>
  <cols>
    <col min="1" max="1" width="35.7109375" customWidth="1"/>
    <col min="2" max="2" width="20.140625" style="10" customWidth="1"/>
    <col min="3" max="3" width="13.5703125" style="10" customWidth="1"/>
    <col min="4" max="4" width="20.42578125" style="48" customWidth="1"/>
    <col min="5" max="5" width="1.85546875" customWidth="1"/>
    <col min="6" max="6" width="7.7109375" customWidth="1"/>
    <col min="7" max="7" width="45.42578125" customWidth="1"/>
    <col min="8" max="8" width="21.28515625" customWidth="1"/>
    <col min="9" max="9" width="11" customWidth="1"/>
    <col min="10" max="10" width="21" customWidth="1"/>
    <col min="11" max="11" width="18.5703125" customWidth="1"/>
    <col min="12" max="12" width="6" customWidth="1"/>
    <col min="13" max="256" width="9.140625" customWidth="1"/>
  </cols>
  <sheetData>
    <row r="1" spans="1:13" s="13" customFormat="1" ht="31.7" customHeight="1" x14ac:dyDescent="0.4">
      <c r="A1" s="1134" t="s">
        <v>646</v>
      </c>
      <c r="B1" s="1406" t="s">
        <v>636</v>
      </c>
      <c r="C1" s="1406"/>
      <c r="D1" s="1406"/>
      <c r="E1" s="1406"/>
      <c r="F1" s="1406"/>
      <c r="G1" s="1406"/>
      <c r="H1" s="1406"/>
      <c r="I1" s="685"/>
      <c r="J1" s="1"/>
      <c r="L1" s="608"/>
      <c r="M1" s="85"/>
    </row>
    <row r="2" spans="1:13" s="13" customFormat="1" ht="20.25" x14ac:dyDescent="0.3">
      <c r="A2" s="1409" t="s">
        <v>641</v>
      </c>
      <c r="B2" s="1409"/>
      <c r="C2" s="1409"/>
      <c r="D2" s="1409"/>
      <c r="E2" s="1409"/>
      <c r="F2" s="1409"/>
      <c r="G2" s="1409"/>
      <c r="H2" s="744"/>
      <c r="I2" s="744"/>
      <c r="J2" s="1404"/>
      <c r="K2" s="19"/>
      <c r="L2" s="840"/>
      <c r="M2" s="85"/>
    </row>
    <row r="3" spans="1:13" s="13" customFormat="1" ht="22.35" customHeight="1" x14ac:dyDescent="0.2">
      <c r="A3" s="1416" t="s">
        <v>652</v>
      </c>
      <c r="B3" s="1416"/>
      <c r="C3" s="1416"/>
      <c r="D3" s="1416"/>
      <c r="E3" s="1416"/>
      <c r="F3" s="1416"/>
      <c r="G3" s="1416"/>
      <c r="H3" s="1416"/>
      <c r="I3" s="1416"/>
      <c r="J3" s="1416"/>
      <c r="K3" s="1416"/>
    </row>
    <row r="4" spans="1:13" s="13" customFormat="1" ht="16.350000000000001" customHeight="1" x14ac:dyDescent="0.2">
      <c r="A4" s="1415"/>
      <c r="B4" s="1415"/>
      <c r="C4" s="1415"/>
      <c r="D4" s="1415"/>
      <c r="E4" s="1415"/>
      <c r="F4" s="1415"/>
      <c r="G4" s="1415"/>
      <c r="H4" s="685"/>
      <c r="I4" s="685"/>
      <c r="J4" s="685"/>
    </row>
    <row r="5" spans="1:13" s="13" customFormat="1" ht="17.649999999999999" customHeight="1" thickBot="1" x14ac:dyDescent="0.3">
      <c r="A5" s="1133" t="s">
        <v>601</v>
      </c>
      <c r="B5" s="745"/>
      <c r="C5" s="1413"/>
      <c r="D5" s="1414"/>
      <c r="E5" s="744"/>
      <c r="F5" s="744"/>
      <c r="G5" s="744"/>
    </row>
    <row r="6" spans="1:13" s="13" customFormat="1" ht="27" customHeight="1" thickBot="1" x14ac:dyDescent="0.35">
      <c r="A6" s="746" t="s">
        <v>288</v>
      </c>
      <c r="B6" s="747" t="s">
        <v>321</v>
      </c>
      <c r="C6" s="116" t="s">
        <v>111</v>
      </c>
      <c r="D6" s="1222" t="s">
        <v>202</v>
      </c>
      <c r="E6" s="19"/>
      <c r="F6" s="748"/>
      <c r="G6" s="744"/>
      <c r="H6" s="747" t="s">
        <v>321</v>
      </c>
      <c r="I6" s="116" t="s">
        <v>110</v>
      </c>
      <c r="J6" s="1240" t="s">
        <v>108</v>
      </c>
      <c r="K6" s="841"/>
    </row>
    <row r="7" spans="1:13" ht="31.7" customHeight="1" thickTop="1" x14ac:dyDescent="0.2">
      <c r="A7" s="426" t="s">
        <v>356</v>
      </c>
      <c r="B7" s="1140">
        <f>'Standard Vorgaben'!B66</f>
        <v>1.1200000000000006</v>
      </c>
      <c r="C7" s="257">
        <f t="shared" ref="C7:C14" si="0">IF(OR(B7=0,B7=""),0,(D7/B7)-1)</f>
        <v>-4.4408920985006262E-16</v>
      </c>
      <c r="D7" s="1223">
        <v>1.1200000000000001</v>
      </c>
      <c r="E7" s="1"/>
      <c r="F7" s="1412" t="s">
        <v>265</v>
      </c>
      <c r="G7" s="1412"/>
      <c r="H7" s="1136">
        <f>H74</f>
        <v>7.2022648812824199</v>
      </c>
      <c r="I7" s="422">
        <f>I74</f>
        <v>8.3799449455135289E-6</v>
      </c>
      <c r="J7" s="1136">
        <f>J74</f>
        <v>7.202325235865608</v>
      </c>
      <c r="K7" s="13"/>
    </row>
    <row r="8" spans="1:13" ht="24" customHeight="1" x14ac:dyDescent="0.2">
      <c r="A8" s="427" t="s">
        <v>357</v>
      </c>
      <c r="B8" s="1141">
        <f>'Standard Vorgaben'!C66</f>
        <v>0.45000000000000012</v>
      </c>
      <c r="C8" s="185">
        <f t="shared" si="0"/>
        <v>-2.2204460492503131E-16</v>
      </c>
      <c r="D8" s="1224">
        <v>0.45</v>
      </c>
      <c r="E8" s="1"/>
      <c r="F8" s="1410" t="s">
        <v>299</v>
      </c>
      <c r="G8" s="1410"/>
      <c r="H8" s="1137">
        <f>H71</f>
        <v>14.833817296068728</v>
      </c>
      <c r="I8" s="423">
        <f>I71</f>
        <v>1.818301574418868E-6</v>
      </c>
      <c r="J8" s="1241">
        <f>J71</f>
        <v>14.833844268422071</v>
      </c>
      <c r="K8" s="13"/>
    </row>
    <row r="9" spans="1:13" ht="21.2" customHeight="1" x14ac:dyDescent="0.2">
      <c r="A9" s="428" t="s">
        <v>341</v>
      </c>
      <c r="B9" s="1142">
        <f>'Standard Vorgaben'!D66</f>
        <v>0.23</v>
      </c>
      <c r="C9" s="185">
        <f t="shared" si="0"/>
        <v>0</v>
      </c>
      <c r="D9" s="1224">
        <v>0.23</v>
      </c>
      <c r="E9" s="1"/>
      <c r="F9" s="1412" t="s">
        <v>266</v>
      </c>
      <c r="G9" s="1412"/>
      <c r="H9" s="1138">
        <f>B55</f>
        <v>1.405516520994873</v>
      </c>
      <c r="I9" s="424">
        <f>C55</f>
        <v>-4.2302918445979998E-7</v>
      </c>
      <c r="J9" s="1242">
        <f>D55</f>
        <v>1.4055159264203654</v>
      </c>
      <c r="K9" s="13"/>
    </row>
    <row r="10" spans="1:13" ht="26.45" customHeight="1" thickBot="1" x14ac:dyDescent="0.25">
      <c r="A10" s="429" t="s">
        <v>356</v>
      </c>
      <c r="B10" s="1143">
        <f>'Standard Vorgaben'!B86</f>
        <v>0.70000000000000007</v>
      </c>
      <c r="C10" s="186">
        <f t="shared" si="0"/>
        <v>-1.1102230246251565E-16</v>
      </c>
      <c r="D10" s="1225">
        <v>0.7</v>
      </c>
      <c r="E10" s="1"/>
      <c r="F10" s="1410" t="s">
        <v>290</v>
      </c>
      <c r="G10" s="1411"/>
      <c r="H10" s="1139">
        <f>B53</f>
        <v>1.1256681422610726</v>
      </c>
      <c r="I10" s="425">
        <f>C53</f>
        <v>-4.2302918445979998E-7</v>
      </c>
      <c r="J10" s="1243">
        <f>D53</f>
        <v>1.1256676660705964</v>
      </c>
      <c r="K10" s="13"/>
    </row>
    <row r="11" spans="1:13" ht="16.5" customHeight="1" thickTop="1" x14ac:dyDescent="0.2">
      <c r="A11" s="427" t="s">
        <v>357</v>
      </c>
      <c r="B11" s="1144">
        <f>'Standard Vorgaben'!C86</f>
        <v>0.19999999999999998</v>
      </c>
      <c r="C11" s="185">
        <f t="shared" si="0"/>
        <v>2.2204460492503131E-16</v>
      </c>
      <c r="D11" s="1225">
        <v>0.2</v>
      </c>
      <c r="E11" s="1"/>
      <c r="K11" s="13"/>
    </row>
    <row r="12" spans="1:13" x14ac:dyDescent="0.2">
      <c r="A12" s="1313" t="s">
        <v>341</v>
      </c>
      <c r="B12" s="1145">
        <f>'Standard Vorgaben'!D86</f>
        <v>4.9999999999999996E-2</v>
      </c>
      <c r="C12" s="185">
        <f t="shared" si="0"/>
        <v>2.2204460492503131E-16</v>
      </c>
      <c r="D12" s="1226">
        <v>0.05</v>
      </c>
      <c r="E12" s="1"/>
      <c r="K12" s="13"/>
    </row>
    <row r="13" spans="1:13" x14ac:dyDescent="0.2">
      <c r="A13" s="1314" t="s">
        <v>358</v>
      </c>
      <c r="B13" s="1145">
        <f>'Standard Vorgaben'!E86</f>
        <v>4.9999999999999996E-2</v>
      </c>
      <c r="C13" s="185">
        <f t="shared" si="0"/>
        <v>2.2204460492503131E-16</v>
      </c>
      <c r="D13" s="1227">
        <v>0.05</v>
      </c>
      <c r="E13" s="1"/>
      <c r="K13" s="13"/>
    </row>
    <row r="14" spans="1:13" ht="29.25" customHeight="1" x14ac:dyDescent="0.2">
      <c r="A14" s="430" t="s">
        <v>613</v>
      </c>
      <c r="B14" s="1146">
        <f>'Standard Vorgaben'!E65</f>
        <v>42000</v>
      </c>
      <c r="C14" s="186">
        <f t="shared" si="0"/>
        <v>0</v>
      </c>
      <c r="D14" s="1228">
        <v>42000</v>
      </c>
      <c r="E14" s="1"/>
      <c r="F14" s="13"/>
      <c r="G14" s="13"/>
      <c r="H14" s="13"/>
      <c r="I14" s="13"/>
      <c r="J14" s="13"/>
      <c r="K14" s="13"/>
      <c r="L14" s="215"/>
    </row>
    <row r="15" spans="1:13" ht="0.6" customHeight="1" x14ac:dyDescent="0.2">
      <c r="A15" s="431"/>
      <c r="B15" s="1147"/>
      <c r="C15" s="217"/>
      <c r="D15" s="1229"/>
      <c r="E15" s="1"/>
      <c r="F15" s="13"/>
      <c r="G15" s="13"/>
      <c r="H15" s="13"/>
      <c r="I15" s="13"/>
      <c r="J15" s="13"/>
      <c r="K15" s="13"/>
    </row>
    <row r="16" spans="1:13" ht="21" customHeight="1" x14ac:dyDescent="0.2">
      <c r="A16" s="432" t="s">
        <v>446</v>
      </c>
      <c r="B16" s="1148">
        <f>'Standard Vorgaben'!G86</f>
        <v>120</v>
      </c>
      <c r="C16" s="186">
        <f t="shared" ref="C16:C26" si="1">IF(OR(B16=0,B16=""),0,(D16/B16)-1)</f>
        <v>0</v>
      </c>
      <c r="D16" s="1230">
        <v>120</v>
      </c>
      <c r="E16" s="1"/>
      <c r="F16" s="13"/>
      <c r="G16" s="13"/>
      <c r="H16" s="13"/>
      <c r="I16" s="13"/>
      <c r="J16" s="13"/>
      <c r="K16" s="13"/>
    </row>
    <row r="17" spans="1:14" ht="23.1" customHeight="1" x14ac:dyDescent="0.2">
      <c r="A17" s="1315" t="s">
        <v>611</v>
      </c>
      <c r="B17" s="1320">
        <f>'Standard Vorgaben'!G38</f>
        <v>325</v>
      </c>
      <c r="C17" s="185">
        <f t="shared" si="1"/>
        <v>0</v>
      </c>
      <c r="D17" s="1316">
        <v>325</v>
      </c>
      <c r="E17" s="1"/>
      <c r="F17" s="13"/>
      <c r="G17" s="13"/>
      <c r="H17" s="13"/>
      <c r="I17" s="13"/>
      <c r="J17" s="13"/>
      <c r="K17" s="13"/>
    </row>
    <row r="18" spans="1:14" ht="25.35" customHeight="1" x14ac:dyDescent="0.2">
      <c r="A18" s="1313" t="s">
        <v>341</v>
      </c>
      <c r="B18" s="1321">
        <f>'Standard Vorgaben'!G39</f>
        <v>1</v>
      </c>
      <c r="C18" s="185">
        <f t="shared" si="1"/>
        <v>0</v>
      </c>
      <c r="D18" s="1317">
        <v>1</v>
      </c>
      <c r="E18" s="1"/>
      <c r="F18" s="13"/>
      <c r="G18" s="13"/>
      <c r="H18" s="13"/>
      <c r="I18" s="13"/>
      <c r="J18" s="13"/>
      <c r="K18" s="13"/>
    </row>
    <row r="19" spans="1:14" ht="25.5" x14ac:dyDescent="0.2">
      <c r="A19" s="1315" t="s">
        <v>612</v>
      </c>
      <c r="B19" s="1321">
        <f>'Standard Vorgaben'!G41</f>
        <v>0</v>
      </c>
      <c r="C19" s="185">
        <f t="shared" si="1"/>
        <v>0</v>
      </c>
      <c r="D19" s="1317">
        <v>0</v>
      </c>
      <c r="E19" s="1"/>
      <c r="F19" s="13"/>
      <c r="G19" s="13"/>
      <c r="H19" s="13"/>
      <c r="I19" s="13"/>
      <c r="J19" s="13"/>
      <c r="K19" s="13"/>
    </row>
    <row r="20" spans="1:14" ht="25.5" x14ac:dyDescent="0.2">
      <c r="A20" s="1315" t="s">
        <v>614</v>
      </c>
      <c r="B20" s="1321">
        <f>'Standard Vorgaben'!G42</f>
        <v>0</v>
      </c>
      <c r="C20" s="185">
        <f t="shared" si="1"/>
        <v>0</v>
      </c>
      <c r="D20" s="1317">
        <v>0</v>
      </c>
      <c r="E20" s="1"/>
      <c r="F20" s="13"/>
      <c r="G20" s="13"/>
      <c r="H20" s="13"/>
      <c r="I20" s="13"/>
      <c r="J20" s="13"/>
      <c r="K20" s="13"/>
    </row>
    <row r="21" spans="1:14" x14ac:dyDescent="0.2">
      <c r="A21" s="1313" t="s">
        <v>203</v>
      </c>
      <c r="B21" s="1321">
        <f>'Standard Vorgaben'!G43</f>
        <v>0</v>
      </c>
      <c r="C21" s="185">
        <f t="shared" si="1"/>
        <v>0</v>
      </c>
      <c r="D21" s="1317">
        <v>0</v>
      </c>
      <c r="E21" s="1"/>
      <c r="F21" s="13"/>
      <c r="G21" s="13"/>
      <c r="H21" s="13"/>
      <c r="I21" s="13"/>
      <c r="J21" s="13"/>
      <c r="K21" s="13"/>
    </row>
    <row r="22" spans="1:14" ht="18.75" customHeight="1" x14ac:dyDescent="0.2">
      <c r="A22" s="432" t="s">
        <v>439</v>
      </c>
      <c r="B22" s="1149">
        <f>'Standard Vorgaben'!C32</f>
        <v>41.4</v>
      </c>
      <c r="C22" s="186">
        <f t="shared" si="1"/>
        <v>0</v>
      </c>
      <c r="D22" s="1231">
        <v>41.4</v>
      </c>
      <c r="E22" s="1"/>
      <c r="F22" s="13"/>
      <c r="G22" s="13"/>
      <c r="H22" s="13"/>
      <c r="I22" s="13"/>
      <c r="J22" s="13"/>
      <c r="K22" s="13"/>
    </row>
    <row r="23" spans="1:14" ht="24.6" customHeight="1" x14ac:dyDescent="0.2">
      <c r="A23" s="432" t="s">
        <v>447</v>
      </c>
      <c r="B23" s="1149">
        <f>'Standard Vorgaben'!C33</f>
        <v>24</v>
      </c>
      <c r="C23" s="186">
        <f t="shared" si="1"/>
        <v>0</v>
      </c>
      <c r="D23" s="1231">
        <v>24</v>
      </c>
      <c r="E23" s="1"/>
      <c r="F23" s="13"/>
      <c r="G23" s="13"/>
      <c r="H23" s="13"/>
      <c r="I23" s="13"/>
      <c r="J23" s="13"/>
      <c r="K23" s="13"/>
      <c r="N23" t="s">
        <v>288</v>
      </c>
    </row>
    <row r="24" spans="1:14" ht="24.6" customHeight="1" x14ac:dyDescent="0.2">
      <c r="A24" s="432" t="s">
        <v>448</v>
      </c>
      <c r="B24" s="1149">
        <f>'Standard Vorgaben'!C34</f>
        <v>21</v>
      </c>
      <c r="C24" s="186">
        <f t="shared" si="1"/>
        <v>0</v>
      </c>
      <c r="D24" s="1231">
        <v>21</v>
      </c>
      <c r="E24" s="1"/>
      <c r="F24" s="13"/>
      <c r="G24" s="13"/>
      <c r="H24" s="13"/>
      <c r="I24" s="13"/>
      <c r="J24" s="13"/>
      <c r="K24" s="13"/>
    </row>
    <row r="25" spans="1:14" ht="33.75" customHeight="1" x14ac:dyDescent="0.2">
      <c r="A25" s="433" t="s">
        <v>172</v>
      </c>
      <c r="B25" s="1150">
        <f>'Standard Vorgaben'!F34</f>
        <v>0.85</v>
      </c>
      <c r="C25" s="185">
        <f t="shared" si="1"/>
        <v>0</v>
      </c>
      <c r="D25" s="1226">
        <v>0.85</v>
      </c>
      <c r="E25" s="1"/>
      <c r="F25" s="13"/>
      <c r="G25" s="13"/>
      <c r="H25" s="13"/>
      <c r="I25" s="13"/>
      <c r="J25" s="13"/>
      <c r="K25" s="13"/>
    </row>
    <row r="26" spans="1:14" x14ac:dyDescent="0.2">
      <c r="A26" s="433" t="s">
        <v>289</v>
      </c>
      <c r="B26" s="1151">
        <f>'Standard Vorgaben'!E93</f>
        <v>150</v>
      </c>
      <c r="C26" s="185">
        <f t="shared" si="1"/>
        <v>0</v>
      </c>
      <c r="D26" s="1232">
        <v>150</v>
      </c>
      <c r="E26" s="1"/>
      <c r="F26" s="13"/>
      <c r="G26" s="13"/>
      <c r="H26" s="13"/>
      <c r="I26" s="13"/>
      <c r="J26" s="13"/>
      <c r="K26" s="13"/>
    </row>
    <row r="27" spans="1:14" ht="22.7" customHeight="1" x14ac:dyDescent="0.2">
      <c r="A27" s="432" t="s">
        <v>449</v>
      </c>
      <c r="B27" s="1152">
        <f>'Standard Vorgaben'!B24</f>
        <v>3000</v>
      </c>
      <c r="C27" s="185">
        <f t="shared" ref="C27:C40" si="2">IF(OR(B27=0,B27=""),0,(D27/B27)-1)</f>
        <v>0</v>
      </c>
      <c r="D27" s="1233">
        <v>3000</v>
      </c>
      <c r="E27" s="1"/>
      <c r="F27" s="13"/>
      <c r="G27" s="13"/>
      <c r="H27" s="13"/>
      <c r="I27" s="13"/>
      <c r="J27" s="13"/>
      <c r="K27" s="13"/>
    </row>
    <row r="28" spans="1:14" x14ac:dyDescent="0.2">
      <c r="A28" s="432"/>
      <c r="B28" s="1152"/>
      <c r="C28" s="185"/>
      <c r="D28" s="1233"/>
      <c r="E28" s="1"/>
      <c r="F28" s="13"/>
      <c r="G28" s="13"/>
      <c r="H28" s="13"/>
      <c r="I28" s="13"/>
      <c r="J28" s="13"/>
      <c r="K28" s="13"/>
    </row>
    <row r="29" spans="1:14" ht="19.5" customHeight="1" x14ac:dyDescent="0.2">
      <c r="A29" s="432" t="s">
        <v>9</v>
      </c>
      <c r="B29" s="1142">
        <f>'Standard Vorgaben'!C31</f>
        <v>8.5</v>
      </c>
      <c r="C29" s="185">
        <f t="shared" si="2"/>
        <v>0</v>
      </c>
      <c r="D29" s="1234">
        <v>8.5</v>
      </c>
      <c r="E29" s="1"/>
      <c r="F29" s="13"/>
      <c r="G29" s="13"/>
      <c r="H29" s="13"/>
      <c r="I29" s="13"/>
      <c r="J29" s="13"/>
      <c r="K29" s="13"/>
    </row>
    <row r="30" spans="1:14" ht="19.5" customHeight="1" x14ac:dyDescent="0.2">
      <c r="A30" s="432" t="s">
        <v>267</v>
      </c>
      <c r="B30" s="1153">
        <f>'Standard Ertragsphase'!F63</f>
        <v>5793.2502083333329</v>
      </c>
      <c r="C30" s="185">
        <f t="shared" si="2"/>
        <v>0</v>
      </c>
      <c r="D30" s="1235">
        <v>5793.2502083333329</v>
      </c>
      <c r="E30" s="1"/>
      <c r="F30" s="13"/>
      <c r="G30" s="13"/>
      <c r="H30" s="13"/>
      <c r="I30" s="13"/>
      <c r="J30" s="13"/>
      <c r="K30" s="13"/>
    </row>
    <row r="31" spans="1:14" ht="23.1" customHeight="1" x14ac:dyDescent="0.2">
      <c r="A31" s="1401" t="s">
        <v>651</v>
      </c>
      <c r="B31" s="1153">
        <f>'Standard Ertragsphase'!F27-'Standard Ertragsphase'!F26</f>
        <v>5582</v>
      </c>
      <c r="C31" s="185">
        <f>IF(OR(B31=0,B31=""),0,(D31/B31)-1)</f>
        <v>0</v>
      </c>
      <c r="D31" s="1236">
        <v>5582</v>
      </c>
      <c r="E31" s="1"/>
      <c r="F31" s="13"/>
      <c r="G31" s="13"/>
      <c r="H31" s="13"/>
      <c r="I31" s="13"/>
      <c r="J31" s="13"/>
      <c r="K31" s="13"/>
    </row>
    <row r="32" spans="1:14" ht="19.350000000000001" customHeight="1" x14ac:dyDescent="0.2">
      <c r="A32" s="219" t="s">
        <v>268</v>
      </c>
      <c r="B32" s="1153">
        <f>'Standard Ertragsphase'!F20+'Standard Ertragsphase'!F26</f>
        <v>1072</v>
      </c>
      <c r="C32" s="185">
        <f t="shared" si="2"/>
        <v>0</v>
      </c>
      <c r="D32" s="1236">
        <v>1072</v>
      </c>
      <c r="E32" s="1"/>
      <c r="F32" s="13"/>
      <c r="G32" s="13"/>
      <c r="H32" s="13"/>
      <c r="I32" s="13"/>
      <c r="J32" s="13"/>
      <c r="K32" s="13"/>
    </row>
    <row r="33" spans="1:11" ht="15.75" customHeight="1" x14ac:dyDescent="0.2">
      <c r="A33" s="432" t="s">
        <v>10</v>
      </c>
      <c r="B33" s="1352">
        <f>'Standard Vorgaben'!C40</f>
        <v>1.4999999999999999E-2</v>
      </c>
      <c r="C33" s="185">
        <f t="shared" si="2"/>
        <v>0</v>
      </c>
      <c r="D33" s="1351">
        <v>1.4999999999999999E-2</v>
      </c>
      <c r="E33" s="1"/>
      <c r="F33" s="13"/>
      <c r="G33" s="13"/>
      <c r="H33" s="13"/>
      <c r="I33" s="13"/>
      <c r="J33" s="13"/>
      <c r="K33" s="13"/>
    </row>
    <row r="34" spans="1:11" ht="15.75" customHeight="1" x14ac:dyDescent="0.2">
      <c r="A34" s="432" t="s">
        <v>545</v>
      </c>
      <c r="B34" s="1154">
        <f>'Standard Vorgaben'!C180</f>
        <v>1</v>
      </c>
      <c r="C34" s="185">
        <f t="shared" si="2"/>
        <v>0</v>
      </c>
      <c r="D34" s="1237">
        <v>1</v>
      </c>
      <c r="E34" s="1"/>
      <c r="F34" s="13"/>
      <c r="G34" s="13"/>
      <c r="H34" s="13"/>
      <c r="I34" s="13"/>
      <c r="J34" s="13"/>
      <c r="K34" s="13"/>
    </row>
    <row r="35" spans="1:11" ht="16.5" customHeight="1" x14ac:dyDescent="0.2">
      <c r="A35" s="432" t="s">
        <v>546</v>
      </c>
      <c r="B35" s="1154">
        <f>'Standard Vorgaben'!C181</f>
        <v>0</v>
      </c>
      <c r="C35" s="185">
        <f t="shared" si="2"/>
        <v>0</v>
      </c>
      <c r="D35" s="1237">
        <v>0</v>
      </c>
      <c r="E35" s="1"/>
      <c r="F35" s="13"/>
      <c r="G35" s="13"/>
      <c r="H35" s="13"/>
      <c r="I35" s="13"/>
      <c r="J35" s="13"/>
      <c r="K35" s="13"/>
    </row>
    <row r="36" spans="1:11" ht="15.75" customHeight="1" x14ac:dyDescent="0.2">
      <c r="A36" s="432" t="s">
        <v>600</v>
      </c>
      <c r="B36" s="1153">
        <f>'Standard Hagel'!C92</f>
        <v>32928</v>
      </c>
      <c r="C36" s="185">
        <f t="shared" si="2"/>
        <v>0</v>
      </c>
      <c r="D36" s="1236">
        <v>32928</v>
      </c>
      <c r="E36" s="1"/>
      <c r="F36" s="13"/>
      <c r="G36" s="13"/>
      <c r="H36" s="13"/>
      <c r="I36" s="13"/>
      <c r="J36" s="13"/>
      <c r="K36" s="13"/>
    </row>
    <row r="37" spans="1:11" ht="15.75" customHeight="1" x14ac:dyDescent="0.2">
      <c r="A37" s="432" t="s">
        <v>547</v>
      </c>
      <c r="B37" s="1153">
        <f>'Standard Vorgaben'!C184</f>
        <v>1</v>
      </c>
      <c r="C37" s="185">
        <f t="shared" si="2"/>
        <v>0</v>
      </c>
      <c r="D37" s="1236">
        <v>1</v>
      </c>
      <c r="E37" s="1"/>
      <c r="F37" s="13"/>
      <c r="G37" s="13"/>
      <c r="H37" s="13"/>
      <c r="I37" s="13"/>
      <c r="J37" s="13"/>
      <c r="K37" s="13"/>
    </row>
    <row r="38" spans="1:11" ht="15.75" customHeight="1" x14ac:dyDescent="0.2">
      <c r="A38" s="432" t="s">
        <v>584</v>
      </c>
      <c r="B38" s="1155">
        <f>'Standard Vorgaben'!C185</f>
        <v>500</v>
      </c>
      <c r="C38" s="185">
        <f t="shared" si="2"/>
        <v>0</v>
      </c>
      <c r="D38" s="1238">
        <v>500</v>
      </c>
      <c r="E38" s="1"/>
      <c r="F38" s="13"/>
      <c r="G38" s="13"/>
      <c r="H38" s="13"/>
      <c r="I38" s="13"/>
      <c r="J38" s="13"/>
      <c r="K38" s="13"/>
    </row>
    <row r="39" spans="1:11" ht="30" customHeight="1" x14ac:dyDescent="0.2">
      <c r="A39" s="432" t="s">
        <v>548</v>
      </c>
      <c r="B39" s="1154">
        <f>'Standard Vorgaben'!C186</f>
        <v>1</v>
      </c>
      <c r="C39" s="185">
        <f>IF(OR(B39=0,B39=""),0,(D39/B39)-1)</f>
        <v>0</v>
      </c>
      <c r="D39" s="1237">
        <v>1</v>
      </c>
      <c r="E39" s="1"/>
      <c r="F39" s="13"/>
      <c r="G39" s="13"/>
      <c r="H39" s="13"/>
      <c r="I39" s="13"/>
      <c r="J39" s="13"/>
      <c r="K39" s="13"/>
    </row>
    <row r="40" spans="1:11" ht="24" customHeight="1" thickBot="1" x14ac:dyDescent="0.25">
      <c r="A40" s="432" t="s">
        <v>599</v>
      </c>
      <c r="B40" s="1156">
        <f>'Standard Vorgaben'!C187</f>
        <v>0</v>
      </c>
      <c r="C40" s="185">
        <f t="shared" si="2"/>
        <v>0</v>
      </c>
      <c r="D40" s="1239">
        <v>0</v>
      </c>
      <c r="E40" s="1"/>
      <c r="F40" s="1"/>
      <c r="G40" s="1"/>
      <c r="H40" s="1"/>
      <c r="I40" s="1"/>
      <c r="J40" s="1"/>
    </row>
    <row r="41" spans="1:11" ht="13.5" thickTop="1" x14ac:dyDescent="0.2">
      <c r="A41" s="1"/>
      <c r="B41" s="35"/>
      <c r="C41" s="35"/>
      <c r="D41" s="73"/>
      <c r="E41" s="1"/>
      <c r="F41" s="1"/>
      <c r="G41" s="1"/>
      <c r="H41" s="1"/>
      <c r="I41" s="1"/>
      <c r="J41" s="1"/>
    </row>
    <row r="42" spans="1:11" x14ac:dyDescent="0.2">
      <c r="A42" s="1"/>
      <c r="B42" s="35"/>
      <c r="C42" s="35"/>
      <c r="D42" s="73"/>
      <c r="E42" s="1"/>
      <c r="F42" s="1"/>
      <c r="G42" s="1"/>
      <c r="H42" s="1"/>
      <c r="I42" s="1"/>
      <c r="J42" s="1"/>
    </row>
    <row r="43" spans="1:11" s="168" customFormat="1" ht="54" customHeight="1" thickBot="1" x14ac:dyDescent="0.25">
      <c r="A43" s="1407" t="s">
        <v>322</v>
      </c>
      <c r="B43" s="1408"/>
      <c r="C43" s="1408"/>
      <c r="D43" s="1408"/>
      <c r="E43" s="434"/>
      <c r="F43" s="220"/>
      <c r="G43" s="1407" t="s">
        <v>473</v>
      </c>
      <c r="H43" s="1407"/>
      <c r="I43" s="1407"/>
      <c r="J43" s="1407"/>
    </row>
    <row r="44" spans="1:11" s="168" customFormat="1" ht="33" customHeight="1" thickBot="1" x14ac:dyDescent="0.25">
      <c r="A44" s="866"/>
      <c r="B44" s="747" t="s">
        <v>321</v>
      </c>
      <c r="C44" s="188" t="s">
        <v>110</v>
      </c>
      <c r="D44" s="1240" t="s">
        <v>108</v>
      </c>
      <c r="E44" s="171"/>
      <c r="F44" s="845"/>
      <c r="G44" s="839"/>
      <c r="H44" s="747" t="s">
        <v>321</v>
      </c>
      <c r="I44" s="188" t="s">
        <v>110</v>
      </c>
      <c r="J44" s="1240" t="s">
        <v>108</v>
      </c>
      <c r="K44" s="850"/>
    </row>
    <row r="45" spans="1:11" s="1" customFormat="1" ht="6.75" customHeight="1" thickTop="1" thickBot="1" x14ac:dyDescent="0.3">
      <c r="A45" s="85"/>
      <c r="B45" s="187"/>
      <c r="C45" s="867"/>
      <c r="D45" s="1244"/>
      <c r="F45" s="19"/>
      <c r="G45" s="43"/>
      <c r="H45" s="1167"/>
      <c r="I45" s="19"/>
      <c r="J45" s="1255"/>
      <c r="K45" s="19"/>
    </row>
    <row r="46" spans="1:11" s="168" customFormat="1" ht="46.5" customHeight="1" thickTop="1" x14ac:dyDescent="0.2">
      <c r="A46" s="856" t="s">
        <v>323</v>
      </c>
      <c r="B46" s="1157">
        <f>'Standard Ertragsphase'!F15</f>
        <v>38774.000000000015</v>
      </c>
      <c r="C46" s="855">
        <f>IF(OR(B46=0,B46=""),0,(D46/B46)-1)</f>
        <v>0</v>
      </c>
      <c r="D46" s="1245">
        <f>'Variante Ertragsphase'!F15</f>
        <v>38774.000000000015</v>
      </c>
      <c r="E46" s="845"/>
      <c r="F46" s="845"/>
      <c r="G46" s="862" t="s">
        <v>327</v>
      </c>
      <c r="H46" s="1168">
        <f>'Standard Ertragsphase'!$F$111</f>
        <v>38674.728125000001</v>
      </c>
      <c r="I46" s="859">
        <f>IF(OR(H46=0,H46=""),0,(J46/H46)-1)</f>
        <v>-2.2204460492503131E-16</v>
      </c>
      <c r="J46" s="1256">
        <f>'Variante Ertragsphase'!F111</f>
        <v>38674.728124999994</v>
      </c>
      <c r="K46" s="850"/>
    </row>
    <row r="47" spans="1:11" s="168" customFormat="1" ht="12.2" customHeight="1" x14ac:dyDescent="0.2">
      <c r="A47" s="839"/>
      <c r="B47" s="1158"/>
      <c r="C47" s="845"/>
      <c r="D47" s="1246"/>
      <c r="E47" s="171"/>
      <c r="F47" s="845"/>
      <c r="G47" s="642"/>
      <c r="H47" s="1158"/>
      <c r="I47" s="193"/>
      <c r="J47" s="1246"/>
      <c r="K47" s="850"/>
    </row>
    <row r="48" spans="1:11" s="168" customFormat="1" ht="20.25" customHeight="1" x14ac:dyDescent="0.2">
      <c r="A48" s="868" t="s">
        <v>249</v>
      </c>
      <c r="B48" s="1159">
        <f>'Standard Ertragsphase'!F9</f>
        <v>32928.000000000015</v>
      </c>
      <c r="C48" s="185">
        <f t="shared" ref="C48:C69" si="3">IF(OR(B48=0,B48=""),0,(D48/B48)-1)</f>
        <v>0</v>
      </c>
      <c r="D48" s="1247">
        <f>'Variante Ertragsphase'!F9</f>
        <v>32928.000000000015</v>
      </c>
      <c r="E48" s="171"/>
      <c r="F48" s="845"/>
      <c r="G48" s="863" t="s">
        <v>256</v>
      </c>
      <c r="H48" s="1169">
        <f>'Standard Ertragsphase'!$F$95</f>
        <v>-8504.0619749650359</v>
      </c>
      <c r="I48" s="874">
        <f>((J48+ABS(H48)))/ABS(H48)</f>
        <v>2.3518172918955902E-6</v>
      </c>
      <c r="J48" s="1257">
        <f>'Variante Ertragsphase'!F95</f>
        <v>-8504.0419749650318</v>
      </c>
      <c r="K48" s="850"/>
    </row>
    <row r="49" spans="1:11" s="168" customFormat="1" ht="20.25" customHeight="1" x14ac:dyDescent="0.2">
      <c r="A49" s="868" t="s">
        <v>250</v>
      </c>
      <c r="B49" s="1159">
        <f>'Standard Ertragsphase'!F10</f>
        <v>3780.0000000000009</v>
      </c>
      <c r="C49" s="185">
        <f t="shared" si="3"/>
        <v>0</v>
      </c>
      <c r="D49" s="1247">
        <f>'Variante Ertragsphase'!F10</f>
        <v>3780.0000000000009</v>
      </c>
      <c r="E49" s="171"/>
      <c r="F49" s="845"/>
      <c r="G49" s="642"/>
      <c r="H49" s="1158"/>
      <c r="I49" s="193"/>
      <c r="J49" s="1246"/>
      <c r="K49" s="850"/>
    </row>
    <row r="50" spans="1:11" s="168" customFormat="1" ht="29.25" customHeight="1" x14ac:dyDescent="0.2">
      <c r="A50" s="868" t="s">
        <v>251</v>
      </c>
      <c r="B50" s="1159">
        <f>'Standard Ertragsphase'!F11</f>
        <v>966</v>
      </c>
      <c r="C50" s="185">
        <f t="shared" si="3"/>
        <v>0</v>
      </c>
      <c r="D50" s="1247">
        <f>'Variante Ertragsphase'!F11</f>
        <v>966</v>
      </c>
      <c r="E50" s="171"/>
      <c r="F50" s="845"/>
      <c r="G50" s="864" t="s">
        <v>332</v>
      </c>
      <c r="H50" s="1170">
        <f>'Standard Ertragsphase'!$F$97</f>
        <v>0.82012667990773069</v>
      </c>
      <c r="I50" s="859">
        <f>IF(OR(H50=0,H50=""),0,(J50/H50)-1)</f>
        <v>4.2302936353877385E-7</v>
      </c>
      <c r="J50" s="1258">
        <f>'Variante Ertragsphase'!F97</f>
        <v>0.82012702684539807</v>
      </c>
      <c r="K50" s="850"/>
    </row>
    <row r="51" spans="1:11" s="168" customFormat="1" ht="20.25" customHeight="1" x14ac:dyDescent="0.2">
      <c r="A51" s="868" t="s">
        <v>252</v>
      </c>
      <c r="B51" s="1159">
        <f>'Standard Ertragsphase'!F14</f>
        <v>1100</v>
      </c>
      <c r="C51" s="185">
        <f t="shared" si="3"/>
        <v>0</v>
      </c>
      <c r="D51" s="1247">
        <f>'Variante Ertragsphase'!F14</f>
        <v>1100</v>
      </c>
      <c r="E51" s="171"/>
      <c r="F51" s="845"/>
      <c r="G51" s="642"/>
      <c r="H51" s="1158"/>
      <c r="I51" s="193"/>
      <c r="J51" s="1246"/>
      <c r="K51" s="850"/>
    </row>
    <row r="52" spans="1:11" s="168" customFormat="1" ht="42" customHeight="1" x14ac:dyDescent="0.2">
      <c r="A52" s="858" t="s">
        <v>333</v>
      </c>
      <c r="B52" s="1160">
        <f>'Standard Ertragsphase'!$F$88</f>
        <v>47278.06197496505</v>
      </c>
      <c r="C52" s="859">
        <f t="shared" si="3"/>
        <v>-4.2302918457082228E-7</v>
      </c>
      <c r="D52" s="1248">
        <f>'Variante Ertragsphase'!F88</f>
        <v>47278.041974965046</v>
      </c>
      <c r="E52" s="171"/>
      <c r="F52" s="845"/>
      <c r="G52" s="642"/>
      <c r="H52" s="1158"/>
      <c r="I52" s="193"/>
      <c r="J52" s="1246"/>
      <c r="K52" s="850"/>
    </row>
    <row r="53" spans="1:11" s="168" customFormat="1" ht="44.25" customHeight="1" x14ac:dyDescent="0.2">
      <c r="A53" s="861" t="s">
        <v>467</v>
      </c>
      <c r="B53" s="1161">
        <f>'Standard Ertragsphase'!F90</f>
        <v>1.1256681422610726</v>
      </c>
      <c r="C53" s="859">
        <f t="shared" si="3"/>
        <v>-4.2302918445979998E-7</v>
      </c>
      <c r="D53" s="1249">
        <f>'Variante Ertragsphase'!F90</f>
        <v>1.1256676660705964</v>
      </c>
      <c r="E53" s="171"/>
      <c r="F53" s="845"/>
      <c r="G53" s="865" t="s">
        <v>328</v>
      </c>
      <c r="H53" s="1171">
        <f>'Standard Ertragsphase'!$F$116</f>
        <v>-5.7080551821432159E-2</v>
      </c>
      <c r="I53" s="874">
        <f>IF(OR(H53=0,H53=""),0,(J53/H53)-1)</f>
        <v>-2.7226328315199666E-6</v>
      </c>
      <c r="J53" s="1259">
        <f>'Variante Ertragsphase'!F116</f>
        <v>-5.7080396412047728E-2</v>
      </c>
      <c r="K53" s="850"/>
    </row>
    <row r="54" spans="1:11" s="171" customFormat="1" ht="12" customHeight="1" x14ac:dyDescent="0.25">
      <c r="A54" s="854"/>
      <c r="B54" s="1162"/>
      <c r="C54" s="185"/>
      <c r="D54" s="1242"/>
      <c r="F54" s="845"/>
      <c r="G54" s="857"/>
      <c r="H54" s="1172"/>
      <c r="I54" s="425"/>
      <c r="J54" s="1260"/>
      <c r="K54" s="845"/>
    </row>
    <row r="55" spans="1:11" s="168" customFormat="1" ht="51" customHeight="1" x14ac:dyDescent="0.2">
      <c r="A55" s="860" t="s">
        <v>253</v>
      </c>
      <c r="B55" s="1161">
        <f>'Standard Ertragsphase'!F92</f>
        <v>1.405516520994873</v>
      </c>
      <c r="C55" s="859">
        <f t="shared" si="3"/>
        <v>-4.2302918445979998E-7</v>
      </c>
      <c r="D55" s="1250">
        <f>'Variante Ertragsphase'!F92</f>
        <v>1.4055159264203654</v>
      </c>
      <c r="E55" s="171"/>
      <c r="F55" s="845"/>
      <c r="G55" s="853"/>
      <c r="H55" s="1173"/>
      <c r="I55" s="850"/>
      <c r="J55" s="1246"/>
      <c r="K55" s="850"/>
    </row>
    <row r="56" spans="1:11" s="168" customFormat="1" ht="18" customHeight="1" x14ac:dyDescent="0.2">
      <c r="A56" s="846" t="s">
        <v>206</v>
      </c>
      <c r="B56" s="1163">
        <f>'Standard Ertragsphase'!F93</f>
        <v>0.56471645932829717</v>
      </c>
      <c r="C56" s="185">
        <f t="shared" si="3"/>
        <v>-4.2302918445979998E-7</v>
      </c>
      <c r="D56" s="1251">
        <f>'Variante Ertragsphase'!F93</f>
        <v>0.56471622043675396</v>
      </c>
      <c r="E56" s="171"/>
      <c r="F56" s="845"/>
      <c r="G56" s="853"/>
      <c r="H56" s="1173"/>
      <c r="I56" s="850"/>
      <c r="J56" s="1246"/>
      <c r="K56" s="850"/>
    </row>
    <row r="57" spans="1:11" s="168" customFormat="1" ht="29.1" customHeight="1" x14ac:dyDescent="0.2">
      <c r="A57" s="849" t="s">
        <v>270</v>
      </c>
      <c r="B57" s="1164">
        <f>'Standard Erstellung'!E138</f>
        <v>98699.605099999986</v>
      </c>
      <c r="C57" s="847">
        <f t="shared" si="3"/>
        <v>0</v>
      </c>
      <c r="D57" s="1252">
        <f>'Variante Erstellung'!E136</f>
        <v>98699.605099999986</v>
      </c>
      <c r="E57" s="171"/>
      <c r="F57" s="845"/>
      <c r="G57" s="845"/>
      <c r="H57" s="1173"/>
      <c r="I57" s="850"/>
      <c r="J57" s="1246"/>
      <c r="K57" s="850"/>
    </row>
    <row r="58" spans="1:11" s="168" customFormat="1" ht="63" customHeight="1" x14ac:dyDescent="0.2">
      <c r="A58" s="849" t="s">
        <v>269</v>
      </c>
      <c r="B58" s="1164">
        <f>'Standard Ertragsphase'!C40</f>
        <v>128692.35713928891</v>
      </c>
      <c r="C58" s="847">
        <f t="shared" si="3"/>
        <v>0</v>
      </c>
      <c r="D58" s="1252">
        <f>'Variante Ertragsphase'!C40</f>
        <v>128692.35713928891</v>
      </c>
      <c r="E58" s="171"/>
      <c r="F58" s="845"/>
      <c r="G58" s="845"/>
      <c r="H58" s="1173"/>
      <c r="I58" s="193"/>
      <c r="J58" s="1246"/>
      <c r="K58" s="850"/>
    </row>
    <row r="59" spans="1:11" s="168" customFormat="1" ht="29.25" thickBot="1" x14ac:dyDescent="0.25">
      <c r="A59" s="854" t="s">
        <v>254</v>
      </c>
      <c r="B59" s="1165">
        <f>'Standard Ertragsphase'!$F$40</f>
        <v>10724.363094940743</v>
      </c>
      <c r="C59" s="870">
        <f t="shared" si="3"/>
        <v>0</v>
      </c>
      <c r="D59" s="1253">
        <f>'Variante Ertragsphase'!F40</f>
        <v>10724.363094940743</v>
      </c>
      <c r="E59" s="171"/>
      <c r="F59" s="845"/>
      <c r="G59" s="863" t="s">
        <v>329</v>
      </c>
      <c r="H59" s="1174">
        <f>'Standard Ertragsphase'!F102</f>
        <v>2220.3011199757075</v>
      </c>
      <c r="I59" s="859">
        <f>IF(OR(H59=0,H59=""),0,(J59/H59)-1)</f>
        <v>9.0077871979232782E-6</v>
      </c>
      <c r="J59" s="1261">
        <f>'Variante Ertragsphase'!F102</f>
        <v>2220.3211199757116</v>
      </c>
      <c r="K59" s="850"/>
    </row>
    <row r="60" spans="1:11" ht="22.7" customHeight="1" thickTop="1" thickBot="1" x14ac:dyDescent="0.25">
      <c r="A60" s="854" t="s">
        <v>255</v>
      </c>
      <c r="B60" s="1166">
        <f>'Standard Ertragsphase'!$F$84</f>
        <v>1818.2312142536002</v>
      </c>
      <c r="C60" s="870">
        <f t="shared" si="3"/>
        <v>0</v>
      </c>
      <c r="D60" s="1254">
        <f>'Variante Ertragsphase'!F84</f>
        <v>1818.2312142536002</v>
      </c>
      <c r="E60" s="1"/>
      <c r="F60" s="13"/>
      <c r="G60" s="202"/>
      <c r="H60" s="142"/>
      <c r="I60" s="142"/>
      <c r="J60" s="142"/>
      <c r="K60" s="13"/>
    </row>
    <row r="61" spans="1:11" ht="22.7" customHeight="1" thickTop="1" x14ac:dyDescent="0.2">
      <c r="A61" s="854"/>
      <c r="B61" s="869"/>
      <c r="C61" s="870"/>
      <c r="D61" s="869"/>
      <c r="E61" s="1"/>
      <c r="F61" s="13"/>
      <c r="G61" s="202"/>
      <c r="H61" s="142"/>
      <c r="I61" s="142"/>
      <c r="J61" s="142"/>
      <c r="K61" s="13"/>
    </row>
    <row r="62" spans="1:11" ht="22.7" customHeight="1" x14ac:dyDescent="0.2">
      <c r="A62" s="854"/>
      <c r="B62" s="869"/>
      <c r="C62" s="870"/>
      <c r="D62" s="869"/>
      <c r="E62" s="1"/>
      <c r="F62" s="13"/>
      <c r="G62" s="202"/>
      <c r="H62" s="142"/>
      <c r="I62" s="142"/>
      <c r="J62" s="142"/>
      <c r="K62" s="13"/>
    </row>
    <row r="63" spans="1:11" ht="22.7" customHeight="1" x14ac:dyDescent="0.2">
      <c r="A63" s="854"/>
      <c r="B63" s="869"/>
      <c r="C63" s="870"/>
      <c r="D63" s="869"/>
      <c r="E63" s="1"/>
      <c r="F63" s="13"/>
      <c r="G63" s="202"/>
      <c r="H63" s="142"/>
      <c r="I63" s="142"/>
      <c r="J63" s="142"/>
      <c r="K63" s="13"/>
    </row>
    <row r="64" spans="1:11" ht="53.25" customHeight="1" thickBot="1" x14ac:dyDescent="0.25">
      <c r="A64" s="1407" t="s">
        <v>322</v>
      </c>
      <c r="B64" s="1408"/>
      <c r="C64" s="1408"/>
      <c r="D64" s="1408"/>
      <c r="E64" s="434"/>
      <c r="F64" s="220"/>
      <c r="G64" s="1407" t="s">
        <v>473</v>
      </c>
      <c r="H64" s="1407"/>
      <c r="I64" s="1407"/>
      <c r="J64" s="1407"/>
      <c r="K64" s="13"/>
    </row>
    <row r="65" spans="1:10" s="168" customFormat="1" ht="33" customHeight="1" thickTop="1" x14ac:dyDescent="0.2">
      <c r="A65" s="866"/>
      <c r="B65" s="747" t="s">
        <v>321</v>
      </c>
      <c r="C65" s="188" t="s">
        <v>110</v>
      </c>
      <c r="D65" s="1240" t="s">
        <v>108</v>
      </c>
      <c r="E65" s="171"/>
      <c r="F65" s="845"/>
      <c r="G65" s="839"/>
      <c r="H65" s="1185" t="s">
        <v>321</v>
      </c>
      <c r="I65" s="188" t="s">
        <v>110</v>
      </c>
      <c r="J65" s="1240" t="s">
        <v>108</v>
      </c>
    </row>
    <row r="66" spans="1:10" s="1" customFormat="1" ht="6" customHeight="1" thickBot="1" x14ac:dyDescent="0.25">
      <c r="A66" s="220"/>
      <c r="B66" s="851"/>
      <c r="C66" s="851"/>
      <c r="D66" s="1262"/>
      <c r="E66" s="434"/>
      <c r="F66" s="220"/>
      <c r="G66" s="220"/>
      <c r="H66" s="1186"/>
      <c r="I66" s="220"/>
      <c r="J66" s="1272"/>
    </row>
    <row r="67" spans="1:10" s="168" customFormat="1" ht="51.75" customHeight="1" thickTop="1" x14ac:dyDescent="0.2">
      <c r="A67" s="862" t="s">
        <v>324</v>
      </c>
      <c r="B67" s="1175">
        <f>'Standard Ertragsphase'!F99</f>
        <v>17660.756947621896</v>
      </c>
      <c r="C67" s="875">
        <f t="shared" si="3"/>
        <v>2.2204460492503131E-16</v>
      </c>
      <c r="D67" s="1256">
        <f>'Variante Ertragsphase'!F99</f>
        <v>17660.7569476219</v>
      </c>
      <c r="E67" s="171"/>
      <c r="F67" s="845"/>
      <c r="G67" s="863" t="s">
        <v>330</v>
      </c>
      <c r="H67" s="1169">
        <f>'Standard Cashflow'!C40</f>
        <v>-105502.80629090092</v>
      </c>
      <c r="I67" s="876">
        <f>IF(OR(H67=0,H67=""),0,J67/H67-1)</f>
        <v>6.5090729519146073E-4</v>
      </c>
      <c r="J67" s="1257">
        <f>'Variante Cashflow'!C40</f>
        <v>-105571.47883717885</v>
      </c>
    </row>
    <row r="68" spans="1:10" s="171" customFormat="1" ht="15.75" x14ac:dyDescent="0.2">
      <c r="A68" s="846" t="s">
        <v>257</v>
      </c>
      <c r="B68" s="1176">
        <f>'Standard Ertragsphase'!F46</f>
        <v>20013.243052378119</v>
      </c>
      <c r="C68" s="870">
        <f t="shared" si="3"/>
        <v>-2.2204460492503131E-16</v>
      </c>
      <c r="D68" s="1263">
        <f>'Variante Ertragsphase'!F46</f>
        <v>20013.243052378115</v>
      </c>
      <c r="F68" s="845"/>
      <c r="G68" s="852"/>
      <c r="H68" s="1187"/>
      <c r="I68" s="185"/>
      <c r="J68" s="1273"/>
    </row>
    <row r="69" spans="1:10" s="171" customFormat="1" ht="15.75" x14ac:dyDescent="0.2">
      <c r="A69" s="846" t="s">
        <v>258</v>
      </c>
      <c r="B69" s="1176">
        <f>'Standard Ertragsphase'!F86</f>
        <v>27264.818922586928</v>
      </c>
      <c r="C69" s="870">
        <f t="shared" si="3"/>
        <v>-7.3354604168685E-7</v>
      </c>
      <c r="D69" s="1263">
        <f>'Variante Ertragsphase'!F86</f>
        <v>27264.798922586931</v>
      </c>
      <c r="F69" s="845"/>
      <c r="G69" s="852"/>
      <c r="H69" s="1187"/>
      <c r="I69" s="185"/>
      <c r="J69" s="1273"/>
    </row>
    <row r="70" spans="1:10" ht="30" x14ac:dyDescent="0.2">
      <c r="A70" s="871" t="s">
        <v>66</v>
      </c>
      <c r="B70" s="1176">
        <f>'Standard Ertragsphase'!F104</f>
        <v>27774.724474965053</v>
      </c>
      <c r="C70" s="870">
        <f t="shared" ref="C70:C75" si="4">IF(OR(B70=0,B70=""),0,(D70/B70)-1)</f>
        <v>-7.2007915041805148E-7</v>
      </c>
      <c r="D70" s="1263">
        <f>'Variante Ertragsphase'!F104</f>
        <v>27774.704474965049</v>
      </c>
      <c r="E70" s="1"/>
      <c r="F70" s="13"/>
      <c r="G70" s="202"/>
      <c r="H70" s="1188"/>
      <c r="I70" s="67"/>
      <c r="J70" s="1274"/>
    </row>
    <row r="71" spans="1:10" ht="48" x14ac:dyDescent="0.2">
      <c r="A71" s="856" t="s">
        <v>325</v>
      </c>
      <c r="B71" s="1177">
        <f>'Standard Ertragsphase'!F106</f>
        <v>10999.275525034962</v>
      </c>
      <c r="C71" s="875">
        <f t="shared" si="4"/>
        <v>1.818301574418868E-6</v>
      </c>
      <c r="D71" s="1264">
        <f>'Variante Ertragsphase'!F106</f>
        <v>10999.295525034966</v>
      </c>
      <c r="E71" s="1"/>
      <c r="F71" s="13"/>
      <c r="G71" s="858" t="s">
        <v>263</v>
      </c>
      <c r="H71" s="1189">
        <f>'Standard Ertragsphase'!$F$107</f>
        <v>14.833817296068728</v>
      </c>
      <c r="I71" s="859">
        <f>IF(OR(H71=0,H71=""),0,(J71/H71)-1)</f>
        <v>1.818301574418868E-6</v>
      </c>
      <c r="J71" s="1275">
        <f>'Variante Ertragsphase'!F107</f>
        <v>14.833844268422071</v>
      </c>
    </row>
    <row r="72" spans="1:10" s="168" customFormat="1" ht="15.75" x14ac:dyDescent="0.2">
      <c r="A72" s="872" t="s">
        <v>144</v>
      </c>
      <c r="B72" s="1178">
        <f>'Standard Ertragsphase'!$D$79</f>
        <v>741.5</v>
      </c>
      <c r="C72" s="847">
        <f t="shared" si="4"/>
        <v>0</v>
      </c>
      <c r="D72" s="1265">
        <f>'Variante Ertragsphase'!D79</f>
        <v>741.5</v>
      </c>
      <c r="E72" s="171"/>
      <c r="F72" s="845"/>
      <c r="G72" s="642"/>
      <c r="H72" s="1158"/>
      <c r="I72" s="192"/>
      <c r="J72" s="1246"/>
    </row>
    <row r="73" spans="1:10" s="169" customFormat="1" ht="15" x14ac:dyDescent="0.2">
      <c r="A73" s="295" t="s">
        <v>259</v>
      </c>
      <c r="B73" s="1179">
        <f>'Standard Ertragsphase'!B79*'Standard Vorgaben'!C34</f>
        <v>8612.625</v>
      </c>
      <c r="C73" s="873">
        <f t="shared" si="4"/>
        <v>0</v>
      </c>
      <c r="D73" s="1266">
        <f>'Variante Ertragsphase'!B79*'Variante Vorgaben'!C34</f>
        <v>8612.625</v>
      </c>
      <c r="E73" s="148"/>
      <c r="F73" s="853"/>
      <c r="G73" s="642"/>
      <c r="H73" s="1147"/>
      <c r="I73" s="218"/>
      <c r="J73" s="1276"/>
    </row>
    <row r="74" spans="1:10" s="168" customFormat="1" ht="48" x14ac:dyDescent="0.2">
      <c r="A74" s="856" t="s">
        <v>326</v>
      </c>
      <c r="B74" s="1177">
        <f>B71-B73</f>
        <v>2386.6505250349619</v>
      </c>
      <c r="C74" s="875">
        <f t="shared" si="4"/>
        <v>8.3799449455135289E-6</v>
      </c>
      <c r="D74" s="1264">
        <f>D71-D73</f>
        <v>2386.670525034966</v>
      </c>
      <c r="E74" s="171"/>
      <c r="F74" s="845"/>
      <c r="G74" s="862" t="s">
        <v>334</v>
      </c>
      <c r="H74" s="1189">
        <f>'Standard Ertragsphase'!F109</f>
        <v>7.2022648812824199</v>
      </c>
      <c r="I74" s="859">
        <f>IF(OR(H74=0,H74=""),0,(J74/H74)-1)</f>
        <v>8.3799449455135289E-6</v>
      </c>
      <c r="J74" s="1275">
        <f>'Variante Ertragsphase'!F109</f>
        <v>7.202325235865608</v>
      </c>
    </row>
    <row r="75" spans="1:10" s="168" customFormat="1" ht="15" x14ac:dyDescent="0.2">
      <c r="A75" s="295" t="s">
        <v>145</v>
      </c>
      <c r="B75" s="1180">
        <f>'Standard Ertragsphase'!$D$79-'Standard Ertragsphase'!$B$79</f>
        <v>331.375</v>
      </c>
      <c r="C75" s="870">
        <f t="shared" si="4"/>
        <v>0</v>
      </c>
      <c r="D75" s="1267">
        <f>'Variante Ertragsphase'!D79-'Variante Ertragsphase'!B79</f>
        <v>331.375</v>
      </c>
      <c r="E75" s="171"/>
      <c r="F75" s="845"/>
      <c r="G75" s="642"/>
      <c r="H75" s="1158"/>
      <c r="I75" s="192"/>
      <c r="J75" s="1246"/>
    </row>
    <row r="76" spans="1:10" s="168" customFormat="1" ht="30.75" x14ac:dyDescent="0.2">
      <c r="A76" s="871" t="s">
        <v>264</v>
      </c>
      <c r="B76" s="1181">
        <f>'Standard Vorgaben'!$F$34</f>
        <v>0.85</v>
      </c>
      <c r="C76" s="870">
        <f>IF(OR(B76=0,B76=""),0,(D76/B76)-1)</f>
        <v>0</v>
      </c>
      <c r="D76" s="1268">
        <f>'Variante Vorgaben'!F34</f>
        <v>0.85</v>
      </c>
      <c r="E76" s="171"/>
      <c r="F76" s="845"/>
      <c r="G76" s="848" t="s">
        <v>331</v>
      </c>
      <c r="H76" s="1190">
        <f>'Standard Ertragsphase'!$F$114</f>
        <v>50.977747808496289</v>
      </c>
      <c r="I76" s="185">
        <f>IF(OR(H76=0,H76=""),0,(J76/H76)-1)</f>
        <v>0</v>
      </c>
      <c r="J76" s="1277">
        <f>'Variante Ertragsphase'!F114</f>
        <v>50.977747808496289</v>
      </c>
    </row>
    <row r="77" spans="1:10" s="168" customFormat="1" ht="27" customHeight="1" thickBot="1" x14ac:dyDescent="0.25">
      <c r="A77" s="868" t="s">
        <v>262</v>
      </c>
      <c r="B77" s="1182">
        <f>'Standard Ertragsphase'!B79</f>
        <v>410.125</v>
      </c>
      <c r="C77" s="870">
        <f>IF(OR(B77=0,B77=""),0,(D77/B77)-1)</f>
        <v>0</v>
      </c>
      <c r="D77" s="1269">
        <f>'Variante Ertragsphase'!B79</f>
        <v>410.125</v>
      </c>
      <c r="E77" s="171"/>
      <c r="F77" s="845"/>
      <c r="G77" s="854" t="s">
        <v>273</v>
      </c>
      <c r="H77" s="1191">
        <f>'Standard Ertragsphase'!$F$113</f>
        <v>52.291301416048569</v>
      </c>
      <c r="I77" s="185">
        <f>IF(OR(H77=0,H77=""),0,(J77/H77)-1)</f>
        <v>0</v>
      </c>
      <c r="J77" s="1278">
        <f>'Variante Ertragsphase'!F113</f>
        <v>52.291301416048569</v>
      </c>
    </row>
    <row r="78" spans="1:10" ht="18" customHeight="1" thickTop="1" x14ac:dyDescent="0.2">
      <c r="A78" s="868" t="s">
        <v>261</v>
      </c>
      <c r="B78" s="1183">
        <f>B79/B72</f>
        <v>0.44841537424140254</v>
      </c>
      <c r="C78" s="870">
        <f>IF(OR(B78=0,B78=""),0,(D78/B78)-1)</f>
        <v>0</v>
      </c>
      <c r="D78" s="1270">
        <f>D79/D72</f>
        <v>0.44841537424140254</v>
      </c>
      <c r="E78" s="1"/>
      <c r="F78" s="1"/>
      <c r="H78" s="13"/>
      <c r="I78" s="67"/>
    </row>
    <row r="79" spans="1:10" ht="18" customHeight="1" thickBot="1" x14ac:dyDescent="0.25">
      <c r="A79" s="868" t="s">
        <v>260</v>
      </c>
      <c r="B79" s="1184">
        <f>'Standard Ertragsphase'!$D$77</f>
        <v>332.5</v>
      </c>
      <c r="C79" s="870">
        <f>IF(OR(B79=0,B79=""),0,(D79/B79)-1)</f>
        <v>0</v>
      </c>
      <c r="D79" s="1271">
        <f>'Variante Ertragsphase'!D77</f>
        <v>332.5</v>
      </c>
      <c r="E79" s="1"/>
      <c r="F79" s="1"/>
      <c r="H79" s="13"/>
    </row>
    <row r="80" spans="1:10" ht="23.25" customHeight="1" thickTop="1" x14ac:dyDescent="0.2">
      <c r="A80" s="13"/>
      <c r="B80" s="11"/>
      <c r="C80" s="11"/>
      <c r="D80" s="70"/>
      <c r="E80" s="1"/>
    </row>
    <row r="81" spans="1:11" ht="23.25" customHeight="1" x14ac:dyDescent="0.2">
      <c r="E81" s="1"/>
    </row>
    <row r="82" spans="1:11" ht="27" customHeight="1" x14ac:dyDescent="0.35">
      <c r="A82" s="1405" t="s">
        <v>181</v>
      </c>
      <c r="B82" s="1405"/>
      <c r="C82" s="1405"/>
      <c r="D82" s="1405"/>
      <c r="E82" s="1405"/>
      <c r="F82" s="1405"/>
      <c r="G82" s="1405"/>
      <c r="H82" s="1405"/>
      <c r="I82" s="1405"/>
      <c r="J82" s="1405"/>
      <c r="K82" s="14"/>
    </row>
    <row r="83" spans="1:11" s="1" customFormat="1" ht="27" customHeight="1" x14ac:dyDescent="0.35">
      <c r="A83" s="382"/>
      <c r="B83" s="382"/>
      <c r="C83" s="382"/>
      <c r="D83" s="382"/>
      <c r="E83" s="382"/>
      <c r="F83" s="382"/>
      <c r="G83" s="382"/>
      <c r="H83" s="382"/>
      <c r="I83" s="382"/>
      <c r="J83" s="382"/>
      <c r="K83" s="121"/>
    </row>
    <row r="84" spans="1:11" s="1" customFormat="1" ht="18.75" thickBot="1" x14ac:dyDescent="0.3">
      <c r="A84" s="96"/>
      <c r="F84" s="183"/>
      <c r="J84" s="35"/>
      <c r="K84" s="121"/>
    </row>
    <row r="85" spans="1:11" s="1" customFormat="1" ht="18.75" thickTop="1" x14ac:dyDescent="0.25">
      <c r="A85" s="96"/>
      <c r="F85" s="183"/>
      <c r="G85" s="377"/>
      <c r="H85" s="1185" t="s">
        <v>321</v>
      </c>
      <c r="I85" s="378" t="s">
        <v>110</v>
      </c>
      <c r="J85" s="1222" t="s">
        <v>108</v>
      </c>
      <c r="K85" s="121"/>
    </row>
    <row r="86" spans="1:11" s="1" customFormat="1" ht="18" x14ac:dyDescent="0.25">
      <c r="A86" s="96"/>
      <c r="F86" s="183"/>
      <c r="G86" s="361" t="str">
        <f>'Standard Ertragsphase'!A123</f>
        <v>Arbeitskosten</v>
      </c>
      <c r="H86" s="1192">
        <f>'Standard Ertragsphase'!B123</f>
        <v>19503.337499999998</v>
      </c>
      <c r="I86" s="222">
        <f>IF(OR(H86=0,H86=""),0,(J86/H86)-1)</f>
        <v>0</v>
      </c>
      <c r="J86" s="1279">
        <f>'Variante Ertragsphase'!B123</f>
        <v>19503.337499999998</v>
      </c>
      <c r="K86" s="121"/>
    </row>
    <row r="87" spans="1:11" s="1" customFormat="1" ht="18" x14ac:dyDescent="0.25">
      <c r="A87" s="96"/>
      <c r="F87" s="183"/>
      <c r="G87" s="361" t="str">
        <f>'Standard Ertragsphase'!A124</f>
        <v>Kapitalkosten (Zinsanspruch)</v>
      </c>
      <c r="H87" s="1192">
        <f>'Standard Ertragsphase'!B124</f>
        <v>1818.2312142536002</v>
      </c>
      <c r="I87" s="222">
        <f>IF(OR(H87=0,H87=""),0,(J87/H87)-1)</f>
        <v>0</v>
      </c>
      <c r="J87" s="1279">
        <f>'Variante Ertragsphase'!B124</f>
        <v>1818.2312142536002</v>
      </c>
      <c r="K87" s="121"/>
    </row>
    <row r="88" spans="1:11" s="1" customFormat="1" ht="18.75" thickBot="1" x14ac:dyDescent="0.3">
      <c r="A88" s="96"/>
      <c r="F88" s="183"/>
      <c r="G88" s="379" t="str">
        <f>'Standard Ertragsphase'!A151</f>
        <v>Sachkosten</v>
      </c>
      <c r="H88" s="1192">
        <f>'Standard Ertragsphase'!B151</f>
        <v>25956.493260711453</v>
      </c>
      <c r="I88" s="223">
        <f>IF(OR(H88=0,H88=""),0,(J88/H88)-1)</f>
        <v>-7.7052010849509855E-7</v>
      </c>
      <c r="J88" s="1280">
        <f>'Variante Ertragsphase'!B125</f>
        <v>25956.473260711449</v>
      </c>
      <c r="K88" s="121"/>
    </row>
    <row r="89" spans="1:11" s="1" customFormat="1" ht="18" x14ac:dyDescent="0.25">
      <c r="A89" s="96"/>
      <c r="F89" s="183"/>
      <c r="G89" s="380" t="s">
        <v>292</v>
      </c>
      <c r="H89" s="1193">
        <f>B52</f>
        <v>47278.06197496505</v>
      </c>
      <c r="I89" s="222">
        <f>IF(OR(H89=0,H89=""),0,(J89/H89)-1)</f>
        <v>-4.2302918457082228E-7</v>
      </c>
      <c r="J89" s="1281">
        <f>D52</f>
        <v>47278.041974965046</v>
      </c>
      <c r="K89" s="121"/>
    </row>
    <row r="90" spans="1:11" s="1" customFormat="1" ht="18" x14ac:dyDescent="0.25">
      <c r="A90" s="96"/>
      <c r="F90" s="183"/>
      <c r="G90" s="365"/>
      <c r="H90" s="1194"/>
      <c r="I90" s="142"/>
      <c r="J90" s="1255"/>
      <c r="K90" s="121"/>
    </row>
    <row r="91" spans="1:11" s="1" customFormat="1" ht="18" x14ac:dyDescent="0.25">
      <c r="A91" s="96"/>
      <c r="F91" s="183"/>
      <c r="G91" s="361" t="str">
        <f>'Standard Ertragsphase'!A123</f>
        <v>Arbeitskosten</v>
      </c>
      <c r="H91" s="1195">
        <f>'Standard Ertragsphase'!C123</f>
        <v>0.41252404784120628</v>
      </c>
      <c r="I91" s="191"/>
      <c r="J91" s="1282">
        <f>'Variante Ertragsphase'!C123</f>
        <v>0.41252422235099168</v>
      </c>
      <c r="K91" s="121"/>
    </row>
    <row r="92" spans="1:11" s="1" customFormat="1" ht="18" x14ac:dyDescent="0.25">
      <c r="A92" s="96"/>
      <c r="F92" s="183"/>
      <c r="G92" s="361" t="str">
        <f>'Standard Ertragsphase'!A124</f>
        <v>Kapitalkosten (Zinsanspruch)</v>
      </c>
      <c r="H92" s="1195">
        <f>'Standard Ertragsphase'!C124</f>
        <v>3.8458243386042354E-2</v>
      </c>
      <c r="I92" s="191"/>
      <c r="J92" s="1282">
        <f>'Variante Ertragsphase'!C124</f>
        <v>3.8458259655008577E-2</v>
      </c>
      <c r="K92" s="121"/>
    </row>
    <row r="93" spans="1:11" s="1" customFormat="1" ht="18.75" thickBot="1" x14ac:dyDescent="0.3">
      <c r="A93" s="96"/>
      <c r="F93" s="183"/>
      <c r="G93" s="379" t="str">
        <f>'Standard Ertragsphase'!A125</f>
        <v>Sachkosten</v>
      </c>
      <c r="H93" s="1196">
        <f>'Standard Ertragsphase'!C125</f>
        <v>0.54901770877275136</v>
      </c>
      <c r="I93" s="381"/>
      <c r="J93" s="1283">
        <f>'Variante Ertragsphase'!C125</f>
        <v>0.54901751799399978</v>
      </c>
      <c r="K93" s="121"/>
    </row>
    <row r="94" spans="1:11" s="1" customFormat="1" ht="18" x14ac:dyDescent="0.25">
      <c r="A94" s="96"/>
      <c r="F94" s="183"/>
      <c r="K94" s="121"/>
    </row>
    <row r="95" spans="1:11" s="1" customFormat="1" ht="18" x14ac:dyDescent="0.25">
      <c r="A95" s="96"/>
      <c r="F95" s="183"/>
      <c r="J95" s="35"/>
      <c r="K95" s="121"/>
    </row>
    <row r="96" spans="1:11" ht="9.75" customHeight="1" x14ac:dyDescent="0.2"/>
    <row r="97" spans="1:10" ht="9.75" customHeight="1" x14ac:dyDescent="0.2">
      <c r="A97" s="1"/>
      <c r="B97" s="35"/>
      <c r="C97" s="35"/>
      <c r="D97" s="73"/>
      <c r="E97" s="1"/>
      <c r="F97" s="1"/>
      <c r="G97" s="1"/>
      <c r="H97" s="1"/>
      <c r="I97" s="1"/>
      <c r="J97" s="1"/>
    </row>
    <row r="99" spans="1:10" ht="21.2" customHeight="1" thickBot="1" x14ac:dyDescent="0.25">
      <c r="G99" s="1"/>
      <c r="I99" s="67"/>
    </row>
    <row r="100" spans="1:10" ht="21.2" customHeight="1" thickTop="1" x14ac:dyDescent="0.25">
      <c r="G100" s="377"/>
      <c r="H100" s="1185" t="s">
        <v>321</v>
      </c>
      <c r="I100" s="378" t="s">
        <v>110</v>
      </c>
      <c r="J100" s="1240" t="s">
        <v>108</v>
      </c>
    </row>
    <row r="101" spans="1:10" ht="21.2" customHeight="1" x14ac:dyDescent="0.2">
      <c r="G101" s="361" t="str">
        <f>'Standard Ertragsphase'!A129</f>
        <v>für Boden</v>
      </c>
      <c r="H101" s="1192">
        <f>'Standard Ertragsphase'!B129</f>
        <v>660</v>
      </c>
      <c r="I101" s="222">
        <f>IF(OR(H101=0,H101=""),0,(J101/H101)-1)</f>
        <v>0</v>
      </c>
      <c r="J101" s="1279">
        <f>'Variante Ertragsphase'!B129</f>
        <v>660</v>
      </c>
    </row>
    <row r="102" spans="1:10" ht="21.2" customHeight="1" thickBot="1" x14ac:dyDescent="0.25">
      <c r="G102" s="379" t="str">
        <f>'Standard Ertragsphase'!A130</f>
        <v xml:space="preserve">für Investition Obstanlage </v>
      </c>
      <c r="H102" s="1192">
        <f>'Standard Ertragsphase'!B130</f>
        <v>1158.2312142536002</v>
      </c>
      <c r="I102" s="223">
        <f>IF(OR(H102=0,H102=""),0,(J102/H102)-1)</f>
        <v>0</v>
      </c>
      <c r="J102" s="1280">
        <f>'Variante Ertragsphase'!B130</f>
        <v>1158.2312142536002</v>
      </c>
    </row>
    <row r="103" spans="1:10" ht="19.5" customHeight="1" x14ac:dyDescent="0.2">
      <c r="G103" s="383" t="str">
        <f>'Standard Ertragsphase'!A131</f>
        <v>Kapitalkosten</v>
      </c>
      <c r="H103" s="1193">
        <f>'Standard Ertragsphase'!B131</f>
        <v>1818.2312142536002</v>
      </c>
      <c r="I103" s="222">
        <f>IF(OR(H103=0,H103=""),0,(J103/H103)-1)</f>
        <v>0</v>
      </c>
      <c r="J103" s="1281">
        <f>'Variante Ertragsphase'!B131</f>
        <v>1818.2312142536002</v>
      </c>
    </row>
    <row r="104" spans="1:10" ht="20.25" customHeight="1" x14ac:dyDescent="0.2">
      <c r="G104" s="360"/>
      <c r="H104" s="1197"/>
      <c r="I104" s="222"/>
      <c r="J104" s="1284"/>
    </row>
    <row r="105" spans="1:10" ht="21.2" customHeight="1" x14ac:dyDescent="0.2">
      <c r="G105" s="384" t="str">
        <f>'Standard Ertragsphase'!A129</f>
        <v>für Boden</v>
      </c>
      <c r="H105" s="1198">
        <f>'Standard Ertragsphase'!C129</f>
        <v>0.36299013834218863</v>
      </c>
      <c r="I105" s="222"/>
      <c r="J105" s="1285">
        <f>'Variante Ertragsphase'!C129</f>
        <v>0.36299013834218863</v>
      </c>
    </row>
    <row r="106" spans="1:10" ht="21.2" customHeight="1" thickBot="1" x14ac:dyDescent="0.25">
      <c r="G106" s="385" t="str">
        <f>'Standard Ertragsphase'!A130</f>
        <v xml:space="preserve">für Investition Obstanlage </v>
      </c>
      <c r="H106" s="1199">
        <f>'Standard Ertragsphase'!C130</f>
        <v>0.63700986165781137</v>
      </c>
      <c r="I106" s="223"/>
      <c r="J106" s="1286">
        <f>'Variante Ertragsphase'!C130</f>
        <v>0.63700986165781137</v>
      </c>
    </row>
    <row r="107" spans="1:10" ht="20.25" customHeight="1" x14ac:dyDescent="0.2">
      <c r="I107" s="67"/>
    </row>
    <row r="108" spans="1:10" x14ac:dyDescent="0.2">
      <c r="I108" s="67"/>
    </row>
    <row r="109" spans="1:10" x14ac:dyDescent="0.2">
      <c r="I109" s="67"/>
    </row>
    <row r="110" spans="1:10" x14ac:dyDescent="0.2">
      <c r="I110" s="67"/>
    </row>
    <row r="111" spans="1:10" x14ac:dyDescent="0.2">
      <c r="I111" s="67"/>
    </row>
    <row r="112" spans="1:10" x14ac:dyDescent="0.2">
      <c r="I112" s="67"/>
    </row>
    <row r="113" spans="1:10" x14ac:dyDescent="0.2">
      <c r="I113" s="67"/>
    </row>
    <row r="114" spans="1:10" x14ac:dyDescent="0.2">
      <c r="A114" s="1"/>
      <c r="B114" s="35"/>
      <c r="C114" s="35"/>
      <c r="D114" s="73"/>
      <c r="E114" s="1"/>
      <c r="F114" s="1"/>
      <c r="G114" s="1"/>
      <c r="H114" s="1"/>
      <c r="I114" s="67"/>
      <c r="J114" s="1"/>
    </row>
    <row r="115" spans="1:10" x14ac:dyDescent="0.2">
      <c r="I115" s="67"/>
    </row>
    <row r="116" spans="1:10" x14ac:dyDescent="0.2">
      <c r="I116" s="67"/>
    </row>
    <row r="117" spans="1:10" ht="13.5" thickBot="1" x14ac:dyDescent="0.25">
      <c r="I117" s="67"/>
    </row>
    <row r="118" spans="1:10" ht="18.75" thickTop="1" x14ac:dyDescent="0.25">
      <c r="G118" s="377"/>
      <c r="H118" s="1185" t="s">
        <v>321</v>
      </c>
      <c r="I118" s="378" t="s">
        <v>110</v>
      </c>
      <c r="J118" s="1240" t="s">
        <v>108</v>
      </c>
    </row>
    <row r="119" spans="1:10" ht="15.75" customHeight="1" x14ac:dyDescent="0.2">
      <c r="G119" s="361" t="s">
        <v>436</v>
      </c>
      <c r="H119" s="1192">
        <f>'Standard Ertragsphase'!B139</f>
        <v>7566.0374999999995</v>
      </c>
      <c r="I119" s="222">
        <f>IF(OR(H119=0,H119=""),0,(J119/H119)-1)</f>
        <v>0</v>
      </c>
      <c r="J119" s="1279">
        <f>'Variante Ertragsphase'!B139</f>
        <v>7566.0374999999995</v>
      </c>
    </row>
    <row r="120" spans="1:10" ht="15.75" customHeight="1" x14ac:dyDescent="0.2">
      <c r="G120" s="361" t="s">
        <v>284</v>
      </c>
      <c r="H120" s="1192">
        <f>'Standard Ertragsphase'!B136</f>
        <v>3924.0000000000005</v>
      </c>
      <c r="I120" s="222">
        <f>IF(OR(H120=0,H120=""),0,(J120/H120)-1)</f>
        <v>0</v>
      </c>
      <c r="J120" s="1279">
        <f>'Variante Ertragsphase'!B136</f>
        <v>3924.0000000000005</v>
      </c>
    </row>
    <row r="121" spans="1:10" ht="15.75" customHeight="1" x14ac:dyDescent="0.2">
      <c r="G121" s="386" t="s">
        <v>285</v>
      </c>
      <c r="H121" s="1192">
        <f>'Standard Ertragsphase'!B138</f>
        <v>3375</v>
      </c>
      <c r="I121" s="222">
        <f>IF(OR(H121=0,H121=""),0,(J121/H121)-1)</f>
        <v>0</v>
      </c>
      <c r="J121" s="1279">
        <f>'Variante Ertragsphase'!B138</f>
        <v>3375</v>
      </c>
    </row>
    <row r="122" spans="1:10" ht="15.75" customHeight="1" thickBot="1" x14ac:dyDescent="0.25">
      <c r="G122" s="387" t="s">
        <v>126</v>
      </c>
      <c r="H122" s="1192">
        <f>H123-H119-H120-H121</f>
        <v>4180.5</v>
      </c>
      <c r="I122" s="223">
        <f>IF(OR(H122=0,H122=""),0,(J122/H122)-1)</f>
        <v>0</v>
      </c>
      <c r="J122" s="1280">
        <f>J123-J119-J120-J121</f>
        <v>4180.5</v>
      </c>
    </row>
    <row r="123" spans="1:10" ht="21.2" customHeight="1" x14ac:dyDescent="0.2">
      <c r="G123" s="388" t="str">
        <f>'Standard Ertragsphase'!A143</f>
        <v>Arbeitskosten</v>
      </c>
      <c r="H123" s="1193">
        <f>'Standard Ertragsphase'!B143</f>
        <v>19045.537499999999</v>
      </c>
      <c r="I123" s="224">
        <f>IF(OR(H123=0,H123=""),0,(J123/H123)-1)</f>
        <v>0</v>
      </c>
      <c r="J123" s="1287">
        <f>'Variante Ertragsphase'!B143</f>
        <v>19045.537499999999</v>
      </c>
    </row>
    <row r="124" spans="1:10" x14ac:dyDescent="0.2">
      <c r="G124" s="360"/>
      <c r="H124" s="1197"/>
      <c r="I124" s="142"/>
      <c r="J124" s="1284"/>
    </row>
    <row r="125" spans="1:10" ht="15.75" customHeight="1" x14ac:dyDescent="0.2">
      <c r="G125" s="361" t="s">
        <v>436</v>
      </c>
      <c r="H125" s="1198">
        <f>H119/H123</f>
        <v>0.39726038186110524</v>
      </c>
      <c r="I125" s="222"/>
      <c r="J125" s="1285">
        <f>J119/J123</f>
        <v>0.39726038186110524</v>
      </c>
    </row>
    <row r="126" spans="1:10" ht="15.75" customHeight="1" x14ac:dyDescent="0.2">
      <c r="G126" s="361" t="s">
        <v>284</v>
      </c>
      <c r="H126" s="1198">
        <f>H120/H123</f>
        <v>0.20603251549083351</v>
      </c>
      <c r="I126" s="222"/>
      <c r="J126" s="1285">
        <f>J120/J123</f>
        <v>0.20603251549083351</v>
      </c>
    </row>
    <row r="127" spans="1:10" ht="15.75" customHeight="1" x14ac:dyDescent="0.2">
      <c r="G127" s="386" t="s">
        <v>285</v>
      </c>
      <c r="H127" s="1198">
        <f>H121/H123</f>
        <v>0.17720686538775818</v>
      </c>
      <c r="I127" s="222"/>
      <c r="J127" s="1285">
        <f>J121/J123</f>
        <v>0.17720686538775818</v>
      </c>
    </row>
    <row r="128" spans="1:10" ht="15.75" customHeight="1" thickBot="1" x14ac:dyDescent="0.25">
      <c r="G128" s="387" t="s">
        <v>126</v>
      </c>
      <c r="H128" s="1199">
        <f>H122/H123</f>
        <v>0.21950023726030313</v>
      </c>
      <c r="I128" s="223"/>
      <c r="J128" s="1286">
        <f>J122/J123</f>
        <v>0.21950023726030313</v>
      </c>
    </row>
    <row r="133" spans="1:11" x14ac:dyDescent="0.2">
      <c r="I133" s="67"/>
    </row>
    <row r="134" spans="1:11" x14ac:dyDescent="0.2">
      <c r="A134" s="1"/>
      <c r="B134" s="35"/>
      <c r="C134" s="35"/>
      <c r="D134" s="73"/>
      <c r="E134" s="1"/>
      <c r="F134" s="1"/>
      <c r="G134" s="1"/>
      <c r="H134" s="1"/>
      <c r="I134" s="67"/>
      <c r="J134" s="1"/>
    </row>
    <row r="135" spans="1:11" x14ac:dyDescent="0.2">
      <c r="A135" s="1"/>
      <c r="B135" s="35"/>
      <c r="C135" s="35"/>
      <c r="D135" s="73"/>
      <c r="E135" s="1"/>
      <c r="F135" s="1"/>
      <c r="G135" s="1"/>
      <c r="H135" s="1"/>
      <c r="I135" s="67"/>
      <c r="J135" s="1"/>
    </row>
    <row r="136" spans="1:11" x14ac:dyDescent="0.2">
      <c r="I136" s="67"/>
    </row>
    <row r="137" spans="1:11" x14ac:dyDescent="0.2">
      <c r="I137" s="67"/>
    </row>
    <row r="138" spans="1:11" x14ac:dyDescent="0.2">
      <c r="I138" s="67"/>
    </row>
    <row r="139" spans="1:11" ht="13.5" thickBot="1" x14ac:dyDescent="0.25">
      <c r="I139" s="67"/>
    </row>
    <row r="140" spans="1:11" ht="18.75" thickTop="1" x14ac:dyDescent="0.25">
      <c r="G140" s="377"/>
      <c r="H140" s="1185" t="s">
        <v>321</v>
      </c>
      <c r="I140" s="378" t="s">
        <v>110</v>
      </c>
      <c r="J140" s="1240" t="s">
        <v>108</v>
      </c>
    </row>
    <row r="141" spans="1:11" ht="15" customHeight="1" x14ac:dyDescent="0.2">
      <c r="G141" s="361" t="str">
        <f>'Standard Ertragsphase'!A147</f>
        <v xml:space="preserve">Abzüge   </v>
      </c>
      <c r="H141" s="1192">
        <f>'Standard Ertragsphase'!B147</f>
        <v>367</v>
      </c>
      <c r="I141" s="222">
        <f>IF(OR(H141=0,H141=""),0,(J141/H141)-1)</f>
        <v>0</v>
      </c>
      <c r="J141" s="1252">
        <f>'Variante Ertragsphase'!B147</f>
        <v>367</v>
      </c>
    </row>
    <row r="142" spans="1:11" ht="15" customHeight="1" x14ac:dyDescent="0.2">
      <c r="G142" s="361" t="str">
        <f>'Standard Ertragsphase'!A148</f>
        <v xml:space="preserve">Abschreibung Obstanlage </v>
      </c>
      <c r="H142" s="1192">
        <f>'Standard Ertragsphase'!B148</f>
        <v>10724.363094940743</v>
      </c>
      <c r="I142" s="222">
        <f>IF(OR(H142=0,H142=""),0,(J142/H142)-1)</f>
        <v>0</v>
      </c>
      <c r="J142" s="1252">
        <f>'Variante Ertragsphase'!B148</f>
        <v>10724.363094940743</v>
      </c>
      <c r="K142" s="14"/>
    </row>
    <row r="143" spans="1:11" ht="15" customHeight="1" x14ac:dyDescent="0.2">
      <c r="G143" s="361" t="str">
        <f>'Standard Ertragsphase'!A149</f>
        <v>Maschinen und Geräte</v>
      </c>
      <c r="H143" s="1192">
        <f>'Standard Ertragsphase'!B149</f>
        <v>5793.2502083333329</v>
      </c>
      <c r="I143" s="222">
        <f>IF(OR(H143=0,H143=""),0,(J143/H143)-1)</f>
        <v>-3.4522934933001181E-6</v>
      </c>
      <c r="J143" s="1252">
        <f>'Variante Ertragsphase'!B149</f>
        <v>5793.2302083333334</v>
      </c>
    </row>
    <row r="144" spans="1:11" ht="15" customHeight="1" thickBot="1" x14ac:dyDescent="0.25">
      <c r="G144" s="379" t="s">
        <v>286</v>
      </c>
      <c r="H144" s="1192">
        <f>'Standard Ertragsphase'!B150</f>
        <v>9071.879957437377</v>
      </c>
      <c r="I144" s="223">
        <f>IF(OR(H144=0,H144=""),0,(J144/H144)-1)</f>
        <v>-4.4408920985006262E-16</v>
      </c>
      <c r="J144" s="1288">
        <f>'Variante Ertragsphase'!B150</f>
        <v>9071.8799574373734</v>
      </c>
    </row>
    <row r="145" spans="1:10" ht="15.75" x14ac:dyDescent="0.2">
      <c r="G145" s="388" t="str">
        <f>'Standard Ertragsphase'!A151</f>
        <v>Sachkosten</v>
      </c>
      <c r="H145" s="1193">
        <f>'Standard Ertragsphase'!B151</f>
        <v>25956.493260711453</v>
      </c>
      <c r="I145" s="222">
        <f>IF(OR(H145=0,H145=""),0,(J145/H145)-1)</f>
        <v>-7.7052010849509855E-7</v>
      </c>
      <c r="J145" s="1252">
        <f>'Variante Ertragsphase'!B151</f>
        <v>25956.473260711449</v>
      </c>
    </row>
    <row r="146" spans="1:10" x14ac:dyDescent="0.2">
      <c r="G146" s="360"/>
      <c r="H146" s="1197"/>
      <c r="I146" s="142"/>
      <c r="J146" s="1284"/>
    </row>
    <row r="147" spans="1:10" ht="13.7" customHeight="1" x14ac:dyDescent="0.2">
      <c r="G147" s="384" t="str">
        <f>'Standard Ertragsphase'!A147</f>
        <v xml:space="preserve">Abzüge   </v>
      </c>
      <c r="H147" s="1198">
        <f>'Standard Ertragsphase'!C147</f>
        <v>1.4139043988484472E-2</v>
      </c>
      <c r="I147" s="222"/>
      <c r="J147" s="1285">
        <f>'Variante Ertragsphase'!C147</f>
        <v>1.4139054882910576E-2</v>
      </c>
    </row>
    <row r="148" spans="1:10" ht="13.7" customHeight="1" x14ac:dyDescent="0.2">
      <c r="G148" s="384" t="str">
        <f>'Standard Ertragsphase'!A148</f>
        <v xml:space="preserve">Abschreibung Obstanlage </v>
      </c>
      <c r="H148" s="1198">
        <f>'Standard Ertragsphase'!C148</f>
        <v>0.4131668707025794</v>
      </c>
      <c r="I148" s="222"/>
      <c r="J148" s="1285">
        <f>'Variante Ertragsphase'!C148</f>
        <v>0.41316718905620675</v>
      </c>
    </row>
    <row r="149" spans="1:10" ht="13.7" customHeight="1" x14ac:dyDescent="0.2">
      <c r="G149" s="384" t="str">
        <f>'Standard Ertragsphase'!A149</f>
        <v>Maschinen und Geräte</v>
      </c>
      <c r="H149" s="1198">
        <f>'Standard Ertragsphase'!C149</f>
        <v>0.22319078891531832</v>
      </c>
      <c r="I149" s="222"/>
      <c r="J149" s="1285">
        <f>'Variante Ertragsphase'!C149</f>
        <v>0.22319019036773968</v>
      </c>
    </row>
    <row r="150" spans="1:10" ht="13.7" customHeight="1" thickBot="1" x14ac:dyDescent="0.25">
      <c r="G150" s="379" t="s">
        <v>286</v>
      </c>
      <c r="H150" s="1199">
        <f>'Standard Ertragsphase'!C150</f>
        <v>0.34950329639361777</v>
      </c>
      <c r="I150" s="223"/>
      <c r="J150" s="1286">
        <f>'Variante Ertragsphase'!C150</f>
        <v>0.349503565693143</v>
      </c>
    </row>
    <row r="151" spans="1:10" ht="13.7" customHeight="1" x14ac:dyDescent="0.2">
      <c r="G151" s="193"/>
      <c r="H151" s="194"/>
      <c r="I151" s="222"/>
      <c r="J151" s="194"/>
    </row>
    <row r="152" spans="1:10" ht="13.7" customHeight="1" x14ac:dyDescent="0.2">
      <c r="G152" s="193"/>
      <c r="H152" s="194"/>
      <c r="I152" s="222"/>
      <c r="J152" s="194"/>
    </row>
    <row r="153" spans="1:10" ht="13.7" customHeight="1" x14ac:dyDescent="0.2">
      <c r="G153" s="193"/>
      <c r="H153" s="194"/>
      <c r="I153" s="222"/>
      <c r="J153" s="194"/>
    </row>
    <row r="154" spans="1:10" ht="13.7" customHeight="1" x14ac:dyDescent="0.2">
      <c r="G154" s="193"/>
      <c r="H154" s="194"/>
      <c r="I154" s="222"/>
      <c r="J154" s="194"/>
    </row>
    <row r="155" spans="1:10" ht="13.7" customHeight="1" x14ac:dyDescent="0.2">
      <c r="G155" s="193"/>
      <c r="H155" s="194"/>
      <c r="I155" s="222"/>
      <c r="J155" s="194"/>
    </row>
    <row r="156" spans="1:10" ht="13.7" customHeight="1" x14ac:dyDescent="0.2">
      <c r="G156" s="193"/>
      <c r="H156" s="194"/>
      <c r="I156" s="222"/>
      <c r="J156" s="194"/>
    </row>
    <row r="157" spans="1:10" x14ac:dyDescent="0.2">
      <c r="I157" s="67"/>
    </row>
    <row r="158" spans="1:10" ht="60" customHeight="1" x14ac:dyDescent="0.2">
      <c r="I158" s="67"/>
    </row>
    <row r="159" spans="1:10" ht="23.25" x14ac:dyDescent="0.35">
      <c r="A159" s="439" t="s">
        <v>186</v>
      </c>
      <c r="B159" s="436"/>
      <c r="C159" s="436"/>
      <c r="D159" s="437"/>
      <c r="E159" s="438"/>
      <c r="F159" s="438"/>
      <c r="G159" s="438"/>
      <c r="H159" s="438"/>
      <c r="I159" s="438"/>
      <c r="J159" s="438"/>
    </row>
    <row r="160" spans="1:10" x14ac:dyDescent="0.2">
      <c r="I160" s="67"/>
    </row>
    <row r="161" spans="7:10" x14ac:dyDescent="0.2">
      <c r="I161" s="67"/>
    </row>
    <row r="162" spans="7:10" ht="13.5" thickBot="1" x14ac:dyDescent="0.25">
      <c r="I162" s="67"/>
    </row>
    <row r="163" spans="7:10" ht="18.75" thickTop="1" x14ac:dyDescent="0.25">
      <c r="G163" s="389"/>
      <c r="H163" s="1185" t="s">
        <v>321</v>
      </c>
      <c r="I163" s="378" t="s">
        <v>110</v>
      </c>
      <c r="J163" s="1240" t="s">
        <v>108</v>
      </c>
    </row>
    <row r="164" spans="7:10" x14ac:dyDescent="0.2">
      <c r="G164" s="390" t="s">
        <v>211</v>
      </c>
      <c r="H164" s="1192">
        <f>'Standard Ertragsphase'!B155</f>
        <v>20013.243052378119</v>
      </c>
      <c r="I164" s="222">
        <f>IF(OR(H164=0,H164=""),0,(J164/H164)-1)</f>
        <v>-2.2204460492503131E-16</v>
      </c>
      <c r="J164" s="1279">
        <f>'Variante Ertragsphase'!B155</f>
        <v>20013.243052378115</v>
      </c>
    </row>
    <row r="165" spans="7:10" ht="13.5" thickBot="1" x14ac:dyDescent="0.25">
      <c r="G165" s="394" t="s">
        <v>35</v>
      </c>
      <c r="H165" s="1192">
        <f>'Standard Ertragsphase'!B156</f>
        <v>27264.818922586928</v>
      </c>
      <c r="I165" s="223">
        <f>IF(OR(H165=0,H165=""),0,(J165/H165)-1)</f>
        <v>-7.3354604168685E-7</v>
      </c>
      <c r="J165" s="1280">
        <f>'Variante Ertragsphase'!B156</f>
        <v>27264.798922586931</v>
      </c>
    </row>
    <row r="166" spans="7:10" ht="15.75" x14ac:dyDescent="0.2">
      <c r="G166" s="360" t="s">
        <v>216</v>
      </c>
      <c r="H166" s="1193">
        <f>'Standard Ertragsphase'!B157</f>
        <v>47278.06197496505</v>
      </c>
      <c r="I166" s="222">
        <f>IF(OR(H166=0,H166=""),0,(J166/H166)-1)</f>
        <v>-4.2302918457082228E-7</v>
      </c>
      <c r="J166" s="1281">
        <f>'Variante Ertragsphase'!B157</f>
        <v>47278.041974965046</v>
      </c>
    </row>
    <row r="167" spans="7:10" x14ac:dyDescent="0.2">
      <c r="G167" s="360"/>
      <c r="H167" s="1197"/>
      <c r="I167" s="142"/>
      <c r="J167" s="1284"/>
    </row>
    <row r="168" spans="7:10" x14ac:dyDescent="0.2">
      <c r="G168" s="391" t="s">
        <v>211</v>
      </c>
      <c r="H168" s="1198">
        <f>'Standard Ertragsphase'!C155</f>
        <v>0.42330929433984932</v>
      </c>
      <c r="I168" s="142"/>
      <c r="J168" s="1285">
        <f>'Variante Ertragsphase'!C155</f>
        <v>0.42330947341211062</v>
      </c>
    </row>
    <row r="169" spans="7:10" ht="13.5" thickBot="1" x14ac:dyDescent="0.25">
      <c r="G169" s="392" t="s">
        <v>35</v>
      </c>
      <c r="H169" s="1199">
        <f>'Standard Ertragsphase'!C156</f>
        <v>0.57669070566015057</v>
      </c>
      <c r="I169" s="393"/>
      <c r="J169" s="1286">
        <f>'Variante Ertragsphase'!C156</f>
        <v>0.57669052658788944</v>
      </c>
    </row>
    <row r="171" spans="7:10" x14ac:dyDescent="0.2">
      <c r="G171" s="55"/>
    </row>
    <row r="187" spans="1:10" ht="23.25" x14ac:dyDescent="0.35">
      <c r="A187" s="439" t="s">
        <v>281</v>
      </c>
      <c r="B187" s="436"/>
      <c r="C187" s="436"/>
      <c r="D187" s="437"/>
      <c r="E187" s="438"/>
      <c r="F187" s="438"/>
      <c r="G187" s="438"/>
      <c r="H187" s="438"/>
      <c r="I187" s="438"/>
      <c r="J187" s="438"/>
    </row>
    <row r="193" spans="1:10" ht="13.5" thickBot="1" x14ac:dyDescent="0.25"/>
    <row r="194" spans="1:10" ht="19.5" customHeight="1" thickTop="1" x14ac:dyDescent="0.25">
      <c r="G194" s="389"/>
      <c r="H194" s="1185" t="s">
        <v>321</v>
      </c>
      <c r="I194" s="378" t="s">
        <v>110</v>
      </c>
      <c r="J194" s="1240" t="s">
        <v>108</v>
      </c>
    </row>
    <row r="195" spans="1:10" ht="39.200000000000003" customHeight="1" x14ac:dyDescent="0.2">
      <c r="G195" s="395" t="str">
        <f>'Standard Ertragsphase'!A182</f>
        <v>Pflanzenschutz (Material, Maschinen, Arbeit&gt;)</v>
      </c>
      <c r="H195" s="1200">
        <f>'Standard Ertragsphase'!B182</f>
        <v>9527.6</v>
      </c>
      <c r="I195" s="190">
        <f>IF(OR(H195=0,H195=""),0,(J195/H195)-1)</f>
        <v>0</v>
      </c>
      <c r="J195" s="1293">
        <f>'Variante Ertragsphase'!B182</f>
        <v>9527.6</v>
      </c>
    </row>
    <row r="196" spans="1:10" s="168" customFormat="1" ht="20.25" customHeight="1" thickBot="1" x14ac:dyDescent="0.25">
      <c r="B196" s="169"/>
      <c r="C196" s="169"/>
      <c r="D196" s="167"/>
      <c r="G196" s="385" t="str">
        <f>'Standard Ertragsphase'!A176</f>
        <v>übrige Produktionskosten</v>
      </c>
      <c r="H196" s="1201">
        <f>'Standard Ertragsphase'!B176</f>
        <v>37750.461974965052</v>
      </c>
      <c r="I196" s="225">
        <f>IF(OR(H196=0,H196=""),0,(J196/H196)-1)</f>
        <v>-5.2979484110871056E-7</v>
      </c>
      <c r="J196" s="1289">
        <f>'Variante Ertragsphase'!B176</f>
        <v>37750.441974965048</v>
      </c>
    </row>
    <row r="197" spans="1:10" ht="28.5" customHeight="1" x14ac:dyDescent="0.2">
      <c r="G197" s="380" t="s">
        <v>292</v>
      </c>
      <c r="H197" s="1202">
        <f>'Standard Ertragsphase'!B157</f>
        <v>47278.06197496505</v>
      </c>
      <c r="I197" s="190">
        <f>IF(OR(H197=0,H197=""),0,(J197/H197)-1)</f>
        <v>-4.2302918457082228E-7</v>
      </c>
      <c r="J197" s="1290">
        <f>'Variante Ertragsphase'!B157</f>
        <v>47278.041974965046</v>
      </c>
    </row>
    <row r="198" spans="1:10" ht="17.45" customHeight="1" x14ac:dyDescent="0.2">
      <c r="G198" s="360"/>
      <c r="H198" s="1197"/>
      <c r="I198" s="142"/>
      <c r="J198" s="1284"/>
    </row>
    <row r="199" spans="1:10" ht="30.75" customHeight="1" x14ac:dyDescent="0.2">
      <c r="G199" s="396" t="str">
        <f>G195</f>
        <v>Pflanzenschutz (Material, Maschinen, Arbeit&gt;)</v>
      </c>
      <c r="H199" s="1144">
        <f>'Standard Ertragsphase'!C175</f>
        <v>0.20152264289185773</v>
      </c>
      <c r="I199" s="190"/>
      <c r="J199" s="1291">
        <f>'Variante Ertragsphase'!C175</f>
        <v>0.2015227281418531</v>
      </c>
    </row>
    <row r="200" spans="1:10" ht="16.5" customHeight="1" thickBot="1" x14ac:dyDescent="0.25">
      <c r="G200" s="397" t="str">
        <f>G196</f>
        <v>übrige Produktionskosten</v>
      </c>
      <c r="H200" s="1203">
        <f>'Standard Ertragsphase'!C176</f>
        <v>0.79847735710814227</v>
      </c>
      <c r="I200" s="225"/>
      <c r="J200" s="1292">
        <f>'Variante Ertragsphase'!C176</f>
        <v>0.79847727185814699</v>
      </c>
    </row>
    <row r="201" spans="1:10" x14ac:dyDescent="0.2">
      <c r="I201" s="67"/>
    </row>
    <row r="202" spans="1:10" x14ac:dyDescent="0.2">
      <c r="I202" s="67"/>
    </row>
    <row r="203" spans="1:10" x14ac:dyDescent="0.2">
      <c r="I203" s="67"/>
    </row>
    <row r="204" spans="1:10" x14ac:dyDescent="0.2">
      <c r="I204" s="67"/>
    </row>
    <row r="205" spans="1:10" x14ac:dyDescent="0.2">
      <c r="I205" s="67"/>
    </row>
    <row r="206" spans="1:10" x14ac:dyDescent="0.2">
      <c r="I206" s="67"/>
    </row>
    <row r="207" spans="1:10" x14ac:dyDescent="0.2">
      <c r="A207" s="1"/>
      <c r="B207" s="35"/>
      <c r="C207" s="35"/>
      <c r="D207" s="73"/>
      <c r="E207" s="1"/>
      <c r="F207" s="1"/>
      <c r="G207" s="1"/>
      <c r="H207" s="1"/>
      <c r="I207" s="67"/>
      <c r="J207" s="1"/>
    </row>
    <row r="208" spans="1:10" x14ac:dyDescent="0.2">
      <c r="A208" s="1"/>
      <c r="B208" s="35"/>
      <c r="C208" s="35"/>
      <c r="D208" s="73"/>
      <c r="E208" s="1"/>
      <c r="F208" s="1"/>
      <c r="G208" s="1"/>
      <c r="H208" s="1"/>
      <c r="I208" s="67"/>
      <c r="J208" s="1"/>
    </row>
    <row r="209" spans="2:10" x14ac:dyDescent="0.2">
      <c r="I209" s="67"/>
    </row>
    <row r="210" spans="2:10" x14ac:dyDescent="0.2">
      <c r="I210" s="67"/>
    </row>
    <row r="211" spans="2:10" ht="13.5" thickBot="1" x14ac:dyDescent="0.25">
      <c r="I211" s="67"/>
    </row>
    <row r="212" spans="2:10" ht="18" x14ac:dyDescent="0.25">
      <c r="G212" s="389"/>
      <c r="H212" s="1204" t="s">
        <v>321</v>
      </c>
      <c r="I212" s="378" t="s">
        <v>110</v>
      </c>
      <c r="J212" s="1294" t="s">
        <v>108</v>
      </c>
    </row>
    <row r="213" spans="2:10" x14ac:dyDescent="0.2">
      <c r="G213" s="360" t="str">
        <f>'Standard Ertragsphase'!A179</f>
        <v>Material</v>
      </c>
      <c r="H213" s="1205">
        <f>'Standard Ertragsphase'!B179</f>
        <v>5582</v>
      </c>
      <c r="I213" s="190">
        <f>IF(OR(H213=0,H213=""),0,(J213/H213)-1)</f>
        <v>0</v>
      </c>
      <c r="J213" s="1295">
        <f>'Variante Ertragsphase'!B179</f>
        <v>5582</v>
      </c>
    </row>
    <row r="214" spans="2:10" x14ac:dyDescent="0.2">
      <c r="G214" s="360" t="str">
        <f>'Standard Ertragsphase'!A180</f>
        <v>Maschinen</v>
      </c>
      <c r="H214" s="1205">
        <f>'Standard Ertragsphase'!B180</f>
        <v>2376</v>
      </c>
      <c r="I214" s="190">
        <f>IF(OR(H214=0,H214=""),0,(J214/H214)-1)</f>
        <v>0</v>
      </c>
      <c r="J214" s="1295">
        <f>'Variante Ertragsphase'!B180</f>
        <v>2376</v>
      </c>
    </row>
    <row r="215" spans="2:10" ht="13.5" thickBot="1" x14ac:dyDescent="0.25">
      <c r="G215" s="387" t="str">
        <f>'Standard Ertragsphase'!A181</f>
        <v>Arbeit</v>
      </c>
      <c r="H215" s="1205">
        <f>'Standard Ertragsphase'!B181</f>
        <v>1569.6000000000001</v>
      </c>
      <c r="I215" s="225">
        <f>IF(OR(H215=0,H215=""),0,(J215/H215)-1)</f>
        <v>0</v>
      </c>
      <c r="J215" s="1296">
        <f>'Variante Ertragsphase'!B181</f>
        <v>1569.6000000000001</v>
      </c>
    </row>
    <row r="216" spans="2:10" ht="30" x14ac:dyDescent="0.2">
      <c r="G216" s="400" t="str">
        <f>'Standard Ertragsphase'!A182</f>
        <v>Pflanzenschutz (Material, Maschinen, Arbeit&gt;)</v>
      </c>
      <c r="H216" s="1206">
        <f>'Standard Ertragsphase'!B182</f>
        <v>9527.6</v>
      </c>
      <c r="I216" s="190">
        <f>IF(OR(H216=0,H216=""),0,(J216/H216)-1)</f>
        <v>0</v>
      </c>
      <c r="J216" s="1295">
        <f>'Variante Ertragsphase'!B182</f>
        <v>9527.6</v>
      </c>
    </row>
    <row r="217" spans="2:10" ht="24" customHeight="1" x14ac:dyDescent="0.2">
      <c r="G217" s="360"/>
      <c r="H217" s="1207"/>
      <c r="I217" s="142"/>
      <c r="J217" s="1297"/>
    </row>
    <row r="218" spans="2:10" x14ac:dyDescent="0.2">
      <c r="G218" s="396" t="str">
        <f>'Standard Ertragsphase'!A179</f>
        <v>Material</v>
      </c>
      <c r="H218" s="1208">
        <f>'Standard Ertragsphase'!C179</f>
        <v>0.58587682102523198</v>
      </c>
      <c r="I218" s="190"/>
      <c r="J218" s="1298">
        <f>'Variante Ertragsphase'!C179</f>
        <v>0.58587682102523198</v>
      </c>
    </row>
    <row r="219" spans="2:10" x14ac:dyDescent="0.2">
      <c r="G219" s="396" t="str">
        <f>'Standard Ertragsphase'!A180</f>
        <v>Maschinen</v>
      </c>
      <c r="H219" s="1208">
        <f>'Standard Ertragsphase'!C180</f>
        <v>0.24938074646290775</v>
      </c>
      <c r="I219" s="195"/>
      <c r="J219" s="1298">
        <f>'Variante Ertragsphase'!C180</f>
        <v>0.24938074646290775</v>
      </c>
    </row>
    <row r="220" spans="2:10" ht="13.5" thickBot="1" x14ac:dyDescent="0.25">
      <c r="G220" s="397" t="str">
        <f>'Standard Ertragsphase'!A181</f>
        <v>Arbeit</v>
      </c>
      <c r="H220" s="1209">
        <f>'Standard Ertragsphase'!C181</f>
        <v>0.1647424325118603</v>
      </c>
      <c r="I220" s="401"/>
      <c r="J220" s="1299">
        <f>'Variante Ertragsphase'!C181</f>
        <v>0.1647424325118603</v>
      </c>
    </row>
    <row r="221" spans="2:10" x14ac:dyDescent="0.2">
      <c r="B221" s="113"/>
      <c r="H221" s="1207"/>
      <c r="J221" s="1297"/>
    </row>
    <row r="222" spans="2:10" x14ac:dyDescent="0.2">
      <c r="B222" s="113"/>
      <c r="H222" s="1207"/>
      <c r="J222" s="1297"/>
    </row>
    <row r="223" spans="2:10" x14ac:dyDescent="0.2">
      <c r="B223" s="113"/>
      <c r="G223" s="230" t="s">
        <v>295</v>
      </c>
      <c r="H223" s="1210"/>
      <c r="I223" s="197"/>
      <c r="J223" s="1300"/>
    </row>
    <row r="224" spans="2:10" x14ac:dyDescent="0.2">
      <c r="B224" s="113"/>
      <c r="G224" s="398" t="s">
        <v>618</v>
      </c>
      <c r="H224" s="1211">
        <f>'Standard Ertragsphase'!C50</f>
        <v>22</v>
      </c>
      <c r="I224" s="13"/>
      <c r="J224" s="1301">
        <f>'Variante Ertragsphase'!C50</f>
        <v>22</v>
      </c>
    </row>
    <row r="225" spans="1:10" ht="31.7" customHeight="1" x14ac:dyDescent="0.2">
      <c r="B225" s="113"/>
      <c r="G225" s="398" t="s">
        <v>619</v>
      </c>
      <c r="H225" s="1211">
        <f>'Standard Ertragsphase'!C51</f>
        <v>6</v>
      </c>
      <c r="I225" s="13"/>
      <c r="J225" s="1301">
        <f>'Variante Ertragsphase'!C51</f>
        <v>6</v>
      </c>
    </row>
    <row r="226" spans="1:10" x14ac:dyDescent="0.2">
      <c r="B226" s="113"/>
      <c r="G226" s="221"/>
      <c r="H226" s="1207"/>
      <c r="I226" s="13"/>
      <c r="J226" s="1297"/>
    </row>
    <row r="227" spans="1:10" ht="15" customHeight="1" x14ac:dyDescent="0.2">
      <c r="B227" s="113"/>
      <c r="G227" s="313"/>
      <c r="H227" s="1207"/>
      <c r="I227" s="13"/>
      <c r="J227" s="1297"/>
    </row>
    <row r="228" spans="1:10" ht="15.75" customHeight="1" x14ac:dyDescent="0.2">
      <c r="B228" s="113"/>
      <c r="G228" s="398"/>
      <c r="H228" s="1212"/>
      <c r="I228" s="13"/>
      <c r="J228" s="1302"/>
    </row>
    <row r="229" spans="1:10" x14ac:dyDescent="0.2">
      <c r="B229" s="113"/>
      <c r="G229" s="398"/>
      <c r="H229" s="1212"/>
      <c r="I229" s="13"/>
      <c r="J229" s="1303"/>
    </row>
    <row r="230" spans="1:10" x14ac:dyDescent="0.2">
      <c r="B230" s="113"/>
      <c r="G230" s="398"/>
      <c r="H230" s="1212"/>
      <c r="I230" s="13"/>
      <c r="J230" s="1303"/>
    </row>
    <row r="231" spans="1:10" x14ac:dyDescent="0.2">
      <c r="B231" s="113"/>
      <c r="G231" s="398"/>
      <c r="H231" s="1212"/>
      <c r="I231" s="13"/>
      <c r="J231" s="1303"/>
    </row>
    <row r="232" spans="1:10" x14ac:dyDescent="0.2">
      <c r="B232" s="113"/>
      <c r="G232" s="398"/>
      <c r="H232" s="1336"/>
      <c r="I232" s="13"/>
      <c r="J232" s="1304"/>
    </row>
    <row r="233" spans="1:10" x14ac:dyDescent="0.2">
      <c r="B233" s="113"/>
      <c r="G233" s="221"/>
      <c r="H233" s="1213"/>
      <c r="I233" s="13"/>
      <c r="J233" s="1305"/>
    </row>
    <row r="234" spans="1:10" ht="13.5" thickBot="1" x14ac:dyDescent="0.25">
      <c r="B234" s="113"/>
      <c r="G234" s="399"/>
      <c r="H234" s="1214"/>
      <c r="I234" s="32"/>
      <c r="J234" s="1306"/>
    </row>
    <row r="235" spans="1:10" x14ac:dyDescent="0.2">
      <c r="B235" s="113"/>
    </row>
    <row r="236" spans="1:10" ht="17.45" customHeight="1" x14ac:dyDescent="0.2">
      <c r="B236" s="113"/>
    </row>
    <row r="237" spans="1:10" ht="23.25" x14ac:dyDescent="0.35">
      <c r="A237" s="1405" t="s">
        <v>280</v>
      </c>
      <c r="B237" s="1405"/>
      <c r="C237" s="1405"/>
      <c r="D237" s="1405"/>
      <c r="E237" s="1405"/>
      <c r="F237" s="1405"/>
      <c r="G237" s="1405"/>
      <c r="H237" s="1405"/>
      <c r="I237" s="1405"/>
      <c r="J237" s="1405"/>
    </row>
    <row r="238" spans="1:10" x14ac:dyDescent="0.2">
      <c r="B238" s="113"/>
    </row>
    <row r="239" spans="1:10" x14ac:dyDescent="0.2">
      <c r="B239" s="113"/>
      <c r="I239" s="67"/>
    </row>
    <row r="240" spans="1:10" x14ac:dyDescent="0.2">
      <c r="B240" s="113"/>
      <c r="I240" s="67"/>
    </row>
    <row r="241" spans="2:10" ht="13.5" thickBot="1" x14ac:dyDescent="0.25">
      <c r="B241" s="113"/>
      <c r="I241" s="67"/>
    </row>
    <row r="242" spans="2:10" ht="18.75" customHeight="1" thickBot="1" x14ac:dyDescent="0.3">
      <c r="B242" s="113"/>
      <c r="G242" s="389"/>
      <c r="H242" s="1215" t="s">
        <v>321</v>
      </c>
      <c r="I242" s="378" t="s">
        <v>110</v>
      </c>
      <c r="J242" s="1294" t="s">
        <v>108</v>
      </c>
    </row>
    <row r="243" spans="2:10" ht="17.45" customHeight="1" x14ac:dyDescent="0.2">
      <c r="B243" s="113"/>
      <c r="G243" s="391" t="str">
        <f>'Standard Ertragsphase'!A195</f>
        <v>Total Ernte</v>
      </c>
      <c r="H243" s="1205">
        <f>'Standard Ertragsphase'!B195</f>
        <v>9687.5374999999985</v>
      </c>
      <c r="I243" s="226">
        <f>IF(OR(H243=0,H243=""),0,(J243/H243)-1)</f>
        <v>0</v>
      </c>
      <c r="J243" s="1295">
        <f>'Variante Ertragsphase'!B195</f>
        <v>9687.5374999999985</v>
      </c>
    </row>
    <row r="244" spans="2:10" s="168" customFormat="1" ht="18" customHeight="1" thickBot="1" x14ac:dyDescent="0.25">
      <c r="B244" s="196"/>
      <c r="C244" s="169"/>
      <c r="D244" s="167"/>
      <c r="G244" s="402" t="str">
        <f>'Standard Ertragsphase'!A196</f>
        <v>übrige Produktionskosten</v>
      </c>
      <c r="H244" s="1216">
        <f>'Standard Ertragsphase'!B196</f>
        <v>37590.524474965052</v>
      </c>
      <c r="I244" s="225">
        <f>IF(OR(H244=0,H244=""),0,(J244/H244)-1)</f>
        <v>-5.3204897465519707E-7</v>
      </c>
      <c r="J244" s="1296">
        <f>'Variante Ertragsphase'!B196</f>
        <v>37590.504474965048</v>
      </c>
    </row>
    <row r="245" spans="2:10" ht="31.7" customHeight="1" x14ac:dyDescent="0.2">
      <c r="B245" s="113"/>
      <c r="G245" s="380" t="s">
        <v>292</v>
      </c>
      <c r="H245" s="1217">
        <f>SUM(H243:H244)</f>
        <v>47278.06197496505</v>
      </c>
      <c r="I245" s="190">
        <f>IF(OR(H245=0,H245=""),0,(J245/H245)-1)</f>
        <v>-4.2302918457082228E-7</v>
      </c>
      <c r="J245" s="1295">
        <f>SUM(J243:J244)</f>
        <v>47278.041974965046</v>
      </c>
    </row>
    <row r="246" spans="2:10" x14ac:dyDescent="0.2">
      <c r="B246" s="113"/>
      <c r="G246" s="360"/>
      <c r="H246" s="1207"/>
      <c r="I246" s="142"/>
      <c r="J246" s="1297"/>
    </row>
    <row r="247" spans="2:10" ht="15" customHeight="1" x14ac:dyDescent="0.2">
      <c r="B247" s="113"/>
      <c r="G247" s="396"/>
      <c r="H247" s="1208"/>
      <c r="I247" s="190"/>
      <c r="J247" s="1298"/>
    </row>
    <row r="248" spans="2:10" ht="17.45" customHeight="1" x14ac:dyDescent="0.2">
      <c r="B248" s="113"/>
      <c r="G248" s="396" t="str">
        <f>G243</f>
        <v>Total Ernte</v>
      </c>
      <c r="H248" s="1208">
        <f>'Standard Ertragsphase'!C195</f>
        <v>0.20490555440131616</v>
      </c>
      <c r="I248" s="190"/>
      <c r="J248" s="1298">
        <f>'Variante Ertragsphase'!C195</f>
        <v>0.20490564108238243</v>
      </c>
    </row>
    <row r="249" spans="2:10" ht="17.45" customHeight="1" thickBot="1" x14ac:dyDescent="0.25">
      <c r="B249" s="113"/>
      <c r="G249" s="397" t="str">
        <f>G244</f>
        <v>übrige Produktionskosten</v>
      </c>
      <c r="H249" s="1218">
        <f>'Standard Ertragsphase'!C196</f>
        <v>0.79509444559868381</v>
      </c>
      <c r="I249" s="225"/>
      <c r="J249" s="1307">
        <f>'Variante Ertragsphase'!C196</f>
        <v>0.79509435891761759</v>
      </c>
    </row>
    <row r="250" spans="2:10" ht="26.45" customHeight="1" x14ac:dyDescent="0.2">
      <c r="B250" s="113"/>
      <c r="I250" s="67"/>
    </row>
    <row r="251" spans="2:10" x14ac:dyDescent="0.2">
      <c r="B251" s="113"/>
      <c r="I251" s="67"/>
    </row>
    <row r="252" spans="2:10" x14ac:dyDescent="0.2">
      <c r="B252" s="113"/>
      <c r="I252" s="67"/>
    </row>
    <row r="253" spans="2:10" x14ac:dyDescent="0.2">
      <c r="B253" s="113"/>
      <c r="I253" s="67"/>
    </row>
    <row r="254" spans="2:10" x14ac:dyDescent="0.2">
      <c r="B254" s="113"/>
      <c r="I254" s="67"/>
    </row>
    <row r="255" spans="2:10" x14ac:dyDescent="0.2">
      <c r="B255" s="113"/>
      <c r="I255" s="67"/>
    </row>
    <row r="256" spans="2:10" x14ac:dyDescent="0.2">
      <c r="B256" s="113"/>
      <c r="I256" s="67"/>
    </row>
    <row r="257" spans="2:10" x14ac:dyDescent="0.2">
      <c r="B257" s="113"/>
      <c r="I257" s="67"/>
    </row>
    <row r="258" spans="2:10" x14ac:dyDescent="0.2">
      <c r="B258" s="113"/>
      <c r="I258" s="67"/>
    </row>
    <row r="259" spans="2:10" x14ac:dyDescent="0.2">
      <c r="B259" s="113"/>
      <c r="I259" s="67"/>
    </row>
    <row r="260" spans="2:10" x14ac:dyDescent="0.2">
      <c r="B260" s="113"/>
      <c r="I260" s="67"/>
    </row>
    <row r="261" spans="2:10" x14ac:dyDescent="0.2">
      <c r="B261" s="113"/>
      <c r="I261" s="67"/>
    </row>
    <row r="262" spans="2:10" x14ac:dyDescent="0.2">
      <c r="B262" s="113"/>
      <c r="I262" s="67"/>
    </row>
    <row r="263" spans="2:10" x14ac:dyDescent="0.2">
      <c r="B263" s="113"/>
      <c r="I263" s="67"/>
    </row>
    <row r="264" spans="2:10" ht="13.5" thickBot="1" x14ac:dyDescent="0.25">
      <c r="B264" s="113"/>
      <c r="I264" s="67"/>
    </row>
    <row r="265" spans="2:10" ht="18.75" thickBot="1" x14ac:dyDescent="0.3">
      <c r="B265" s="113"/>
      <c r="G265" s="389"/>
      <c r="H265" s="1215" t="s">
        <v>321</v>
      </c>
      <c r="I265" s="378" t="s">
        <v>110</v>
      </c>
      <c r="J265" s="1294" t="s">
        <v>108</v>
      </c>
    </row>
    <row r="266" spans="2:10" x14ac:dyDescent="0.2">
      <c r="B266" s="113"/>
      <c r="G266" s="390" t="str">
        <f>'Standard Ertragsphase'!A199</f>
        <v>Maschinen</v>
      </c>
      <c r="H266" s="1205">
        <f>'Standard Ertragsphase'!B199</f>
        <v>465.49999999999994</v>
      </c>
      <c r="I266" s="190">
        <f>IF(OR(H266=0,H266=""),0,(J266/H266)-1)</f>
        <v>0</v>
      </c>
      <c r="J266" s="1295">
        <f>'Variante Ertragsphase'!B199</f>
        <v>465.49999999999994</v>
      </c>
    </row>
    <row r="267" spans="2:10" ht="13.5" thickBot="1" x14ac:dyDescent="0.25">
      <c r="B267" s="113"/>
      <c r="G267" s="403" t="str">
        <f>'Standard Ertragsphase'!A200</f>
        <v>Arbeit</v>
      </c>
      <c r="H267" s="1216">
        <f>'Standard Ertragsphase'!B200</f>
        <v>9222.0374999999985</v>
      </c>
      <c r="I267" s="225">
        <f>IF(OR(H267=0,H267=""),0,(J267/H267)-1)</f>
        <v>0</v>
      </c>
      <c r="J267" s="1296">
        <f>'Variante Ertragsphase'!B200</f>
        <v>9222.0374999999985</v>
      </c>
    </row>
    <row r="268" spans="2:10" ht="15.75" x14ac:dyDescent="0.25">
      <c r="B268" s="113"/>
      <c r="G268" s="404" t="str">
        <f>'Standard Ertragsphase'!A201</f>
        <v>Total Ernte</v>
      </c>
      <c r="H268" s="1219">
        <f>'Standard Ertragsphase'!B201</f>
        <v>9687.5374999999985</v>
      </c>
      <c r="I268" s="190">
        <f>IF(OR(H268=0,H268=""),0,(J268/H268)-1)</f>
        <v>0</v>
      </c>
      <c r="J268" s="1308">
        <f>'Variante Ertragsphase'!B201</f>
        <v>9687.5374999999985</v>
      </c>
    </row>
    <row r="269" spans="2:10" x14ac:dyDescent="0.2">
      <c r="B269" s="113"/>
      <c r="G269" s="360"/>
      <c r="H269" s="1207"/>
      <c r="I269" s="190"/>
      <c r="J269" s="1297"/>
    </row>
    <row r="270" spans="2:10" x14ac:dyDescent="0.2">
      <c r="B270" s="113"/>
      <c r="G270" s="360"/>
      <c r="H270" s="1207"/>
      <c r="I270" s="190"/>
      <c r="J270" s="1297"/>
    </row>
    <row r="271" spans="2:10" x14ac:dyDescent="0.2">
      <c r="B271" s="113"/>
      <c r="G271" s="360" t="str">
        <f>'Standard Ertragsphase'!A199</f>
        <v>Maschinen</v>
      </c>
      <c r="H271" s="1220">
        <f>'Standard Ertragsphase'!C199</f>
        <v>4.805142689770233E-2</v>
      </c>
      <c r="I271" s="195"/>
      <c r="J271" s="1309">
        <f>'Variante Ertragsphase'!C199</f>
        <v>4.805142689770233E-2</v>
      </c>
    </row>
    <row r="272" spans="2:10" ht="18" customHeight="1" thickBot="1" x14ac:dyDescent="0.25">
      <c r="B272" s="113"/>
      <c r="G272" s="387" t="str">
        <f>'Standard Ertragsphase'!A200</f>
        <v>Arbeit</v>
      </c>
      <c r="H272" s="1221">
        <f>'Standard Ertragsphase'!C200</f>
        <v>0.95194857310229763</v>
      </c>
      <c r="I272" s="401"/>
      <c r="J272" s="1310">
        <f>'Variante Ertragsphase'!C200</f>
        <v>0.95194857310229763</v>
      </c>
    </row>
    <row r="273" spans="2:2" ht="15.75" customHeight="1" x14ac:dyDescent="0.2">
      <c r="B273" s="113"/>
    </row>
    <row r="274" spans="2:2" ht="15.75" customHeight="1" x14ac:dyDescent="0.2">
      <c r="B274" s="113"/>
    </row>
    <row r="275" spans="2:2" ht="19.5" customHeight="1" x14ac:dyDescent="0.2">
      <c r="B275" s="113"/>
    </row>
    <row r="276" spans="2:2" x14ac:dyDescent="0.2">
      <c r="B276" s="113"/>
    </row>
    <row r="277" spans="2:2" x14ac:dyDescent="0.2">
      <c r="B277" s="113"/>
    </row>
    <row r="278" spans="2:2" ht="15.75" customHeight="1" x14ac:dyDescent="0.2">
      <c r="B278" s="113"/>
    </row>
    <row r="279" spans="2:2" ht="15.75" customHeight="1" x14ac:dyDescent="0.2">
      <c r="B279" s="113"/>
    </row>
    <row r="280" spans="2:2" x14ac:dyDescent="0.2">
      <c r="B280" s="113"/>
    </row>
    <row r="281" spans="2:2" x14ac:dyDescent="0.2">
      <c r="B281" s="113"/>
    </row>
    <row r="282" spans="2:2" x14ac:dyDescent="0.2">
      <c r="B282" s="113"/>
    </row>
    <row r="283" spans="2:2" x14ac:dyDescent="0.2">
      <c r="B283" s="113"/>
    </row>
    <row r="284" spans="2:2" x14ac:dyDescent="0.2">
      <c r="B284" s="113"/>
    </row>
    <row r="285" spans="2:2" x14ac:dyDescent="0.2">
      <c r="B285" s="113"/>
    </row>
    <row r="286" spans="2:2" x14ac:dyDescent="0.2">
      <c r="B286" s="113"/>
    </row>
    <row r="287" spans="2:2" x14ac:dyDescent="0.2">
      <c r="B287" s="113"/>
    </row>
    <row r="288" spans="2:2" x14ac:dyDescent="0.2">
      <c r="B288" s="113"/>
    </row>
    <row r="289" spans="1:10" x14ac:dyDescent="0.2">
      <c r="B289" s="113"/>
    </row>
    <row r="290" spans="1:10" x14ac:dyDescent="0.2">
      <c r="B290" s="113"/>
    </row>
    <row r="291" spans="1:10" x14ac:dyDescent="0.2">
      <c r="B291" s="113"/>
    </row>
    <row r="292" spans="1:10" ht="23.25" x14ac:dyDescent="0.35">
      <c r="A292" s="439" t="s">
        <v>271</v>
      </c>
      <c r="B292" s="438"/>
      <c r="C292" s="438"/>
      <c r="D292" s="438"/>
      <c r="E292" s="438"/>
      <c r="F292" s="442"/>
      <c r="G292" s="438"/>
      <c r="H292" s="438"/>
      <c r="I292" s="438"/>
      <c r="J292" s="436"/>
    </row>
  </sheetData>
  <protectedRanges>
    <protectedRange sqref="D31:D40 D7:D29" name="Bereich1"/>
  </protectedRanges>
  <dataConsolidate/>
  <mergeCells count="15">
    <mergeCell ref="A82:J82"/>
    <mergeCell ref="B1:H1"/>
    <mergeCell ref="A237:J237"/>
    <mergeCell ref="A64:D64"/>
    <mergeCell ref="A2:G2"/>
    <mergeCell ref="A43:D43"/>
    <mergeCell ref="G43:J43"/>
    <mergeCell ref="F10:G10"/>
    <mergeCell ref="F9:G9"/>
    <mergeCell ref="F8:G8"/>
    <mergeCell ref="F7:G7"/>
    <mergeCell ref="G64:J64"/>
    <mergeCell ref="C5:D5"/>
    <mergeCell ref="A4:G4"/>
    <mergeCell ref="A3:K3"/>
  </mergeCells>
  <phoneticPr fontId="23" type="noConversion"/>
  <pageMargins left="0.39370078740157483" right="0.39370078740157483" top="0.59055118110236227" bottom="0.78740157480314965" header="0.51181102362204722" footer="0.51181102362204722"/>
  <pageSetup paperSize="9" scale="60" orientation="landscape" r:id="rId1"/>
  <headerFooter alignWithMargins="0">
    <oddFooter>&amp;LArbokost 2008&amp;RAgroscope Changins - Wädenswil ACW</oddFooter>
  </headerFooter>
  <rowBreaks count="9" manualBreakCount="9">
    <brk id="36" max="9" man="1"/>
    <brk id="61" max="9" man="1"/>
    <brk id="81" max="9" man="1"/>
    <brk id="114" max="9" man="1"/>
    <brk id="158" max="9" man="1"/>
    <brk id="207" max="9" man="1"/>
    <brk id="261" max="9" man="1"/>
    <brk id="291" max="9" man="1"/>
    <brk id="347" max="16383" man="1"/>
  </rowBreaks>
  <colBreaks count="1" manualBreakCount="1">
    <brk id="11" max="1048575"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tandardVorgaben">
    <tabColor indexed="10"/>
  </sheetPr>
  <dimension ref="A1:O242"/>
  <sheetViews>
    <sheetView topLeftCell="A115" zoomScale="90" zoomScaleNormal="90" workbookViewId="0">
      <selection activeCell="G143" sqref="G143"/>
    </sheetView>
  </sheetViews>
  <sheetFormatPr baseColWidth="10" defaultRowHeight="12.75" x14ac:dyDescent="0.2"/>
  <cols>
    <col min="1" max="1" width="32" customWidth="1"/>
    <col min="2" max="2" width="31.85546875" customWidth="1"/>
    <col min="3" max="3" width="17" style="91" customWidth="1"/>
    <col min="4" max="4" width="23.85546875" style="10" customWidth="1"/>
    <col min="5" max="5" width="21.42578125" style="10" customWidth="1"/>
    <col min="6" max="6" width="22" style="10" customWidth="1"/>
    <col min="7" max="7" width="24.85546875" customWidth="1"/>
    <col min="8" max="8" width="94" bestFit="1" customWidth="1"/>
    <col min="9" max="9" width="23.28515625" customWidth="1"/>
    <col min="10" max="10" width="18.42578125" customWidth="1"/>
    <col min="11" max="11" width="18.5703125" customWidth="1"/>
    <col min="12" max="12" width="20.85546875" customWidth="1"/>
    <col min="13" max="256" width="9.140625" customWidth="1"/>
  </cols>
  <sheetData>
    <row r="1" spans="1:8" ht="44.25" customHeight="1" x14ac:dyDescent="0.4">
      <c r="A1" s="1135" t="str">
        <f>Eingabeseite!A1</f>
        <v>Arbokost 2023</v>
      </c>
      <c r="B1" s="879"/>
      <c r="C1" s="686"/>
      <c r="D1" s="687"/>
      <c r="E1" s="688"/>
      <c r="F1" s="689"/>
      <c r="G1" s="690"/>
      <c r="H1" s="685"/>
    </row>
    <row r="2" spans="1:8" ht="27" customHeight="1" x14ac:dyDescent="0.35">
      <c r="A2" s="880" t="s">
        <v>468</v>
      </c>
      <c r="B2" s="730"/>
      <c r="C2" s="686"/>
      <c r="D2" s="687"/>
      <c r="E2" s="688"/>
      <c r="F2" s="689"/>
      <c r="G2" s="690"/>
      <c r="H2" s="685"/>
    </row>
    <row r="3" spans="1:8" s="1" customFormat="1" ht="48.6" customHeight="1" x14ac:dyDescent="0.2">
      <c r="A3" s="731" t="s">
        <v>151</v>
      </c>
      <c r="B3" s="1419" t="s">
        <v>603</v>
      </c>
      <c r="C3" s="1419"/>
      <c r="D3" s="1419"/>
      <c r="E3" s="1419"/>
      <c r="F3" s="1419"/>
      <c r="G3" s="1419"/>
      <c r="H3" s="1419"/>
    </row>
    <row r="4" spans="1:8" s="1" customFormat="1" ht="38.25" customHeight="1" x14ac:dyDescent="0.2">
      <c r="A4" s="1448" t="s">
        <v>627</v>
      </c>
      <c r="B4" s="1448"/>
      <c r="C4" s="1448"/>
      <c r="D4" s="1448"/>
      <c r="E4" s="1448"/>
      <c r="F4" s="1448"/>
      <c r="G4" s="1448"/>
      <c r="H4" s="1448"/>
    </row>
    <row r="5" spans="1:8" s="1" customFormat="1" ht="13.5" customHeight="1" x14ac:dyDescent="0.2">
      <c r="A5" s="142"/>
      <c r="C5" s="93"/>
      <c r="D5" s="35"/>
      <c r="E5" s="35"/>
      <c r="F5" s="35"/>
      <c r="H5" s="443" t="s">
        <v>450</v>
      </c>
    </row>
    <row r="6" spans="1:8" ht="26.25" x14ac:dyDescent="0.4">
      <c r="A6" s="1418" t="s">
        <v>116</v>
      </c>
      <c r="B6" s="1418"/>
      <c r="C6" s="1418"/>
      <c r="D6" s="1418"/>
      <c r="E6" s="1418"/>
      <c r="F6" s="1418"/>
      <c r="G6" s="1418"/>
      <c r="H6" s="1418"/>
    </row>
    <row r="7" spans="1:8" s="1" customFormat="1" ht="15.75" x14ac:dyDescent="0.25">
      <c r="A7" s="2" t="s">
        <v>118</v>
      </c>
      <c r="B7" s="444" t="s">
        <v>272</v>
      </c>
      <c r="C7" s="638"/>
      <c r="D7" s="19"/>
      <c r="E7" s="19"/>
      <c r="F7" s="19"/>
      <c r="G7" s="19"/>
    </row>
    <row r="8" spans="1:8" s="1" customFormat="1" ht="15.75" x14ac:dyDescent="0.25">
      <c r="A8" s="2" t="s">
        <v>156</v>
      </c>
      <c r="B8" s="444" t="s">
        <v>634</v>
      </c>
      <c r="C8" s="445"/>
      <c r="D8" s="19"/>
      <c r="E8" s="19"/>
      <c r="F8" s="19"/>
      <c r="G8" s="19"/>
    </row>
    <row r="9" spans="1:8" s="1" customFormat="1" ht="15.75" x14ac:dyDescent="0.25">
      <c r="A9" s="2" t="s">
        <v>119</v>
      </c>
      <c r="B9" s="444" t="s">
        <v>451</v>
      </c>
      <c r="C9" s="448"/>
      <c r="D9" s="19"/>
      <c r="E9" s="19"/>
      <c r="F9" s="19"/>
      <c r="G9" s="19"/>
    </row>
    <row r="10" spans="1:8" s="1" customFormat="1" ht="19.5" customHeight="1" x14ac:dyDescent="0.25">
      <c r="A10" s="2" t="s">
        <v>7</v>
      </c>
      <c r="B10" s="228">
        <f>B24</f>
        <v>3000</v>
      </c>
      <c r="C10" s="19"/>
      <c r="D10" s="126"/>
      <c r="E10" s="42"/>
    </row>
    <row r="11" spans="1:8" s="1" customFormat="1" ht="20.25" customHeight="1" x14ac:dyDescent="0.25">
      <c r="A11" s="2" t="s">
        <v>120</v>
      </c>
      <c r="B11" s="444" t="s">
        <v>3</v>
      </c>
      <c r="C11" s="445"/>
      <c r="D11" s="445"/>
      <c r="E11" s="445"/>
      <c r="F11" s="445"/>
    </row>
    <row r="12" spans="1:8" s="1" customFormat="1" ht="20.25" customHeight="1" x14ac:dyDescent="0.25">
      <c r="A12" s="2" t="s">
        <v>200</v>
      </c>
      <c r="B12" s="1449" t="s">
        <v>644</v>
      </c>
      <c r="C12" s="1427"/>
      <c r="D12" s="1427"/>
      <c r="E12" s="1427"/>
      <c r="F12" s="1427"/>
      <c r="G12" s="883"/>
    </row>
    <row r="13" spans="1:8" ht="15.75" x14ac:dyDescent="0.25">
      <c r="A13" s="2" t="s">
        <v>174</v>
      </c>
      <c r="B13" s="1364" t="s">
        <v>645</v>
      </c>
      <c r="C13" s="446"/>
      <c r="D13" s="447"/>
      <c r="E13" s="448"/>
      <c r="F13" s="449"/>
      <c r="G13" s="19"/>
    </row>
    <row r="14" spans="1:8" ht="15.75" x14ac:dyDescent="0.25">
      <c r="A14" s="2" t="s">
        <v>165</v>
      </c>
      <c r="B14" s="1450" t="s">
        <v>335</v>
      </c>
      <c r="C14" s="1450"/>
      <c r="D14" s="1450"/>
      <c r="E14" s="450"/>
      <c r="F14" s="451"/>
      <c r="G14" s="1"/>
    </row>
    <row r="15" spans="1:8" x14ac:dyDescent="0.2">
      <c r="B15" s="1"/>
      <c r="C15" s="19"/>
      <c r="D15" s="40"/>
      <c r="E15" s="19"/>
      <c r="F15" s="129"/>
      <c r="G15" s="19"/>
    </row>
    <row r="16" spans="1:8" s="1" customFormat="1" ht="18.75" thickBot="1" x14ac:dyDescent="0.3">
      <c r="A16" s="602" t="s">
        <v>121</v>
      </c>
      <c r="B16" s="603"/>
      <c r="C16" s="603"/>
      <c r="D16" s="603"/>
      <c r="E16" s="614"/>
      <c r="F16" s="614"/>
      <c r="G16" s="614"/>
      <c r="H16" s="614"/>
    </row>
    <row r="17" spans="1:6" s="1" customFormat="1" x14ac:dyDescent="0.2">
      <c r="A17" s="159"/>
      <c r="B17" s="151" t="s">
        <v>153</v>
      </c>
      <c r="C17" s="158" t="s">
        <v>154</v>
      </c>
      <c r="D17" s="134" t="s">
        <v>155</v>
      </c>
      <c r="E17" s="35"/>
      <c r="F17" s="35"/>
    </row>
    <row r="18" spans="1:6" s="1" customFormat="1" x14ac:dyDescent="0.2">
      <c r="A18" s="160" t="s">
        <v>0</v>
      </c>
      <c r="B18" s="452">
        <v>125</v>
      </c>
      <c r="C18" s="454">
        <v>120</v>
      </c>
      <c r="D18" s="456">
        <f>1-(C20/B20)</f>
        <v>9.9999999999999978E-2</v>
      </c>
      <c r="E18" s="35"/>
      <c r="F18" s="35"/>
    </row>
    <row r="19" spans="1:6" s="1" customFormat="1" x14ac:dyDescent="0.2">
      <c r="A19" s="160" t="s">
        <v>1</v>
      </c>
      <c r="B19" s="1332">
        <v>80</v>
      </c>
      <c r="C19" s="455">
        <v>75</v>
      </c>
      <c r="D19" s="135"/>
      <c r="E19" s="35"/>
      <c r="F19" s="35"/>
    </row>
    <row r="20" spans="1:6" s="1" customFormat="1" ht="13.5" thickBot="1" x14ac:dyDescent="0.25">
      <c r="A20" s="161" t="s">
        <v>59</v>
      </c>
      <c r="B20" s="458">
        <f>B18*B19</f>
        <v>10000</v>
      </c>
      <c r="C20" s="459">
        <f>C18*C19</f>
        <v>9000</v>
      </c>
      <c r="D20" s="457">
        <f>B20-C20</f>
        <v>1000</v>
      </c>
      <c r="E20" s="35"/>
      <c r="F20" s="35"/>
    </row>
    <row r="21" spans="1:6" s="1" customFormat="1" x14ac:dyDescent="0.2">
      <c r="A21" s="162" t="s">
        <v>4</v>
      </c>
      <c r="B21" s="86"/>
      <c r="C21" s="462">
        <v>3</v>
      </c>
      <c r="D21" s="152"/>
      <c r="E21" s="35"/>
      <c r="F21" s="35"/>
    </row>
    <row r="22" spans="1:6" s="1" customFormat="1" x14ac:dyDescent="0.2">
      <c r="A22" s="162" t="s">
        <v>5</v>
      </c>
      <c r="B22" s="86"/>
      <c r="C22" s="462">
        <v>1</v>
      </c>
      <c r="D22" s="152"/>
      <c r="E22" s="35"/>
      <c r="F22" s="35"/>
    </row>
    <row r="23" spans="1:6" s="1" customFormat="1" x14ac:dyDescent="0.2">
      <c r="A23" s="162" t="s">
        <v>6</v>
      </c>
      <c r="B23" s="86"/>
      <c r="C23" s="460">
        <f>ROUND((C19/C21),0)</f>
        <v>25</v>
      </c>
      <c r="D23" s="133"/>
      <c r="E23" s="35"/>
      <c r="F23" s="35"/>
    </row>
    <row r="24" spans="1:6" s="1" customFormat="1" ht="16.5" thickBot="1" x14ac:dyDescent="0.3">
      <c r="A24" s="163" t="s">
        <v>115</v>
      </c>
      <c r="B24" s="877">
        <v>3000</v>
      </c>
      <c r="C24" s="461">
        <f>ROUND(((C18/C22)+1),0)*ROUND(C23,0)</f>
        <v>3025</v>
      </c>
      <c r="D24" s="136"/>
      <c r="E24" s="35"/>
      <c r="F24" s="35"/>
    </row>
    <row r="25" spans="1:6" s="1" customFormat="1" x14ac:dyDescent="0.2">
      <c r="A25" s="19"/>
      <c r="B25" s="19"/>
      <c r="C25" s="19"/>
      <c r="D25" s="35"/>
      <c r="E25" s="35"/>
      <c r="F25" s="35"/>
    </row>
    <row r="26" spans="1:6" s="1" customFormat="1" x14ac:dyDescent="0.2">
      <c r="A26" s="19" t="s">
        <v>76</v>
      </c>
      <c r="B26" s="692">
        <v>15</v>
      </c>
      <c r="C26" s="19"/>
      <c r="D26" s="35"/>
      <c r="E26" s="35"/>
      <c r="F26" s="35"/>
    </row>
    <row r="27" spans="1:6" s="1" customFormat="1" x14ac:dyDescent="0.2">
      <c r="A27" s="19" t="s">
        <v>72</v>
      </c>
      <c r="B27" s="692">
        <v>3</v>
      </c>
      <c r="C27" s="19"/>
      <c r="D27" s="35"/>
      <c r="E27" s="35"/>
      <c r="F27" s="35"/>
    </row>
    <row r="28" spans="1:6" s="1" customFormat="1" ht="13.5" thickBot="1" x14ac:dyDescent="0.25">
      <c r="A28" s="19" t="s">
        <v>77</v>
      </c>
      <c r="B28" s="694">
        <f>B26-B27</f>
        <v>12</v>
      </c>
      <c r="C28" s="19"/>
      <c r="D28" s="35"/>
      <c r="E28" s="35"/>
      <c r="F28" s="35"/>
    </row>
    <row r="29" spans="1:6" s="1" customFormat="1" ht="15.75" x14ac:dyDescent="0.25">
      <c r="A29" s="150" t="s">
        <v>175</v>
      </c>
      <c r="B29" s="693">
        <f>B28</f>
        <v>12</v>
      </c>
      <c r="C29" s="19"/>
      <c r="D29" s="35"/>
      <c r="E29" s="35"/>
      <c r="F29" s="35"/>
    </row>
    <row r="30" spans="1:6" s="1" customFormat="1" x14ac:dyDescent="0.2">
      <c r="C30" s="19"/>
      <c r="D30" s="35"/>
      <c r="E30" s="35"/>
      <c r="F30" s="35"/>
    </row>
    <row r="31" spans="1:6" s="1" customFormat="1" x14ac:dyDescent="0.2">
      <c r="A31" s="40" t="s">
        <v>8</v>
      </c>
      <c r="B31" s="142" t="s">
        <v>113</v>
      </c>
      <c r="C31" s="695">
        <v>8.5</v>
      </c>
      <c r="D31" s="85" t="s">
        <v>157</v>
      </c>
      <c r="E31" s="19"/>
      <c r="F31" s="19"/>
    </row>
    <row r="32" spans="1:6" s="1" customFormat="1" x14ac:dyDescent="0.2">
      <c r="A32" s="40" t="s">
        <v>81</v>
      </c>
      <c r="B32" s="142" t="s">
        <v>438</v>
      </c>
      <c r="C32" s="464">
        <v>41.4</v>
      </c>
      <c r="D32" s="85"/>
      <c r="E32" s="19"/>
      <c r="F32" s="19"/>
    </row>
    <row r="33" spans="1:8" s="1" customFormat="1" x14ac:dyDescent="0.2">
      <c r="A33" s="40"/>
      <c r="B33" s="13" t="s">
        <v>109</v>
      </c>
      <c r="C33" s="464">
        <v>24</v>
      </c>
      <c r="D33" s="13"/>
      <c r="E33" s="13"/>
      <c r="F33" s="19"/>
    </row>
    <row r="34" spans="1:8" s="1" customFormat="1" ht="13.5" thickBot="1" x14ac:dyDescent="0.25">
      <c r="A34" s="19"/>
      <c r="B34" s="19" t="s">
        <v>114</v>
      </c>
      <c r="C34" s="465">
        <v>21</v>
      </c>
      <c r="D34" s="147" t="s">
        <v>172</v>
      </c>
      <c r="E34" s="19"/>
      <c r="F34" s="696">
        <v>0.85</v>
      </c>
      <c r="G34" s="144"/>
    </row>
    <row r="35" spans="1:8" s="1" customFormat="1" ht="15" x14ac:dyDescent="0.25">
      <c r="A35" s="19"/>
      <c r="B35" s="13" t="s">
        <v>441</v>
      </c>
      <c r="C35" s="697">
        <f>(F34*C34)+(((1-F34)/2)*C33)+ (((1-F34)/2)*C32)</f>
        <v>22.754999999999999</v>
      </c>
      <c r="D35" s="11"/>
      <c r="E35" s="43"/>
      <c r="F35" s="43"/>
    </row>
    <row r="36" spans="1:8" s="1" customFormat="1" ht="15" x14ac:dyDescent="0.25">
      <c r="A36" s="19"/>
      <c r="B36" s="13" t="s">
        <v>442</v>
      </c>
      <c r="C36" s="463">
        <f>AVERAGE(C32:C33)</f>
        <v>32.700000000000003</v>
      </c>
      <c r="D36" s="11"/>
      <c r="E36" s="43"/>
      <c r="F36" s="43"/>
    </row>
    <row r="37" spans="1:8" s="1" customFormat="1" ht="15" x14ac:dyDescent="0.25">
      <c r="A37" s="19"/>
      <c r="B37" s="69" t="s">
        <v>607</v>
      </c>
      <c r="C37" s="463">
        <f>AVERAGE(C33:C34)</f>
        <v>22.5</v>
      </c>
      <c r="D37" s="11"/>
      <c r="E37" s="43"/>
      <c r="F37" s="43"/>
      <c r="G37" s="19"/>
    </row>
    <row r="38" spans="1:8" s="1" customFormat="1" x14ac:dyDescent="0.2">
      <c r="A38" s="85" t="s">
        <v>117</v>
      </c>
      <c r="B38" s="19"/>
      <c r="C38" s="702">
        <v>6000</v>
      </c>
      <c r="D38" s="19"/>
      <c r="E38" s="85" t="s">
        <v>605</v>
      </c>
      <c r="F38" s="232" t="s">
        <v>199</v>
      </c>
      <c r="G38" s="943">
        <v>325</v>
      </c>
    </row>
    <row r="39" spans="1:8" s="1" customFormat="1" x14ac:dyDescent="0.2">
      <c r="A39" s="40" t="s">
        <v>79</v>
      </c>
      <c r="B39" s="19"/>
      <c r="C39" s="698">
        <v>1100</v>
      </c>
      <c r="D39" s="19"/>
      <c r="E39" s="19"/>
      <c r="F39" s="19" t="s">
        <v>341</v>
      </c>
      <c r="G39" s="700">
        <v>1</v>
      </c>
    </row>
    <row r="40" spans="1:8" s="1" customFormat="1" x14ac:dyDescent="0.2">
      <c r="A40" s="40" t="s">
        <v>10</v>
      </c>
      <c r="B40" s="19"/>
      <c r="C40" s="699">
        <v>1.4999999999999999E-2</v>
      </c>
      <c r="D40" s="19"/>
      <c r="E40" s="19"/>
      <c r="F40" s="19"/>
      <c r="G40" s="19"/>
    </row>
    <row r="41" spans="1:8" x14ac:dyDescent="0.2">
      <c r="A41" s="19" t="s">
        <v>146</v>
      </c>
      <c r="B41" s="19"/>
      <c r="C41" s="480">
        <v>0.6</v>
      </c>
      <c r="D41" s="43"/>
      <c r="E41" s="216" t="s">
        <v>80</v>
      </c>
      <c r="F41" s="232" t="str">
        <f>F38</f>
        <v>Klasse I+II</v>
      </c>
      <c r="G41" s="700">
        <v>0</v>
      </c>
      <c r="H41" s="1"/>
    </row>
    <row r="42" spans="1:8" x14ac:dyDescent="0.2">
      <c r="A42" s="85" t="s">
        <v>139</v>
      </c>
      <c r="B42" s="19"/>
      <c r="C42" s="703">
        <v>660</v>
      </c>
      <c r="D42" s="43"/>
      <c r="E42" s="216" t="s">
        <v>198</v>
      </c>
      <c r="F42" s="233" t="str">
        <f>F38</f>
        <v>Klasse I+II</v>
      </c>
      <c r="G42" s="701">
        <v>0</v>
      </c>
      <c r="H42" s="1"/>
    </row>
    <row r="43" spans="1:8" x14ac:dyDescent="0.2">
      <c r="A43" s="48"/>
      <c r="B43" s="1"/>
      <c r="C43" s="229"/>
      <c r="D43" s="43"/>
      <c r="E43" s="43"/>
      <c r="F43" s="147" t="s">
        <v>203</v>
      </c>
      <c r="G43" s="701">
        <v>0</v>
      </c>
      <c r="H43" s="1"/>
    </row>
    <row r="44" spans="1:8" x14ac:dyDescent="0.2">
      <c r="A44" s="48"/>
      <c r="B44" s="1"/>
      <c r="C44" s="229"/>
      <c r="D44" s="35"/>
      <c r="E44" s="43"/>
      <c r="F44" s="147"/>
      <c r="G44" s="235"/>
      <c r="H44" s="1"/>
    </row>
    <row r="45" spans="1:8" x14ac:dyDescent="0.2">
      <c r="A45" s="48"/>
      <c r="B45" s="1"/>
      <c r="C45" s="229"/>
      <c r="D45" s="35"/>
      <c r="E45" s="43"/>
      <c r="F45" s="147"/>
      <c r="G45" s="235"/>
      <c r="H45" s="1"/>
    </row>
    <row r="46" spans="1:8" s="1" customFormat="1" ht="26.25" x14ac:dyDescent="0.4">
      <c r="A46" s="1418" t="s">
        <v>628</v>
      </c>
      <c r="B46" s="1418"/>
      <c r="C46" s="1418"/>
      <c r="D46" s="1418"/>
      <c r="E46" s="1418"/>
      <c r="F46" s="1418"/>
      <c r="G46" s="1418"/>
      <c r="H46" s="1418"/>
    </row>
    <row r="47" spans="1:8" s="1" customFormat="1" x14ac:dyDescent="0.2">
      <c r="A47" s="78" t="s">
        <v>134</v>
      </c>
      <c r="B47" s="176" t="s">
        <v>361</v>
      </c>
      <c r="C47" s="84" t="s">
        <v>357</v>
      </c>
      <c r="D47" s="38" t="s">
        <v>362</v>
      </c>
      <c r="E47" s="78" t="s">
        <v>36</v>
      </c>
      <c r="F47" s="78" t="s">
        <v>37</v>
      </c>
      <c r="G47" s="78" t="s">
        <v>134</v>
      </c>
      <c r="H47" s="707"/>
    </row>
    <row r="48" spans="1:8" s="1" customFormat="1" x14ac:dyDescent="0.2">
      <c r="A48" s="406">
        <v>1</v>
      </c>
      <c r="B48" s="414">
        <v>1.1200000000000001</v>
      </c>
      <c r="C48" s="466">
        <v>0.45</v>
      </c>
      <c r="D48" s="466">
        <v>0.23</v>
      </c>
      <c r="E48" s="467">
        <v>0</v>
      </c>
      <c r="F48" s="36">
        <f>E48/'Standard Vorgaben'!$B$24</f>
        <v>0</v>
      </c>
      <c r="G48" s="886">
        <v>1</v>
      </c>
    </row>
    <row r="49" spans="1:7" s="1" customFormat="1" x14ac:dyDescent="0.2">
      <c r="A49" s="406">
        <v>2</v>
      </c>
      <c r="B49" s="47">
        <f t="shared" ref="B49:B62" si="0">B48</f>
        <v>1.1200000000000001</v>
      </c>
      <c r="C49" s="47">
        <f t="shared" ref="C49:C62" si="1">C48</f>
        <v>0.45</v>
      </c>
      <c r="D49" s="47">
        <f t="shared" ref="D49:D62" si="2">$D$48</f>
        <v>0.23</v>
      </c>
      <c r="E49" s="467">
        <v>12600</v>
      </c>
      <c r="F49" s="36">
        <f>E49/'Standard Vorgaben'!$B$24</f>
        <v>4.2</v>
      </c>
      <c r="G49" s="886">
        <v>2</v>
      </c>
    </row>
    <row r="50" spans="1:7" s="1" customFormat="1" x14ac:dyDescent="0.2">
      <c r="A50" s="406">
        <v>3</v>
      </c>
      <c r="B50" s="47">
        <f t="shared" si="0"/>
        <v>1.1200000000000001</v>
      </c>
      <c r="C50" s="47">
        <f t="shared" si="1"/>
        <v>0.45</v>
      </c>
      <c r="D50" s="47">
        <f t="shared" si="2"/>
        <v>0.23</v>
      </c>
      <c r="E50" s="467">
        <v>15750</v>
      </c>
      <c r="F50" s="36">
        <f>E50/'Standard Vorgaben'!$B$24</f>
        <v>5.25</v>
      </c>
      <c r="G50" s="886">
        <v>3</v>
      </c>
    </row>
    <row r="51" spans="1:7" s="1" customFormat="1" x14ac:dyDescent="0.2">
      <c r="A51" s="177">
        <v>4</v>
      </c>
      <c r="B51" s="47">
        <f t="shared" si="0"/>
        <v>1.1200000000000001</v>
      </c>
      <c r="C51" s="47">
        <f t="shared" si="1"/>
        <v>0.45</v>
      </c>
      <c r="D51" s="47">
        <f t="shared" si="2"/>
        <v>0.23</v>
      </c>
      <c r="E51" s="467">
        <v>27300</v>
      </c>
      <c r="F51" s="36">
        <f>E51/'Standard Vorgaben'!$B$24</f>
        <v>9.1</v>
      </c>
      <c r="G51" s="886">
        <v>4</v>
      </c>
    </row>
    <row r="52" spans="1:7" s="1" customFormat="1" x14ac:dyDescent="0.2">
      <c r="A52" s="177">
        <v>5</v>
      </c>
      <c r="B52" s="47">
        <f t="shared" si="0"/>
        <v>1.1200000000000001</v>
      </c>
      <c r="C52" s="47">
        <f t="shared" si="1"/>
        <v>0.45</v>
      </c>
      <c r="D52" s="47">
        <f t="shared" si="2"/>
        <v>0.23</v>
      </c>
      <c r="E52" s="467">
        <v>36750</v>
      </c>
      <c r="F52" s="36">
        <f>E52/'Standard Vorgaben'!$B$24</f>
        <v>12.25</v>
      </c>
      <c r="G52" s="886">
        <v>5</v>
      </c>
    </row>
    <row r="53" spans="1:7" s="1" customFormat="1" x14ac:dyDescent="0.2">
      <c r="A53" s="177">
        <v>6</v>
      </c>
      <c r="B53" s="47">
        <f t="shared" si="0"/>
        <v>1.1200000000000001</v>
      </c>
      <c r="C53" s="47">
        <f t="shared" si="1"/>
        <v>0.45</v>
      </c>
      <c r="D53" s="47">
        <f t="shared" si="2"/>
        <v>0.23</v>
      </c>
      <c r="E53" s="467">
        <v>46200</v>
      </c>
      <c r="F53" s="36">
        <f>E53/'Standard Vorgaben'!$B$24</f>
        <v>15.4</v>
      </c>
      <c r="G53" s="886">
        <v>6</v>
      </c>
    </row>
    <row r="54" spans="1:7" s="1" customFormat="1" x14ac:dyDescent="0.2">
      <c r="A54" s="177">
        <v>7</v>
      </c>
      <c r="B54" s="47">
        <f t="shared" si="0"/>
        <v>1.1200000000000001</v>
      </c>
      <c r="C54" s="47">
        <f t="shared" si="1"/>
        <v>0.45</v>
      </c>
      <c r="D54" s="47">
        <f t="shared" si="2"/>
        <v>0.23</v>
      </c>
      <c r="E54" s="467">
        <v>37668.75</v>
      </c>
      <c r="F54" s="36">
        <f>E54/'Standard Vorgaben'!$B$24</f>
        <v>12.55625</v>
      </c>
      <c r="G54" s="886">
        <v>7</v>
      </c>
    </row>
    <row r="55" spans="1:7" s="1" customFormat="1" x14ac:dyDescent="0.2">
      <c r="A55" s="177">
        <v>8</v>
      </c>
      <c r="B55" s="47">
        <f t="shared" si="0"/>
        <v>1.1200000000000001</v>
      </c>
      <c r="C55" s="47">
        <f t="shared" si="1"/>
        <v>0.45</v>
      </c>
      <c r="D55" s="47">
        <f t="shared" si="2"/>
        <v>0.23</v>
      </c>
      <c r="E55" s="467">
        <v>37668.75</v>
      </c>
      <c r="F55" s="36">
        <f>E55/'Standard Vorgaben'!$B$24</f>
        <v>12.55625</v>
      </c>
      <c r="G55" s="886">
        <v>8</v>
      </c>
    </row>
    <row r="56" spans="1:7" s="1" customFormat="1" x14ac:dyDescent="0.2">
      <c r="A56" s="177">
        <v>9</v>
      </c>
      <c r="B56" s="47">
        <f t="shared" si="0"/>
        <v>1.1200000000000001</v>
      </c>
      <c r="C56" s="47">
        <f t="shared" si="1"/>
        <v>0.45</v>
      </c>
      <c r="D56" s="47">
        <f t="shared" si="2"/>
        <v>0.23</v>
      </c>
      <c r="E56" s="467">
        <v>54600</v>
      </c>
      <c r="F56" s="36">
        <f>E56/'Standard Vorgaben'!$B$24</f>
        <v>18.2</v>
      </c>
      <c r="G56" s="886">
        <v>9</v>
      </c>
    </row>
    <row r="57" spans="1:7" s="1" customFormat="1" x14ac:dyDescent="0.2">
      <c r="A57" s="177">
        <v>10</v>
      </c>
      <c r="B57" s="47">
        <f t="shared" si="0"/>
        <v>1.1200000000000001</v>
      </c>
      <c r="C57" s="47">
        <f t="shared" si="1"/>
        <v>0.45</v>
      </c>
      <c r="D57" s="47">
        <f t="shared" si="2"/>
        <v>0.23</v>
      </c>
      <c r="E57" s="467">
        <v>57750</v>
      </c>
      <c r="F57" s="36">
        <f>E57/'Standard Vorgaben'!$B$24</f>
        <v>19.25</v>
      </c>
      <c r="G57" s="886">
        <v>10</v>
      </c>
    </row>
    <row r="58" spans="1:7" s="1" customFormat="1" x14ac:dyDescent="0.2">
      <c r="A58" s="177">
        <v>11</v>
      </c>
      <c r="B58" s="47">
        <f t="shared" si="0"/>
        <v>1.1200000000000001</v>
      </c>
      <c r="C58" s="47">
        <f t="shared" si="1"/>
        <v>0.45</v>
      </c>
      <c r="D58" s="47">
        <f t="shared" si="2"/>
        <v>0.23</v>
      </c>
      <c r="E58" s="467">
        <v>46462.5</v>
      </c>
      <c r="F58" s="36">
        <f>E58/'Standard Vorgaben'!$B$24</f>
        <v>15.487500000000001</v>
      </c>
      <c r="G58" s="886">
        <v>11</v>
      </c>
    </row>
    <row r="59" spans="1:7" s="1" customFormat="1" x14ac:dyDescent="0.2">
      <c r="A59" s="177">
        <v>12</v>
      </c>
      <c r="B59" s="47">
        <f t="shared" si="0"/>
        <v>1.1200000000000001</v>
      </c>
      <c r="C59" s="47">
        <f t="shared" si="1"/>
        <v>0.45</v>
      </c>
      <c r="D59" s="47">
        <f t="shared" si="2"/>
        <v>0.23</v>
      </c>
      <c r="E59" s="467">
        <v>37800</v>
      </c>
      <c r="F59" s="36">
        <f>E59/'Standard Vorgaben'!$B$24</f>
        <v>12.6</v>
      </c>
      <c r="G59" s="886">
        <v>12</v>
      </c>
    </row>
    <row r="60" spans="1:7" s="1" customFormat="1" x14ac:dyDescent="0.2">
      <c r="A60" s="177">
        <v>13</v>
      </c>
      <c r="B60" s="47">
        <f t="shared" si="0"/>
        <v>1.1200000000000001</v>
      </c>
      <c r="C60" s="47">
        <f t="shared" si="1"/>
        <v>0.45</v>
      </c>
      <c r="D60" s="47">
        <f t="shared" si="2"/>
        <v>0.23</v>
      </c>
      <c r="E60" s="467">
        <v>42000</v>
      </c>
      <c r="F60" s="36">
        <f>E60/'Standard Vorgaben'!$B$24</f>
        <v>14</v>
      </c>
      <c r="G60" s="886">
        <v>13</v>
      </c>
    </row>
    <row r="61" spans="1:7" s="1" customFormat="1" x14ac:dyDescent="0.2">
      <c r="A61" s="177">
        <v>14</v>
      </c>
      <c r="B61" s="47">
        <f t="shared" si="0"/>
        <v>1.1200000000000001</v>
      </c>
      <c r="C61" s="47">
        <f t="shared" si="1"/>
        <v>0.45</v>
      </c>
      <c r="D61" s="47">
        <f t="shared" si="2"/>
        <v>0.23</v>
      </c>
      <c r="E61" s="467">
        <v>43050</v>
      </c>
      <c r="F61" s="36">
        <f>E61/'Standard Vorgaben'!$B$24</f>
        <v>14.35</v>
      </c>
      <c r="G61" s="886">
        <v>14</v>
      </c>
    </row>
    <row r="62" spans="1:7" s="1" customFormat="1" x14ac:dyDescent="0.2">
      <c r="A62" s="177">
        <v>15</v>
      </c>
      <c r="B62" s="47">
        <f t="shared" si="0"/>
        <v>1.1200000000000001</v>
      </c>
      <c r="C62" s="47">
        <f t="shared" si="1"/>
        <v>0.45</v>
      </c>
      <c r="D62" s="47">
        <f t="shared" si="2"/>
        <v>0.23</v>
      </c>
      <c r="E62" s="467">
        <v>36750</v>
      </c>
      <c r="F62" s="36">
        <f>E62/'Standard Vorgaben'!$B$24</f>
        <v>12.25</v>
      </c>
      <c r="G62" s="886">
        <v>15</v>
      </c>
    </row>
    <row r="63" spans="1:7" s="1" customFormat="1" x14ac:dyDescent="0.2">
      <c r="A63" s="49" t="s">
        <v>191</v>
      </c>
      <c r="B63"/>
      <c r="C63"/>
      <c r="E63" s="62">
        <f>SUM(E48:E50)</f>
        <v>28350</v>
      </c>
      <c r="F63" s="77">
        <f>SUM(F48:F50)</f>
        <v>9.4499999999999993</v>
      </c>
    </row>
    <row r="64" spans="1:7" s="1" customFormat="1" x14ac:dyDescent="0.2">
      <c r="A64" s="49" t="s">
        <v>192</v>
      </c>
      <c r="B64"/>
      <c r="C64"/>
      <c r="E64" s="62">
        <f>SUM(E48:E62)</f>
        <v>532350</v>
      </c>
      <c r="F64" s="77">
        <f>SUM(F48:F62)</f>
        <v>177.45</v>
      </c>
    </row>
    <row r="65" spans="1:8" s="1" customFormat="1" x14ac:dyDescent="0.2">
      <c r="A65" s="49" t="s">
        <v>193</v>
      </c>
      <c r="B65" s="468">
        <f>AVERAGE(B51:B62)</f>
        <v>1.1200000000000003</v>
      </c>
      <c r="C65" s="468">
        <f>AVERAGE(C51:C62)</f>
        <v>0.45000000000000012</v>
      </c>
      <c r="D65" s="468">
        <f>AVERAGE(D51:D62)</f>
        <v>0.23</v>
      </c>
      <c r="E65" s="62">
        <f>AVERAGE(E51:E62)</f>
        <v>42000</v>
      </c>
      <c r="F65" s="77">
        <f>AVERAGE(F51:F62)</f>
        <v>13.999999999999998</v>
      </c>
    </row>
    <row r="66" spans="1:8" s="1" customFormat="1" x14ac:dyDescent="0.2">
      <c r="A66" s="49" t="s">
        <v>194</v>
      </c>
      <c r="B66" s="468">
        <f>AVERAGE(B48:B62)</f>
        <v>1.1200000000000006</v>
      </c>
      <c r="C66" s="468">
        <f>AVERAGE(C48:C62)</f>
        <v>0.45000000000000012</v>
      </c>
      <c r="D66" s="468">
        <f>AVERAGE(D48:D62)</f>
        <v>0.23</v>
      </c>
      <c r="E66" s="62">
        <f>AVERAGE(E48:E62)</f>
        <v>35490</v>
      </c>
      <c r="F66" s="77">
        <f>AVERAGE(F48:F62)</f>
        <v>11.83</v>
      </c>
      <c r="G66" s="469">
        <v>0</v>
      </c>
    </row>
    <row r="67" spans="1:8" s="1" customFormat="1" x14ac:dyDescent="0.2">
      <c r="B67" s="76"/>
      <c r="C67" s="76"/>
      <c r="D67" s="76"/>
      <c r="E67" s="62"/>
      <c r="F67" s="77"/>
    </row>
    <row r="68" spans="1:8" s="1" customFormat="1" ht="32.450000000000003" customHeight="1" x14ac:dyDescent="0.4">
      <c r="A68" s="1418" t="s">
        <v>133</v>
      </c>
      <c r="B68" s="1418"/>
      <c r="C68" s="1418"/>
      <c r="D68" s="1418"/>
      <c r="E68" s="1418"/>
      <c r="F68" s="1418"/>
      <c r="G68" s="1418"/>
      <c r="H68" s="1418"/>
    </row>
    <row r="69" spans="1:8" s="1" customFormat="1" x14ac:dyDescent="0.2">
      <c r="A69" s="711"/>
      <c r="B69" s="712"/>
      <c r="C69" s="709"/>
      <c r="D69" s="1441"/>
      <c r="E69" s="1441"/>
      <c r="F69" s="713"/>
      <c r="G69" s="1322" t="s">
        <v>342</v>
      </c>
      <c r="H69" s="1323"/>
    </row>
    <row r="70" spans="1:8" s="1" customFormat="1" x14ac:dyDescent="0.2">
      <c r="A70" s="708" t="s">
        <v>134</v>
      </c>
      <c r="B70" s="709" t="s">
        <v>337</v>
      </c>
      <c r="C70" s="709" t="s">
        <v>338</v>
      </c>
      <c r="D70" s="709" t="s">
        <v>341</v>
      </c>
      <c r="E70" s="709" t="s">
        <v>358</v>
      </c>
      <c r="F70" s="710"/>
      <c r="G70" s="84" t="s">
        <v>343</v>
      </c>
      <c r="H70" s="202"/>
    </row>
    <row r="71" spans="1:8" s="1" customFormat="1" x14ac:dyDescent="0.2">
      <c r="A71" s="237">
        <v>1</v>
      </c>
      <c r="B71" s="474">
        <v>0.7</v>
      </c>
      <c r="C71" s="474">
        <v>0.2</v>
      </c>
      <c r="D71" s="474">
        <v>0.05</v>
      </c>
      <c r="E71" s="474">
        <v>0.05</v>
      </c>
      <c r="F71" s="61">
        <f>D71+E71</f>
        <v>0.1</v>
      </c>
      <c r="G71" s="475">
        <v>120</v>
      </c>
      <c r="H71" s="236"/>
    </row>
    <row r="72" spans="1:8" s="1" customFormat="1" x14ac:dyDescent="0.2">
      <c r="A72" s="237">
        <v>2</v>
      </c>
      <c r="B72" s="61">
        <f>B71</f>
        <v>0.7</v>
      </c>
      <c r="C72" s="61">
        <f>C71</f>
        <v>0.2</v>
      </c>
      <c r="D72" s="61">
        <f>D71</f>
        <v>0.05</v>
      </c>
      <c r="E72" s="61">
        <f>E71</f>
        <v>0.05</v>
      </c>
      <c r="F72" s="128">
        <f t="shared" ref="F72:F85" si="3">$F$71</f>
        <v>0.1</v>
      </c>
      <c r="G72" s="236">
        <f>G71</f>
        <v>120</v>
      </c>
      <c r="H72" s="236"/>
    </row>
    <row r="73" spans="1:8" s="1" customFormat="1" x14ac:dyDescent="0.2">
      <c r="A73" s="237">
        <v>3</v>
      </c>
      <c r="B73" s="61">
        <f>B71</f>
        <v>0.7</v>
      </c>
      <c r="C73" s="61">
        <f>C71</f>
        <v>0.2</v>
      </c>
      <c r="D73" s="61">
        <f>D71</f>
        <v>0.05</v>
      </c>
      <c r="E73" s="61">
        <f>E71</f>
        <v>0.05</v>
      </c>
      <c r="F73" s="128">
        <f t="shared" si="3"/>
        <v>0.1</v>
      </c>
      <c r="G73" s="236">
        <f>G71</f>
        <v>120</v>
      </c>
      <c r="H73" s="236"/>
    </row>
    <row r="74" spans="1:8" s="1" customFormat="1" x14ac:dyDescent="0.2">
      <c r="A74" s="237">
        <v>4</v>
      </c>
      <c r="B74" s="61">
        <f>B71</f>
        <v>0.7</v>
      </c>
      <c r="C74" s="61">
        <f>C71</f>
        <v>0.2</v>
      </c>
      <c r="D74" s="61">
        <f>D71</f>
        <v>0.05</v>
      </c>
      <c r="E74" s="61">
        <f>E71</f>
        <v>0.05</v>
      </c>
      <c r="F74" s="128">
        <f t="shared" si="3"/>
        <v>0.1</v>
      </c>
      <c r="G74" s="236">
        <f>G71</f>
        <v>120</v>
      </c>
      <c r="H74" s="236"/>
    </row>
    <row r="75" spans="1:8" s="1" customFormat="1" x14ac:dyDescent="0.2">
      <c r="A75" s="238">
        <v>5</v>
      </c>
      <c r="B75" s="61">
        <f>B71</f>
        <v>0.7</v>
      </c>
      <c r="C75" s="61">
        <f>C71</f>
        <v>0.2</v>
      </c>
      <c r="D75" s="61">
        <f>D71</f>
        <v>0.05</v>
      </c>
      <c r="E75" s="61">
        <f>E71</f>
        <v>0.05</v>
      </c>
      <c r="F75" s="128">
        <f t="shared" si="3"/>
        <v>0.1</v>
      </c>
      <c r="G75" s="236">
        <f>G71</f>
        <v>120</v>
      </c>
      <c r="H75" s="236"/>
    </row>
    <row r="76" spans="1:8" s="1" customFormat="1" x14ac:dyDescent="0.2">
      <c r="A76" s="238">
        <v>6</v>
      </c>
      <c r="B76" s="61">
        <f>B71</f>
        <v>0.7</v>
      </c>
      <c r="C76" s="61">
        <f>C71</f>
        <v>0.2</v>
      </c>
      <c r="D76" s="61">
        <f>D71</f>
        <v>0.05</v>
      </c>
      <c r="E76" s="61">
        <f>E71</f>
        <v>0.05</v>
      </c>
      <c r="F76" s="128">
        <f t="shared" si="3"/>
        <v>0.1</v>
      </c>
      <c r="G76" s="236">
        <f>G71</f>
        <v>120</v>
      </c>
      <c r="H76" s="236"/>
    </row>
    <row r="77" spans="1:8" s="1" customFormat="1" x14ac:dyDescent="0.2">
      <c r="A77" s="238">
        <v>7</v>
      </c>
      <c r="B77" s="61">
        <f>B71</f>
        <v>0.7</v>
      </c>
      <c r="C77" s="61">
        <f>C71</f>
        <v>0.2</v>
      </c>
      <c r="D77" s="61">
        <f>D71</f>
        <v>0.05</v>
      </c>
      <c r="E77" s="61">
        <f>E71</f>
        <v>0.05</v>
      </c>
      <c r="F77" s="128">
        <f t="shared" si="3"/>
        <v>0.1</v>
      </c>
      <c r="G77" s="236">
        <f>G71</f>
        <v>120</v>
      </c>
      <c r="H77" s="236"/>
    </row>
    <row r="78" spans="1:8" s="1" customFormat="1" x14ac:dyDescent="0.2">
      <c r="A78" s="238">
        <v>8</v>
      </c>
      <c r="B78" s="61">
        <f>B71</f>
        <v>0.7</v>
      </c>
      <c r="C78" s="61">
        <f>C71</f>
        <v>0.2</v>
      </c>
      <c r="D78" s="61">
        <f>D71</f>
        <v>0.05</v>
      </c>
      <c r="E78" s="61">
        <f>E71</f>
        <v>0.05</v>
      </c>
      <c r="F78" s="128">
        <f t="shared" si="3"/>
        <v>0.1</v>
      </c>
      <c r="G78" s="236">
        <f>G71</f>
        <v>120</v>
      </c>
      <c r="H78" s="236"/>
    </row>
    <row r="79" spans="1:8" s="1" customFormat="1" x14ac:dyDescent="0.2">
      <c r="A79" s="238">
        <v>9</v>
      </c>
      <c r="B79" s="61">
        <f>B71</f>
        <v>0.7</v>
      </c>
      <c r="C79" s="61">
        <f>C71</f>
        <v>0.2</v>
      </c>
      <c r="D79" s="61">
        <f>D71</f>
        <v>0.05</v>
      </c>
      <c r="E79" s="61">
        <f>E71</f>
        <v>0.05</v>
      </c>
      <c r="F79" s="128">
        <f t="shared" si="3"/>
        <v>0.1</v>
      </c>
      <c r="G79" s="236">
        <f>G71</f>
        <v>120</v>
      </c>
      <c r="H79" s="236"/>
    </row>
    <row r="80" spans="1:8" s="1" customFormat="1" x14ac:dyDescent="0.2">
      <c r="A80" s="238">
        <v>10</v>
      </c>
      <c r="B80" s="61">
        <f>B71</f>
        <v>0.7</v>
      </c>
      <c r="C80" s="61">
        <f>C71</f>
        <v>0.2</v>
      </c>
      <c r="D80" s="61">
        <f>D71</f>
        <v>0.05</v>
      </c>
      <c r="E80" s="61">
        <f>E71</f>
        <v>0.05</v>
      </c>
      <c r="F80" s="128">
        <f t="shared" si="3"/>
        <v>0.1</v>
      </c>
      <c r="G80" s="236">
        <f>G71</f>
        <v>120</v>
      </c>
      <c r="H80" s="236"/>
    </row>
    <row r="81" spans="1:8" s="1" customFormat="1" x14ac:dyDescent="0.2">
      <c r="A81" s="238">
        <v>11</v>
      </c>
      <c r="B81" s="61">
        <f>B71</f>
        <v>0.7</v>
      </c>
      <c r="C81" s="61">
        <f>C71</f>
        <v>0.2</v>
      </c>
      <c r="D81" s="61">
        <f>D71</f>
        <v>0.05</v>
      </c>
      <c r="E81" s="61">
        <f>E71</f>
        <v>0.05</v>
      </c>
      <c r="F81" s="128">
        <f t="shared" si="3"/>
        <v>0.1</v>
      </c>
      <c r="G81" s="236">
        <f>G71</f>
        <v>120</v>
      </c>
      <c r="H81" s="236"/>
    </row>
    <row r="82" spans="1:8" s="1" customFormat="1" x14ac:dyDescent="0.2">
      <c r="A82" s="238">
        <v>12</v>
      </c>
      <c r="B82" s="61">
        <f>B71</f>
        <v>0.7</v>
      </c>
      <c r="C82" s="61">
        <f>C71</f>
        <v>0.2</v>
      </c>
      <c r="D82" s="61">
        <f>D71</f>
        <v>0.05</v>
      </c>
      <c r="E82" s="61">
        <f>E71</f>
        <v>0.05</v>
      </c>
      <c r="F82" s="128">
        <f t="shared" si="3"/>
        <v>0.1</v>
      </c>
      <c r="G82" s="236">
        <f>G71</f>
        <v>120</v>
      </c>
      <c r="H82" s="236"/>
    </row>
    <row r="83" spans="1:8" s="1" customFormat="1" x14ac:dyDescent="0.2">
      <c r="A83" s="238">
        <v>13</v>
      </c>
      <c r="B83" s="61">
        <f>B71</f>
        <v>0.7</v>
      </c>
      <c r="C83" s="61">
        <f>C71</f>
        <v>0.2</v>
      </c>
      <c r="D83" s="61">
        <f>D71</f>
        <v>0.05</v>
      </c>
      <c r="E83" s="61">
        <f>E71</f>
        <v>0.05</v>
      </c>
      <c r="F83" s="128">
        <f t="shared" si="3"/>
        <v>0.1</v>
      </c>
      <c r="G83" s="236">
        <f>G71</f>
        <v>120</v>
      </c>
      <c r="H83" s="236"/>
    </row>
    <row r="84" spans="1:8" s="1" customFormat="1" x14ac:dyDescent="0.2">
      <c r="A84" s="238">
        <v>14</v>
      </c>
      <c r="B84" s="61">
        <f>B71</f>
        <v>0.7</v>
      </c>
      <c r="C84" s="61">
        <f>C71</f>
        <v>0.2</v>
      </c>
      <c r="D84" s="61">
        <f>D71</f>
        <v>0.05</v>
      </c>
      <c r="E84" s="61">
        <f>E71</f>
        <v>0.05</v>
      </c>
      <c r="F84" s="128">
        <f t="shared" si="3"/>
        <v>0.1</v>
      </c>
      <c r="G84" s="236">
        <f>G71</f>
        <v>120</v>
      </c>
      <c r="H84" s="236"/>
    </row>
    <row r="85" spans="1:8" s="1" customFormat="1" x14ac:dyDescent="0.2">
      <c r="A85" s="238">
        <v>15</v>
      </c>
      <c r="B85" s="61">
        <f>B71</f>
        <v>0.7</v>
      </c>
      <c r="C85" s="61">
        <f>C71</f>
        <v>0.2</v>
      </c>
      <c r="D85" s="61">
        <f>D71</f>
        <v>0.05</v>
      </c>
      <c r="E85" s="61">
        <f>E71</f>
        <v>0.05</v>
      </c>
      <c r="F85" s="128">
        <f t="shared" si="3"/>
        <v>0.1</v>
      </c>
      <c r="G85" s="236">
        <f>G71</f>
        <v>120</v>
      </c>
      <c r="H85" s="236"/>
    </row>
    <row r="86" spans="1:8" s="1" customFormat="1" x14ac:dyDescent="0.2">
      <c r="A86" s="239" t="s">
        <v>193</v>
      </c>
      <c r="B86" s="470">
        <f t="shared" ref="B86:G86" si="4">AVERAGE(B74:B85)</f>
        <v>0.70000000000000007</v>
      </c>
      <c r="C86" s="470">
        <f t="shared" si="4"/>
        <v>0.19999999999999998</v>
      </c>
      <c r="D86" s="470">
        <f t="shared" si="4"/>
        <v>4.9999999999999996E-2</v>
      </c>
      <c r="E86" s="470">
        <f t="shared" si="4"/>
        <v>4.9999999999999996E-2</v>
      </c>
      <c r="F86" s="470">
        <f t="shared" si="4"/>
        <v>9.9999999999999992E-2</v>
      </c>
      <c r="G86" s="471">
        <f t="shared" si="4"/>
        <v>120</v>
      </c>
      <c r="H86" s="471"/>
    </row>
    <row r="87" spans="1:8" s="1" customFormat="1" x14ac:dyDescent="0.2">
      <c r="A87" s="240" t="s">
        <v>194</v>
      </c>
      <c r="B87" s="472">
        <f t="shared" ref="B87:G87" si="5">AVERAGE(B71:B85)</f>
        <v>0.69999999999999984</v>
      </c>
      <c r="C87" s="472">
        <f t="shared" si="5"/>
        <v>0.20000000000000004</v>
      </c>
      <c r="D87" s="472">
        <f t="shared" si="5"/>
        <v>5.000000000000001E-2</v>
      </c>
      <c r="E87" s="472">
        <f t="shared" si="5"/>
        <v>5.000000000000001E-2</v>
      </c>
      <c r="F87" s="472">
        <f t="shared" si="5"/>
        <v>0.10000000000000002</v>
      </c>
      <c r="G87" s="473">
        <f t="shared" si="5"/>
        <v>120</v>
      </c>
      <c r="H87" s="473"/>
    </row>
    <row r="88" spans="1:8" s="1" customFormat="1" x14ac:dyDescent="0.2">
      <c r="B88" s="76"/>
      <c r="C88" s="76"/>
      <c r="D88" s="76"/>
      <c r="E88" s="62"/>
      <c r="F88" s="77"/>
    </row>
    <row r="89" spans="1:8" s="1" customFormat="1" ht="32.450000000000003" customHeight="1" x14ac:dyDescent="0.4">
      <c r="A89" s="1418" t="s">
        <v>345</v>
      </c>
      <c r="B89" s="1418"/>
      <c r="C89" s="1418"/>
      <c r="D89" s="1418"/>
      <c r="E89" s="1418"/>
      <c r="F89" s="1418"/>
      <c r="G89" s="1418"/>
      <c r="H89" s="1418"/>
    </row>
    <row r="90" spans="1:8" s="1" customFormat="1" ht="22.5" customHeight="1" x14ac:dyDescent="0.45">
      <c r="A90" s="212"/>
      <c r="B90" s="253"/>
      <c r="C90" s="253"/>
      <c r="D90" s="1426" t="s">
        <v>344</v>
      </c>
      <c r="E90" s="1425" t="s">
        <v>166</v>
      </c>
      <c r="F90" s="254"/>
      <c r="G90" s="115"/>
      <c r="H90" s="155"/>
    </row>
    <row r="91" spans="1:8" s="1" customFormat="1" ht="29.25" customHeight="1" x14ac:dyDescent="0.2">
      <c r="B91" s="200" t="s">
        <v>122</v>
      </c>
      <c r="C91" s="200" t="s">
        <v>123</v>
      </c>
      <c r="D91" s="1426"/>
      <c r="E91" s="1425"/>
      <c r="F91" s="241" t="s">
        <v>125</v>
      </c>
      <c r="G91" s="142" t="s">
        <v>126</v>
      </c>
    </row>
    <row r="92" spans="1:8" s="1" customFormat="1" ht="13.5" thickBot="1" x14ac:dyDescent="0.25">
      <c r="B92" s="139" t="s">
        <v>124</v>
      </c>
      <c r="C92" s="139" t="s">
        <v>124</v>
      </c>
      <c r="D92" s="139" t="s">
        <v>124</v>
      </c>
      <c r="E92" s="139" t="s">
        <v>124</v>
      </c>
      <c r="F92" s="139" t="s">
        <v>124</v>
      </c>
      <c r="G92" s="139" t="s">
        <v>124</v>
      </c>
    </row>
    <row r="93" spans="1:8" s="1" customFormat="1" x14ac:dyDescent="0.2">
      <c r="A93" s="73" t="s">
        <v>77</v>
      </c>
      <c r="B93" s="590">
        <v>10</v>
      </c>
      <c r="C93" s="590">
        <v>10</v>
      </c>
      <c r="D93" s="590">
        <v>120</v>
      </c>
      <c r="E93" s="590">
        <v>150</v>
      </c>
      <c r="F93" s="592">
        <v>30</v>
      </c>
      <c r="G93" s="593">
        <v>10</v>
      </c>
    </row>
    <row r="94" spans="1:8" s="1" customFormat="1" x14ac:dyDescent="0.2">
      <c r="A94" s="1" t="s">
        <v>99</v>
      </c>
      <c r="B94" s="591">
        <v>10</v>
      </c>
      <c r="C94" s="591">
        <v>10</v>
      </c>
      <c r="D94" s="591">
        <v>50</v>
      </c>
      <c r="E94" s="591">
        <v>0</v>
      </c>
      <c r="F94" s="592">
        <v>10</v>
      </c>
      <c r="G94" s="593">
        <v>10</v>
      </c>
    </row>
    <row r="95" spans="1:8" s="1" customFormat="1" x14ac:dyDescent="0.2">
      <c r="A95" s="1" t="s">
        <v>127</v>
      </c>
      <c r="B95" s="591">
        <v>10</v>
      </c>
      <c r="C95" s="591">
        <v>10</v>
      </c>
      <c r="D95" s="591">
        <v>50</v>
      </c>
      <c r="E95" s="591">
        <v>20</v>
      </c>
      <c r="F95" s="592">
        <v>10</v>
      </c>
      <c r="G95" s="593">
        <v>10</v>
      </c>
    </row>
    <row r="96" spans="1:8" s="1" customFormat="1" x14ac:dyDescent="0.2">
      <c r="A96" s="1" t="s">
        <v>148</v>
      </c>
      <c r="B96" s="137" t="s">
        <v>128</v>
      </c>
      <c r="C96" s="137"/>
      <c r="D96" s="137"/>
      <c r="E96" s="137"/>
      <c r="F96" s="77"/>
    </row>
    <row r="97" spans="1:8" s="1" customFormat="1" x14ac:dyDescent="0.2">
      <c r="B97" s="137"/>
      <c r="C97" s="137"/>
      <c r="D97" s="137"/>
      <c r="E97" s="137"/>
      <c r="F97" s="77"/>
    </row>
    <row r="98" spans="1:8" x14ac:dyDescent="0.2">
      <c r="G98" s="1"/>
    </row>
    <row r="99" spans="1:8" s="1" customFormat="1" ht="26.25" x14ac:dyDescent="0.4">
      <c r="A99" s="1418" t="s">
        <v>629</v>
      </c>
      <c r="B99" s="1418"/>
      <c r="C99" s="1418"/>
      <c r="D99" s="1418"/>
      <c r="E99" s="1418"/>
      <c r="F99" s="1418"/>
      <c r="G99" s="1418"/>
      <c r="H99" s="1418"/>
    </row>
    <row r="100" spans="1:8" ht="22.7" customHeight="1" x14ac:dyDescent="0.2">
      <c r="A100" s="1"/>
      <c r="B100" s="266" t="s">
        <v>360</v>
      </c>
      <c r="C100" s="266" t="s">
        <v>639</v>
      </c>
      <c r="D100" s="266" t="s">
        <v>640</v>
      </c>
      <c r="E100" s="202" t="s">
        <v>359</v>
      </c>
      <c r="G100" s="1"/>
    </row>
    <row r="101" spans="1:8" x14ac:dyDescent="0.2">
      <c r="A101" s="267" t="s">
        <v>56</v>
      </c>
      <c r="B101" s="639">
        <v>0.95</v>
      </c>
      <c r="C101" s="1353">
        <v>0.43</v>
      </c>
      <c r="D101" s="1353">
        <f>350/1000</f>
        <v>0.35</v>
      </c>
      <c r="E101" s="157"/>
      <c r="G101" s="1"/>
    </row>
    <row r="102" spans="1:8" x14ac:dyDescent="0.2">
      <c r="A102" s="138"/>
      <c r="B102" s="640"/>
      <c r="C102" s="1354"/>
      <c r="D102" s="1355"/>
      <c r="G102" s="1"/>
    </row>
    <row r="103" spans="1:8" x14ac:dyDescent="0.2">
      <c r="A103" s="261" t="s">
        <v>85</v>
      </c>
      <c r="B103" s="641">
        <v>0</v>
      </c>
      <c r="C103" s="1356">
        <v>0</v>
      </c>
      <c r="D103" s="1356">
        <v>0</v>
      </c>
      <c r="G103" s="1"/>
    </row>
    <row r="104" spans="1:8" x14ac:dyDescent="0.2">
      <c r="A104" s="67"/>
      <c r="B104" s="445"/>
      <c r="C104" s="1358"/>
      <c r="D104" s="1359"/>
      <c r="G104" s="1"/>
    </row>
    <row r="105" spans="1:8" x14ac:dyDescent="0.2">
      <c r="A105" s="261" t="s">
        <v>99</v>
      </c>
      <c r="B105" s="641">
        <v>50</v>
      </c>
      <c r="C105" s="1356">
        <v>50</v>
      </c>
      <c r="D105" s="1356">
        <v>0</v>
      </c>
      <c r="G105" s="1"/>
    </row>
    <row r="106" spans="1:8" x14ac:dyDescent="0.2">
      <c r="A106" s="109" t="s">
        <v>137</v>
      </c>
      <c r="B106" s="443">
        <v>0</v>
      </c>
      <c r="C106" s="1359">
        <v>0</v>
      </c>
      <c r="D106" s="1359">
        <v>0</v>
      </c>
      <c r="G106" s="1"/>
    </row>
    <row r="107" spans="1:8" x14ac:dyDescent="0.2">
      <c r="A107" s="261" t="s">
        <v>100</v>
      </c>
      <c r="B107" s="641">
        <v>100</v>
      </c>
      <c r="C107" s="1356">
        <v>125</v>
      </c>
      <c r="D107" s="1356">
        <v>0</v>
      </c>
      <c r="G107" s="1"/>
    </row>
    <row r="108" spans="1:8" x14ac:dyDescent="0.2">
      <c r="A108" s="109" t="s">
        <v>137</v>
      </c>
      <c r="B108" s="443">
        <v>1</v>
      </c>
      <c r="C108" s="1359">
        <v>0</v>
      </c>
      <c r="D108" s="1359">
        <v>0</v>
      </c>
      <c r="G108" s="1"/>
    </row>
    <row r="109" spans="1:8" x14ac:dyDescent="0.2">
      <c r="A109" s="261" t="s">
        <v>101</v>
      </c>
      <c r="B109" s="641">
        <v>150</v>
      </c>
      <c r="C109" s="1356">
        <v>200</v>
      </c>
      <c r="D109" s="1356">
        <v>0</v>
      </c>
      <c r="G109" s="1"/>
    </row>
    <row r="110" spans="1:8" x14ac:dyDescent="0.2">
      <c r="A110" s="109" t="s">
        <v>137</v>
      </c>
      <c r="B110" s="443">
        <v>1</v>
      </c>
      <c r="C110" s="1359">
        <v>1</v>
      </c>
      <c r="D110" s="1359">
        <v>0</v>
      </c>
      <c r="G110" s="1"/>
    </row>
    <row r="111" spans="1:8" x14ac:dyDescent="0.2">
      <c r="A111" s="261" t="s">
        <v>77</v>
      </c>
      <c r="B111" s="641">
        <v>200</v>
      </c>
      <c r="C111" s="1356">
        <v>400</v>
      </c>
      <c r="D111" s="1356">
        <v>1000</v>
      </c>
      <c r="G111" s="1"/>
    </row>
    <row r="112" spans="1:8" x14ac:dyDescent="0.2">
      <c r="A112" s="109" t="s">
        <v>137</v>
      </c>
      <c r="B112" s="443">
        <v>2</v>
      </c>
      <c r="C112" s="1359">
        <v>1</v>
      </c>
      <c r="D112" s="1359">
        <v>1</v>
      </c>
      <c r="G112" s="1"/>
    </row>
    <row r="113" spans="1:15" x14ac:dyDescent="0.2">
      <c r="A113" s="1"/>
      <c r="G113" s="1"/>
    </row>
    <row r="114" spans="1:15" s="1" customFormat="1" ht="26.25" x14ac:dyDescent="0.4">
      <c r="A114" s="1418" t="str">
        <f>'Variante Vorgaben'!A114:H114</f>
        <v xml:space="preserve">Pflanzenschutzmittel, Wachstumstregulatoren und Blattdüngung                                                                          </v>
      </c>
      <c r="B114" s="1418"/>
      <c r="C114" s="1418"/>
      <c r="D114" s="1418"/>
      <c r="E114" s="1418"/>
      <c r="F114" s="1418"/>
      <c r="G114" s="1418"/>
      <c r="H114" s="1418"/>
    </row>
    <row r="115" spans="1:15" x14ac:dyDescent="0.2">
      <c r="A115" s="19"/>
      <c r="B115" s="19"/>
      <c r="C115" s="46"/>
      <c r="D115" s="43"/>
      <c r="E115" s="43"/>
      <c r="F115" s="43"/>
      <c r="G115" s="19"/>
      <c r="H115" s="19"/>
    </row>
    <row r="116" spans="1:15" ht="18" x14ac:dyDescent="0.25">
      <c r="A116" s="476"/>
      <c r="B116" s="1367" t="s">
        <v>39</v>
      </c>
      <c r="C116" s="476" t="s">
        <v>40</v>
      </c>
      <c r="D116" s="476" t="s">
        <v>648</v>
      </c>
      <c r="E116" s="84"/>
      <c r="F116" s="1345"/>
    </row>
    <row r="117" spans="1:15" ht="18.75" thickBot="1" x14ac:dyDescent="0.3">
      <c r="A117" s="476"/>
      <c r="B117" s="139" t="s">
        <v>22</v>
      </c>
      <c r="C117" s="139" t="s">
        <v>22</v>
      </c>
      <c r="D117" s="139" t="s">
        <v>22</v>
      </c>
      <c r="E117"/>
      <c r="F117"/>
    </row>
    <row r="118" spans="1:15" x14ac:dyDescent="0.2">
      <c r="A118" s="41" t="str">
        <f>'Variante Vorgaben'!A117</f>
        <v>Fungizide</v>
      </c>
      <c r="B118" s="1368">
        <v>1209</v>
      </c>
      <c r="C118" s="1368">
        <v>1209</v>
      </c>
      <c r="D118" s="1368">
        <v>2844</v>
      </c>
      <c r="E118"/>
      <c r="F118"/>
    </row>
    <row r="119" spans="1:15" x14ac:dyDescent="0.2">
      <c r="A119" s="41" t="str">
        <f>'Variante Vorgaben'!A118</f>
        <v>Feuerbrandbekämpfung</v>
      </c>
      <c r="B119" s="1368">
        <v>0</v>
      </c>
      <c r="C119" s="1368">
        <v>0</v>
      </c>
      <c r="D119" s="1368">
        <v>1057</v>
      </c>
      <c r="E119"/>
      <c r="F119"/>
    </row>
    <row r="120" spans="1:15" x14ac:dyDescent="0.2">
      <c r="A120" s="41" t="str">
        <f>'Variante Vorgaben'!A119</f>
        <v>Insektizide</v>
      </c>
      <c r="B120" s="1368">
        <v>491</v>
      </c>
      <c r="C120" s="1368">
        <v>491</v>
      </c>
      <c r="D120" s="1368">
        <v>1241</v>
      </c>
      <c r="E120"/>
      <c r="F120"/>
    </row>
    <row r="121" spans="1:15" x14ac:dyDescent="0.2">
      <c r="A121" s="41" t="str">
        <f>'Variante Vorgaben'!A120</f>
        <v>Herbizide</v>
      </c>
      <c r="B121" s="1368">
        <v>0</v>
      </c>
      <c r="C121" s="1368">
        <v>0</v>
      </c>
      <c r="D121" s="1368">
        <v>430</v>
      </c>
      <c r="E121"/>
      <c r="F121"/>
    </row>
    <row r="122" spans="1:15" x14ac:dyDescent="0.2">
      <c r="A122" s="41" t="str">
        <f>'Variante Vorgaben'!A121</f>
        <v>Behangsregulierung</v>
      </c>
      <c r="B122" s="1368">
        <v>0</v>
      </c>
      <c r="C122" s="1368">
        <v>0</v>
      </c>
      <c r="D122" s="1368">
        <v>10</v>
      </c>
      <c r="E122"/>
      <c r="F122"/>
    </row>
    <row r="123" spans="1:15" x14ac:dyDescent="0.2">
      <c r="A123" s="41" t="str">
        <f>'Variante Vorgaben'!A122</f>
        <v>Blattdüngung</v>
      </c>
      <c r="B123" s="1368">
        <v>0</v>
      </c>
      <c r="C123" s="1368">
        <v>0</v>
      </c>
      <c r="D123" s="1368">
        <v>360</v>
      </c>
      <c r="E123"/>
      <c r="F123"/>
    </row>
    <row r="124" spans="1:15" s="1" customFormat="1" ht="20.25" x14ac:dyDescent="0.3">
      <c r="B124" s="108"/>
      <c r="C124" s="93"/>
      <c r="D124" s="35"/>
      <c r="E124" s="35"/>
      <c r="F124" s="35"/>
      <c r="J124"/>
      <c r="K124"/>
      <c r="L124"/>
      <c r="M124"/>
      <c r="N124"/>
      <c r="O124"/>
    </row>
    <row r="125" spans="1:15" ht="26.25" x14ac:dyDescent="0.4">
      <c r="A125" s="1311" t="s">
        <v>630</v>
      </c>
      <c r="B125" s="1311"/>
      <c r="C125" s="1311"/>
      <c r="D125" s="1311"/>
      <c r="E125" s="1311"/>
      <c r="F125" s="1311"/>
      <c r="G125" s="1311"/>
      <c r="H125" s="1311"/>
    </row>
    <row r="126" spans="1:15" x14ac:dyDescent="0.2">
      <c r="A126" s="216"/>
      <c r="B126" s="216"/>
      <c r="D126" s="11"/>
      <c r="E126" s="11"/>
      <c r="F126" s="11"/>
      <c r="G126" s="13"/>
    </row>
    <row r="127" spans="1:15" x14ac:dyDescent="0.2">
      <c r="A127" s="1312" t="s">
        <v>149</v>
      </c>
      <c r="B127" s="1312"/>
      <c r="C127" s="1312"/>
      <c r="D127" s="11"/>
      <c r="E127" s="11"/>
      <c r="F127" s="11"/>
      <c r="G127" s="13"/>
    </row>
    <row r="128" spans="1:15" x14ac:dyDescent="0.2">
      <c r="A128" s="67"/>
      <c r="B128" s="142"/>
      <c r="C128" s="90"/>
      <c r="D128" s="11"/>
      <c r="E128" s="11"/>
      <c r="F128" s="11"/>
    </row>
    <row r="129" spans="1:9" ht="15" x14ac:dyDescent="0.25">
      <c r="B129" s="718" t="s">
        <v>90</v>
      </c>
      <c r="C129" s="11"/>
      <c r="D129" s="11"/>
      <c r="E129" s="11"/>
      <c r="F129" s="13"/>
      <c r="G129" s="13"/>
      <c r="H129" s="13"/>
    </row>
    <row r="130" spans="1:9" ht="18" customHeight="1" x14ac:dyDescent="0.2">
      <c r="A130" s="531" t="s">
        <v>24</v>
      </c>
      <c r="B130" s="85" t="s">
        <v>452</v>
      </c>
      <c r="C130" s="90"/>
      <c r="D130" s="234">
        <f>D143</f>
        <v>41</v>
      </c>
      <c r="E130" s="11"/>
      <c r="F130" s="715" t="s">
        <v>196</v>
      </c>
      <c r="G130" s="13"/>
      <c r="H130" s="531">
        <v>0.25</v>
      </c>
    </row>
    <row r="131" spans="1:9" ht="18" customHeight="1" x14ac:dyDescent="0.2">
      <c r="A131" s="670"/>
      <c r="B131" s="85"/>
      <c r="C131" s="90"/>
      <c r="D131" s="90"/>
      <c r="E131" s="107"/>
      <c r="F131" s="11"/>
      <c r="G131" s="112"/>
      <c r="H131" s="13"/>
    </row>
    <row r="132" spans="1:9" x14ac:dyDescent="0.2">
      <c r="A132" s="142"/>
      <c r="B132" s="142"/>
      <c r="C132" s="118" t="s">
        <v>104</v>
      </c>
      <c r="D132" s="291" t="s">
        <v>105</v>
      </c>
      <c r="E132" s="92" t="s">
        <v>11</v>
      </c>
      <c r="F132" s="92" t="s">
        <v>346</v>
      </c>
      <c r="G132" s="84" t="s">
        <v>347</v>
      </c>
      <c r="H132" s="92"/>
    </row>
    <row r="133" spans="1:9" x14ac:dyDescent="0.2">
      <c r="A133" s="1417" t="s">
        <v>103</v>
      </c>
      <c r="B133" s="41" t="s">
        <v>649</v>
      </c>
      <c r="C133" s="477">
        <v>1</v>
      </c>
      <c r="D133" s="1374">
        <v>37</v>
      </c>
      <c r="E133" s="247"/>
      <c r="F133" s="246"/>
      <c r="G133" s="1373">
        <v>11.67</v>
      </c>
      <c r="H133" s="246"/>
      <c r="I133" s="419"/>
    </row>
    <row r="134" spans="1:9" x14ac:dyDescent="0.2">
      <c r="A134" s="1417"/>
      <c r="B134" s="41" t="s">
        <v>642</v>
      </c>
      <c r="C134" s="477">
        <v>1</v>
      </c>
      <c r="D134" s="1374">
        <f>42+27</f>
        <v>69</v>
      </c>
      <c r="E134" s="247"/>
      <c r="F134" s="246"/>
      <c r="G134" s="1373">
        <f>6.07+7.15</f>
        <v>13.22</v>
      </c>
      <c r="H134" s="246"/>
      <c r="I134" s="836"/>
    </row>
    <row r="135" spans="1:9" x14ac:dyDescent="0.2">
      <c r="A135" s="1417"/>
      <c r="B135" s="142" t="s">
        <v>88</v>
      </c>
      <c r="C135" s="477">
        <v>1</v>
      </c>
      <c r="D135" s="1374">
        <v>18</v>
      </c>
      <c r="E135" s="247"/>
      <c r="F135" s="246"/>
      <c r="G135" s="1373">
        <v>7.03</v>
      </c>
      <c r="H135" s="246"/>
      <c r="I135" s="419"/>
    </row>
    <row r="136" spans="1:9" x14ac:dyDescent="0.2">
      <c r="A136" s="1417"/>
      <c r="B136" s="142" t="s">
        <v>195</v>
      </c>
      <c r="C136" s="1324">
        <v>960</v>
      </c>
      <c r="D136" s="1374">
        <v>9.1999999999999993</v>
      </c>
      <c r="E136" s="248">
        <v>4</v>
      </c>
      <c r="F136" s="246"/>
      <c r="G136" s="1373">
        <v>1.53</v>
      </c>
      <c r="H136" s="246"/>
      <c r="I136" s="419"/>
    </row>
    <row r="137" spans="1:9" x14ac:dyDescent="0.2">
      <c r="A137" s="1417"/>
      <c r="B137" s="41" t="s">
        <v>643</v>
      </c>
      <c r="C137" s="477">
        <v>1</v>
      </c>
      <c r="D137" s="1374">
        <v>42</v>
      </c>
      <c r="E137" s="43">
        <v>7</v>
      </c>
      <c r="F137" s="246"/>
      <c r="G137" s="1373">
        <v>14.5</v>
      </c>
      <c r="H137" s="246"/>
      <c r="I137" s="419"/>
    </row>
    <row r="138" spans="1:9" x14ac:dyDescent="0.2">
      <c r="A138" s="1417"/>
      <c r="B138" s="142" t="s">
        <v>61</v>
      </c>
      <c r="C138" s="477">
        <v>2</v>
      </c>
      <c r="D138" s="80">
        <f>F138+G138</f>
        <v>68.31</v>
      </c>
      <c r="E138" s="43">
        <v>1</v>
      </c>
      <c r="F138" s="479">
        <v>39.26</v>
      </c>
      <c r="G138" s="479">
        <v>29.05</v>
      </c>
      <c r="H138" s="246"/>
      <c r="I138" s="419"/>
    </row>
    <row r="139" spans="1:9" x14ac:dyDescent="0.2">
      <c r="A139" s="1417"/>
      <c r="B139" s="142" t="s">
        <v>138</v>
      </c>
      <c r="C139" s="90"/>
      <c r="D139" s="716">
        <v>500</v>
      </c>
      <c r="E139" s="43"/>
      <c r="F139" s="246"/>
      <c r="G139" s="246"/>
    </row>
    <row r="140" spans="1:9" x14ac:dyDescent="0.2">
      <c r="A140" s="1417"/>
      <c r="B140" s="142" t="s">
        <v>577</v>
      </c>
      <c r="C140" s="477">
        <f>1/6</f>
        <v>0.16666666666666666</v>
      </c>
      <c r="D140" s="1372">
        <v>17.5</v>
      </c>
      <c r="E140" s="43">
        <v>1</v>
      </c>
      <c r="F140" s="246"/>
      <c r="G140" s="1373">
        <v>3.98</v>
      </c>
      <c r="H140" s="246"/>
    </row>
    <row r="141" spans="1:9" x14ac:dyDescent="0.2">
      <c r="A141" s="85"/>
      <c r="B141" s="142"/>
      <c r="C141" s="245"/>
      <c r="D141" s="90"/>
      <c r="E141" s="11"/>
      <c r="F141" s="124"/>
      <c r="G141" s="124"/>
      <c r="H141" s="124"/>
    </row>
    <row r="142" spans="1:9" ht="17.45" customHeight="1" x14ac:dyDescent="0.25">
      <c r="A142" s="48"/>
      <c r="B142" s="718" t="s">
        <v>97</v>
      </c>
      <c r="C142" s="118" t="s">
        <v>75</v>
      </c>
      <c r="D142" s="92" t="s">
        <v>21</v>
      </c>
      <c r="E142" s="92"/>
      <c r="F142" s="710" t="s">
        <v>348</v>
      </c>
      <c r="G142" s="710" t="s">
        <v>349</v>
      </c>
      <c r="H142" s="92" t="s">
        <v>453</v>
      </c>
    </row>
    <row r="143" spans="1:9" x14ac:dyDescent="0.2">
      <c r="A143" s="719" t="s">
        <v>24</v>
      </c>
      <c r="B143" s="85" t="s">
        <v>615</v>
      </c>
      <c r="C143" s="245" t="s">
        <v>2</v>
      </c>
      <c r="D143" s="1375">
        <v>41</v>
      </c>
      <c r="E143" s="11"/>
      <c r="F143" s="605"/>
      <c r="G143" s="605"/>
      <c r="H143" s="246"/>
      <c r="I143" s="419"/>
    </row>
    <row r="144" spans="1:9" x14ac:dyDescent="0.2">
      <c r="A144" s="1417" t="s">
        <v>103</v>
      </c>
      <c r="B144" s="142" t="s">
        <v>162</v>
      </c>
      <c r="C144" s="480">
        <v>3.8</v>
      </c>
      <c r="D144" s="1377">
        <v>23</v>
      </c>
      <c r="E144" s="11"/>
      <c r="F144" s="246"/>
      <c r="G144" s="246"/>
      <c r="H144" s="246"/>
      <c r="I144" s="419"/>
    </row>
    <row r="145" spans="1:9" x14ac:dyDescent="0.2">
      <c r="A145" s="1417"/>
      <c r="B145" s="41" t="s">
        <v>616</v>
      </c>
      <c r="C145" s="480">
        <v>1.8</v>
      </c>
      <c r="D145" s="1377">
        <v>101</v>
      </c>
      <c r="E145" s="11"/>
      <c r="F145" s="246"/>
      <c r="G145" s="246"/>
      <c r="H145" s="246"/>
      <c r="I145" s="419"/>
    </row>
    <row r="146" spans="1:9" x14ac:dyDescent="0.2">
      <c r="A146" s="1417"/>
      <c r="B146" s="142" t="s">
        <v>87</v>
      </c>
      <c r="C146" s="480">
        <v>1.6</v>
      </c>
      <c r="D146" s="1377">
        <v>90</v>
      </c>
      <c r="E146" s="11"/>
      <c r="F146" s="246"/>
      <c r="G146" s="246"/>
      <c r="H146" s="246"/>
      <c r="I146" s="419"/>
    </row>
    <row r="147" spans="1:9" x14ac:dyDescent="0.2">
      <c r="A147" s="1417"/>
      <c r="B147" s="142" t="s">
        <v>89</v>
      </c>
      <c r="C147" s="481">
        <v>0.1</v>
      </c>
      <c r="D147" s="90">
        <f>H147</f>
        <v>14.1</v>
      </c>
      <c r="E147" s="11"/>
      <c r="F147" s="479">
        <v>11.99</v>
      </c>
      <c r="G147" s="479">
        <v>2.0699999999999998</v>
      </c>
      <c r="H147" s="246">
        <f t="shared" ref="H147:H148" si="6">ROUND(F147+G147,1)</f>
        <v>14.1</v>
      </c>
      <c r="I147" s="419"/>
    </row>
    <row r="148" spans="1:9" x14ac:dyDescent="0.2">
      <c r="A148" s="1417"/>
      <c r="B148" s="142" t="s">
        <v>386</v>
      </c>
      <c r="C148" s="249"/>
      <c r="D148" s="90">
        <f>H148</f>
        <v>23.5</v>
      </c>
      <c r="E148" s="11"/>
      <c r="F148" s="479">
        <v>20.22</v>
      </c>
      <c r="G148" s="479">
        <v>3.24</v>
      </c>
      <c r="H148" s="246">
        <f t="shared" si="6"/>
        <v>23.5</v>
      </c>
      <c r="I148" s="419"/>
    </row>
    <row r="149" spans="1:9" x14ac:dyDescent="0.2">
      <c r="A149" s="1417"/>
      <c r="B149" s="142" t="s">
        <v>375</v>
      </c>
      <c r="C149" s="249" t="s">
        <v>385</v>
      </c>
      <c r="D149" s="482">
        <v>150</v>
      </c>
      <c r="E149" s="11"/>
      <c r="F149" s="246"/>
      <c r="G149" s="246"/>
      <c r="H149" s="246"/>
      <c r="I149" s="411"/>
    </row>
    <row r="150" spans="1:9" ht="18.75" customHeight="1" x14ac:dyDescent="0.2">
      <c r="A150" s="1417"/>
      <c r="B150" s="269" t="s">
        <v>388</v>
      </c>
      <c r="C150" s="249"/>
      <c r="D150" s="250">
        <f>D140</f>
        <v>17.5</v>
      </c>
      <c r="E150" s="11"/>
      <c r="F150" s="246"/>
      <c r="G150" s="246"/>
      <c r="H150" s="246"/>
    </row>
    <row r="151" spans="1:9" x14ac:dyDescent="0.2">
      <c r="A151" s="1417"/>
      <c r="B151" s="142" t="s">
        <v>25</v>
      </c>
      <c r="C151" s="90"/>
      <c r="D151" s="717">
        <v>500</v>
      </c>
      <c r="E151" s="11"/>
      <c r="F151" s="246"/>
      <c r="G151" s="246"/>
      <c r="H151" s="124"/>
    </row>
    <row r="152" spans="1:9" x14ac:dyDescent="0.2">
      <c r="H152" s="117"/>
    </row>
    <row r="153" spans="1:9" ht="26.25" x14ac:dyDescent="0.4">
      <c r="A153" s="1311" t="s">
        <v>17</v>
      </c>
      <c r="B153" s="1311"/>
      <c r="C153" s="1311"/>
      <c r="D153" s="1311"/>
      <c r="E153" s="1311"/>
      <c r="F153" s="1311"/>
      <c r="G153" s="1311"/>
      <c r="H153" s="1311"/>
    </row>
    <row r="154" spans="1:9" x14ac:dyDescent="0.2">
      <c r="C154" s="164" t="s">
        <v>179</v>
      </c>
      <c r="D154" s="38" t="s">
        <v>178</v>
      </c>
    </row>
    <row r="155" spans="1:9" ht="25.5" x14ac:dyDescent="0.2">
      <c r="A155" s="48" t="s">
        <v>176</v>
      </c>
      <c r="B155" s="165" t="s">
        <v>180</v>
      </c>
      <c r="C155" s="416">
        <v>10</v>
      </c>
      <c r="D155" s="443">
        <v>15</v>
      </c>
      <c r="E155" s="125"/>
    </row>
    <row r="156" spans="1:9" ht="18" customHeight="1" x14ac:dyDescent="0.2">
      <c r="B156" t="s">
        <v>177</v>
      </c>
      <c r="C156" s="491">
        <v>0</v>
      </c>
      <c r="D156" s="492">
        <v>15</v>
      </c>
      <c r="E156" s="35"/>
    </row>
    <row r="157" spans="1:9" x14ac:dyDescent="0.2">
      <c r="C157" s="251">
        <f>SUM(C155:C156)</f>
        <v>10</v>
      </c>
      <c r="D157" s="252">
        <f>((C155*D155)+(C156*D156))/C157</f>
        <v>15</v>
      </c>
      <c r="E157" s="35"/>
    </row>
    <row r="158" spans="1:9" ht="13.5" thickBot="1" x14ac:dyDescent="0.25">
      <c r="A158" s="48" t="s">
        <v>171</v>
      </c>
      <c r="C158" s="93"/>
      <c r="D158" s="35"/>
      <c r="E158" s="139" t="s">
        <v>168</v>
      </c>
    </row>
    <row r="159" spans="1:9" x14ac:dyDescent="0.2">
      <c r="B159" t="s">
        <v>169</v>
      </c>
      <c r="C159" s="93"/>
      <c r="D159" s="35"/>
      <c r="E159" s="493">
        <v>200</v>
      </c>
      <c r="G159" s="10"/>
    </row>
    <row r="160" spans="1:9" x14ac:dyDescent="0.2">
      <c r="B160" t="s">
        <v>170</v>
      </c>
      <c r="C160" s="93"/>
      <c r="D160" s="35"/>
      <c r="E160" s="898">
        <v>200</v>
      </c>
    </row>
    <row r="161" spans="1:8" x14ac:dyDescent="0.2">
      <c r="E161" s="263">
        <f>SUM(E159:E160)</f>
        <v>400</v>
      </c>
    </row>
    <row r="163" spans="1:8" x14ac:dyDescent="0.2">
      <c r="C163" s="93"/>
      <c r="D163" s="35"/>
      <c r="E163" s="35"/>
      <c r="F163" s="35"/>
    </row>
    <row r="164" spans="1:8" ht="25.5" customHeight="1" x14ac:dyDescent="0.4">
      <c r="A164" s="1311" t="s">
        <v>631</v>
      </c>
      <c r="B164" s="1311"/>
      <c r="C164" s="1311"/>
      <c r="D164" s="1311"/>
      <c r="E164" s="1311"/>
      <c r="F164" s="1311"/>
      <c r="G164" s="1311"/>
      <c r="H164" s="1311"/>
    </row>
    <row r="165" spans="1:8" ht="17.45" customHeight="1" x14ac:dyDescent="0.2">
      <c r="A165" s="13"/>
      <c r="B165" s="13"/>
      <c r="C165" s="709" t="s">
        <v>11</v>
      </c>
      <c r="D165" s="709" t="s">
        <v>12</v>
      </c>
      <c r="E165" s="709" t="s">
        <v>168</v>
      </c>
      <c r="F165" s="43"/>
    </row>
    <row r="166" spans="1:8" x14ac:dyDescent="0.2">
      <c r="A166" s="70" t="s">
        <v>275</v>
      </c>
      <c r="B166" s="19" t="s">
        <v>91</v>
      </c>
      <c r="C166" s="725"/>
      <c r="D166" s="466">
        <f>9.55*0.85</f>
        <v>8.1174999999999997</v>
      </c>
      <c r="E166" s="43"/>
      <c r="F166" s="415"/>
    </row>
    <row r="167" spans="1:8" x14ac:dyDescent="0.2">
      <c r="A167" s="13"/>
      <c r="B167" s="19" t="s">
        <v>443</v>
      </c>
      <c r="C167" s="46"/>
      <c r="D167" s="466">
        <f>13.9*0.94</f>
        <v>13.065999999999999</v>
      </c>
      <c r="E167" s="43"/>
      <c r="F167" s="415"/>
    </row>
    <row r="168" spans="1:8" x14ac:dyDescent="0.2">
      <c r="A168" s="13"/>
      <c r="B168" s="19" t="s">
        <v>444</v>
      </c>
      <c r="C168" s="46"/>
      <c r="D168" s="466">
        <f>21.4*0.97</f>
        <v>20.757999999999999</v>
      </c>
      <c r="E168" s="43"/>
      <c r="F168" s="415"/>
    </row>
    <row r="169" spans="1:8" x14ac:dyDescent="0.2">
      <c r="A169" s="13"/>
      <c r="B169" s="19" t="s">
        <v>444</v>
      </c>
      <c r="C169" s="496">
        <v>6</v>
      </c>
      <c r="D169" s="466">
        <v>26.75</v>
      </c>
      <c r="E169" s="43"/>
      <c r="F169" s="415"/>
    </row>
    <row r="170" spans="1:8" x14ac:dyDescent="0.2">
      <c r="A170" s="13"/>
      <c r="B170" s="19" t="s">
        <v>15</v>
      </c>
      <c r="C170" s="496">
        <v>2</v>
      </c>
      <c r="D170" s="466">
        <v>200</v>
      </c>
      <c r="E170" s="43"/>
      <c r="F170" s="415"/>
    </row>
    <row r="171" spans="1:8" x14ac:dyDescent="0.2">
      <c r="A171" s="13"/>
      <c r="B171" s="19" t="s">
        <v>445</v>
      </c>
      <c r="C171" s="726"/>
      <c r="D171" s="466">
        <v>6.9</v>
      </c>
      <c r="E171" s="43"/>
      <c r="F171" s="415"/>
    </row>
    <row r="172" spans="1:8" x14ac:dyDescent="0.2">
      <c r="A172" s="13"/>
      <c r="B172" s="19" t="s">
        <v>92</v>
      </c>
      <c r="C172" s="487">
        <v>3</v>
      </c>
      <c r="D172" s="466">
        <v>14.3</v>
      </c>
      <c r="E172" s="43"/>
      <c r="F172" s="415"/>
    </row>
    <row r="173" spans="1:8" x14ac:dyDescent="0.2">
      <c r="A173" s="13"/>
      <c r="B173" s="19" t="s">
        <v>16</v>
      </c>
      <c r="C173" s="46" t="s">
        <v>396</v>
      </c>
      <c r="D173" s="474">
        <v>0.25</v>
      </c>
      <c r="E173" s="43"/>
      <c r="F173" s="35"/>
    </row>
    <row r="174" spans="1:8" x14ac:dyDescent="0.2">
      <c r="A174" s="13"/>
      <c r="B174" s="19" t="s">
        <v>397</v>
      </c>
      <c r="C174" s="46" t="s">
        <v>398</v>
      </c>
      <c r="D174" s="474">
        <v>1</v>
      </c>
      <c r="E174" s="43"/>
      <c r="F174" s="35"/>
    </row>
    <row r="175" spans="1:8" x14ac:dyDescent="0.2">
      <c r="A175" s="19"/>
      <c r="B175" s="19" t="s">
        <v>94</v>
      </c>
      <c r="C175" s="46"/>
      <c r="D175" s="61"/>
      <c r="E175" s="728">
        <v>300</v>
      </c>
      <c r="F175" s="35"/>
    </row>
    <row r="176" spans="1:8" x14ac:dyDescent="0.2">
      <c r="A176" s="13"/>
      <c r="B176" s="13"/>
      <c r="C176" s="95"/>
      <c r="D176" s="35"/>
      <c r="E176" s="35"/>
      <c r="F176" s="35"/>
    </row>
    <row r="177" spans="1:8" ht="16.5" customHeight="1" x14ac:dyDescent="0.2">
      <c r="A177" s="40" t="s">
        <v>28</v>
      </c>
      <c r="B177" s="13"/>
      <c r="C177" s="723" t="s">
        <v>27</v>
      </c>
      <c r="D177" s="35"/>
      <c r="E177" s="35"/>
      <c r="F177" s="35"/>
    </row>
    <row r="178" spans="1:8" ht="15" customHeight="1" x14ac:dyDescent="0.2">
      <c r="A178" s="13"/>
      <c r="B178" s="19" t="s">
        <v>33</v>
      </c>
      <c r="C178" s="595">
        <v>70</v>
      </c>
      <c r="D178" s="35"/>
      <c r="E178" s="35"/>
      <c r="F178" s="415"/>
    </row>
    <row r="179" spans="1:8" ht="26.25" x14ac:dyDescent="0.4">
      <c r="A179" s="1311" t="s">
        <v>336</v>
      </c>
      <c r="B179" s="1311"/>
      <c r="C179" s="1311"/>
      <c r="D179" s="1311"/>
      <c r="E179" s="1311"/>
      <c r="F179" s="1311"/>
      <c r="G179" s="1311"/>
      <c r="H179" s="1311"/>
    </row>
    <row r="180" spans="1:8" x14ac:dyDescent="0.2">
      <c r="B180" t="str">
        <f>Eingabeseite!A34</f>
        <v>Hagelnetz  (ja=1, nein =0)</v>
      </c>
      <c r="C180" s="416">
        <v>1</v>
      </c>
    </row>
    <row r="181" spans="1:8" x14ac:dyDescent="0.2">
      <c r="B181" t="str">
        <f>Eingabeseite!A35</f>
        <v>Hagelversicherung (ja =1, nein =0)</v>
      </c>
      <c r="C181" s="416">
        <v>0</v>
      </c>
      <c r="D181" s="93"/>
    </row>
    <row r="182" spans="1:8" x14ac:dyDescent="0.2">
      <c r="B182" t="str">
        <f>Eingabeseite!A36</f>
        <v>Versicherte Summe</v>
      </c>
      <c r="C182" s="416">
        <v>0</v>
      </c>
      <c r="D182" s="93"/>
    </row>
    <row r="183" spans="1:8" ht="26.25" x14ac:dyDescent="0.4">
      <c r="A183" s="1311" t="s">
        <v>550</v>
      </c>
      <c r="B183" s="1311"/>
      <c r="C183" s="1311"/>
      <c r="D183" s="1311"/>
      <c r="E183" s="1311"/>
      <c r="F183" s="1311"/>
      <c r="G183" s="1311"/>
      <c r="H183" s="1311"/>
    </row>
    <row r="184" spans="1:8" x14ac:dyDescent="0.2">
      <c r="B184" t="str">
        <f>Eingabeseite!A37</f>
        <v>Wasserpreis (Fr/m3)</v>
      </c>
      <c r="C184" s="971">
        <v>1</v>
      </c>
    </row>
    <row r="185" spans="1:8" x14ac:dyDescent="0.2">
      <c r="B185" t="s">
        <v>584</v>
      </c>
      <c r="C185" s="985">
        <v>500</v>
      </c>
    </row>
    <row r="186" spans="1:8" x14ac:dyDescent="0.2">
      <c r="B186" t="str">
        <f>Eingabeseite!A39</f>
        <v>Bewässerung mit Tropfenbewässerung (ja=1, nein =0)</v>
      </c>
      <c r="C186" s="416">
        <v>1</v>
      </c>
    </row>
    <row r="187" spans="1:8" ht="13.5" thickBot="1" x14ac:dyDescent="0.25">
      <c r="B187" t="str">
        <f>Eingabeseite!A40</f>
        <v>Bewässerung mit Mikrojet              (ja=1, nein=0)</v>
      </c>
      <c r="C187" s="981">
        <v>0</v>
      </c>
    </row>
    <row r="188" spans="1:8" x14ac:dyDescent="0.2">
      <c r="B188" t="s">
        <v>575</v>
      </c>
      <c r="C188" s="416">
        <f>SUM(C186:C187)</f>
        <v>1</v>
      </c>
    </row>
    <row r="189" spans="1:8" x14ac:dyDescent="0.2">
      <c r="B189" t="s">
        <v>585</v>
      </c>
      <c r="C189" s="94">
        <f>C186*'Standard Bewässerung'!H56+C187*'Standard Bewässerung'!H113</f>
        <v>1317.8</v>
      </c>
    </row>
    <row r="190" spans="1:8" ht="26.25" x14ac:dyDescent="0.4">
      <c r="A190" s="1311" t="s">
        <v>579</v>
      </c>
      <c r="B190" s="1311"/>
      <c r="C190" s="1311"/>
      <c r="D190" s="1311"/>
      <c r="E190" s="1311"/>
      <c r="F190" s="1311"/>
      <c r="G190" s="1311"/>
      <c r="H190" s="1311"/>
    </row>
    <row r="191" spans="1:8" x14ac:dyDescent="0.2">
      <c r="B191" t="s">
        <v>580</v>
      </c>
      <c r="C191" s="972">
        <f>C180+C188</f>
        <v>2</v>
      </c>
    </row>
    <row r="234" spans="1:8" x14ac:dyDescent="0.2">
      <c r="A234" s="13"/>
      <c r="B234" s="13"/>
      <c r="C234" s="13"/>
      <c r="D234" s="950"/>
      <c r="E234" s="959"/>
      <c r="F234" s="951"/>
      <c r="G234" s="951"/>
      <c r="H234" s="958"/>
    </row>
    <row r="235" spans="1:8" x14ac:dyDescent="0.2">
      <c r="A235" s="13"/>
      <c r="B235" s="13"/>
      <c r="C235" s="954"/>
      <c r="D235" s="955"/>
      <c r="E235" s="956"/>
      <c r="F235" s="953"/>
      <c r="G235" s="953"/>
      <c r="H235" s="953"/>
    </row>
    <row r="236" spans="1:8" x14ac:dyDescent="0.2">
      <c r="A236" s="13"/>
      <c r="B236" s="13"/>
      <c r="C236" s="954"/>
      <c r="D236" s="955"/>
      <c r="E236" s="956"/>
      <c r="F236" s="953"/>
      <c r="G236" s="953"/>
      <c r="H236" s="958"/>
    </row>
    <row r="237" spans="1:8" x14ac:dyDescent="0.2">
      <c r="A237" s="13"/>
      <c r="B237" s="13"/>
      <c r="C237" s="954"/>
      <c r="D237" s="955"/>
      <c r="E237" s="956"/>
      <c r="F237" s="953"/>
      <c r="G237" s="953"/>
      <c r="H237" s="958"/>
    </row>
    <row r="238" spans="1:8" x14ac:dyDescent="0.2">
      <c r="C238" s="112"/>
      <c r="D238" s="13"/>
      <c r="E238" s="112"/>
      <c r="F238" s="13"/>
    </row>
    <row r="239" spans="1:8" x14ac:dyDescent="0.2">
      <c r="C239" s="90"/>
      <c r="D239" s="11"/>
      <c r="E239" s="11"/>
      <c r="F239" s="11"/>
    </row>
    <row r="240" spans="1:8" x14ac:dyDescent="0.2">
      <c r="C240" s="90"/>
      <c r="D240" s="11"/>
      <c r="E240" s="11"/>
      <c r="F240" s="11"/>
    </row>
    <row r="241" spans="3:6" x14ac:dyDescent="0.2">
      <c r="C241" s="90"/>
      <c r="D241" s="11"/>
      <c r="E241" s="11"/>
      <c r="F241" s="11"/>
    </row>
    <row r="242" spans="3:6" x14ac:dyDescent="0.2">
      <c r="C242" s="90"/>
      <c r="D242" s="11"/>
      <c r="E242" s="11"/>
      <c r="F242" s="11"/>
    </row>
  </sheetData>
  <mergeCells count="15">
    <mergeCell ref="A144:A151"/>
    <mergeCell ref="A133:A140"/>
    <mergeCell ref="A114:H114"/>
    <mergeCell ref="D69:E69"/>
    <mergeCell ref="B3:H3"/>
    <mergeCell ref="A4:H4"/>
    <mergeCell ref="A6:H6"/>
    <mergeCell ref="B12:F12"/>
    <mergeCell ref="B14:D14"/>
    <mergeCell ref="A46:H46"/>
    <mergeCell ref="D90:D91"/>
    <mergeCell ref="E90:E91"/>
    <mergeCell ref="A68:H68"/>
    <mergeCell ref="A89:H89"/>
    <mergeCell ref="A99:H99"/>
  </mergeCells>
  <phoneticPr fontId="23" type="noConversion"/>
  <dataValidations count="2">
    <dataValidation type="custom" showErrorMessage="1" errorTitle="Falsche Bruttofläche" error="Die Bruttofläche entspricht nicht 10000 m2" sqref="B19" xr:uid="{00000000-0002-0000-0900-000000000000}">
      <formula1>B18*B19=10000</formula1>
    </dataValidation>
    <dataValidation type="whole" operator="notEqual" showErrorMessage="1" errorTitle="Falsche Länge" error="Es muss eine Länge eingetragen sein" sqref="E10 B18" xr:uid="{00000000-0002-0000-0900-000001000000}">
      <formula1>0</formula1>
    </dataValidation>
  </dataValidations>
  <printOptions gridLines="1" gridLinesSet="0"/>
  <pageMargins left="0.39370078740157483" right="0.39370078740157483" top="0.59055118110236227" bottom="0.59055118110236227" header="0.51181102362204722" footer="0.51181102362204722"/>
  <pageSetup paperSize="9" scale="54" orientation="portrait" r:id="rId1"/>
  <headerFooter alignWithMargins="0">
    <oddFooter>&amp;LArbokost 2008&amp;RAgroscope Changins -  Wädenswil ACW</oddFooter>
  </headerFooter>
  <rowBreaks count="2" manualBreakCount="2">
    <brk id="87" max="16383" man="1"/>
    <brk id="152" max="1638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4">
    <tabColor indexed="10"/>
  </sheetPr>
  <dimension ref="A1:H93"/>
  <sheetViews>
    <sheetView zoomScale="75" workbookViewId="0">
      <selection activeCell="A9" sqref="A9:XFD10"/>
    </sheetView>
  </sheetViews>
  <sheetFormatPr baseColWidth="10" defaultRowHeight="12.75" x14ac:dyDescent="0.2"/>
  <cols>
    <col min="1" max="1" width="30" customWidth="1"/>
    <col min="2" max="4" width="11.42578125" customWidth="1"/>
    <col min="5" max="5" width="15.5703125" customWidth="1"/>
    <col min="6" max="256" width="9.140625" customWidth="1"/>
  </cols>
  <sheetData>
    <row r="1" spans="1:8" ht="44.25" customHeight="1" x14ac:dyDescent="0.4">
      <c r="A1" s="1135" t="str">
        <f>Eingabeseite!A1</f>
        <v>Arbokost 2023</v>
      </c>
      <c r="B1" s="879"/>
      <c r="C1" s="686"/>
      <c r="D1" s="687"/>
      <c r="E1" s="688"/>
      <c r="F1" s="689"/>
      <c r="G1" s="690"/>
      <c r="H1" s="685"/>
    </row>
    <row r="2" spans="1:8" ht="27" customHeight="1" x14ac:dyDescent="0.35">
      <c r="A2" s="880" t="s">
        <v>468</v>
      </c>
      <c r="B2" s="730"/>
      <c r="C2" s="686"/>
      <c r="D2" s="687"/>
      <c r="E2" s="688"/>
      <c r="F2" s="689"/>
      <c r="G2" s="690"/>
      <c r="H2" s="685"/>
    </row>
    <row r="3" spans="1:8" s="1" customFormat="1" ht="48.6" customHeight="1" x14ac:dyDescent="0.2">
      <c r="A3" s="731" t="s">
        <v>151</v>
      </c>
      <c r="B3" s="1419" t="s">
        <v>205</v>
      </c>
      <c r="C3" s="1419"/>
      <c r="D3" s="1419"/>
      <c r="E3" s="1419"/>
      <c r="F3" s="1419"/>
      <c r="G3" s="1419"/>
      <c r="H3" s="1419"/>
    </row>
    <row r="4" spans="1:8" s="1" customFormat="1" ht="38.25" customHeight="1" x14ac:dyDescent="0.2">
      <c r="A4" s="1451" t="s">
        <v>602</v>
      </c>
      <c r="B4" s="1451"/>
      <c r="C4" s="1451"/>
      <c r="D4" s="1451"/>
      <c r="E4" s="1451"/>
      <c r="F4" s="1451"/>
      <c r="G4" s="1451"/>
      <c r="H4" s="1451"/>
    </row>
    <row r="6" spans="1:8" ht="15.75" x14ac:dyDescent="0.25">
      <c r="A6" s="40" t="s">
        <v>650</v>
      </c>
      <c r="C6" s="483"/>
      <c r="D6" s="1392">
        <v>0.18</v>
      </c>
      <c r="E6" s="484"/>
    </row>
    <row r="7" spans="1:8" ht="26.25" x14ac:dyDescent="0.4">
      <c r="A7" s="1418" t="s">
        <v>632</v>
      </c>
      <c r="B7" s="1418"/>
      <c r="C7" s="1418"/>
      <c r="D7" s="1418"/>
      <c r="E7" s="1418"/>
      <c r="F7" s="1418"/>
      <c r="G7" s="1418"/>
      <c r="H7" s="1418"/>
    </row>
    <row r="8" spans="1:8" ht="26.25" x14ac:dyDescent="0.4">
      <c r="A8" s="302" t="s">
        <v>275</v>
      </c>
      <c r="B8" s="720"/>
      <c r="C8" s="721" t="s">
        <v>11</v>
      </c>
      <c r="D8" s="721" t="s">
        <v>12</v>
      </c>
      <c r="E8" s="722" t="s">
        <v>82</v>
      </c>
      <c r="F8" s="43"/>
    </row>
    <row r="9" spans="1:8" x14ac:dyDescent="0.2">
      <c r="A9" s="40" t="s">
        <v>140</v>
      </c>
      <c r="B9" s="19" t="s">
        <v>304</v>
      </c>
      <c r="C9" s="485">
        <v>2000</v>
      </c>
      <c r="D9" s="466">
        <v>2.5</v>
      </c>
      <c r="E9" s="43">
        <f>C9*D9</f>
        <v>5000</v>
      </c>
      <c r="F9" s="415"/>
    </row>
    <row r="10" spans="1:8" x14ac:dyDescent="0.2">
      <c r="A10" s="40"/>
      <c r="B10" s="19" t="s">
        <v>159</v>
      </c>
      <c r="C10" s="486">
        <v>2530</v>
      </c>
      <c r="D10" s="466">
        <v>0.35</v>
      </c>
      <c r="E10" s="43">
        <f>C10*D10</f>
        <v>885.5</v>
      </c>
      <c r="F10" s="415"/>
    </row>
    <row r="11" spans="1:8" x14ac:dyDescent="0.2">
      <c r="A11" s="40"/>
      <c r="B11" s="19" t="s">
        <v>160</v>
      </c>
      <c r="C11" s="487">
        <v>6</v>
      </c>
      <c r="D11" s="1379">
        <f>5.5*(1+D6)</f>
        <v>6.4899999999999993</v>
      </c>
      <c r="E11" s="43">
        <f>C11*D11</f>
        <v>38.94</v>
      </c>
      <c r="F11" s="415"/>
    </row>
    <row r="12" spans="1:8" x14ac:dyDescent="0.2">
      <c r="A12" s="40"/>
      <c r="B12" s="19" t="s">
        <v>161</v>
      </c>
      <c r="C12" s="485">
        <v>2000</v>
      </c>
      <c r="D12" s="466">
        <v>0.2</v>
      </c>
      <c r="E12" s="43">
        <f>C12*D12</f>
        <v>400</v>
      </c>
      <c r="F12" s="415"/>
    </row>
    <row r="13" spans="1:8" x14ac:dyDescent="0.2">
      <c r="A13" s="40"/>
      <c r="B13" s="19"/>
      <c r="C13" s="127"/>
      <c r="D13" s="44"/>
      <c r="E13" s="43"/>
      <c r="F13" s="415"/>
    </row>
    <row r="14" spans="1:8" x14ac:dyDescent="0.2">
      <c r="A14" s="85" t="s">
        <v>336</v>
      </c>
      <c r="B14" s="69" t="s">
        <v>383</v>
      </c>
      <c r="C14" s="489">
        <v>9800</v>
      </c>
      <c r="D14" s="490">
        <f>0.58*(1+D6)</f>
        <v>0.6843999999999999</v>
      </c>
      <c r="E14" s="200">
        <f t="shared" ref="E14:E23" si="0">C14*D14</f>
        <v>6707.119999999999</v>
      </c>
      <c r="F14" s="415"/>
    </row>
    <row r="15" spans="1:8" x14ac:dyDescent="0.2">
      <c r="A15" s="85"/>
      <c r="B15" s="69" t="s">
        <v>350</v>
      </c>
      <c r="C15" s="489">
        <v>1200</v>
      </c>
      <c r="D15" s="490">
        <f>0.28*(1+D6)</f>
        <v>0.33040000000000003</v>
      </c>
      <c r="E15" s="200">
        <f t="shared" si="0"/>
        <v>396.48</v>
      </c>
      <c r="F15" s="415"/>
    </row>
    <row r="16" spans="1:8" x14ac:dyDescent="0.2">
      <c r="A16" s="85"/>
      <c r="B16" s="69" t="s">
        <v>351</v>
      </c>
      <c r="C16" s="489">
        <v>1750</v>
      </c>
      <c r="D16" s="490">
        <f>0.83*(1+D6)</f>
        <v>0.97939999999999994</v>
      </c>
      <c r="E16" s="200">
        <f t="shared" si="0"/>
        <v>1713.9499999999998</v>
      </c>
      <c r="F16" s="415"/>
    </row>
    <row r="17" spans="1:6" x14ac:dyDescent="0.2">
      <c r="A17" s="85"/>
      <c r="B17" s="69" t="s">
        <v>456</v>
      </c>
      <c r="C17" s="489">
        <v>100</v>
      </c>
      <c r="D17" s="1380">
        <f>0.55*(1+D6)</f>
        <v>0.64900000000000002</v>
      </c>
      <c r="E17" s="200">
        <f t="shared" si="0"/>
        <v>64.900000000000006</v>
      </c>
      <c r="F17" s="415"/>
    </row>
    <row r="18" spans="1:6" x14ac:dyDescent="0.2">
      <c r="A18" s="85"/>
      <c r="B18" s="69" t="s">
        <v>457</v>
      </c>
      <c r="C18" s="489">
        <v>165</v>
      </c>
      <c r="D18" s="490">
        <f>1.19*(1+D6)</f>
        <v>1.4041999999999999</v>
      </c>
      <c r="E18" s="200">
        <f t="shared" si="0"/>
        <v>231.69299999999998</v>
      </c>
      <c r="F18" s="415"/>
    </row>
    <row r="19" spans="1:6" x14ac:dyDescent="0.2">
      <c r="A19" s="85"/>
      <c r="B19" s="69" t="s">
        <v>458</v>
      </c>
      <c r="C19" s="489">
        <v>310</v>
      </c>
      <c r="D19" s="490">
        <f>1.19*(1+D6)</f>
        <v>1.4041999999999999</v>
      </c>
      <c r="E19" s="200">
        <f t="shared" si="0"/>
        <v>435.30199999999996</v>
      </c>
      <c r="F19" s="415"/>
    </row>
    <row r="20" spans="1:6" x14ac:dyDescent="0.2">
      <c r="A20" s="85"/>
      <c r="B20" s="69" t="s">
        <v>459</v>
      </c>
      <c r="C20" s="489">
        <v>810</v>
      </c>
      <c r="D20" s="490">
        <f>0.7*(1+D6)</f>
        <v>0.82599999999999996</v>
      </c>
      <c r="E20" s="200">
        <f t="shared" si="0"/>
        <v>669.06</v>
      </c>
      <c r="F20" s="415"/>
    </row>
    <row r="21" spans="1:6" x14ac:dyDescent="0.2">
      <c r="A21" s="85"/>
      <c r="B21" s="69" t="s">
        <v>352</v>
      </c>
      <c r="C21" s="489">
        <v>3100</v>
      </c>
      <c r="D21" s="490">
        <f>0.3*(1+D6)</f>
        <v>0.35399999999999998</v>
      </c>
      <c r="E21" s="200">
        <f t="shared" si="0"/>
        <v>1097.3999999999999</v>
      </c>
      <c r="F21" s="415"/>
    </row>
    <row r="22" spans="1:6" x14ac:dyDescent="0.2">
      <c r="A22" s="85"/>
      <c r="B22" s="69" t="s">
        <v>353</v>
      </c>
      <c r="C22" s="489">
        <v>3400</v>
      </c>
      <c r="D22" s="490">
        <f>0.1*(1+D6)</f>
        <v>0.11799999999999999</v>
      </c>
      <c r="E22" s="200">
        <f t="shared" si="0"/>
        <v>401.2</v>
      </c>
      <c r="F22" s="415"/>
    </row>
    <row r="23" spans="1:6" x14ac:dyDescent="0.2">
      <c r="A23" s="85"/>
      <c r="B23" s="69" t="s">
        <v>354</v>
      </c>
      <c r="C23" s="489">
        <v>26</v>
      </c>
      <c r="D23" s="490">
        <f>9.15*(1+D6)</f>
        <v>10.797000000000001</v>
      </c>
      <c r="E23" s="200">
        <f t="shared" si="0"/>
        <v>280.72200000000004</v>
      </c>
      <c r="F23" s="415"/>
    </row>
    <row r="24" spans="1:6" x14ac:dyDescent="0.2">
      <c r="A24" s="85"/>
      <c r="B24" s="69" t="s">
        <v>355</v>
      </c>
      <c r="C24" s="407"/>
      <c r="D24" s="643"/>
      <c r="E24" s="837">
        <f>500*(1+D6)</f>
        <v>590</v>
      </c>
      <c r="F24" s="415"/>
    </row>
    <row r="25" spans="1:6" x14ac:dyDescent="0.2">
      <c r="A25" s="85"/>
      <c r="B25" s="69"/>
      <c r="C25" s="407"/>
      <c r="D25" s="643"/>
      <c r="E25" s="200"/>
      <c r="F25" s="415"/>
    </row>
    <row r="26" spans="1:6" x14ac:dyDescent="0.2">
      <c r="A26" s="85" t="s">
        <v>373</v>
      </c>
      <c r="B26" s="69" t="s">
        <v>460</v>
      </c>
      <c r="C26" s="489">
        <v>240</v>
      </c>
      <c r="D26" s="490">
        <f>18.5*(1+D6)</f>
        <v>21.83</v>
      </c>
      <c r="E26" s="200">
        <f>C26*D26</f>
        <v>5239.2</v>
      </c>
      <c r="F26" s="415"/>
    </row>
    <row r="27" spans="1:6" x14ac:dyDescent="0.2">
      <c r="A27" s="85"/>
      <c r="B27" s="69" t="s">
        <v>461</v>
      </c>
      <c r="C27" s="489">
        <v>44</v>
      </c>
      <c r="D27" s="490">
        <f>27*(1+D6)</f>
        <v>31.86</v>
      </c>
      <c r="E27" s="200">
        <f>C27*D27</f>
        <v>1401.84</v>
      </c>
      <c r="F27" s="415"/>
    </row>
    <row r="28" spans="1:6" x14ac:dyDescent="0.2">
      <c r="A28" s="85"/>
      <c r="B28" s="69" t="s">
        <v>462</v>
      </c>
      <c r="C28" s="489">
        <v>4</v>
      </c>
      <c r="D28" s="490">
        <f>58.95*(1+D6)</f>
        <v>69.560999999999993</v>
      </c>
      <c r="E28" s="200">
        <f>C28*D28</f>
        <v>278.24399999999997</v>
      </c>
      <c r="F28" s="415"/>
    </row>
    <row r="29" spans="1:6" x14ac:dyDescent="0.2">
      <c r="A29" s="85"/>
      <c r="B29" s="69" t="s">
        <v>370</v>
      </c>
      <c r="C29" s="489">
        <v>72</v>
      </c>
      <c r="D29" s="490">
        <f>20.15*(1+D6)</f>
        <v>23.776999999999997</v>
      </c>
      <c r="E29" s="200">
        <f>C29*D29</f>
        <v>1711.9439999999997</v>
      </c>
      <c r="F29" s="415"/>
    </row>
    <row r="30" spans="1:6" ht="13.5" thickBot="1" x14ac:dyDescent="0.25">
      <c r="A30" s="85"/>
      <c r="B30" s="69" t="s">
        <v>371</v>
      </c>
      <c r="C30" s="489">
        <v>68</v>
      </c>
      <c r="D30" s="490">
        <f>1*(1+D6)</f>
        <v>1.18</v>
      </c>
      <c r="E30" s="594">
        <f>C30*D30</f>
        <v>80.239999999999995</v>
      </c>
      <c r="F30" s="415"/>
    </row>
    <row r="31" spans="1:6" x14ac:dyDescent="0.2">
      <c r="A31" s="40"/>
      <c r="B31" s="13"/>
      <c r="C31" s="256"/>
      <c r="D31" s="44"/>
      <c r="E31" s="277">
        <f>SUM(E14:E30)</f>
        <v>21299.294999999998</v>
      </c>
      <c r="F31" s="415"/>
    </row>
    <row r="32" spans="1:6" x14ac:dyDescent="0.2">
      <c r="A32" s="40"/>
      <c r="B32" s="13"/>
      <c r="C32" s="256"/>
      <c r="D32" s="44"/>
      <c r="E32" s="43"/>
      <c r="F32" s="415"/>
    </row>
    <row r="33" spans="1:6" x14ac:dyDescent="0.2">
      <c r="A33" s="40" t="s">
        <v>17</v>
      </c>
      <c r="B33" s="19" t="s">
        <v>34</v>
      </c>
      <c r="C33" s="487">
        <v>40</v>
      </c>
      <c r="D33" s="1382">
        <f>7.2*(1+D6)</f>
        <v>8.4960000000000004</v>
      </c>
      <c r="E33" s="43"/>
      <c r="F33" s="415"/>
    </row>
    <row r="34" spans="1:6" x14ac:dyDescent="0.2">
      <c r="A34" s="40"/>
      <c r="B34" s="19" t="s">
        <v>18</v>
      </c>
      <c r="C34" s="256"/>
      <c r="D34" s="43"/>
      <c r="E34" s="466">
        <v>150</v>
      </c>
      <c r="F34" s="415"/>
    </row>
    <row r="35" spans="1:6" x14ac:dyDescent="0.2">
      <c r="A35" s="19"/>
      <c r="B35" s="19" t="s">
        <v>141</v>
      </c>
      <c r="C35" s="256"/>
      <c r="D35" s="43"/>
      <c r="E35" s="466">
        <v>550</v>
      </c>
      <c r="F35" s="415"/>
    </row>
    <row r="36" spans="1:6" x14ac:dyDescent="0.2">
      <c r="A36" s="19"/>
      <c r="B36" s="19"/>
      <c r="C36" s="256"/>
      <c r="D36" s="43"/>
      <c r="E36" s="44"/>
      <c r="F36" s="415"/>
    </row>
    <row r="37" spans="1:6" ht="25.5" x14ac:dyDescent="0.2">
      <c r="A37" s="269" t="s">
        <v>387</v>
      </c>
      <c r="B37" s="69" t="s">
        <v>374</v>
      </c>
      <c r="C37" s="488">
        <v>55</v>
      </c>
      <c r="D37" s="200">
        <f>'Standard Vorgaben'!D130</f>
        <v>41</v>
      </c>
      <c r="E37" s="200">
        <f>C37*D37</f>
        <v>2255</v>
      </c>
      <c r="F37" s="415"/>
    </row>
    <row r="38" spans="1:6" x14ac:dyDescent="0.2">
      <c r="A38" s="85"/>
      <c r="B38" s="69" t="s">
        <v>375</v>
      </c>
      <c r="C38" s="488">
        <v>15</v>
      </c>
      <c r="D38" s="200">
        <f>'Standard Vorgaben'!D149</f>
        <v>150</v>
      </c>
      <c r="E38" s="200">
        <f>C38*D38</f>
        <v>2250</v>
      </c>
      <c r="F38" s="415"/>
    </row>
    <row r="39" spans="1:6" x14ac:dyDescent="0.2">
      <c r="A39" s="85"/>
      <c r="B39" s="142" t="s">
        <v>386</v>
      </c>
      <c r="C39" s="488">
        <v>20</v>
      </c>
      <c r="D39" s="200">
        <f>'Standard Vorgaben'!D148</f>
        <v>23.5</v>
      </c>
      <c r="E39" s="200">
        <f>C39*D39</f>
        <v>470</v>
      </c>
      <c r="F39" s="415"/>
    </row>
    <row r="40" spans="1:6" ht="13.5" thickBot="1" x14ac:dyDescent="0.25">
      <c r="A40" s="85"/>
      <c r="B40" s="69" t="s">
        <v>376</v>
      </c>
      <c r="C40" s="488">
        <v>20</v>
      </c>
      <c r="D40" s="200">
        <f>'Standard Vorgaben'!D150</f>
        <v>17.5</v>
      </c>
      <c r="E40" s="594">
        <f>C40*D40</f>
        <v>350</v>
      </c>
      <c r="F40" s="415"/>
    </row>
    <row r="41" spans="1:6" x14ac:dyDescent="0.2">
      <c r="A41" s="19"/>
      <c r="B41" s="19"/>
      <c r="C41" s="256"/>
      <c r="D41" s="43"/>
      <c r="E41" s="277">
        <f>SUM(E37:E40)</f>
        <v>5325</v>
      </c>
      <c r="F41" s="415"/>
    </row>
    <row r="42" spans="1:6" ht="23.25" x14ac:dyDescent="0.35">
      <c r="A42" s="439" t="s">
        <v>28</v>
      </c>
      <c r="B42" s="440"/>
      <c r="C42" s="494"/>
      <c r="D42" s="441"/>
      <c r="E42" s="441"/>
      <c r="F42" s="415"/>
    </row>
    <row r="43" spans="1:6" x14ac:dyDescent="0.2">
      <c r="A43" s="19"/>
      <c r="B43" s="13"/>
      <c r="C43" s="724" t="s">
        <v>27</v>
      </c>
      <c r="D43" s="273" t="s">
        <v>21</v>
      </c>
      <c r="E43" s="78" t="s">
        <v>82</v>
      </c>
      <c r="F43" s="415"/>
    </row>
    <row r="44" spans="1:6" x14ac:dyDescent="0.2">
      <c r="A44" s="40" t="s">
        <v>382</v>
      </c>
      <c r="B44" s="19" t="s">
        <v>30</v>
      </c>
      <c r="C44" s="477">
        <v>1</v>
      </c>
      <c r="D44" s="35"/>
      <c r="E44" s="35"/>
      <c r="F44" s="415"/>
    </row>
    <row r="45" spans="1:6" x14ac:dyDescent="0.2">
      <c r="A45" s="13"/>
      <c r="B45" s="19" t="s">
        <v>31</v>
      </c>
      <c r="C45" s="477">
        <v>7.5</v>
      </c>
      <c r="D45" s="35"/>
      <c r="E45" s="35"/>
      <c r="F45" s="415"/>
    </row>
    <row r="46" spans="1:6" x14ac:dyDescent="0.2">
      <c r="A46" s="13"/>
      <c r="B46" s="19" t="s">
        <v>32</v>
      </c>
      <c r="C46" s="477">
        <v>75</v>
      </c>
      <c r="D46" s="35"/>
      <c r="E46" s="35"/>
      <c r="F46" s="415"/>
    </row>
    <row r="47" spans="1:6" x14ac:dyDescent="0.2">
      <c r="A47" s="13"/>
      <c r="B47" s="19" t="s">
        <v>142</v>
      </c>
      <c r="C47" s="477">
        <v>10</v>
      </c>
      <c r="D47" s="35"/>
      <c r="E47" s="35"/>
      <c r="F47" s="415"/>
    </row>
    <row r="48" spans="1:6" x14ac:dyDescent="0.2">
      <c r="A48" s="13"/>
      <c r="B48" s="19" t="s">
        <v>279</v>
      </c>
      <c r="C48" s="477">
        <v>70</v>
      </c>
      <c r="D48" s="35"/>
      <c r="E48" s="35"/>
      <c r="F48" s="415"/>
    </row>
    <row r="49" spans="1:6" x14ac:dyDescent="0.2">
      <c r="A49" s="13"/>
      <c r="B49" s="19"/>
      <c r="C49" s="39"/>
      <c r="D49" s="35"/>
      <c r="E49" s="35"/>
      <c r="F49" s="35"/>
    </row>
    <row r="50" spans="1:6" x14ac:dyDescent="0.2">
      <c r="A50" s="13"/>
      <c r="B50" s="19"/>
      <c r="C50" s="39"/>
      <c r="D50" s="43"/>
      <c r="E50" s="43"/>
      <c r="F50" s="35"/>
    </row>
    <row r="51" spans="1:6" x14ac:dyDescent="0.2">
      <c r="A51" s="70" t="s">
        <v>381</v>
      </c>
      <c r="B51" s="142" t="s">
        <v>377</v>
      </c>
      <c r="C51" s="595">
        <v>15</v>
      </c>
      <c r="D51" s="200">
        <f>'Standard Vorgaben'!$C$36</f>
        <v>32.700000000000003</v>
      </c>
      <c r="E51" s="200">
        <f>C51*D51</f>
        <v>490.50000000000006</v>
      </c>
      <c r="F51" s="415"/>
    </row>
    <row r="52" spans="1:6" x14ac:dyDescent="0.2">
      <c r="A52" s="69"/>
      <c r="B52" s="142" t="s">
        <v>378</v>
      </c>
      <c r="C52" s="595">
        <v>100</v>
      </c>
      <c r="D52" s="200">
        <f>'Standard Vorgaben'!$C$36</f>
        <v>32.700000000000003</v>
      </c>
      <c r="E52" s="200">
        <f>C52*D52</f>
        <v>3270.0000000000005</v>
      </c>
      <c r="F52" s="415"/>
    </row>
    <row r="53" spans="1:6" x14ac:dyDescent="0.2">
      <c r="A53" s="69"/>
      <c r="B53" s="142" t="s">
        <v>379</v>
      </c>
      <c r="C53" s="595">
        <v>175</v>
      </c>
      <c r="D53" s="200">
        <f>'Standard Vorgaben'!$C$36</f>
        <v>32.700000000000003</v>
      </c>
      <c r="E53" s="200">
        <f>C53*D53</f>
        <v>5722.5000000000009</v>
      </c>
      <c r="F53" s="415"/>
    </row>
    <row r="54" spans="1:6" ht="13.5" thickBot="1" x14ac:dyDescent="0.25">
      <c r="A54" s="69"/>
      <c r="B54" s="142" t="s">
        <v>380</v>
      </c>
      <c r="C54" s="349">
        <f>SUM(C51:C53) * 0.1</f>
        <v>29</v>
      </c>
      <c r="D54" s="200">
        <f>'Standard Vorgaben'!$C$36</f>
        <v>32.700000000000003</v>
      </c>
      <c r="E54" s="594">
        <f>C54*D54</f>
        <v>948.30000000000007</v>
      </c>
      <c r="F54" s="415"/>
    </row>
    <row r="55" spans="1:6" x14ac:dyDescent="0.2">
      <c r="A55" s="13"/>
      <c r="B55" s="19"/>
      <c r="C55" s="39"/>
      <c r="D55" s="43"/>
      <c r="E55" s="277">
        <f>SUM(E51:E54)</f>
        <v>10431.300000000001</v>
      </c>
      <c r="F55" s="415"/>
    </row>
    <row r="56" spans="1:6" x14ac:dyDescent="0.2">
      <c r="A56" s="13"/>
      <c r="B56" s="13"/>
      <c r="C56" s="95"/>
      <c r="D56" s="43"/>
      <c r="E56" s="43"/>
      <c r="F56" s="415"/>
    </row>
    <row r="57" spans="1:6" x14ac:dyDescent="0.2">
      <c r="A57" s="70" t="s">
        <v>412</v>
      </c>
      <c r="B57" s="13"/>
      <c r="C57" s="95"/>
      <c r="D57" s="43"/>
      <c r="E57" s="43"/>
      <c r="F57" s="415"/>
    </row>
    <row r="58" spans="1:6" x14ac:dyDescent="0.2">
      <c r="A58" s="13"/>
      <c r="B58" s="13" t="s">
        <v>413</v>
      </c>
      <c r="C58" s="496">
        <v>45</v>
      </c>
      <c r="D58" s="466">
        <f>14*(1+D6)</f>
        <v>16.52</v>
      </c>
      <c r="E58" s="200">
        <f>C58*D58</f>
        <v>743.4</v>
      </c>
      <c r="F58" s="415"/>
    </row>
    <row r="59" spans="1:6" x14ac:dyDescent="0.2">
      <c r="A59" s="13"/>
      <c r="B59" s="13" t="s">
        <v>414</v>
      </c>
      <c r="C59" s="496">
        <v>336</v>
      </c>
      <c r="D59" s="466">
        <f>10*(1+D6)</f>
        <v>11.799999999999999</v>
      </c>
      <c r="E59" s="200">
        <f>C59*D59</f>
        <v>3964.7999999999997</v>
      </c>
      <c r="F59" s="415"/>
    </row>
    <row r="60" spans="1:6" ht="13.5" thickBot="1" x14ac:dyDescent="0.25">
      <c r="A60" s="13"/>
      <c r="B60" s="13" t="s">
        <v>158</v>
      </c>
      <c r="C60" s="496">
        <v>45</v>
      </c>
      <c r="D60" s="466">
        <f>5.2*(1+D6)</f>
        <v>6.1360000000000001</v>
      </c>
      <c r="E60" s="594">
        <f>C60*D60</f>
        <v>276.12</v>
      </c>
      <c r="F60" s="415"/>
    </row>
    <row r="61" spans="1:6" x14ac:dyDescent="0.2">
      <c r="A61" s="13"/>
      <c r="B61" s="13"/>
      <c r="C61" s="46"/>
      <c r="D61" s="44"/>
      <c r="E61" s="277">
        <f>SUM(E58:E60)</f>
        <v>4984.32</v>
      </c>
      <c r="F61" s="415"/>
    </row>
    <row r="62" spans="1:6" x14ac:dyDescent="0.2">
      <c r="A62" s="70" t="s">
        <v>463</v>
      </c>
      <c r="B62" s="19"/>
      <c r="C62" s="95"/>
      <c r="D62" s="43"/>
      <c r="E62" s="531"/>
      <c r="F62" s="415"/>
    </row>
    <row r="63" spans="1:6" x14ac:dyDescent="0.2">
      <c r="A63" s="13"/>
      <c r="B63" s="19" t="s">
        <v>377</v>
      </c>
      <c r="C63" s="595">
        <v>7.5</v>
      </c>
      <c r="D63" s="200">
        <f>'Standard Vorgaben'!$C$36</f>
        <v>32.700000000000003</v>
      </c>
      <c r="E63" s="200">
        <f>C63*D63</f>
        <v>245.25000000000003</v>
      </c>
      <c r="F63" s="415"/>
    </row>
    <row r="64" spans="1:6" x14ac:dyDescent="0.2">
      <c r="A64" s="13"/>
      <c r="B64" s="19" t="s">
        <v>464</v>
      </c>
      <c r="C64" s="595">
        <v>35</v>
      </c>
      <c r="D64" s="200">
        <f>'Standard Vorgaben'!$C$36</f>
        <v>32.700000000000003</v>
      </c>
      <c r="E64" s="200">
        <f>C64*D64</f>
        <v>1144.5</v>
      </c>
      <c r="F64" s="415"/>
    </row>
    <row r="65" spans="1:6" x14ac:dyDescent="0.2">
      <c r="A65" s="13"/>
      <c r="B65" s="13" t="s">
        <v>465</v>
      </c>
      <c r="C65" s="595">
        <v>10</v>
      </c>
      <c r="D65" s="200">
        <f>'Standard Vorgaben'!D130</f>
        <v>41</v>
      </c>
      <c r="E65" s="200">
        <f>C65*D65</f>
        <v>410</v>
      </c>
      <c r="F65" s="415"/>
    </row>
    <row r="66" spans="1:6" ht="13.5" thickBot="1" x14ac:dyDescent="0.25">
      <c r="A66" s="13"/>
      <c r="B66" s="19" t="s">
        <v>466</v>
      </c>
      <c r="C66" s="595">
        <v>10</v>
      </c>
      <c r="D66" s="200">
        <f>'Standard Vorgaben'!D147</f>
        <v>14.1</v>
      </c>
      <c r="E66" s="594">
        <f>C66*D66</f>
        <v>141</v>
      </c>
      <c r="F66" s="415"/>
    </row>
    <row r="67" spans="1:6" x14ac:dyDescent="0.2">
      <c r="A67" s="13"/>
      <c r="B67" s="19"/>
      <c r="C67" s="349"/>
      <c r="D67" s="200"/>
      <c r="E67" s="277">
        <f>SUM(E63:E66)</f>
        <v>1940.75</v>
      </c>
      <c r="F67" s="415"/>
    </row>
    <row r="68" spans="1:6" x14ac:dyDescent="0.2">
      <c r="A68" s="13"/>
      <c r="B68" s="19"/>
      <c r="C68" s="349"/>
      <c r="D68" s="200"/>
      <c r="E68" s="277"/>
      <c r="F68" s="415"/>
    </row>
    <row r="69" spans="1:6" ht="15.75" x14ac:dyDescent="0.25">
      <c r="A69" s="150"/>
      <c r="B69" s="142" t="s">
        <v>403</v>
      </c>
      <c r="C69" s="408"/>
      <c r="D69" s="202"/>
      <c r="E69" s="200">
        <f>E31</f>
        <v>21299.294999999998</v>
      </c>
      <c r="F69" s="415"/>
    </row>
    <row r="70" spans="1:6" x14ac:dyDescent="0.2">
      <c r="A70" s="13"/>
      <c r="B70" s="142" t="s">
        <v>23</v>
      </c>
      <c r="C70" s="408"/>
      <c r="D70" s="202"/>
      <c r="E70" s="200">
        <f>E41</f>
        <v>5325</v>
      </c>
      <c r="F70" s="415"/>
    </row>
    <row r="71" spans="1:6" x14ac:dyDescent="0.2">
      <c r="A71" s="13"/>
      <c r="B71" s="142" t="s">
        <v>28</v>
      </c>
      <c r="C71" s="408"/>
      <c r="D71" s="202"/>
      <c r="E71" s="200">
        <f>E55</f>
        <v>10431.300000000001</v>
      </c>
      <c r="F71" s="415"/>
    </row>
    <row r="72" spans="1:6" ht="13.5" thickBot="1" x14ac:dyDescent="0.25">
      <c r="A72" s="13"/>
      <c r="B72" s="142" t="s">
        <v>415</v>
      </c>
      <c r="C72" s="408"/>
      <c r="D72" s="202"/>
      <c r="E72" s="594">
        <f>E61+E67</f>
        <v>6925.07</v>
      </c>
      <c r="F72" s="415"/>
    </row>
    <row r="73" spans="1:6" ht="15.75" x14ac:dyDescent="0.25">
      <c r="A73" s="150" t="s">
        <v>402</v>
      </c>
      <c r="B73" s="19"/>
      <c r="C73" s="95"/>
      <c r="D73" s="43"/>
      <c r="E73" s="277">
        <f>SUM(E69:E71)-E72</f>
        <v>30130.525000000001</v>
      </c>
      <c r="F73" s="35"/>
    </row>
    <row r="74" spans="1:6" x14ac:dyDescent="0.2">
      <c r="A74" s="963" t="s">
        <v>549</v>
      </c>
      <c r="C74" s="10"/>
    </row>
    <row r="75" spans="1:6" x14ac:dyDescent="0.2">
      <c r="A75" s="964" t="s">
        <v>539</v>
      </c>
      <c r="B75" s="964" t="s">
        <v>540</v>
      </c>
      <c r="C75" s="965" t="s">
        <v>82</v>
      </c>
      <c r="D75" s="964" t="s">
        <v>538</v>
      </c>
      <c r="E75" s="964" t="s">
        <v>541</v>
      </c>
    </row>
    <row r="76" spans="1:6" x14ac:dyDescent="0.2">
      <c r="C76" s="10"/>
    </row>
    <row r="77" spans="1:6" x14ac:dyDescent="0.2">
      <c r="A77">
        <v>1</v>
      </c>
      <c r="B77" s="966">
        <v>1</v>
      </c>
      <c r="C77" s="14">
        <f>'Standard Vorgaben'!B48*'Standard Vorgaben'!E48*'Standard Vorgaben'!B71*B77</f>
        <v>0</v>
      </c>
      <c r="D77" s="443">
        <v>0.112</v>
      </c>
      <c r="E77" s="966">
        <v>0.8</v>
      </c>
    </row>
    <row r="78" spans="1:6" x14ac:dyDescent="0.2">
      <c r="A78">
        <v>2</v>
      </c>
      <c r="B78" s="967">
        <f>B77</f>
        <v>1</v>
      </c>
      <c r="C78" s="14">
        <f>'Standard Vorgaben'!B49*'Standard Vorgaben'!E49*'Standard Vorgaben'!B72*B78</f>
        <v>9878.4000000000015</v>
      </c>
      <c r="D78" s="194">
        <f>D77</f>
        <v>0.112</v>
      </c>
      <c r="E78" s="967">
        <f>E77</f>
        <v>0.8</v>
      </c>
    </row>
    <row r="79" spans="1:6" x14ac:dyDescent="0.2">
      <c r="A79">
        <v>3</v>
      </c>
      <c r="B79" s="967">
        <f>B77</f>
        <v>1</v>
      </c>
      <c r="C79" s="14">
        <f>'Standard Vorgaben'!B50*'Standard Vorgaben'!E50*'Standard Vorgaben'!B73*B79</f>
        <v>12348</v>
      </c>
      <c r="D79" s="194">
        <f>D77</f>
        <v>0.112</v>
      </c>
      <c r="E79" s="967">
        <f>E77</f>
        <v>0.8</v>
      </c>
    </row>
    <row r="80" spans="1:6" x14ac:dyDescent="0.2">
      <c r="A80">
        <v>4</v>
      </c>
      <c r="B80" s="967">
        <f>B77</f>
        <v>1</v>
      </c>
      <c r="C80" s="14">
        <f>'Standard Vorgaben'!B51*'Standard Vorgaben'!E51*'Standard Vorgaben'!B74*B80</f>
        <v>21403.200000000001</v>
      </c>
      <c r="D80" s="194">
        <f>D77</f>
        <v>0.112</v>
      </c>
      <c r="E80" s="967">
        <f>E77</f>
        <v>0.8</v>
      </c>
      <c r="F80" s="141">
        <f>C80*D80*E80</f>
        <v>1917.7267200000003</v>
      </c>
    </row>
    <row r="81" spans="1:6" x14ac:dyDescent="0.2">
      <c r="A81">
        <v>5</v>
      </c>
      <c r="B81" s="967">
        <f>B77</f>
        <v>1</v>
      </c>
      <c r="C81" s="14">
        <f>'Standard Vorgaben'!B52*'Standard Vorgaben'!E52*'Standard Vorgaben'!B75*B81</f>
        <v>28812.000000000004</v>
      </c>
      <c r="D81" s="194">
        <f>D77</f>
        <v>0.112</v>
      </c>
      <c r="E81" s="967">
        <f>E77</f>
        <v>0.8</v>
      </c>
      <c r="F81" s="141">
        <f t="shared" ref="F81:F92" si="1">C81*D81</f>
        <v>3226.9440000000004</v>
      </c>
    </row>
    <row r="82" spans="1:6" x14ac:dyDescent="0.2">
      <c r="A82">
        <v>6</v>
      </c>
      <c r="B82" s="967">
        <f>B77</f>
        <v>1</v>
      </c>
      <c r="C82" s="14">
        <f>'Standard Vorgaben'!B53*'Standard Vorgaben'!E53*'Standard Vorgaben'!B76*B82</f>
        <v>36220.800000000003</v>
      </c>
      <c r="D82" s="194">
        <f>D77</f>
        <v>0.112</v>
      </c>
      <c r="E82" s="967">
        <f>E77</f>
        <v>0.8</v>
      </c>
      <c r="F82" s="141">
        <f t="shared" si="1"/>
        <v>4056.7296000000006</v>
      </c>
    </row>
    <row r="83" spans="1:6" x14ac:dyDescent="0.2">
      <c r="A83">
        <v>7</v>
      </c>
      <c r="B83" s="967">
        <f>B77</f>
        <v>1</v>
      </c>
      <c r="C83" s="14">
        <f>'Standard Vorgaben'!B54*'Standard Vorgaben'!E54*'Standard Vorgaben'!B77*B83</f>
        <v>29532.300000000003</v>
      </c>
      <c r="D83" s="194">
        <f>D77</f>
        <v>0.112</v>
      </c>
      <c r="E83" s="967">
        <f>E77</f>
        <v>0.8</v>
      </c>
      <c r="F83" s="141">
        <f t="shared" si="1"/>
        <v>3307.6176000000005</v>
      </c>
    </row>
    <row r="84" spans="1:6" x14ac:dyDescent="0.2">
      <c r="A84">
        <v>8</v>
      </c>
      <c r="B84" s="967">
        <f>B77</f>
        <v>1</v>
      </c>
      <c r="C84" s="14">
        <f>'Standard Vorgaben'!B55*'Standard Vorgaben'!E55*'Standard Vorgaben'!B78*B84</f>
        <v>29532.300000000003</v>
      </c>
      <c r="D84" s="194">
        <f>D77</f>
        <v>0.112</v>
      </c>
      <c r="E84" s="967">
        <f>E77</f>
        <v>0.8</v>
      </c>
      <c r="F84" s="141">
        <f t="shared" si="1"/>
        <v>3307.6176000000005</v>
      </c>
    </row>
    <row r="85" spans="1:6" x14ac:dyDescent="0.2">
      <c r="A85">
        <v>9</v>
      </c>
      <c r="B85" s="967">
        <f>B77</f>
        <v>1</v>
      </c>
      <c r="C85" s="14">
        <f>'Standard Vorgaben'!B56*'Standard Vorgaben'!E56*'Standard Vorgaben'!B79*B85</f>
        <v>42806.400000000001</v>
      </c>
      <c r="D85" s="194">
        <f>D77</f>
        <v>0.112</v>
      </c>
      <c r="E85" s="967">
        <f>E77</f>
        <v>0.8</v>
      </c>
      <c r="F85" s="141">
        <f t="shared" si="1"/>
        <v>4794.3168000000005</v>
      </c>
    </row>
    <row r="86" spans="1:6" x14ac:dyDescent="0.2">
      <c r="A86">
        <v>10</v>
      </c>
      <c r="B86" s="967">
        <f>B77</f>
        <v>1</v>
      </c>
      <c r="C86" s="14">
        <f>'Standard Vorgaben'!B57*'Standard Vorgaben'!E57*'Standard Vorgaben'!B80*B86</f>
        <v>45276</v>
      </c>
      <c r="D86" s="194">
        <f>D77</f>
        <v>0.112</v>
      </c>
      <c r="E86" s="967">
        <f>E77</f>
        <v>0.8</v>
      </c>
      <c r="F86" s="141">
        <f t="shared" si="1"/>
        <v>5070.9120000000003</v>
      </c>
    </row>
    <row r="87" spans="1:6" x14ac:dyDescent="0.2">
      <c r="A87">
        <v>11</v>
      </c>
      <c r="B87" s="967">
        <f>B77</f>
        <v>1</v>
      </c>
      <c r="C87" s="14">
        <f>'Standard Vorgaben'!B58*'Standard Vorgaben'!E58*'Standard Vorgaben'!B81*B87</f>
        <v>36426.600000000006</v>
      </c>
      <c r="D87" s="194">
        <f>D77</f>
        <v>0.112</v>
      </c>
      <c r="E87" s="967">
        <f>E77</f>
        <v>0.8</v>
      </c>
      <c r="F87" s="141">
        <f t="shared" si="1"/>
        <v>4079.7792000000009</v>
      </c>
    </row>
    <row r="88" spans="1:6" x14ac:dyDescent="0.2">
      <c r="A88">
        <v>12</v>
      </c>
      <c r="B88" s="967">
        <f>B77</f>
        <v>1</v>
      </c>
      <c r="C88" s="14">
        <f>'Standard Vorgaben'!B59*'Standard Vorgaben'!E59*'Standard Vorgaben'!B82*B88</f>
        <v>29635.200000000004</v>
      </c>
      <c r="D88" s="194">
        <f>D77</f>
        <v>0.112</v>
      </c>
      <c r="E88" s="967">
        <f>E77</f>
        <v>0.8</v>
      </c>
      <c r="F88" s="141">
        <f t="shared" si="1"/>
        <v>3319.1424000000006</v>
      </c>
    </row>
    <row r="89" spans="1:6" x14ac:dyDescent="0.2">
      <c r="A89">
        <v>13</v>
      </c>
      <c r="B89" s="967">
        <f>B77</f>
        <v>1</v>
      </c>
      <c r="C89" s="14">
        <f>'Standard Vorgaben'!B60*'Standard Vorgaben'!E60*'Standard Vorgaben'!B83*B89</f>
        <v>32928</v>
      </c>
      <c r="D89" s="194">
        <f>D77</f>
        <v>0.112</v>
      </c>
      <c r="E89" s="967">
        <f>E77</f>
        <v>0.8</v>
      </c>
      <c r="F89" s="141">
        <f t="shared" si="1"/>
        <v>3687.9360000000001</v>
      </c>
    </row>
    <row r="90" spans="1:6" x14ac:dyDescent="0.2">
      <c r="A90">
        <v>14</v>
      </c>
      <c r="B90" s="967">
        <f>B77</f>
        <v>1</v>
      </c>
      <c r="C90" s="14">
        <f>'Standard Vorgaben'!B61*'Standard Vorgaben'!E61*'Standard Vorgaben'!B84*B90</f>
        <v>33751.200000000004</v>
      </c>
      <c r="D90" s="194">
        <f>D77</f>
        <v>0.112</v>
      </c>
      <c r="E90" s="967">
        <f>E77</f>
        <v>0.8</v>
      </c>
      <c r="F90" s="141">
        <f t="shared" si="1"/>
        <v>3780.1344000000004</v>
      </c>
    </row>
    <row r="91" spans="1:6" x14ac:dyDescent="0.2">
      <c r="A91">
        <v>15</v>
      </c>
      <c r="B91" s="967">
        <f>B77</f>
        <v>1</v>
      </c>
      <c r="C91" s="14">
        <f>'Standard Vorgaben'!B62*'Standard Vorgaben'!E62*'Standard Vorgaben'!B85*B91</f>
        <v>28812.000000000004</v>
      </c>
      <c r="D91" s="194">
        <f>D78</f>
        <v>0.112</v>
      </c>
      <c r="E91" s="967">
        <f>E77</f>
        <v>0.8</v>
      </c>
      <c r="F91" s="141">
        <f t="shared" si="1"/>
        <v>3226.9440000000004</v>
      </c>
    </row>
    <row r="92" spans="1:6" x14ac:dyDescent="0.2">
      <c r="A92" s="968" t="s">
        <v>542</v>
      </c>
      <c r="C92" s="969">
        <f>AVERAGE(C80:C91)</f>
        <v>32928</v>
      </c>
      <c r="D92" s="970">
        <f>AVERAGE(D80:D91)</f>
        <v>0.11200000000000003</v>
      </c>
      <c r="F92" s="969">
        <f t="shared" si="1"/>
        <v>3687.9360000000011</v>
      </c>
    </row>
    <row r="93" spans="1:6" x14ac:dyDescent="0.2">
      <c r="A93" s="968" t="s">
        <v>543</v>
      </c>
      <c r="C93" s="969">
        <f>SUM(C80:C91)</f>
        <v>395136</v>
      </c>
    </row>
  </sheetData>
  <mergeCells count="3">
    <mergeCell ref="A7:H7"/>
    <mergeCell ref="B3:H3"/>
    <mergeCell ref="A4:H4"/>
  </mergeCells>
  <phoneticPr fontId="23" type="noConversion"/>
  <pageMargins left="0.78740157499999996" right="0.78740157499999996" top="0.984251969" bottom="0.984251969" header="0.4921259845" footer="0.4921259845"/>
  <pageSetup paperSize="9" orientation="portrait" r:id="rId1"/>
  <headerFooter alignWithMargins="0">
    <oddFooter>&amp;LArbokost 2008&amp;RAgroscope Changins - Wädenswil ACW</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5">
    <tabColor indexed="10"/>
  </sheetPr>
  <dimension ref="A1:K115"/>
  <sheetViews>
    <sheetView zoomScale="80" zoomScaleNormal="80" workbookViewId="0">
      <selection activeCell="A6" sqref="A6:F6"/>
    </sheetView>
  </sheetViews>
  <sheetFormatPr baseColWidth="10" defaultRowHeight="12.75" x14ac:dyDescent="0.2"/>
  <cols>
    <col min="1" max="1" width="28.28515625" customWidth="1"/>
    <col min="2" max="256" width="9.140625" customWidth="1"/>
  </cols>
  <sheetData>
    <row r="1" spans="1:11" ht="21.75" customHeight="1" x14ac:dyDescent="0.25">
      <c r="A1" s="514" t="str">
        <f>Eingabeseite!A1</f>
        <v>Arbokost 2023</v>
      </c>
      <c r="B1" s="1105"/>
      <c r="C1" s="988"/>
      <c r="D1" s="989"/>
      <c r="E1" s="990"/>
      <c r="F1" s="989"/>
      <c r="G1" s="1106"/>
      <c r="H1" s="991"/>
    </row>
    <row r="2" spans="1:11" ht="14.25" x14ac:dyDescent="0.2">
      <c r="A2" s="1107" t="s">
        <v>468</v>
      </c>
      <c r="B2" s="1108"/>
      <c r="C2" s="988"/>
      <c r="D2" s="989"/>
      <c r="E2" s="990"/>
      <c r="F2" s="989"/>
      <c r="G2" s="1106"/>
      <c r="H2" s="991"/>
    </row>
    <row r="3" spans="1:11" x14ac:dyDescent="0.2">
      <c r="A3" s="1109"/>
      <c r="B3" s="1453"/>
      <c r="C3" s="1453"/>
      <c r="D3" s="1453"/>
      <c r="E3" s="1453"/>
      <c r="F3" s="1453"/>
      <c r="G3" s="1110"/>
      <c r="H3" s="991"/>
    </row>
    <row r="4" spans="1:11" x14ac:dyDescent="0.2">
      <c r="A4" s="1452" t="s">
        <v>633</v>
      </c>
      <c r="B4" s="1452"/>
      <c r="C4" s="1452" t="s">
        <v>475</v>
      </c>
      <c r="D4" s="1452"/>
      <c r="E4" s="1452"/>
      <c r="F4" s="1452"/>
      <c r="G4" s="1452"/>
      <c r="H4" s="1452"/>
    </row>
    <row r="5" spans="1:11" ht="22.5" x14ac:dyDescent="0.45">
      <c r="A5" s="1452" t="s">
        <v>566</v>
      </c>
      <c r="B5" s="1452"/>
      <c r="C5" s="1452"/>
      <c r="D5" s="1452"/>
      <c r="E5" s="1452"/>
      <c r="F5" s="1452"/>
      <c r="G5" s="1452"/>
      <c r="H5" s="1452"/>
      <c r="K5" s="1056"/>
    </row>
    <row r="6" spans="1:11" x14ac:dyDescent="0.2">
      <c r="A6" t="str">
        <f>'Standard Hagel'!A6</f>
        <v>Teuerung 2015-2023 (Baumaterialien gemäss Bundesamt für Statistik)</v>
      </c>
      <c r="F6" s="967">
        <f>'Standard Hagel'!D6</f>
        <v>0.18</v>
      </c>
    </row>
    <row r="7" spans="1:11" x14ac:dyDescent="0.2">
      <c r="A7" s="992"/>
      <c r="B7" s="993"/>
      <c r="C7" s="994"/>
      <c r="D7" s="995" t="s">
        <v>11</v>
      </c>
      <c r="E7" s="996"/>
      <c r="F7" s="995" t="s">
        <v>12</v>
      </c>
      <c r="G7" s="997"/>
      <c r="H7" s="995" t="s">
        <v>168</v>
      </c>
    </row>
    <row r="9" spans="1:11" x14ac:dyDescent="0.2">
      <c r="A9" s="1056"/>
      <c r="B9" s="1056"/>
      <c r="C9" s="1057">
        <f>'Standard Vorgaben'!$C$18</f>
        <v>120</v>
      </c>
      <c r="D9" s="1058">
        <f>'Standard Vorgaben'!$C$19</f>
        <v>75</v>
      </c>
      <c r="E9" s="1059">
        <f>'Standard Vorgaben'!$C$23</f>
        <v>25</v>
      </c>
      <c r="F9" s="991"/>
      <c r="G9" s="1060">
        <f>'Standard Vorgaben'!C21</f>
        <v>3</v>
      </c>
      <c r="H9" s="1061">
        <f>'Standard Vorgaben'!C22</f>
        <v>1</v>
      </c>
    </row>
    <row r="10" spans="1:11" x14ac:dyDescent="0.2">
      <c r="A10" s="998" t="s">
        <v>477</v>
      </c>
      <c r="B10" s="952" t="s">
        <v>485</v>
      </c>
      <c r="C10" s="952"/>
      <c r="D10" s="952"/>
      <c r="E10" s="1000"/>
      <c r="F10" s="1001"/>
      <c r="G10" s="1001"/>
      <c r="H10" s="1112"/>
    </row>
    <row r="11" spans="1:11" x14ac:dyDescent="0.2">
      <c r="A11" s="957" t="s">
        <v>486</v>
      </c>
      <c r="B11" s="952" t="s">
        <v>487</v>
      </c>
      <c r="C11" s="952"/>
      <c r="D11" s="999"/>
      <c r="E11" s="1000"/>
      <c r="F11" s="1001"/>
      <c r="G11" s="1001"/>
      <c r="H11" s="1002"/>
    </row>
    <row r="12" spans="1:11" x14ac:dyDescent="0.2">
      <c r="A12" s="952"/>
      <c r="B12" s="1021" t="s">
        <v>488</v>
      </c>
      <c r="C12" s="952"/>
      <c r="D12" s="1399">
        <f>((C9*E9)+50)</f>
        <v>3050</v>
      </c>
      <c r="E12" s="1400"/>
      <c r="F12" s="1388">
        <f>1.35*(1+F6)</f>
        <v>1.593</v>
      </c>
      <c r="G12" s="1001"/>
      <c r="H12" s="1002">
        <f>F12*D12</f>
        <v>4858.6499999999996</v>
      </c>
    </row>
    <row r="13" spans="1:11" x14ac:dyDescent="0.2">
      <c r="A13" s="952"/>
      <c r="B13" s="976" t="s">
        <v>489</v>
      </c>
      <c r="C13" s="952"/>
      <c r="D13" s="999"/>
      <c r="E13" s="1000"/>
      <c r="F13" s="1001"/>
      <c r="G13" s="1001"/>
      <c r="H13" s="1002"/>
    </row>
    <row r="14" spans="1:11" x14ac:dyDescent="0.2">
      <c r="A14" s="952"/>
      <c r="B14" s="1003" t="s">
        <v>490</v>
      </c>
      <c r="C14" s="1004"/>
      <c r="D14" s="1113">
        <f>E9</f>
        <v>25</v>
      </c>
      <c r="E14" s="1006"/>
      <c r="F14" s="1007">
        <f>6*(1+F6)</f>
        <v>7.08</v>
      </c>
      <c r="G14" s="1001"/>
      <c r="H14" s="1002">
        <f>F14*D14</f>
        <v>177</v>
      </c>
    </row>
    <row r="15" spans="1:11" x14ac:dyDescent="0.2">
      <c r="A15" s="952"/>
      <c r="B15" s="973" t="s">
        <v>491</v>
      </c>
      <c r="C15" s="952"/>
      <c r="D15" s="1113">
        <f>E9</f>
        <v>25</v>
      </c>
      <c r="E15" s="1006"/>
      <c r="F15" s="1007">
        <f>6.5*(1+$F$6)</f>
        <v>7.67</v>
      </c>
      <c r="G15" s="1001"/>
      <c r="H15" s="1002">
        <f>F15*D15</f>
        <v>191.75</v>
      </c>
    </row>
    <row r="16" spans="1:11" x14ac:dyDescent="0.2">
      <c r="A16" s="952"/>
      <c r="B16" s="973" t="s">
        <v>492</v>
      </c>
      <c r="C16" s="952"/>
      <c r="D16" s="1113">
        <v>5000</v>
      </c>
      <c r="E16" s="1006"/>
      <c r="F16" s="1007">
        <f>0.06*(1+$F$6)</f>
        <v>7.0799999999999988E-2</v>
      </c>
      <c r="G16" s="1001"/>
      <c r="H16" s="1002">
        <f>F16*D16</f>
        <v>353.99999999999994</v>
      </c>
    </row>
    <row r="17" spans="1:8" ht="13.5" thickBot="1" x14ac:dyDescent="0.25">
      <c r="A17" s="952"/>
      <c r="B17" s="952" t="s">
        <v>355</v>
      </c>
      <c r="C17" s="952"/>
      <c r="D17" s="1113"/>
      <c r="E17" s="1006"/>
      <c r="F17" s="1007"/>
      <c r="G17" s="1001"/>
      <c r="H17" s="1002">
        <v>250</v>
      </c>
    </row>
    <row r="18" spans="1:8" x14ac:dyDescent="0.2">
      <c r="A18" s="998" t="s">
        <v>493</v>
      </c>
      <c r="B18" s="998"/>
      <c r="C18" s="998"/>
      <c r="D18" s="1114"/>
      <c r="E18" s="1009"/>
      <c r="F18" s="1010"/>
      <c r="G18" s="1011"/>
      <c r="H18" s="1012">
        <f>SUM(H12:H17)</f>
        <v>5831.4</v>
      </c>
    </row>
    <row r="19" spans="1:8" x14ac:dyDescent="0.2">
      <c r="A19" s="952" t="s">
        <v>478</v>
      </c>
      <c r="B19" s="952" t="s">
        <v>494</v>
      </c>
      <c r="C19" s="952"/>
      <c r="D19" s="1113"/>
      <c r="E19" s="1006"/>
      <c r="F19" s="1007"/>
      <c r="G19" s="1001"/>
      <c r="H19" s="1002"/>
    </row>
    <row r="20" spans="1:8" x14ac:dyDescent="0.2">
      <c r="A20" s="952"/>
      <c r="B20" s="952" t="s">
        <v>495</v>
      </c>
      <c r="C20" s="952"/>
      <c r="D20" s="1013">
        <v>300</v>
      </c>
      <c r="E20" s="1006"/>
      <c r="F20" s="1007">
        <f>3.8*(1+$F$6)</f>
        <v>4.484</v>
      </c>
      <c r="G20" s="1001"/>
      <c r="H20" s="1002">
        <f>F20*D20</f>
        <v>1345.2</v>
      </c>
    </row>
    <row r="21" spans="1:8" x14ac:dyDescent="0.2">
      <c r="A21" s="952"/>
      <c r="B21" s="973" t="s">
        <v>496</v>
      </c>
      <c r="C21" s="952"/>
      <c r="D21" s="1005">
        <v>3</v>
      </c>
      <c r="E21" s="1014"/>
      <c r="F21" s="1007">
        <f>60*(1+$F$6)</f>
        <v>70.8</v>
      </c>
      <c r="G21" s="1001"/>
      <c r="H21" s="1002">
        <f>F21*D21</f>
        <v>212.39999999999998</v>
      </c>
    </row>
    <row r="22" spans="1:8" ht="13.5" thickBot="1" x14ac:dyDescent="0.25">
      <c r="A22" s="952"/>
      <c r="B22" s="952" t="s">
        <v>497</v>
      </c>
      <c r="C22" s="952"/>
      <c r="D22" s="1015"/>
      <c r="E22" s="1015"/>
      <c r="F22" s="1015"/>
      <c r="G22" s="952"/>
      <c r="H22" s="1016">
        <v>250</v>
      </c>
    </row>
    <row r="23" spans="1:8" x14ac:dyDescent="0.2">
      <c r="A23" s="998" t="s">
        <v>498</v>
      </c>
      <c r="B23" s="1017"/>
      <c r="C23" s="998"/>
      <c r="D23" s="1018"/>
      <c r="E23" s="1019"/>
      <c r="F23" s="1010"/>
      <c r="G23" s="1011"/>
      <c r="H23" s="1020">
        <f>SUM(H20:H22)</f>
        <v>1807.6</v>
      </c>
    </row>
    <row r="24" spans="1:8" x14ac:dyDescent="0.2">
      <c r="A24" s="952" t="s">
        <v>479</v>
      </c>
      <c r="B24" s="952" t="s">
        <v>499</v>
      </c>
      <c r="C24" s="952"/>
      <c r="D24" s="1005">
        <v>1</v>
      </c>
      <c r="E24" s="1014"/>
      <c r="F24" s="1007">
        <f>300*(1+$F$6)</f>
        <v>354</v>
      </c>
      <c r="G24" s="1001"/>
      <c r="H24" s="1002">
        <f t="shared" ref="H24:H29" si="0">F24*D24</f>
        <v>354</v>
      </c>
    </row>
    <row r="25" spans="1:8" x14ac:dyDescent="0.2">
      <c r="A25" s="952"/>
      <c r="B25" s="973" t="s">
        <v>500</v>
      </c>
      <c r="C25" s="952"/>
      <c r="D25" s="1005">
        <v>1</v>
      </c>
      <c r="E25" s="1014"/>
      <c r="F25" s="1007">
        <f>120*(1+$F$6)</f>
        <v>141.6</v>
      </c>
      <c r="G25" s="1001"/>
      <c r="H25" s="1002">
        <f t="shared" si="0"/>
        <v>141.6</v>
      </c>
    </row>
    <row r="26" spans="1:8" x14ac:dyDescent="0.2">
      <c r="A26" s="952"/>
      <c r="B26" s="952" t="s">
        <v>501</v>
      </c>
      <c r="C26" s="952"/>
      <c r="D26" s="1005">
        <v>1</v>
      </c>
      <c r="E26" s="1014"/>
      <c r="F26" s="1007">
        <f>75*(1+$F$6)</f>
        <v>88.5</v>
      </c>
      <c r="G26" s="1001"/>
      <c r="H26" s="1002">
        <f t="shared" si="0"/>
        <v>88.5</v>
      </c>
    </row>
    <row r="27" spans="1:8" x14ac:dyDescent="0.2">
      <c r="A27" s="952"/>
      <c r="B27" s="952" t="s">
        <v>502</v>
      </c>
      <c r="C27" s="952"/>
      <c r="D27" s="1005">
        <v>1</v>
      </c>
      <c r="E27" s="1014"/>
      <c r="F27" s="1007">
        <f>70*(1+$F$6)</f>
        <v>82.6</v>
      </c>
      <c r="G27" s="1001"/>
      <c r="H27" s="1002">
        <f t="shared" si="0"/>
        <v>82.6</v>
      </c>
    </row>
    <row r="28" spans="1:8" x14ac:dyDescent="0.2">
      <c r="A28" s="952"/>
      <c r="B28" s="952" t="s">
        <v>503</v>
      </c>
      <c r="C28" s="952"/>
      <c r="D28" s="1005">
        <v>2</v>
      </c>
      <c r="E28" s="1014"/>
      <c r="F28" s="1007">
        <f>130*(1+$F$6)</f>
        <v>153.4</v>
      </c>
      <c r="G28" s="1001"/>
      <c r="H28" s="1002">
        <f t="shared" si="0"/>
        <v>306.8</v>
      </c>
    </row>
    <row r="29" spans="1:8" x14ac:dyDescent="0.2">
      <c r="A29" s="952"/>
      <c r="B29" s="952" t="s">
        <v>504</v>
      </c>
      <c r="C29" s="952"/>
      <c r="D29" s="1005">
        <v>1</v>
      </c>
      <c r="E29" s="1014"/>
      <c r="F29" s="1007">
        <f>350*(1+$F$6)</f>
        <v>413</v>
      </c>
      <c r="G29" s="1001"/>
      <c r="H29" s="1002">
        <f t="shared" si="0"/>
        <v>413</v>
      </c>
    </row>
    <row r="30" spans="1:8" ht="13.5" thickBot="1" x14ac:dyDescent="0.25">
      <c r="A30" s="952"/>
      <c r="B30" s="973" t="s">
        <v>497</v>
      </c>
      <c r="C30" s="952"/>
      <c r="D30" s="1015"/>
      <c r="E30" s="1015"/>
      <c r="F30" s="1015"/>
      <c r="G30" s="952"/>
      <c r="H30" s="1002">
        <v>100</v>
      </c>
    </row>
    <row r="31" spans="1:8" x14ac:dyDescent="0.2">
      <c r="A31" s="998" t="s">
        <v>505</v>
      </c>
      <c r="B31" s="1017"/>
      <c r="C31" s="998"/>
      <c r="D31" s="1018"/>
      <c r="E31" s="1019"/>
      <c r="F31" s="1010"/>
      <c r="G31" s="1011"/>
      <c r="H31" s="1012">
        <f>SUM(H24:H29)</f>
        <v>1386.5</v>
      </c>
    </row>
    <row r="32" spans="1:8" ht="13.5" thickBot="1" x14ac:dyDescent="0.25">
      <c r="A32" s="1021" t="s">
        <v>506</v>
      </c>
      <c r="B32" s="1021" t="s">
        <v>508</v>
      </c>
      <c r="C32" s="1021"/>
      <c r="D32" s="1022">
        <v>1</v>
      </c>
      <c r="E32" s="1023"/>
      <c r="F32" s="1024">
        <v>1250</v>
      </c>
      <c r="G32" s="1025"/>
      <c r="H32" s="1026"/>
    </row>
    <row r="33" spans="1:8" x14ac:dyDescent="0.2">
      <c r="A33" s="998" t="s">
        <v>534</v>
      </c>
      <c r="B33" s="1017"/>
      <c r="C33" s="998"/>
      <c r="D33" s="1027"/>
      <c r="E33" s="1028"/>
      <c r="F33" s="1011"/>
      <c r="G33" s="1011"/>
      <c r="H33" s="1012">
        <f>SUM(H18,H23,H31,H32)</f>
        <v>9025.5</v>
      </c>
    </row>
    <row r="34" spans="1:8" x14ac:dyDescent="0.2">
      <c r="A34" s="952" t="s">
        <v>509</v>
      </c>
      <c r="B34" s="973"/>
      <c r="C34" s="952"/>
      <c r="D34" s="1029"/>
      <c r="E34" s="1030"/>
      <c r="F34" s="1001"/>
      <c r="G34" s="1001"/>
      <c r="H34" s="1002"/>
    </row>
    <row r="35" spans="1:8" x14ac:dyDescent="0.2">
      <c r="A35" s="952"/>
      <c r="B35" s="973" t="s">
        <v>62</v>
      </c>
      <c r="C35" s="1031"/>
      <c r="D35" s="995" t="s">
        <v>11</v>
      </c>
      <c r="E35" s="995" t="s">
        <v>510</v>
      </c>
      <c r="F35" s="995" t="s">
        <v>511</v>
      </c>
      <c r="G35" s="995"/>
      <c r="H35" s="995" t="s">
        <v>168</v>
      </c>
    </row>
    <row r="36" spans="1:8" x14ac:dyDescent="0.2">
      <c r="A36" s="952"/>
      <c r="B36" s="973"/>
      <c r="C36" s="952"/>
      <c r="D36" s="1029"/>
      <c r="E36" s="1030"/>
      <c r="F36" s="1001"/>
      <c r="G36" s="1032" t="s">
        <v>21</v>
      </c>
      <c r="H36" s="1033" t="s">
        <v>82</v>
      </c>
    </row>
    <row r="37" spans="1:8" x14ac:dyDescent="0.2">
      <c r="A37" s="952" t="s">
        <v>512</v>
      </c>
      <c r="B37" s="973" t="s">
        <v>513</v>
      </c>
      <c r="C37" s="952"/>
      <c r="D37" s="1029"/>
      <c r="E37" s="1396">
        <v>10</v>
      </c>
      <c r="F37" s="1393">
        <v>2</v>
      </c>
      <c r="G37" s="1001"/>
      <c r="H37" s="1002"/>
    </row>
    <row r="38" spans="1:8" x14ac:dyDescent="0.2">
      <c r="A38" s="1034"/>
      <c r="B38" s="952" t="s">
        <v>514</v>
      </c>
      <c r="C38" s="1035">
        <v>6.5</v>
      </c>
      <c r="D38" s="1115">
        <f>D20</f>
        <v>300</v>
      </c>
      <c r="E38" s="1037"/>
      <c r="F38" s="1393"/>
      <c r="G38" s="1038">
        <f>C38</f>
        <v>6.5</v>
      </c>
      <c r="H38" s="1002">
        <f>G38*D38</f>
        <v>1950</v>
      </c>
    </row>
    <row r="39" spans="1:8" x14ac:dyDescent="0.2">
      <c r="A39" s="952"/>
      <c r="B39" s="952" t="s">
        <v>515</v>
      </c>
      <c r="C39" s="1039"/>
      <c r="D39" s="1040">
        <v>1</v>
      </c>
      <c r="E39" s="1037">
        <v>25</v>
      </c>
      <c r="F39" s="1393">
        <v>4</v>
      </c>
      <c r="G39" s="1038">
        <v>13.6</v>
      </c>
      <c r="H39" s="1002">
        <f>G39*F39</f>
        <v>54.4</v>
      </c>
    </row>
    <row r="40" spans="1:8" x14ac:dyDescent="0.2">
      <c r="A40" s="952"/>
      <c r="B40" s="952" t="s">
        <v>516</v>
      </c>
      <c r="C40" s="1041"/>
      <c r="D40" s="1040"/>
      <c r="E40" s="1037">
        <v>35</v>
      </c>
      <c r="F40" s="1393"/>
      <c r="G40" s="1038"/>
      <c r="H40" s="1002"/>
    </row>
    <row r="41" spans="1:8" x14ac:dyDescent="0.2">
      <c r="A41" s="952"/>
      <c r="B41" s="952" t="s">
        <v>480</v>
      </c>
      <c r="C41" s="1041"/>
      <c r="D41" s="1040"/>
      <c r="E41" s="1037">
        <v>18</v>
      </c>
      <c r="F41" s="1393"/>
      <c r="G41" s="1038"/>
      <c r="H41" s="1002"/>
    </row>
    <row r="42" spans="1:8" x14ac:dyDescent="0.2">
      <c r="A42" s="952"/>
      <c r="B42" s="952" t="s">
        <v>517</v>
      </c>
      <c r="C42" s="1039"/>
      <c r="D42" s="1042"/>
      <c r="E42" s="1037">
        <v>3</v>
      </c>
      <c r="F42" s="1393"/>
      <c r="G42" s="1038"/>
      <c r="H42" s="1002"/>
    </row>
    <row r="43" spans="1:8" x14ac:dyDescent="0.2">
      <c r="A43" s="952"/>
      <c r="B43" s="952" t="s">
        <v>375</v>
      </c>
      <c r="C43" s="1043">
        <v>125</v>
      </c>
      <c r="D43" s="1044">
        <v>3</v>
      </c>
      <c r="E43" s="1037">
        <v>3</v>
      </c>
      <c r="F43" s="1393"/>
      <c r="G43" s="1038">
        <v>3</v>
      </c>
      <c r="H43" s="1002">
        <f>G43*C43</f>
        <v>375</v>
      </c>
    </row>
    <row r="44" spans="1:8" ht="13.5" thickBot="1" x14ac:dyDescent="0.25">
      <c r="A44" s="1034" t="s">
        <v>391</v>
      </c>
      <c r="B44" s="1045">
        <v>0.1</v>
      </c>
      <c r="C44" s="1046" t="s">
        <v>518</v>
      </c>
      <c r="D44" s="1015"/>
      <c r="E44" s="1116">
        <f>SUM(E37:E43)*B44</f>
        <v>9.4</v>
      </c>
      <c r="F44" s="1394">
        <f>SUM(F37:F43)*B44</f>
        <v>0.60000000000000009</v>
      </c>
      <c r="G44" s="1047"/>
      <c r="H44" s="1002"/>
    </row>
    <row r="45" spans="1:8" x14ac:dyDescent="0.2">
      <c r="A45" s="998" t="s">
        <v>519</v>
      </c>
      <c r="B45" s="998"/>
      <c r="C45" s="998"/>
      <c r="D45" s="1027"/>
      <c r="E45" s="1397">
        <f>SUM(E37:E44)</f>
        <v>103.4</v>
      </c>
      <c r="F45" s="1395">
        <f>SUM(F37:F44)</f>
        <v>6.6</v>
      </c>
      <c r="G45" s="1011"/>
      <c r="H45" s="1012">
        <f>SUM(H37:H44)</f>
        <v>2379.4</v>
      </c>
    </row>
    <row r="46" spans="1:8" x14ac:dyDescent="0.2">
      <c r="A46" s="952" t="s">
        <v>520</v>
      </c>
      <c r="B46" s="952"/>
      <c r="C46" s="952"/>
      <c r="D46" s="1029"/>
      <c r="E46" s="1048"/>
      <c r="F46" s="1001"/>
      <c r="G46" s="1001"/>
      <c r="H46" s="1002"/>
    </row>
    <row r="47" spans="1:8" x14ac:dyDescent="0.2">
      <c r="A47" s="952" t="s">
        <v>476</v>
      </c>
      <c r="B47" s="952"/>
      <c r="C47" s="952"/>
      <c r="D47" s="1029"/>
      <c r="E47" s="1048"/>
      <c r="F47" s="1001"/>
      <c r="G47" s="1001"/>
      <c r="H47" s="1002">
        <f>H33</f>
        <v>9025.5</v>
      </c>
    </row>
    <row r="48" spans="1:8" x14ac:dyDescent="0.2">
      <c r="A48" s="952" t="s">
        <v>521</v>
      </c>
      <c r="B48" s="952" t="s">
        <v>522</v>
      </c>
      <c r="C48" s="952" t="s">
        <v>523</v>
      </c>
      <c r="D48" s="1005">
        <f>F45</f>
        <v>6.6</v>
      </c>
      <c r="E48" s="1014" t="s">
        <v>524</v>
      </c>
      <c r="F48" s="1063">
        <f>'Standard Vorgaben'!D130</f>
        <v>41</v>
      </c>
      <c r="G48" s="1001"/>
      <c r="H48" s="1002">
        <f>((D48*F48)+H45)</f>
        <v>2650</v>
      </c>
    </row>
    <row r="49" spans="1:8" ht="13.5" thickBot="1" x14ac:dyDescent="0.25">
      <c r="A49" s="952" t="s">
        <v>525</v>
      </c>
      <c r="B49" s="952"/>
      <c r="C49" s="952" t="s">
        <v>526</v>
      </c>
      <c r="D49" s="1005">
        <f>E45</f>
        <v>103.4</v>
      </c>
      <c r="E49" s="1014" t="s">
        <v>524</v>
      </c>
      <c r="F49" s="1063">
        <f>'Standard Vorgaben'!C32</f>
        <v>41.4</v>
      </c>
      <c r="G49" s="1001"/>
      <c r="H49" s="1016">
        <f>D49*F49</f>
        <v>4280.76</v>
      </c>
    </row>
    <row r="50" spans="1:8" x14ac:dyDescent="0.2">
      <c r="A50" s="998" t="s">
        <v>592</v>
      </c>
      <c r="B50" s="952"/>
      <c r="C50" s="952"/>
      <c r="D50" s="1005"/>
      <c r="E50" s="1014"/>
      <c r="F50" s="1007"/>
      <c r="G50" s="1001"/>
      <c r="H50" s="1020">
        <f>SUM(H47:H49)</f>
        <v>15956.26</v>
      </c>
    </row>
    <row r="51" spans="1:8" x14ac:dyDescent="0.2">
      <c r="A51" s="952" t="s">
        <v>527</v>
      </c>
      <c r="B51" s="952"/>
      <c r="C51" s="952" t="s">
        <v>528</v>
      </c>
      <c r="D51" s="1005"/>
      <c r="E51" s="1014"/>
      <c r="F51" s="1007"/>
      <c r="G51" s="1001"/>
      <c r="H51" s="1390">
        <v>60</v>
      </c>
    </row>
    <row r="52" spans="1:8" x14ac:dyDescent="0.2">
      <c r="A52" s="952" t="s">
        <v>529</v>
      </c>
      <c r="B52" s="952"/>
      <c r="C52" s="1049" t="s">
        <v>530</v>
      </c>
      <c r="D52" s="1050"/>
      <c r="E52" s="1051">
        <v>4</v>
      </c>
      <c r="F52" s="1007">
        <f>'Standard Vorgaben'!$C$36</f>
        <v>32.700000000000003</v>
      </c>
      <c r="G52" s="1053"/>
      <c r="H52" s="1002">
        <f>E52*F52</f>
        <v>130.80000000000001</v>
      </c>
    </row>
    <row r="53" spans="1:8" x14ac:dyDescent="0.2">
      <c r="A53" s="952"/>
      <c r="B53" s="952"/>
      <c r="C53" s="1049" t="s">
        <v>531</v>
      </c>
      <c r="D53" s="1050"/>
      <c r="E53" s="1051"/>
      <c r="F53" s="1052"/>
      <c r="G53" s="1053"/>
      <c r="H53" s="1002">
        <v>300</v>
      </c>
    </row>
    <row r="54" spans="1:8" x14ac:dyDescent="0.2">
      <c r="A54" s="952"/>
      <c r="B54" s="952"/>
      <c r="C54" s="1049" t="s">
        <v>481</v>
      </c>
      <c r="D54" s="1050"/>
      <c r="E54" s="1051">
        <v>10</v>
      </c>
      <c r="F54" s="1007">
        <f>'Standard Vorgaben'!$C$36</f>
        <v>32.700000000000003</v>
      </c>
      <c r="G54" s="1053"/>
      <c r="H54" s="1002">
        <f>E54*F54</f>
        <v>327</v>
      </c>
    </row>
    <row r="55" spans="1:8" ht="13.5" thickBot="1" x14ac:dyDescent="0.25">
      <c r="A55" s="952"/>
      <c r="B55" s="952"/>
      <c r="C55" s="952" t="s">
        <v>484</v>
      </c>
      <c r="D55" s="1005"/>
      <c r="E55" s="1099">
        <f>'Standard Vorgaben'!C185</f>
        <v>500</v>
      </c>
      <c r="F55" s="1063">
        <f>'Standard Vorgaben'!C184</f>
        <v>1</v>
      </c>
      <c r="G55" s="1001"/>
      <c r="H55" s="1016">
        <f>E55*F55</f>
        <v>500</v>
      </c>
    </row>
    <row r="56" spans="1:8" x14ac:dyDescent="0.2">
      <c r="A56" s="998" t="s">
        <v>593</v>
      </c>
      <c r="B56" s="952"/>
      <c r="C56" s="1049"/>
      <c r="D56" s="1054"/>
      <c r="E56" s="1055"/>
      <c r="F56" s="1053"/>
      <c r="G56" s="1053"/>
      <c r="H56" s="1020">
        <f>SUM(H51:H55)</f>
        <v>1317.8</v>
      </c>
    </row>
    <row r="57" spans="1:8" x14ac:dyDescent="0.2">
      <c r="A57" s="952"/>
      <c r="B57" s="952"/>
      <c r="C57" s="1049"/>
      <c r="D57" s="1054"/>
      <c r="E57" s="1055"/>
      <c r="F57" s="1053"/>
      <c r="G57" s="1053"/>
      <c r="H57" s="1002"/>
    </row>
    <row r="58" spans="1:8" x14ac:dyDescent="0.2">
      <c r="A58" s="952"/>
      <c r="B58" s="952"/>
      <c r="C58" s="1049"/>
      <c r="D58" s="1054"/>
      <c r="E58" s="1055"/>
      <c r="F58" s="1053"/>
      <c r="G58" s="1053"/>
      <c r="H58" s="1002"/>
    </row>
    <row r="59" spans="1:8" x14ac:dyDescent="0.2">
      <c r="A59" s="991"/>
      <c r="B59" s="991"/>
      <c r="C59" s="991"/>
      <c r="D59" s="991"/>
      <c r="E59" s="991"/>
      <c r="F59" s="991"/>
      <c r="G59" s="991"/>
      <c r="H59" s="991"/>
    </row>
    <row r="60" spans="1:8" x14ac:dyDescent="0.2">
      <c r="A60" s="991"/>
      <c r="B60" s="991"/>
      <c r="C60" s="991"/>
      <c r="D60" s="991"/>
      <c r="E60" s="991"/>
      <c r="F60" s="991"/>
      <c r="G60" s="991"/>
      <c r="H60" s="991"/>
    </row>
    <row r="61" spans="1:8" x14ac:dyDescent="0.2">
      <c r="A61" s="1452" t="s">
        <v>596</v>
      </c>
      <c r="B61" s="1452"/>
      <c r="C61" s="1452"/>
      <c r="D61" s="1452"/>
      <c r="E61" s="1452"/>
      <c r="F61" s="1452"/>
      <c r="G61" s="1452"/>
      <c r="H61" s="1452"/>
    </row>
    <row r="62" spans="1:8" x14ac:dyDescent="0.2">
      <c r="A62" s="1452" t="s">
        <v>567</v>
      </c>
      <c r="B62" s="1452"/>
      <c r="C62" s="1452"/>
      <c r="D62" s="1111"/>
      <c r="E62" s="1111"/>
      <c r="F62" s="1111"/>
      <c r="G62" s="1111"/>
      <c r="H62" s="1111"/>
    </row>
    <row r="63" spans="1:8" x14ac:dyDescent="0.2">
      <c r="A63" s="1056" t="s">
        <v>594</v>
      </c>
      <c r="B63" s="1056"/>
      <c r="C63" s="1057">
        <f>'Standard Vorgaben'!$C$18</f>
        <v>120</v>
      </c>
      <c r="D63" s="1058">
        <f>'Standard Vorgaben'!$C$19</f>
        <v>75</v>
      </c>
      <c r="E63" s="1059">
        <f>'Standard Vorgaben'!$C$23</f>
        <v>25</v>
      </c>
      <c r="F63" s="991"/>
      <c r="G63" s="1060">
        <f>'Standard Vorgaben'!C21</f>
        <v>3</v>
      </c>
      <c r="H63" s="1061">
        <f>'Standard Vorgaben'!C22</f>
        <v>1</v>
      </c>
    </row>
    <row r="64" spans="1:8" x14ac:dyDescent="0.2">
      <c r="A64" s="973" t="s">
        <v>477</v>
      </c>
      <c r="B64" s="973" t="s">
        <v>552</v>
      </c>
      <c r="C64" s="973"/>
      <c r="D64" s="1117">
        <f>((E63*C63)+50)</f>
        <v>3050</v>
      </c>
      <c r="E64" s="1062"/>
      <c r="F64" s="1007">
        <f>0.9*(1+$F$6)</f>
        <v>1.0620000000000001</v>
      </c>
      <c r="G64" s="1063"/>
      <c r="H64" s="1064">
        <f>F64*D64</f>
        <v>3239.1000000000004</v>
      </c>
    </row>
    <row r="65" spans="1:8" x14ac:dyDescent="0.2">
      <c r="A65" s="1065"/>
      <c r="B65" s="973" t="s">
        <v>553</v>
      </c>
      <c r="C65" s="973"/>
      <c r="D65" s="1113">
        <f>'Standard Vorgaben'!C24/2</f>
        <v>1512.5</v>
      </c>
      <c r="E65" s="1062" t="s">
        <v>554</v>
      </c>
      <c r="F65" s="1007">
        <f>2.6*(1+$F$6)</f>
        <v>3.0680000000000001</v>
      </c>
      <c r="G65" s="1063"/>
      <c r="H65" s="1064">
        <f>F65*D65</f>
        <v>4640.3500000000004</v>
      </c>
    </row>
    <row r="66" spans="1:8" x14ac:dyDescent="0.2">
      <c r="A66" s="973"/>
      <c r="B66" s="1066" t="s">
        <v>490</v>
      </c>
      <c r="C66" s="1067"/>
      <c r="D66" s="1113">
        <f>E63</f>
        <v>25</v>
      </c>
      <c r="E66" s="1006"/>
      <c r="F66" s="1007">
        <f>20.65*(1+$F$6)</f>
        <v>24.366999999999997</v>
      </c>
      <c r="G66" s="1063"/>
      <c r="H66" s="1064">
        <f>F66*D66</f>
        <v>609.17499999999995</v>
      </c>
    </row>
    <row r="67" spans="1:8" x14ac:dyDescent="0.2">
      <c r="A67" s="973"/>
      <c r="B67" s="973" t="s">
        <v>555</v>
      </c>
      <c r="C67" s="973"/>
      <c r="D67" s="1113">
        <f>E63</f>
        <v>25</v>
      </c>
      <c r="E67" s="1006"/>
      <c r="F67" s="1007">
        <f>8.5*(1+$F$6)</f>
        <v>10.029999999999999</v>
      </c>
      <c r="G67" s="1063"/>
      <c r="H67" s="1064">
        <f>F67*D67</f>
        <v>250.74999999999997</v>
      </c>
    </row>
    <row r="68" spans="1:8" x14ac:dyDescent="0.2">
      <c r="A68" s="973"/>
      <c r="B68" s="973" t="s">
        <v>556</v>
      </c>
      <c r="C68" s="973"/>
      <c r="D68" s="1113">
        <f>D64</f>
        <v>3050</v>
      </c>
      <c r="E68" s="1006"/>
      <c r="F68" s="1007">
        <f>0.078*(1+$F$6)</f>
        <v>9.2039999999999997E-2</v>
      </c>
      <c r="G68" s="1063"/>
      <c r="H68" s="1064">
        <f>F68*D68</f>
        <v>280.72199999999998</v>
      </c>
    </row>
    <row r="69" spans="1:8" ht="13.5" thickBot="1" x14ac:dyDescent="0.25">
      <c r="A69" s="973"/>
      <c r="B69" s="973" t="s">
        <v>355</v>
      </c>
      <c r="C69" s="973"/>
      <c r="D69" s="1005"/>
      <c r="E69" s="1006"/>
      <c r="F69" s="1007"/>
      <c r="G69" s="1063"/>
      <c r="H69" s="1068">
        <v>250</v>
      </c>
    </row>
    <row r="70" spans="1:8" x14ac:dyDescent="0.2">
      <c r="A70" s="1017" t="s">
        <v>493</v>
      </c>
      <c r="B70" s="1017"/>
      <c r="C70" s="1017"/>
      <c r="D70" s="1118"/>
      <c r="E70" s="1009"/>
      <c r="F70" s="1071"/>
      <c r="G70" s="1119"/>
      <c r="H70" s="1120">
        <f>SUM(H64:H69)</f>
        <v>9270.0969999999998</v>
      </c>
    </row>
    <row r="71" spans="1:8" x14ac:dyDescent="0.2">
      <c r="A71" s="973" t="s">
        <v>478</v>
      </c>
      <c r="B71" s="973" t="s">
        <v>494</v>
      </c>
      <c r="C71" s="973"/>
      <c r="D71" s="1005"/>
      <c r="E71" s="1006"/>
      <c r="F71" s="1007"/>
      <c r="G71" s="1063"/>
      <c r="H71" s="1064"/>
    </row>
    <row r="72" spans="1:8" x14ac:dyDescent="0.2">
      <c r="A72" s="973"/>
      <c r="B72" s="973" t="s">
        <v>495</v>
      </c>
      <c r="C72" s="973"/>
      <c r="D72" s="1013">
        <v>300</v>
      </c>
      <c r="E72" s="1006"/>
      <c r="F72" s="1007">
        <f>3.8*(1+$F$6)</f>
        <v>4.484</v>
      </c>
      <c r="G72" s="1063"/>
      <c r="H72" s="1064">
        <f>F72*D72</f>
        <v>1345.2</v>
      </c>
    </row>
    <row r="73" spans="1:8" x14ac:dyDescent="0.2">
      <c r="A73" s="973"/>
      <c r="B73" s="973" t="s">
        <v>496</v>
      </c>
      <c r="C73" s="973"/>
      <c r="D73" s="1005">
        <v>2</v>
      </c>
      <c r="E73" s="1014"/>
      <c r="F73" s="1007">
        <f>55*(1+$F$6)</f>
        <v>64.899999999999991</v>
      </c>
      <c r="G73" s="1063"/>
      <c r="H73" s="1064">
        <f>F73*D73</f>
        <v>129.79999999999998</v>
      </c>
    </row>
    <row r="74" spans="1:8" ht="13.5" thickBot="1" x14ac:dyDescent="0.25">
      <c r="A74" s="973"/>
      <c r="B74" s="973" t="s">
        <v>497</v>
      </c>
      <c r="C74" s="973"/>
      <c r="D74" s="1015"/>
      <c r="E74" s="1015"/>
      <c r="F74" s="1015"/>
      <c r="G74" s="973"/>
      <c r="H74" s="1068">
        <v>250</v>
      </c>
    </row>
    <row r="75" spans="1:8" x14ac:dyDescent="0.2">
      <c r="A75" s="1017" t="s">
        <v>498</v>
      </c>
      <c r="B75" s="1017"/>
      <c r="C75" s="1017"/>
      <c r="D75" s="1118"/>
      <c r="E75" s="1009"/>
      <c r="F75" s="1071"/>
      <c r="G75" s="1119"/>
      <c r="H75" s="1120">
        <f>SUM(H72:H74)</f>
        <v>1725</v>
      </c>
    </row>
    <row r="76" spans="1:8" x14ac:dyDescent="0.2">
      <c r="A76" s="973" t="s">
        <v>479</v>
      </c>
      <c r="B76" s="973" t="s">
        <v>499</v>
      </c>
      <c r="C76" s="973"/>
      <c r="D76" s="1005">
        <v>1</v>
      </c>
      <c r="E76" s="1014"/>
      <c r="F76" s="1007">
        <f>300*(1+$F$6)</f>
        <v>354</v>
      </c>
      <c r="G76" s="1063"/>
      <c r="H76" s="1064">
        <f t="shared" ref="H76:H81" si="1">F76*D76</f>
        <v>354</v>
      </c>
    </row>
    <row r="77" spans="1:8" x14ac:dyDescent="0.2">
      <c r="A77" s="973"/>
      <c r="B77" s="973" t="s">
        <v>500</v>
      </c>
      <c r="C77" s="973"/>
      <c r="D77" s="1005">
        <v>1</v>
      </c>
      <c r="E77" s="1014"/>
      <c r="F77" s="1007">
        <f>120*(1+$F$6)</f>
        <v>141.6</v>
      </c>
      <c r="G77" s="1063"/>
      <c r="H77" s="1064">
        <f t="shared" si="1"/>
        <v>141.6</v>
      </c>
    </row>
    <row r="78" spans="1:8" x14ac:dyDescent="0.2">
      <c r="A78" s="973"/>
      <c r="B78" s="973" t="s">
        <v>557</v>
      </c>
      <c r="C78" s="973"/>
      <c r="D78" s="1005">
        <v>1</v>
      </c>
      <c r="E78" s="1014"/>
      <c r="F78" s="1007">
        <f>190*(1+$F$6)</f>
        <v>224.2</v>
      </c>
      <c r="G78" s="1063"/>
      <c r="H78" s="1064">
        <f t="shared" si="1"/>
        <v>224.2</v>
      </c>
    </row>
    <row r="79" spans="1:8" x14ac:dyDescent="0.2">
      <c r="A79" s="973"/>
      <c r="B79" s="973" t="s">
        <v>502</v>
      </c>
      <c r="C79" s="973"/>
      <c r="D79" s="1005">
        <v>1</v>
      </c>
      <c r="E79" s="1014"/>
      <c r="F79" s="1007">
        <f>70*(1+$F$6)</f>
        <v>82.6</v>
      </c>
      <c r="G79" s="1063"/>
      <c r="H79" s="1064">
        <f t="shared" si="1"/>
        <v>82.6</v>
      </c>
    </row>
    <row r="80" spans="1:8" x14ac:dyDescent="0.2">
      <c r="A80" s="973"/>
      <c r="B80" s="973" t="s">
        <v>503</v>
      </c>
      <c r="C80" s="973"/>
      <c r="D80" s="1005">
        <v>4</v>
      </c>
      <c r="E80" s="1014"/>
      <c r="F80" s="1007">
        <f>130*(1+$F$6)</f>
        <v>153.4</v>
      </c>
      <c r="G80" s="1063"/>
      <c r="H80" s="1064">
        <f t="shared" si="1"/>
        <v>613.6</v>
      </c>
    </row>
    <row r="81" spans="1:8" x14ac:dyDescent="0.2">
      <c r="A81" s="973"/>
      <c r="B81" s="973" t="s">
        <v>504</v>
      </c>
      <c r="C81" s="973"/>
      <c r="D81" s="1005">
        <v>1</v>
      </c>
      <c r="E81" s="1014"/>
      <c r="F81" s="1007">
        <f>350*(1+$F$6)</f>
        <v>413</v>
      </c>
      <c r="G81" s="1063"/>
      <c r="H81" s="1064">
        <f t="shared" si="1"/>
        <v>413</v>
      </c>
    </row>
    <row r="82" spans="1:8" ht="13.5" thickBot="1" x14ac:dyDescent="0.25">
      <c r="A82" s="973"/>
      <c r="B82" s="973" t="s">
        <v>497</v>
      </c>
      <c r="C82" s="973"/>
      <c r="D82" s="1015"/>
      <c r="E82" s="1015"/>
      <c r="F82" s="1015"/>
      <c r="G82" s="973"/>
      <c r="H82" s="1068">
        <v>100</v>
      </c>
    </row>
    <row r="83" spans="1:8" x14ac:dyDescent="0.2">
      <c r="A83" s="1017" t="s">
        <v>505</v>
      </c>
      <c r="B83" s="1017"/>
      <c r="C83" s="1017"/>
      <c r="D83" s="1118"/>
      <c r="E83" s="1009"/>
      <c r="F83" s="1009"/>
      <c r="G83" s="1119"/>
      <c r="H83" s="1120">
        <f>SUM(H76:H82)</f>
        <v>1929</v>
      </c>
    </row>
    <row r="84" spans="1:8" x14ac:dyDescent="0.2">
      <c r="A84" s="1121" t="s">
        <v>506</v>
      </c>
      <c r="B84" s="1121" t="s">
        <v>507</v>
      </c>
      <c r="C84" s="1121"/>
      <c r="D84" s="1122">
        <v>1</v>
      </c>
      <c r="E84" s="1123"/>
      <c r="F84" s="1124">
        <v>1580</v>
      </c>
      <c r="G84" s="1125"/>
      <c r="H84" s="1073"/>
    </row>
    <row r="85" spans="1:8" x14ac:dyDescent="0.2">
      <c r="A85" s="1121" t="s">
        <v>506</v>
      </c>
      <c r="B85" s="1121" t="s">
        <v>508</v>
      </c>
      <c r="C85" s="1121"/>
      <c r="D85" s="1122">
        <v>1</v>
      </c>
      <c r="E85" s="1123"/>
      <c r="F85" s="1124">
        <v>2250</v>
      </c>
      <c r="G85" s="1125"/>
      <c r="H85" s="1079"/>
    </row>
    <row r="86" spans="1:8" x14ac:dyDescent="0.2">
      <c r="A86" s="1017" t="s">
        <v>588</v>
      </c>
      <c r="B86" s="1017"/>
      <c r="C86" s="1017"/>
      <c r="D86" s="1017"/>
      <c r="E86" s="1119"/>
      <c r="F86" s="1119"/>
      <c r="G86" s="1119"/>
      <c r="H86" s="1120">
        <f>H70+H75+H83+H84+H85</f>
        <v>12924.097</v>
      </c>
    </row>
    <row r="87" spans="1:8" x14ac:dyDescent="0.2">
      <c r="A87" s="1017" t="s">
        <v>509</v>
      </c>
      <c r="B87" s="976"/>
      <c r="C87" s="976"/>
      <c r="D87" s="976"/>
      <c r="E87" s="976"/>
      <c r="F87" s="976"/>
      <c r="G87" s="976"/>
      <c r="H87" s="1126"/>
    </row>
    <row r="88" spans="1:8" x14ac:dyDescent="0.2">
      <c r="A88" s="1069"/>
      <c r="B88" s="1069" t="s">
        <v>62</v>
      </c>
      <c r="C88" s="1080"/>
      <c r="D88" s="1080"/>
      <c r="E88" s="1081" t="s">
        <v>510</v>
      </c>
      <c r="F88" s="1081" t="s">
        <v>511</v>
      </c>
      <c r="G88" s="1081"/>
      <c r="H88" s="1082" t="s">
        <v>558</v>
      </c>
    </row>
    <row r="89" spans="1:8" x14ac:dyDescent="0.2">
      <c r="A89" s="1069"/>
      <c r="B89" s="1069"/>
      <c r="C89" s="1080"/>
      <c r="D89" s="1080"/>
      <c r="E89" s="1081"/>
      <c r="F89" s="1081"/>
      <c r="G89" s="974" t="s">
        <v>21</v>
      </c>
      <c r="H89" s="975" t="s">
        <v>82</v>
      </c>
    </row>
    <row r="90" spans="1:8" x14ac:dyDescent="0.2">
      <c r="A90" s="976" t="s">
        <v>512</v>
      </c>
      <c r="B90" s="973" t="s">
        <v>513</v>
      </c>
      <c r="C90" s="1083"/>
      <c r="D90" s="1084"/>
      <c r="E90" s="1037">
        <v>10</v>
      </c>
      <c r="F90" s="1037">
        <v>2</v>
      </c>
      <c r="G90" s="1085"/>
      <c r="H90" s="1064"/>
    </row>
    <row r="91" spans="1:8" x14ac:dyDescent="0.2">
      <c r="A91" s="1069"/>
      <c r="B91" s="973" t="s">
        <v>514</v>
      </c>
      <c r="C91" s="1086">
        <v>8</v>
      </c>
      <c r="D91" s="1036">
        <f>D72</f>
        <v>300</v>
      </c>
      <c r="E91" s="1037"/>
      <c r="F91" s="1037"/>
      <c r="G91" s="1085">
        <f>C91</f>
        <v>8</v>
      </c>
      <c r="H91" s="1064">
        <f>G91*D91</f>
        <v>2400</v>
      </c>
    </row>
    <row r="92" spans="1:8" x14ac:dyDescent="0.2">
      <c r="A92" s="973"/>
      <c r="B92" s="973" t="s">
        <v>515</v>
      </c>
      <c r="C92" s="1087"/>
      <c r="D92" s="1040">
        <v>1</v>
      </c>
      <c r="E92" s="1037">
        <v>25</v>
      </c>
      <c r="F92" s="1037">
        <v>4</v>
      </c>
      <c r="G92" s="1085">
        <v>15</v>
      </c>
      <c r="H92" s="1064">
        <f>G92*F92</f>
        <v>60</v>
      </c>
    </row>
    <row r="93" spans="1:8" x14ac:dyDescent="0.2">
      <c r="A93" s="973"/>
      <c r="B93" s="973" t="s">
        <v>516</v>
      </c>
      <c r="C93" s="1083"/>
      <c r="D93" s="1040"/>
      <c r="E93" s="1037">
        <v>35</v>
      </c>
      <c r="F93" s="1037"/>
      <c r="G93" s="1085"/>
      <c r="H93" s="1064"/>
    </row>
    <row r="94" spans="1:8" x14ac:dyDescent="0.2">
      <c r="A94" s="973"/>
      <c r="B94" s="973" t="s">
        <v>559</v>
      </c>
      <c r="C94" s="1083"/>
      <c r="D94" s="1040"/>
      <c r="E94" s="1037">
        <v>10</v>
      </c>
      <c r="F94" s="1037"/>
      <c r="G94" s="1085"/>
      <c r="H94" s="1064"/>
    </row>
    <row r="95" spans="1:8" x14ac:dyDescent="0.2">
      <c r="A95" s="973"/>
      <c r="B95" s="973" t="s">
        <v>480</v>
      </c>
      <c r="C95" s="1083"/>
      <c r="D95" s="1040"/>
      <c r="E95" s="1037">
        <v>18</v>
      </c>
      <c r="F95" s="1037"/>
      <c r="G95" s="1085"/>
      <c r="H95" s="1064"/>
    </row>
    <row r="96" spans="1:8" x14ac:dyDescent="0.2">
      <c r="A96" s="973"/>
      <c r="B96" s="973" t="s">
        <v>517</v>
      </c>
      <c r="C96" s="1087"/>
      <c r="D96" s="1042"/>
      <c r="E96" s="1037">
        <v>3</v>
      </c>
      <c r="F96" s="1037"/>
      <c r="G96" s="1085"/>
      <c r="H96" s="1064"/>
    </row>
    <row r="97" spans="1:8" x14ac:dyDescent="0.2">
      <c r="A97" s="973"/>
      <c r="B97" s="973" t="s">
        <v>375</v>
      </c>
      <c r="C97" s="1088">
        <f>'Standard Vorgaben'!D149</f>
        <v>150</v>
      </c>
      <c r="D97" s="1044">
        <v>3</v>
      </c>
      <c r="E97" s="1037">
        <v>3</v>
      </c>
      <c r="F97" s="1015"/>
      <c r="G97" s="1085">
        <v>3</v>
      </c>
      <c r="H97" s="1064">
        <f>G97*C97</f>
        <v>450</v>
      </c>
    </row>
    <row r="98" spans="1:8" x14ac:dyDescent="0.2">
      <c r="A98" s="1069" t="s">
        <v>391</v>
      </c>
      <c r="B98" s="1089">
        <v>0.1</v>
      </c>
      <c r="C98" s="1083" t="s">
        <v>518</v>
      </c>
      <c r="D98" s="1015"/>
      <c r="E98" s="1037">
        <f>SUM(E90:E97)*B98</f>
        <v>10.4</v>
      </c>
      <c r="F98" s="1037">
        <f>SUM(F90:F97)*B98</f>
        <v>0.60000000000000009</v>
      </c>
      <c r="G98" s="1037"/>
      <c r="H98" s="1064"/>
    </row>
    <row r="99" spans="1:8" x14ac:dyDescent="0.2">
      <c r="A99" s="1017" t="s">
        <v>519</v>
      </c>
      <c r="B99" s="976"/>
      <c r="C99" s="1127"/>
      <c r="D99" s="1128"/>
      <c r="E99" s="1090">
        <f>SUM(E90:E98)</f>
        <v>114.4</v>
      </c>
      <c r="F99" s="1090">
        <f>SUM(F90:F98)</f>
        <v>6.6</v>
      </c>
      <c r="G99" s="1090"/>
      <c r="H99" s="1073">
        <f>SUM(H90:H98)</f>
        <v>2910</v>
      </c>
    </row>
    <row r="100" spans="1:8" x14ac:dyDescent="0.2">
      <c r="A100" s="1017" t="s">
        <v>520</v>
      </c>
      <c r="B100" s="976"/>
      <c r="C100" s="1129"/>
      <c r="D100" s="976"/>
      <c r="E100" s="976"/>
      <c r="F100" s="1129"/>
      <c r="G100" s="1129"/>
      <c r="H100" s="1130"/>
    </row>
    <row r="101" spans="1:8" x14ac:dyDescent="0.2">
      <c r="A101" s="1069" t="s">
        <v>476</v>
      </c>
      <c r="B101" s="973"/>
      <c r="C101" s="973"/>
      <c r="D101" s="1092"/>
      <c r="E101" s="651"/>
      <c r="F101" s="973"/>
      <c r="G101" s="973"/>
      <c r="H101" s="1064">
        <f>H86</f>
        <v>12924.097</v>
      </c>
    </row>
    <row r="102" spans="1:8" x14ac:dyDescent="0.2">
      <c r="A102" s="1069" t="s">
        <v>521</v>
      </c>
      <c r="B102" s="1069" t="s">
        <v>522</v>
      </c>
      <c r="C102" s="976" t="s">
        <v>523</v>
      </c>
      <c r="D102" s="1044">
        <f>F99</f>
        <v>6.6</v>
      </c>
      <c r="E102" s="1093" t="s">
        <v>524</v>
      </c>
      <c r="F102" s="1398">
        <f>'Standard Vorgaben'!D130</f>
        <v>41</v>
      </c>
      <c r="G102" s="1063"/>
      <c r="H102" s="1064">
        <f>((D102*F102)+H99)</f>
        <v>3180.6</v>
      </c>
    </row>
    <row r="103" spans="1:8" ht="13.5" thickBot="1" x14ac:dyDescent="0.25">
      <c r="A103" s="1069" t="s">
        <v>525</v>
      </c>
      <c r="B103" s="973"/>
      <c r="C103" s="973" t="s">
        <v>526</v>
      </c>
      <c r="D103" s="1044">
        <f>E99</f>
        <v>114.4</v>
      </c>
      <c r="E103" s="1093" t="s">
        <v>524</v>
      </c>
      <c r="F103" s="1398">
        <f>'Standard Vorgaben'!C32</f>
        <v>41.4</v>
      </c>
      <c r="G103" s="1063"/>
      <c r="H103" s="1068">
        <f>D103*F103</f>
        <v>4736.16</v>
      </c>
    </row>
    <row r="104" spans="1:8" x14ac:dyDescent="0.2">
      <c r="A104" s="1017" t="s">
        <v>589</v>
      </c>
      <c r="B104" s="1017"/>
      <c r="C104" s="1017"/>
      <c r="D104" s="1017"/>
      <c r="E104" s="1017"/>
      <c r="F104" s="1017"/>
      <c r="G104" s="1017"/>
      <c r="H104" s="1120">
        <f>SUM(H101:H103)</f>
        <v>20840.857</v>
      </c>
    </row>
    <row r="105" spans="1:8" x14ac:dyDescent="0.2">
      <c r="A105" s="1017" t="s">
        <v>597</v>
      </c>
      <c r="B105" s="976"/>
      <c r="C105" s="976"/>
      <c r="D105" s="976"/>
      <c r="E105" s="976"/>
      <c r="F105" s="976"/>
      <c r="G105" s="976"/>
      <c r="H105" s="1126"/>
    </row>
    <row r="106" spans="1:8" x14ac:dyDescent="0.2">
      <c r="A106" s="973" t="s">
        <v>560</v>
      </c>
      <c r="B106" s="973" t="s">
        <v>561</v>
      </c>
      <c r="C106" s="1094">
        <v>4</v>
      </c>
      <c r="D106" s="1052">
        <f>H101</f>
        <v>12924.097</v>
      </c>
      <c r="E106" s="1093" t="s">
        <v>562</v>
      </c>
      <c r="F106" s="1095">
        <v>60</v>
      </c>
      <c r="G106" s="1096"/>
      <c r="H106" s="1064">
        <f>(D106/100*F106)/100*C106</f>
        <v>310.17832800000002</v>
      </c>
    </row>
    <row r="107" spans="1:8" x14ac:dyDescent="0.2">
      <c r="A107" s="973"/>
      <c r="B107" s="973" t="s">
        <v>563</v>
      </c>
      <c r="C107" s="1094">
        <v>4</v>
      </c>
      <c r="D107" s="1052">
        <f>H91+H97</f>
        <v>2850</v>
      </c>
      <c r="E107" s="1093" t="s">
        <v>562</v>
      </c>
      <c r="F107" s="1095">
        <v>60</v>
      </c>
      <c r="G107" s="1096"/>
      <c r="H107" s="1064">
        <f>(D107/100*F107)/100*C107</f>
        <v>68.400000000000006</v>
      </c>
    </row>
    <row r="108" spans="1:8" x14ac:dyDescent="0.2">
      <c r="A108" s="973" t="s">
        <v>564</v>
      </c>
      <c r="B108" s="973"/>
      <c r="C108" s="1097">
        <f>D106</f>
        <v>12924.097</v>
      </c>
      <c r="D108" s="973" t="s">
        <v>565</v>
      </c>
      <c r="E108" s="973"/>
      <c r="F108" s="973"/>
      <c r="G108" s="973"/>
      <c r="H108" s="1064">
        <f>C108/15</f>
        <v>861.60646666666662</v>
      </c>
    </row>
    <row r="109" spans="1:8" x14ac:dyDescent="0.2">
      <c r="A109" s="973" t="s">
        <v>527</v>
      </c>
      <c r="B109" s="973"/>
      <c r="C109" s="1131" t="s">
        <v>528</v>
      </c>
      <c r="D109" s="1132"/>
      <c r="E109" s="1100"/>
      <c r="F109" s="1101"/>
      <c r="G109" s="1101"/>
      <c r="H109" s="1064">
        <v>50</v>
      </c>
    </row>
    <row r="110" spans="1:8" x14ac:dyDescent="0.2">
      <c r="A110" s="973" t="s">
        <v>529</v>
      </c>
      <c r="B110" s="973"/>
      <c r="C110" s="1098" t="s">
        <v>530</v>
      </c>
      <c r="D110" s="1050"/>
      <c r="E110" s="1102">
        <f>E52</f>
        <v>4</v>
      </c>
      <c r="F110" s="1007">
        <f>'Standard Vorgaben'!$C$36</f>
        <v>32.700000000000003</v>
      </c>
      <c r="G110" s="1101"/>
      <c r="H110" s="1064">
        <f>E110*F110</f>
        <v>130.80000000000001</v>
      </c>
    </row>
    <row r="111" spans="1:8" x14ac:dyDescent="0.2">
      <c r="A111" s="973"/>
      <c r="B111" s="973"/>
      <c r="C111" s="1098" t="s">
        <v>481</v>
      </c>
      <c r="D111" s="1050"/>
      <c r="E111" s="1102">
        <f>E54</f>
        <v>10</v>
      </c>
      <c r="F111" s="1007">
        <f>'Standard Vorgaben'!$C$36</f>
        <v>32.700000000000003</v>
      </c>
      <c r="G111" s="1101"/>
      <c r="H111" s="1064">
        <f>E111*F111</f>
        <v>327</v>
      </c>
    </row>
    <row r="112" spans="1:8" ht="13.5" thickBot="1" x14ac:dyDescent="0.25">
      <c r="A112" s="973"/>
      <c r="B112" s="973"/>
      <c r="C112" s="1098" t="s">
        <v>484</v>
      </c>
      <c r="D112" s="1050"/>
      <c r="E112" s="1103">
        <f>'Standard Vorgaben'!C185</f>
        <v>500</v>
      </c>
      <c r="F112" s="1104">
        <f>'Standard Vorgaben'!C184</f>
        <v>1</v>
      </c>
      <c r="G112" s="1104"/>
      <c r="H112" s="1068">
        <f>E112*F112</f>
        <v>500</v>
      </c>
    </row>
    <row r="113" spans="1:8" x14ac:dyDescent="0.2">
      <c r="A113" s="1017" t="s">
        <v>590</v>
      </c>
      <c r="B113" s="1017"/>
      <c r="C113" s="1017"/>
      <c r="D113" s="1017"/>
      <c r="E113" s="1017"/>
      <c r="F113" s="1017"/>
      <c r="G113" s="1017"/>
      <c r="H113" s="1120">
        <f>SUM(H105:H112)</f>
        <v>2247.9847946666669</v>
      </c>
    </row>
    <row r="114" spans="1:8" x14ac:dyDescent="0.2">
      <c r="A114" s="973"/>
      <c r="B114" s="973"/>
      <c r="C114" s="973"/>
      <c r="D114" s="973"/>
      <c r="E114" s="973"/>
      <c r="F114" s="973"/>
      <c r="G114" s="973"/>
      <c r="H114" s="973"/>
    </row>
    <row r="115" spans="1:8" x14ac:dyDescent="0.2">
      <c r="A115" s="973"/>
      <c r="B115" s="973"/>
      <c r="C115" s="973"/>
      <c r="D115" s="973"/>
      <c r="E115" s="973"/>
      <c r="F115" s="973"/>
      <c r="G115" s="973"/>
      <c r="H115" s="973"/>
    </row>
  </sheetData>
  <mergeCells count="5">
    <mergeCell ref="A61:H61"/>
    <mergeCell ref="A62:C62"/>
    <mergeCell ref="B3:F3"/>
    <mergeCell ref="A4:H4"/>
    <mergeCell ref="A5:H5"/>
  </mergeCells>
  <phoneticPr fontId="23" type="noConversion"/>
  <pageMargins left="0.78740157499999996" right="0.78740157499999996" top="0.984251969" bottom="0.984251969" header="0.4921259845" footer="0.4921259845"/>
  <pageSetup paperSize="9" orientation="portrait" r:id="rId1"/>
  <headerFooter alignWithMargins="0">
    <oddFooter>&amp;LArbokost 2008&amp;RAgroscope Changins - Wädenswil ACW</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tandardErstellung">
    <tabColor indexed="10"/>
  </sheetPr>
  <dimension ref="A1:AI138"/>
  <sheetViews>
    <sheetView topLeftCell="C1" zoomScale="75" workbookViewId="0">
      <selection activeCell="E112" sqref="E112"/>
    </sheetView>
  </sheetViews>
  <sheetFormatPr baseColWidth="10" defaultRowHeight="12.75" x14ac:dyDescent="0.2"/>
  <cols>
    <col min="1" max="1" width="32.28515625" customWidth="1"/>
    <col min="2" max="2" width="66.5703125" customWidth="1"/>
    <col min="3" max="3" width="16.42578125" customWidth="1"/>
    <col min="4" max="4" width="20.42578125" customWidth="1"/>
    <col min="5" max="5" width="17.5703125" customWidth="1"/>
    <col min="6" max="6" width="18.42578125" customWidth="1"/>
    <col min="7" max="7" width="25.7109375" customWidth="1"/>
    <col min="8" max="8" width="14.85546875" style="13" customWidth="1"/>
    <col min="9" max="35" width="11.42578125" style="13" customWidth="1"/>
    <col min="36" max="256" width="9.140625" customWidth="1"/>
  </cols>
  <sheetData>
    <row r="1" spans="1:35" ht="57.2" customHeight="1" x14ac:dyDescent="0.4">
      <c r="A1" s="1135" t="str">
        <f>Eingabeseite!A1</f>
        <v>Arbokost 2023</v>
      </c>
      <c r="B1" s="879"/>
      <c r="C1" s="686"/>
      <c r="D1" s="687"/>
      <c r="E1" s="688"/>
      <c r="F1" s="689"/>
      <c r="G1" s="71"/>
      <c r="H1"/>
      <c r="I1"/>
      <c r="J1"/>
      <c r="K1"/>
      <c r="L1"/>
      <c r="M1"/>
      <c r="N1"/>
      <c r="O1"/>
      <c r="P1"/>
      <c r="Q1"/>
      <c r="R1"/>
      <c r="S1"/>
      <c r="T1"/>
      <c r="U1"/>
      <c r="V1"/>
      <c r="W1"/>
      <c r="X1"/>
      <c r="Y1"/>
      <c r="Z1"/>
      <c r="AA1"/>
      <c r="AB1"/>
      <c r="AC1"/>
      <c r="AD1"/>
      <c r="AE1"/>
      <c r="AF1"/>
      <c r="AG1"/>
      <c r="AH1"/>
      <c r="AI1"/>
    </row>
    <row r="2" spans="1:35" s="1" customFormat="1" ht="23.25" customHeight="1" x14ac:dyDescent="0.25">
      <c r="A2" s="880" t="s">
        <v>468</v>
      </c>
      <c r="B2" s="733"/>
      <c r="C2" s="686"/>
      <c r="D2" s="687"/>
      <c r="E2" s="688"/>
      <c r="F2" s="689"/>
      <c r="G2" s="71"/>
    </row>
    <row r="3" spans="1:35" s="1" customFormat="1" ht="62.25" customHeight="1" x14ac:dyDescent="0.2">
      <c r="A3" s="731" t="str">
        <f>'Standard Vorgaben'!A3</f>
        <v>Definition Standard:</v>
      </c>
      <c r="B3" s="1419" t="str">
        <f>'Standard Vorgaben'!B3:H3</f>
        <v>Zeitgemässe Tafelapfelanlage auf schwachwachsender Unterlage. Werte sind ausgelegt auf gemischtwirtschaftlichen Betriebe mit 2 - 5 ha Obstfläche, an geeignetem Standort in einem der Hauptproduktionsgebiete der Schweiz.</v>
      </c>
      <c r="C3" s="1419"/>
      <c r="D3" s="1419"/>
      <c r="E3" s="1419"/>
      <c r="F3" s="1419"/>
      <c r="G3" s="902"/>
    </row>
    <row r="4" spans="1:35" s="1" customFormat="1" ht="21.6" customHeight="1" x14ac:dyDescent="0.25">
      <c r="A4" s="899"/>
      <c r="B4" s="733"/>
      <c r="C4" s="686"/>
      <c r="D4" s="687"/>
      <c r="E4" s="688"/>
      <c r="F4" s="689"/>
      <c r="G4" s="71"/>
    </row>
    <row r="5" spans="1:35" ht="30.6" customHeight="1" x14ac:dyDescent="0.4">
      <c r="A5" s="371" t="s">
        <v>432</v>
      </c>
      <c r="B5" s="372"/>
      <c r="C5" s="372"/>
      <c r="D5" s="372"/>
      <c r="E5" s="372"/>
      <c r="F5" s="372"/>
      <c r="G5" s="115"/>
    </row>
    <row r="6" spans="1:35" ht="15.75" x14ac:dyDescent="0.25">
      <c r="A6" s="19"/>
      <c r="B6" s="498"/>
      <c r="C6" s="228"/>
      <c r="F6" s="443" t="s">
        <v>450</v>
      </c>
    </row>
    <row r="7" spans="1:35" s="12" customFormat="1" ht="20.100000000000001" customHeight="1" x14ac:dyDescent="0.2">
      <c r="A7" s="1"/>
      <c r="B7" s="3"/>
      <c r="C7" s="18" t="s">
        <v>11</v>
      </c>
      <c r="D7" s="18" t="s">
        <v>12</v>
      </c>
      <c r="E7" s="87" t="s">
        <v>13</v>
      </c>
      <c r="F7" s="268" t="s">
        <v>384</v>
      </c>
      <c r="G7" s="270"/>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row>
    <row r="8" spans="1:35" x14ac:dyDescent="0.2">
      <c r="A8" s="734" t="s">
        <v>8</v>
      </c>
      <c r="B8" s="19"/>
      <c r="C8" s="127">
        <f>'Standard Vorgaben'!B24</f>
        <v>3000</v>
      </c>
      <c r="D8" s="44">
        <f>'Standard Vorgaben'!C31</f>
        <v>8.5</v>
      </c>
      <c r="E8" s="81">
        <f>C8*D8</f>
        <v>25500</v>
      </c>
      <c r="F8" s="649">
        <f>E8/$E$83</f>
        <v>0.4780044114371047</v>
      </c>
      <c r="G8" s="419"/>
    </row>
    <row r="9" spans="1:35" x14ac:dyDescent="0.2">
      <c r="A9" s="40"/>
      <c r="B9" s="19"/>
      <c r="C9" s="127"/>
      <c r="D9" s="44"/>
      <c r="E9" s="81"/>
      <c r="F9" s="644"/>
      <c r="G9" s="419"/>
    </row>
    <row r="10" spans="1:35" x14ac:dyDescent="0.2">
      <c r="A10" s="1430" t="s">
        <v>140</v>
      </c>
      <c r="B10" s="19" t="str">
        <f>'Standard Hagel'!B9</f>
        <v>Stützpfahl je B.</v>
      </c>
      <c r="C10" s="127">
        <f>'Standard Hagel'!C9</f>
        <v>2000</v>
      </c>
      <c r="D10" s="44">
        <f>'Standard Hagel'!D9</f>
        <v>2.5</v>
      </c>
      <c r="E10" s="45">
        <f>C10*D10</f>
        <v>5000</v>
      </c>
      <c r="F10" s="644">
        <f>E10/$E$83</f>
        <v>9.3726355183746016E-2</v>
      </c>
      <c r="G10" s="419"/>
    </row>
    <row r="11" spans="1:35" x14ac:dyDescent="0.2">
      <c r="A11" s="1430"/>
      <c r="B11" s="19" t="str">
        <f>'Standard Hagel'!B10</f>
        <v xml:space="preserve">Spanndraht 3 mm </v>
      </c>
      <c r="C11" s="127">
        <f>'Standard Hagel'!C10</f>
        <v>2530</v>
      </c>
      <c r="D11" s="44">
        <f>'Standard Hagel'!D10</f>
        <v>0.35</v>
      </c>
      <c r="E11" s="45">
        <f>C11*D11</f>
        <v>885.5</v>
      </c>
      <c r="F11" s="644">
        <f>E11/$E$83</f>
        <v>1.6598937503041419E-2</v>
      </c>
      <c r="G11" s="419"/>
    </row>
    <row r="12" spans="1:35" x14ac:dyDescent="0.2">
      <c r="A12" s="1430"/>
      <c r="B12" s="19" t="str">
        <f>'Standard Hagel'!B11</f>
        <v xml:space="preserve">Agraffen </v>
      </c>
      <c r="C12" s="127">
        <f>'Standard Hagel'!C11</f>
        <v>6</v>
      </c>
      <c r="D12" s="44">
        <f>'Standard Hagel'!D11</f>
        <v>6.4899999999999993</v>
      </c>
      <c r="E12" s="45">
        <f>C12*D12</f>
        <v>38.94</v>
      </c>
      <c r="F12" s="644">
        <f>E12/$E$83</f>
        <v>7.2994085417101397E-4</v>
      </c>
      <c r="G12" s="419"/>
    </row>
    <row r="13" spans="1:35" ht="13.5" thickBot="1" x14ac:dyDescent="0.25">
      <c r="A13" s="1430"/>
      <c r="B13" s="19" t="str">
        <f>'Standard Hagel'!B12</f>
        <v>Klemmfix</v>
      </c>
      <c r="C13" s="127">
        <f>'Standard Hagel'!C12</f>
        <v>2000</v>
      </c>
      <c r="D13" s="44">
        <f>'Standard Hagel'!D12</f>
        <v>0.2</v>
      </c>
      <c r="E13" s="420">
        <f>C13*D13</f>
        <v>400</v>
      </c>
      <c r="F13" s="644">
        <f>E13/$E$83</f>
        <v>7.4981084146996816E-3</v>
      </c>
      <c r="G13" s="419"/>
    </row>
    <row r="14" spans="1:35" x14ac:dyDescent="0.2">
      <c r="A14" s="40"/>
      <c r="B14" s="19"/>
      <c r="C14" s="127"/>
      <c r="D14" s="44"/>
      <c r="E14" s="500">
        <f>SUM(E10:E13)</f>
        <v>6324.44</v>
      </c>
      <c r="F14" s="649">
        <f t="shared" ref="F14:F34" si="0">E14/$E$83</f>
        <v>0.11855334195565813</v>
      </c>
      <c r="G14" s="419"/>
    </row>
    <row r="15" spans="1:35" ht="13.7" customHeight="1" x14ac:dyDescent="0.2">
      <c r="A15" s="40"/>
      <c r="B15" s="19"/>
      <c r="C15" s="256"/>
      <c r="D15" s="105"/>
      <c r="E15" s="500"/>
      <c r="F15" s="644"/>
      <c r="G15" s="419"/>
    </row>
    <row r="16" spans="1:35" ht="13.7" customHeight="1" x14ac:dyDescent="0.2">
      <c r="A16" s="1430" t="s">
        <v>336</v>
      </c>
      <c r="B16" s="19" t="str">
        <f>'Standard Hagel'!B14</f>
        <v>3-fädige Standardbreite m2</v>
      </c>
      <c r="C16" s="43">
        <f>'Standard Hagel'!C14</f>
        <v>9800</v>
      </c>
      <c r="D16" s="44">
        <f>'Standard Hagel'!D14</f>
        <v>0.6843999999999999</v>
      </c>
      <c r="E16" s="204">
        <f>C16*D16</f>
        <v>6707.119999999999</v>
      </c>
      <c r="F16" s="644">
        <f t="shared" si="0"/>
        <v>0.12572678227600131</v>
      </c>
      <c r="G16" s="419"/>
    </row>
    <row r="17" spans="1:7" ht="13.7" customHeight="1" x14ac:dyDescent="0.2">
      <c r="A17" s="1430"/>
      <c r="B17" s="19" t="str">
        <f>'Standard Hagel'!B15</f>
        <v>Firstplaketten</v>
      </c>
      <c r="C17" s="43">
        <f>'Standard Hagel'!C15</f>
        <v>1200</v>
      </c>
      <c r="D17" s="44">
        <f>'Standard Hagel'!D15</f>
        <v>0.33040000000000003</v>
      </c>
      <c r="E17" s="204">
        <f t="shared" ref="E17:E33" si="1">C17*D17</f>
        <v>396.48</v>
      </c>
      <c r="F17" s="644">
        <f t="shared" si="0"/>
        <v>7.4321250606503245E-3</v>
      </c>
      <c r="G17" s="419"/>
    </row>
    <row r="18" spans="1:7" ht="13.7" customHeight="1" x14ac:dyDescent="0.2">
      <c r="A18" s="1430"/>
      <c r="B18" s="19" t="str">
        <f>'Standard Hagel'!B16</f>
        <v>Traufenplaketten FRUSTAR 1</v>
      </c>
      <c r="C18" s="43">
        <f>'Standard Hagel'!C16</f>
        <v>1750</v>
      </c>
      <c r="D18" s="44">
        <f>'Standard Hagel'!D16</f>
        <v>0.97939999999999994</v>
      </c>
      <c r="E18" s="204">
        <f t="shared" si="1"/>
        <v>1713.9499999999998</v>
      </c>
      <c r="F18" s="644">
        <f t="shared" si="0"/>
        <v>3.2128457293436295E-2</v>
      </c>
      <c r="G18" s="419"/>
    </row>
    <row r="19" spans="1:7" ht="13.7" customHeight="1" x14ac:dyDescent="0.2">
      <c r="A19" s="1430"/>
      <c r="B19" s="19" t="str">
        <f>'Standard Hagel'!B17</f>
        <v>Plaketten Standart inkl. S-Hacken</v>
      </c>
      <c r="C19" s="43">
        <f>'Standard Hagel'!C17</f>
        <v>100</v>
      </c>
      <c r="D19" s="44">
        <f>'Standard Hagel'!D17</f>
        <v>0.64900000000000002</v>
      </c>
      <c r="E19" s="204">
        <f t="shared" si="1"/>
        <v>64.900000000000006</v>
      </c>
      <c r="F19" s="644">
        <f t="shared" si="0"/>
        <v>1.2165680902850235E-3</v>
      </c>
      <c r="G19" s="419"/>
    </row>
    <row r="20" spans="1:7" ht="13.7" customHeight="1" x14ac:dyDescent="0.2">
      <c r="A20" s="1430"/>
      <c r="B20" s="19" t="str">
        <f>'Standard Hagel'!B18</f>
        <v xml:space="preserve">Stirnseil 9.5 mm </v>
      </c>
      <c r="C20" s="43">
        <f>'Standard Hagel'!C18</f>
        <v>165</v>
      </c>
      <c r="D20" s="44">
        <f>'Standard Hagel'!D18</f>
        <v>1.4041999999999999</v>
      </c>
      <c r="E20" s="204">
        <f t="shared" si="1"/>
        <v>231.69299999999998</v>
      </c>
      <c r="F20" s="644">
        <f t="shared" si="0"/>
        <v>4.3431480823175328E-3</v>
      </c>
      <c r="G20" s="419"/>
    </row>
    <row r="21" spans="1:7" ht="13.7" customHeight="1" x14ac:dyDescent="0.2">
      <c r="A21" s="1430"/>
      <c r="B21" s="19" t="str">
        <f>'Standard Hagel'!B19</f>
        <v>Ankerseil 9.5 mm</v>
      </c>
      <c r="C21" s="43">
        <f>'Standard Hagel'!C19</f>
        <v>310</v>
      </c>
      <c r="D21" s="44">
        <f>'Standard Hagel'!D19</f>
        <v>1.4041999999999999</v>
      </c>
      <c r="E21" s="204">
        <f t="shared" si="1"/>
        <v>435.30199999999996</v>
      </c>
      <c r="F21" s="644">
        <f t="shared" si="0"/>
        <v>8.159853972839002E-3</v>
      </c>
      <c r="G21" s="419"/>
    </row>
    <row r="22" spans="1:7" ht="13.7" customHeight="1" x14ac:dyDescent="0.2">
      <c r="A22" s="1430"/>
      <c r="B22" s="19" t="str">
        <f>'Standard Hagel'!B20</f>
        <v>Querseil 9mm</v>
      </c>
      <c r="C22" s="43">
        <f>'Standard Hagel'!C20</f>
        <v>810</v>
      </c>
      <c r="D22" s="44">
        <f>'Standard Hagel'!D20</f>
        <v>0.82599999999999996</v>
      </c>
      <c r="E22" s="204">
        <f t="shared" si="1"/>
        <v>669.06</v>
      </c>
      <c r="F22" s="644">
        <f t="shared" si="0"/>
        <v>1.2541711039847421E-2</v>
      </c>
      <c r="G22" s="419"/>
    </row>
    <row r="23" spans="1:7" ht="13.7" customHeight="1" x14ac:dyDescent="0.2">
      <c r="A23" s="1430"/>
      <c r="B23" s="19" t="str">
        <f>'Standard Hagel'!B21</f>
        <v>Firstdraht</v>
      </c>
      <c r="C23" s="43">
        <f>'Standard Hagel'!C21</f>
        <v>3100</v>
      </c>
      <c r="D23" s="44">
        <f>'Standard Hagel'!D21</f>
        <v>0.35399999999999998</v>
      </c>
      <c r="E23" s="204">
        <f t="shared" si="1"/>
        <v>1097.3999999999999</v>
      </c>
      <c r="F23" s="644">
        <f t="shared" si="0"/>
        <v>2.0571060435728573E-2</v>
      </c>
      <c r="G23" s="419"/>
    </row>
    <row r="24" spans="1:7" ht="13.7" customHeight="1" x14ac:dyDescent="0.2">
      <c r="A24" s="1430"/>
      <c r="B24" s="19" t="str">
        <f>'Standard Hagel'!B22</f>
        <v>Netzschnur</v>
      </c>
      <c r="C24" s="43">
        <f>'Standard Hagel'!C22</f>
        <v>3400</v>
      </c>
      <c r="D24" s="44">
        <f>'Standard Hagel'!D22</f>
        <v>0.11799999999999999</v>
      </c>
      <c r="E24" s="204">
        <f t="shared" si="1"/>
        <v>401.2</v>
      </c>
      <c r="F24" s="644">
        <f t="shared" si="0"/>
        <v>7.5206027399437802E-3</v>
      </c>
      <c r="G24" s="419"/>
    </row>
    <row r="25" spans="1:7" ht="13.7" customHeight="1" x14ac:dyDescent="0.2">
      <c r="A25" s="1430"/>
      <c r="B25" s="19" t="str">
        <f>'Standard Hagel'!B23</f>
        <v>Drahtspanner</v>
      </c>
      <c r="C25" s="43">
        <f>'Standard Hagel'!C23</f>
        <v>26</v>
      </c>
      <c r="D25" s="44">
        <f>'Standard Hagel'!D23</f>
        <v>10.797000000000001</v>
      </c>
      <c r="E25" s="204">
        <f t="shared" si="1"/>
        <v>280.72200000000004</v>
      </c>
      <c r="F25" s="644">
        <f t="shared" si="0"/>
        <v>5.2622099759783107E-3</v>
      </c>
      <c r="G25" s="419"/>
    </row>
    <row r="26" spans="1:7" ht="13.7" customHeight="1" thickBot="1" x14ac:dyDescent="0.25">
      <c r="A26" s="1430"/>
      <c r="B26" s="19" t="str">
        <f>'Standard Hagel'!B24</f>
        <v>Kleinmaterial</v>
      </c>
      <c r="C26" s="43">
        <f>'Standard Hagel'!C24</f>
        <v>0</v>
      </c>
      <c r="D26" s="44">
        <f>'Standard Hagel'!D24</f>
        <v>0</v>
      </c>
      <c r="E26" s="499">
        <f t="shared" si="1"/>
        <v>0</v>
      </c>
      <c r="F26" s="644">
        <f t="shared" si="0"/>
        <v>0</v>
      </c>
      <c r="G26" s="419"/>
    </row>
    <row r="27" spans="1:7" ht="13.7" customHeight="1" x14ac:dyDescent="0.2">
      <c r="A27" s="3"/>
      <c r="B27" s="1"/>
      <c r="C27" s="35"/>
      <c r="D27" s="47"/>
      <c r="E27" s="154">
        <f>SUM(E16:E26)</f>
        <v>11997.826999999997</v>
      </c>
      <c r="F27" s="649">
        <f t="shared" si="0"/>
        <v>0.22490251896702754</v>
      </c>
      <c r="G27" s="901"/>
    </row>
    <row r="28" spans="1:7" ht="13.7" customHeight="1" x14ac:dyDescent="0.2">
      <c r="A28" s="40"/>
      <c r="B28" s="19"/>
      <c r="C28" s="43"/>
      <c r="D28" s="44"/>
      <c r="E28" s="204"/>
      <c r="F28" s="644"/>
      <c r="G28" s="419"/>
    </row>
    <row r="29" spans="1:7" ht="13.7" customHeight="1" x14ac:dyDescent="0.2">
      <c r="A29" s="1430" t="s">
        <v>372</v>
      </c>
      <c r="B29" s="19" t="str">
        <f>'Standard Hagel'!B26</f>
        <v>Reihenpfähle 4 m 8/10 10m Abstand</v>
      </c>
      <c r="C29" s="43">
        <f>'Standard Hagel'!C26</f>
        <v>240</v>
      </c>
      <c r="D29" s="44">
        <f>'Standard Hagel'!D26</f>
        <v>21.83</v>
      </c>
      <c r="E29" s="204">
        <f t="shared" si="1"/>
        <v>5239.2</v>
      </c>
      <c r="F29" s="644">
        <f t="shared" si="0"/>
        <v>9.8210224015736425E-2</v>
      </c>
      <c r="G29" s="419"/>
    </row>
    <row r="30" spans="1:7" ht="13.7" customHeight="1" x14ac:dyDescent="0.2">
      <c r="A30" s="1430"/>
      <c r="B30" s="19" t="str">
        <f>'Standard Hagel'!B27</f>
        <v>Endpfähle 4.20 m 10/1210</v>
      </c>
      <c r="C30" s="43">
        <f>'Standard Hagel'!C27</f>
        <v>44</v>
      </c>
      <c r="D30" s="44">
        <f>'Standard Hagel'!D27</f>
        <v>31.86</v>
      </c>
      <c r="E30" s="204">
        <f t="shared" si="1"/>
        <v>1401.84</v>
      </c>
      <c r="F30" s="644">
        <f t="shared" si="0"/>
        <v>2.6277870750156501E-2</v>
      </c>
      <c r="G30" s="419"/>
    </row>
    <row r="31" spans="1:7" ht="13.7" customHeight="1" x14ac:dyDescent="0.2">
      <c r="A31" s="1430"/>
      <c r="B31" s="19" t="str">
        <f>'Standard Hagel'!B28</f>
        <v>Eckpfähle 4.50 m 13/15</v>
      </c>
      <c r="C31" s="43">
        <f>'Standard Hagel'!C28</f>
        <v>4</v>
      </c>
      <c r="D31" s="44">
        <f>'Standard Hagel'!D28</f>
        <v>69.560999999999993</v>
      </c>
      <c r="E31" s="204">
        <f t="shared" si="1"/>
        <v>278.24399999999997</v>
      </c>
      <c r="F31" s="644">
        <f t="shared" si="0"/>
        <v>5.2157591943492445E-3</v>
      </c>
      <c r="G31" s="419"/>
    </row>
    <row r="32" spans="1:7" ht="13.7" customHeight="1" x14ac:dyDescent="0.2">
      <c r="A32" s="1430"/>
      <c r="B32" s="19" t="str">
        <f>'Standard Hagel'!B29</f>
        <v>Anker</v>
      </c>
      <c r="C32" s="43">
        <f>'Standard Hagel'!C29</f>
        <v>72</v>
      </c>
      <c r="D32" s="44">
        <f>'Standard Hagel'!D29</f>
        <v>23.776999999999997</v>
      </c>
      <c r="E32" s="204">
        <f t="shared" si="1"/>
        <v>1711.9439999999997</v>
      </c>
      <c r="F32" s="644">
        <f t="shared" si="0"/>
        <v>3.2090854279736576E-2</v>
      </c>
      <c r="G32" s="419"/>
    </row>
    <row r="33" spans="1:35" ht="13.7" customHeight="1" thickBot="1" x14ac:dyDescent="0.25">
      <c r="A33" s="1430"/>
      <c r="B33" s="19" t="str">
        <f>'Standard Hagel'!B30</f>
        <v>Pfahlhüte</v>
      </c>
      <c r="C33" s="43">
        <f>'Standard Hagel'!C30</f>
        <v>68</v>
      </c>
      <c r="D33" s="44">
        <f>'Standard Hagel'!D30</f>
        <v>1.18</v>
      </c>
      <c r="E33" s="499">
        <f t="shared" si="1"/>
        <v>80.239999999999995</v>
      </c>
      <c r="F33" s="644">
        <f t="shared" si="0"/>
        <v>1.504120547988756E-3</v>
      </c>
      <c r="G33" s="419"/>
    </row>
    <row r="34" spans="1:35" ht="13.7" customHeight="1" x14ac:dyDescent="0.2">
      <c r="A34" s="40"/>
      <c r="B34" s="19"/>
      <c r="C34" s="46"/>
      <c r="D34" s="105"/>
      <c r="E34" s="500">
        <f>SUM(E29:E33)</f>
        <v>8711.4679999999989</v>
      </c>
      <c r="F34" s="649">
        <f t="shared" si="0"/>
        <v>0.1632988287879675</v>
      </c>
      <c r="G34" s="419"/>
    </row>
    <row r="35" spans="1:35" ht="13.7" customHeight="1" x14ac:dyDescent="0.2">
      <c r="A35" s="40"/>
      <c r="B35" s="19"/>
      <c r="C35" s="256"/>
      <c r="D35" s="105"/>
      <c r="E35" s="500"/>
      <c r="F35" s="644"/>
      <c r="G35" s="419"/>
    </row>
    <row r="36" spans="1:35" x14ac:dyDescent="0.2">
      <c r="A36" s="1430" t="s">
        <v>17</v>
      </c>
      <c r="B36" s="19" t="s">
        <v>34</v>
      </c>
      <c r="C36" s="255">
        <f>'Standard Hagel'!C33</f>
        <v>40</v>
      </c>
      <c r="D36" s="44">
        <f>'Standard Hagel'!D33</f>
        <v>8.4960000000000004</v>
      </c>
      <c r="E36" s="45">
        <f>C36*D36</f>
        <v>339.84000000000003</v>
      </c>
      <c r="F36" s="644">
        <f>E36/E83</f>
        <v>6.3703929091288502E-3</v>
      </c>
      <c r="G36" s="419"/>
    </row>
    <row r="37" spans="1:35" x14ac:dyDescent="0.2">
      <c r="A37" s="1430"/>
      <c r="B37" s="19" t="s">
        <v>18</v>
      </c>
      <c r="C37" s="256"/>
      <c r="D37" s="43"/>
      <c r="E37" s="44">
        <f>'Standard Hagel'!E34</f>
        <v>150</v>
      </c>
      <c r="F37" s="644">
        <f>E37/E83</f>
        <v>2.8117906555123807E-3</v>
      </c>
      <c r="G37" s="419"/>
    </row>
    <row r="38" spans="1:35" ht="13.5" thickBot="1" x14ac:dyDescent="0.25">
      <c r="A38" s="1430"/>
      <c r="B38" s="19" t="s">
        <v>141</v>
      </c>
      <c r="C38" s="256"/>
      <c r="D38" s="43"/>
      <c r="E38" s="376">
        <f>'Standard Hagel'!E35</f>
        <v>550</v>
      </c>
      <c r="F38" s="644">
        <f>E38/E83</f>
        <v>1.0309899070212063E-2</v>
      </c>
      <c r="G38" s="419"/>
    </row>
    <row r="39" spans="1:35" x14ac:dyDescent="0.2">
      <c r="A39" s="19"/>
      <c r="B39" s="19"/>
      <c r="C39" s="19"/>
      <c r="D39" s="44"/>
      <c r="E39" s="81">
        <f>SUM(E36:E38)</f>
        <v>1039.8400000000001</v>
      </c>
      <c r="F39" s="649">
        <f>E39/E83</f>
        <v>1.9492082634853296E-2</v>
      </c>
      <c r="G39" s="419"/>
    </row>
    <row r="40" spans="1:35" s="1" customFormat="1" x14ac:dyDescent="0.2">
      <c r="A40" s="19"/>
      <c r="B40" s="19"/>
      <c r="C40" s="19"/>
      <c r="D40" s="44"/>
      <c r="E40" s="81"/>
      <c r="F40" s="644"/>
      <c r="G40" s="4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s="1" customFormat="1" x14ac:dyDescent="0.2">
      <c r="A41" s="19" t="str">
        <f>'Standard Hagel'!A57</f>
        <v>Einsparung an Gerüstkosten durch Hagelnetzerstellung</v>
      </c>
      <c r="B41" s="19"/>
      <c r="C41" s="19"/>
      <c r="D41" s="44"/>
      <c r="E41" s="81"/>
      <c r="F41" s="201"/>
      <c r="G41" s="4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s="1" customFormat="1" x14ac:dyDescent="0.2">
      <c r="A42" s="19"/>
      <c r="B42" s="19" t="str">
        <f>'Standard Hagel'!B58</f>
        <v>Endpfähle</v>
      </c>
      <c r="C42" s="46">
        <f>'Standard Hagel'!C58</f>
        <v>45</v>
      </c>
      <c r="D42" s="44">
        <f>'Standard Hagel'!D58</f>
        <v>16.52</v>
      </c>
      <c r="E42" s="146">
        <f>C42*D42</f>
        <v>743.4</v>
      </c>
      <c r="F42" s="201"/>
      <c r="G42" s="4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s="1" customFormat="1" x14ac:dyDescent="0.2">
      <c r="A43" s="19"/>
      <c r="B43" s="19" t="str">
        <f>'Standard Hagel'!B59</f>
        <v>Zwischenpfähle</v>
      </c>
      <c r="C43" s="46">
        <f>'Standard Hagel'!C59</f>
        <v>336</v>
      </c>
      <c r="D43" s="44">
        <f>'Standard Hagel'!D59</f>
        <v>11.799999999999999</v>
      </c>
      <c r="E43" s="146">
        <f>C43*D43</f>
        <v>3964.7999999999997</v>
      </c>
      <c r="F43" s="201"/>
      <c r="G43" s="4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row>
    <row r="44" spans="1:35" s="1" customFormat="1" ht="13.5" thickBot="1" x14ac:dyDescent="0.25">
      <c r="A44" s="19"/>
      <c r="B44" s="19" t="str">
        <f>'Standard Hagel'!B60</f>
        <v>Telleranker</v>
      </c>
      <c r="C44" s="46">
        <f>'Standard Hagel'!C60</f>
        <v>45</v>
      </c>
      <c r="D44" s="44">
        <f>'Standard Hagel'!D60</f>
        <v>6.1360000000000001</v>
      </c>
      <c r="E44" s="501">
        <f>C44*D44</f>
        <v>276.12</v>
      </c>
      <c r="F44" s="201"/>
      <c r="G44" s="4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35" s="1" customFormat="1" x14ac:dyDescent="0.2">
      <c r="A45" s="19"/>
      <c r="B45" s="19"/>
      <c r="C45" s="19"/>
      <c r="D45" s="44"/>
      <c r="E45" s="83">
        <f>SUM(E42:E44)</f>
        <v>4984.32</v>
      </c>
      <c r="F45" s="201"/>
      <c r="G45" s="4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s="1" customFormat="1" x14ac:dyDescent="0.2">
      <c r="A46" s="19"/>
      <c r="B46" s="19"/>
      <c r="C46" s="19"/>
      <c r="D46" s="44"/>
      <c r="E46" s="81"/>
      <c r="F46" s="201"/>
      <c r="G46" s="4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ht="20.100000000000001" customHeight="1" x14ac:dyDescent="0.25">
      <c r="A47" s="514" t="s">
        <v>210</v>
      </c>
      <c r="B47" s="503"/>
      <c r="C47" s="504"/>
      <c r="D47" s="505"/>
      <c r="E47" s="598">
        <f>E39+E14+E8+E27+E34-E45</f>
        <v>48589.254999999997</v>
      </c>
      <c r="F47" s="646">
        <f>E47/E83</f>
        <v>0.9108187544487214</v>
      </c>
      <c r="G47" s="419"/>
    </row>
    <row r="48" spans="1:35" s="1" customFormat="1" ht="20.100000000000001" customHeight="1" x14ac:dyDescent="0.25">
      <c r="A48" s="2"/>
      <c r="C48" s="6"/>
      <c r="D48" s="47"/>
      <c r="E48" s="271"/>
      <c r="F48" s="88"/>
      <c r="G48" s="4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7" x14ac:dyDescent="0.2">
      <c r="A49" s="3"/>
      <c r="B49" s="1"/>
      <c r="C49" s="272" t="s">
        <v>75</v>
      </c>
      <c r="D49" s="273" t="s">
        <v>21</v>
      </c>
      <c r="E49" s="274" t="s">
        <v>13</v>
      </c>
      <c r="F49" s="507"/>
      <c r="G49" s="419"/>
    </row>
    <row r="50" spans="1:7" x14ac:dyDescent="0.2">
      <c r="A50" s="40"/>
      <c r="B50" s="19"/>
      <c r="C50" s="39"/>
      <c r="D50" s="44"/>
      <c r="E50" s="45"/>
      <c r="F50" s="132"/>
      <c r="G50" s="419"/>
    </row>
    <row r="51" spans="1:7" x14ac:dyDescent="0.2">
      <c r="A51" s="40" t="s">
        <v>23</v>
      </c>
      <c r="B51" s="19" t="str">
        <f>'Standard Vorgaben'!B133</f>
        <v>Anbaugebläsepritze 1000 l mit Bordcomputer</v>
      </c>
      <c r="C51" s="39">
        <f>'Standard Vorgaben'!C144</f>
        <v>3.8</v>
      </c>
      <c r="D51" s="408">
        <f>'Standard Vorgaben'!D144</f>
        <v>23</v>
      </c>
      <c r="E51" s="45">
        <f t="shared" ref="E51:E60" si="2">C51*D51</f>
        <v>87.399999999999991</v>
      </c>
      <c r="F51" s="652">
        <f>E51/E83</f>
        <v>1.6383366886118802E-3</v>
      </c>
      <c r="G51" s="419"/>
    </row>
    <row r="52" spans="1:7" x14ac:dyDescent="0.2">
      <c r="A52" s="736"/>
      <c r="B52" s="19" t="str">
        <f>'Standard Vorgaben'!B145</f>
        <v>Kreiselegge mit Packerwalze, 3 m</v>
      </c>
      <c r="C52" s="39">
        <f>'Standard Vorgaben'!C145</f>
        <v>1.8</v>
      </c>
      <c r="D52" s="408">
        <f>'Standard Vorgaben'!D145</f>
        <v>101</v>
      </c>
      <c r="E52" s="45">
        <f t="shared" si="2"/>
        <v>181.8</v>
      </c>
      <c r="F52" s="652">
        <f>E52/E83</f>
        <v>3.4078902744810054E-3</v>
      </c>
      <c r="G52" s="419"/>
    </row>
    <row r="53" spans="1:7" x14ac:dyDescent="0.2">
      <c r="A53" s="19"/>
      <c r="B53" s="19" t="str">
        <f>'Standard Vorgaben'!B146</f>
        <v>Sämaschine 3 m</v>
      </c>
      <c r="C53" s="39">
        <f>'Standard Vorgaben'!C146</f>
        <v>1.6</v>
      </c>
      <c r="D53" s="408">
        <f>'Standard Vorgaben'!D146</f>
        <v>90</v>
      </c>
      <c r="E53" s="45">
        <f t="shared" si="2"/>
        <v>144</v>
      </c>
      <c r="F53" s="652">
        <f>E53/E83</f>
        <v>2.6993190292918853E-3</v>
      </c>
      <c r="G53" s="419"/>
    </row>
    <row r="54" spans="1:7" x14ac:dyDescent="0.2">
      <c r="A54" s="19"/>
      <c r="B54" s="19" t="str">
        <f>'Standard Vorgaben'!B147</f>
        <v>Pneuwagen 2achsig, 3 t</v>
      </c>
      <c r="C54" s="477">
        <v>15</v>
      </c>
      <c r="D54" s="95">
        <f>'Standard Vorgaben'!D147</f>
        <v>14.1</v>
      </c>
      <c r="E54" s="45">
        <f t="shared" si="2"/>
        <v>211.5</v>
      </c>
      <c r="F54" s="652">
        <f>E54/E83</f>
        <v>3.9646248242724566E-3</v>
      </c>
      <c r="G54" s="419"/>
    </row>
    <row r="55" spans="1:7" x14ac:dyDescent="0.2">
      <c r="A55" s="19"/>
      <c r="B55" s="142" t="s">
        <v>386</v>
      </c>
      <c r="C55" s="39">
        <f>'Standard Hagel'!C39</f>
        <v>20</v>
      </c>
      <c r="D55" s="95">
        <f>'Standard Vorgaben'!D148</f>
        <v>23.5</v>
      </c>
      <c r="E55" s="45">
        <f t="shared" si="2"/>
        <v>470</v>
      </c>
      <c r="F55" s="652">
        <f>E55/E83</f>
        <v>8.8102773872721259E-3</v>
      </c>
      <c r="G55" s="419"/>
    </row>
    <row r="56" spans="1:7" x14ac:dyDescent="0.2">
      <c r="A56" s="19"/>
      <c r="B56" s="142" t="str">
        <f>'Standard Vorgaben'!B150</f>
        <v>Stapler , Heckanbau, 3m Hubhöhe, 
Kippgabel und Seitenschieber</v>
      </c>
      <c r="C56" s="39">
        <f>'Standard Hagel'!C40</f>
        <v>20</v>
      </c>
      <c r="D56" s="95">
        <f>'Standard Vorgaben'!D150</f>
        <v>17.5</v>
      </c>
      <c r="E56" s="45">
        <f t="shared" si="2"/>
        <v>350</v>
      </c>
      <c r="F56" s="652">
        <f>E56/E83</f>
        <v>6.5608448628622215E-3</v>
      </c>
      <c r="G56" s="419"/>
    </row>
    <row r="57" spans="1:7" x14ac:dyDescent="0.2">
      <c r="A57" s="19"/>
      <c r="B57" s="19" t="s">
        <v>390</v>
      </c>
      <c r="C57" s="477">
        <v>20</v>
      </c>
      <c r="D57" s="44">
        <f>'Standard Vorgaben'!D143</f>
        <v>41</v>
      </c>
      <c r="E57" s="45">
        <f t="shared" si="2"/>
        <v>820</v>
      </c>
      <c r="F57" s="652">
        <f>E57/E83</f>
        <v>1.5371122250134346E-2</v>
      </c>
      <c r="G57" s="419"/>
    </row>
    <row r="58" spans="1:7" ht="13.5" thickBot="1" x14ac:dyDescent="0.25">
      <c r="A58" s="19"/>
      <c r="B58" s="19" t="s">
        <v>391</v>
      </c>
      <c r="C58" s="647">
        <f>SUM(C51:C57)*0.1</f>
        <v>8.2200000000000006</v>
      </c>
      <c r="D58" s="44">
        <f>'Standard Vorgaben'!D143</f>
        <v>41</v>
      </c>
      <c r="E58" s="45">
        <f t="shared" si="2"/>
        <v>337.02000000000004</v>
      </c>
      <c r="F58" s="652">
        <f>E58/E83</f>
        <v>6.3175312448052173E-3</v>
      </c>
      <c r="G58" s="419"/>
    </row>
    <row r="59" spans="1:7" x14ac:dyDescent="0.2">
      <c r="A59" s="40" t="s">
        <v>389</v>
      </c>
      <c r="B59" s="85" t="str">
        <f>'Standard Vorgaben'!B143</f>
        <v>Obstbautraktor 4-Rad (45-54 kW, 61-73 PS)</v>
      </c>
      <c r="C59" s="325">
        <f>SUM(C51:C58)</f>
        <v>90.42</v>
      </c>
      <c r="D59" s="95">
        <f>'Standard Vorgaben'!D143</f>
        <v>41</v>
      </c>
      <c r="E59" s="83">
        <f>C59*D59</f>
        <v>3707.2200000000003</v>
      </c>
      <c r="F59" s="652">
        <f>E59/E83</f>
        <v>6.9492843692857395E-2</v>
      </c>
      <c r="G59" s="419"/>
    </row>
    <row r="60" spans="1:7" x14ac:dyDescent="0.2">
      <c r="A60" s="40"/>
      <c r="B60" s="19" t="s">
        <v>375</v>
      </c>
      <c r="C60" s="39">
        <f>'Standard Hagel'!C38</f>
        <v>15</v>
      </c>
      <c r="D60" s="95">
        <f>'Standard Vorgaben'!D149</f>
        <v>150</v>
      </c>
      <c r="E60" s="45">
        <f t="shared" si="2"/>
        <v>2250</v>
      </c>
      <c r="F60" s="652">
        <f>E60/E83</f>
        <v>4.2176859832685709E-2</v>
      </c>
      <c r="G60" s="419"/>
    </row>
    <row r="61" spans="1:7" ht="13.5" thickBot="1" x14ac:dyDescent="0.25">
      <c r="A61" s="19"/>
      <c r="B61" s="19" t="s">
        <v>25</v>
      </c>
      <c r="C61" s="39"/>
      <c r="D61" s="44"/>
      <c r="E61" s="420">
        <f>'Standard Vorgaben'!D151</f>
        <v>500</v>
      </c>
      <c r="F61" s="652">
        <f>E61/E83</f>
        <v>9.3726355183746026E-3</v>
      </c>
      <c r="G61" s="419"/>
    </row>
    <row r="62" spans="1:7" x14ac:dyDescent="0.2">
      <c r="A62" s="40" t="s">
        <v>26</v>
      </c>
      <c r="B62" s="19"/>
      <c r="C62" s="39"/>
      <c r="D62" s="44"/>
      <c r="E62" s="83">
        <f>SUM(E51:E61)</f>
        <v>9058.94</v>
      </c>
      <c r="F62" s="649">
        <f>E62/E83</f>
        <v>0.16981228560564884</v>
      </c>
      <c r="G62" s="419"/>
    </row>
    <row r="63" spans="1:7" x14ac:dyDescent="0.2">
      <c r="A63" s="19"/>
      <c r="B63" s="19"/>
      <c r="C63" s="39"/>
      <c r="D63" s="44"/>
      <c r="E63" s="45"/>
      <c r="F63" s="652"/>
      <c r="G63" s="419"/>
    </row>
    <row r="64" spans="1:7" x14ac:dyDescent="0.2">
      <c r="A64" s="1"/>
      <c r="B64" s="1"/>
      <c r="C64" s="36"/>
      <c r="D64" s="47"/>
      <c r="E64" s="45"/>
      <c r="F64" s="89"/>
      <c r="G64" s="419"/>
    </row>
    <row r="65" spans="1:7" x14ac:dyDescent="0.2">
      <c r="A65" s="19"/>
      <c r="B65" s="19"/>
      <c r="C65" s="272" t="s">
        <v>27</v>
      </c>
      <c r="D65" s="273" t="s">
        <v>21</v>
      </c>
      <c r="E65" s="274" t="s">
        <v>22</v>
      </c>
      <c r="F65" s="735"/>
      <c r="G65" s="419"/>
    </row>
    <row r="66" spans="1:7" x14ac:dyDescent="0.2">
      <c r="A66" s="40" t="s">
        <v>28</v>
      </c>
      <c r="B66" s="19" t="s">
        <v>163</v>
      </c>
      <c r="C66" s="39">
        <f>C51</f>
        <v>3.8</v>
      </c>
      <c r="D66" s="44">
        <f>'Standard Vorgaben'!$C$36</f>
        <v>32.700000000000003</v>
      </c>
      <c r="E66" s="45">
        <f t="shared" ref="E66:E79" si="3">C66*D66</f>
        <v>124.26</v>
      </c>
      <c r="F66" s="652">
        <f>E66/E83</f>
        <v>2.3292873790264563E-3</v>
      </c>
      <c r="G66" s="419"/>
    </row>
    <row r="67" spans="1:7" x14ac:dyDescent="0.2">
      <c r="A67" s="19"/>
      <c r="B67" s="19" t="s">
        <v>164</v>
      </c>
      <c r="C67" s="39">
        <f>C52</f>
        <v>1.8</v>
      </c>
      <c r="D67" s="44">
        <f>'Standard Vorgaben'!$C$36</f>
        <v>32.700000000000003</v>
      </c>
      <c r="E67" s="45">
        <f t="shared" si="3"/>
        <v>58.860000000000007</v>
      </c>
      <c r="F67" s="652">
        <f>E67/E83</f>
        <v>1.1033466532230582E-3</v>
      </c>
      <c r="G67" s="419"/>
    </row>
    <row r="68" spans="1:7" x14ac:dyDescent="0.2">
      <c r="A68" s="19"/>
      <c r="B68" s="19" t="s">
        <v>29</v>
      </c>
      <c r="C68" s="477">
        <v>0</v>
      </c>
      <c r="D68" s="44">
        <f>'Standard Vorgaben'!$C$36</f>
        <v>32.700000000000003</v>
      </c>
      <c r="E68" s="45">
        <f t="shared" si="3"/>
        <v>0</v>
      </c>
      <c r="F68" s="652">
        <f>E68/E83</f>
        <v>0</v>
      </c>
      <c r="G68" s="419"/>
    </row>
    <row r="69" spans="1:7" x14ac:dyDescent="0.2">
      <c r="A69" s="19"/>
      <c r="B69" s="19" t="s">
        <v>30</v>
      </c>
      <c r="C69" s="39">
        <f>'Standard Hagel'!C44</f>
        <v>1</v>
      </c>
      <c r="D69" s="44">
        <f>'Standard Vorgaben'!$C$36</f>
        <v>32.700000000000003</v>
      </c>
      <c r="E69" s="45">
        <f t="shared" si="3"/>
        <v>32.700000000000003</v>
      </c>
      <c r="F69" s="652">
        <f>E69/E83</f>
        <v>6.1297036290169904E-4</v>
      </c>
      <c r="G69" s="419"/>
    </row>
    <row r="70" spans="1:7" x14ac:dyDescent="0.2">
      <c r="A70" s="19"/>
      <c r="B70" s="19" t="s">
        <v>31</v>
      </c>
      <c r="C70" s="39">
        <f>'Standard Hagel'!C45</f>
        <v>7.5</v>
      </c>
      <c r="D70" s="44">
        <f>'Standard Vorgaben'!$C$36</f>
        <v>32.700000000000003</v>
      </c>
      <c r="E70" s="45">
        <f t="shared" si="3"/>
        <v>245.25000000000003</v>
      </c>
      <c r="F70" s="652">
        <f>E70/E83</f>
        <v>4.5972777217627428E-3</v>
      </c>
      <c r="G70" s="419"/>
    </row>
    <row r="71" spans="1:7" x14ac:dyDescent="0.2">
      <c r="A71" s="739"/>
      <c r="B71" s="19" t="s">
        <v>32</v>
      </c>
      <c r="C71" s="39">
        <f>'Standard Hagel'!C46</f>
        <v>75</v>
      </c>
      <c r="D71" s="44">
        <f>'Standard Vorgaben'!$C$36</f>
        <v>32.700000000000003</v>
      </c>
      <c r="E71" s="45">
        <f t="shared" si="3"/>
        <v>2452.5</v>
      </c>
      <c r="F71" s="652">
        <f>E71/E83</f>
        <v>4.5972777217627422E-2</v>
      </c>
      <c r="G71" s="419"/>
    </row>
    <row r="72" spans="1:7" x14ac:dyDescent="0.2">
      <c r="A72" s="739"/>
      <c r="B72" s="19" t="s">
        <v>142</v>
      </c>
      <c r="C72" s="39">
        <f>'Standard Hagel'!C47</f>
        <v>10</v>
      </c>
      <c r="D72" s="44">
        <f>'Standard Vorgaben'!$C$36</f>
        <v>32.700000000000003</v>
      </c>
      <c r="E72" s="45">
        <f t="shared" si="3"/>
        <v>327</v>
      </c>
      <c r="F72" s="652">
        <f>E72/$E$83</f>
        <v>6.1297036290169898E-3</v>
      </c>
      <c r="G72" s="419"/>
    </row>
    <row r="73" spans="1:7" x14ac:dyDescent="0.2">
      <c r="A73" s="739"/>
      <c r="B73" s="19" t="s">
        <v>279</v>
      </c>
      <c r="C73" s="39">
        <f>'Standard Hagel'!C48</f>
        <v>70</v>
      </c>
      <c r="D73" s="44">
        <f>'Standard Vorgaben'!$C$36</f>
        <v>32.700000000000003</v>
      </c>
      <c r="E73" s="45">
        <f>C73*D73</f>
        <v>2289</v>
      </c>
      <c r="F73" s="652">
        <f>E73/$E$83</f>
        <v>4.2907925403118927E-2</v>
      </c>
      <c r="G73" s="419"/>
    </row>
    <row r="74" spans="1:7" x14ac:dyDescent="0.2">
      <c r="A74" s="19"/>
      <c r="B74" s="19" t="s">
        <v>34</v>
      </c>
      <c r="C74" s="39">
        <f>C53</f>
        <v>1.6</v>
      </c>
      <c r="D74" s="44">
        <f>'Standard Vorgaben'!$C$36</f>
        <v>32.700000000000003</v>
      </c>
      <c r="E74" s="45">
        <f t="shared" si="3"/>
        <v>52.320000000000007</v>
      </c>
      <c r="F74" s="652">
        <f>E74/E83</f>
        <v>9.8075258064271847E-4</v>
      </c>
      <c r="G74" s="419"/>
    </row>
    <row r="75" spans="1:7" x14ac:dyDescent="0.2">
      <c r="A75" s="19"/>
      <c r="B75" s="19" t="s">
        <v>392</v>
      </c>
      <c r="C75" s="39">
        <f>'Standard Hagel'!C51</f>
        <v>15</v>
      </c>
      <c r="D75" s="44">
        <f>'Standard Vorgaben'!$C$36</f>
        <v>32.700000000000003</v>
      </c>
      <c r="E75" s="45">
        <f t="shared" si="3"/>
        <v>490.50000000000006</v>
      </c>
      <c r="F75" s="652">
        <f>E75/E83</f>
        <v>9.1945554435254855E-3</v>
      </c>
      <c r="G75" s="419"/>
    </row>
    <row r="76" spans="1:7" x14ac:dyDescent="0.2">
      <c r="A76" s="19"/>
      <c r="B76" s="19" t="s">
        <v>393</v>
      </c>
      <c r="C76" s="39">
        <f>'Standard Hagel'!C52</f>
        <v>100</v>
      </c>
      <c r="D76" s="44">
        <f>'Standard Vorgaben'!$C$36</f>
        <v>32.700000000000003</v>
      </c>
      <c r="E76" s="45">
        <f t="shared" si="3"/>
        <v>3270.0000000000005</v>
      </c>
      <c r="F76" s="652">
        <f>E76/E83</f>
        <v>6.1297036290169908E-2</v>
      </c>
      <c r="G76" s="419"/>
    </row>
    <row r="77" spans="1:7" x14ac:dyDescent="0.2">
      <c r="A77" s="19"/>
      <c r="B77" s="19" t="s">
        <v>379</v>
      </c>
      <c r="C77" s="39">
        <f>'Standard Hagel'!C53</f>
        <v>175</v>
      </c>
      <c r="D77" s="44">
        <f>'Standard Vorgaben'!$C$36</f>
        <v>32.700000000000003</v>
      </c>
      <c r="E77" s="45">
        <f t="shared" si="3"/>
        <v>5722.5000000000009</v>
      </c>
      <c r="F77" s="652">
        <f>E77/E83</f>
        <v>0.10726981350779734</v>
      </c>
      <c r="G77" s="419"/>
    </row>
    <row r="78" spans="1:7" x14ac:dyDescent="0.2">
      <c r="A78" s="19"/>
      <c r="B78" s="19" t="s">
        <v>391</v>
      </c>
      <c r="C78" s="39">
        <f>'Standard Hagel'!C54</f>
        <v>29</v>
      </c>
      <c r="D78" s="44">
        <f>'Standard Vorgaben'!$C$36</f>
        <v>32.700000000000003</v>
      </c>
      <c r="E78" s="45">
        <f t="shared" si="3"/>
        <v>948.30000000000007</v>
      </c>
      <c r="F78" s="652">
        <f>E78/E83</f>
        <v>1.7776140524149272E-2</v>
      </c>
      <c r="G78" s="419"/>
    </row>
    <row r="79" spans="1:7" ht="13.5" thickBot="1" x14ac:dyDescent="0.25">
      <c r="A79" s="19"/>
      <c r="B79" s="19" t="s">
        <v>394</v>
      </c>
      <c r="C79" s="647">
        <f>SUM(C66:C78) * 0.1</f>
        <v>48.97</v>
      </c>
      <c r="D79" s="44">
        <f>'Standard Vorgaben'!$C$32</f>
        <v>41.4</v>
      </c>
      <c r="E79" s="420">
        <f t="shared" si="3"/>
        <v>2027.3579999999999</v>
      </c>
      <c r="F79" s="652">
        <f>E79/E83</f>
        <v>3.8003375198521788E-2</v>
      </c>
      <c r="G79" s="419"/>
    </row>
    <row r="80" spans="1:7" x14ac:dyDescent="0.2">
      <c r="A80" s="19"/>
      <c r="B80" s="19"/>
      <c r="C80" s="740">
        <f>SUM(C66:C79)</f>
        <v>538.66999999999996</v>
      </c>
      <c r="D80" s="44"/>
      <c r="E80" s="81">
        <f>SUM(E66:E79)</f>
        <v>18040.547999999999</v>
      </c>
      <c r="F80" s="741">
        <f>E80/E83</f>
        <v>0.33817496191148377</v>
      </c>
      <c r="G80" s="419"/>
    </row>
    <row r="81" spans="1:35" s="23" customFormat="1" ht="18" x14ac:dyDescent="0.25">
      <c r="A81" s="514" t="s">
        <v>35</v>
      </c>
      <c r="B81" s="520"/>
      <c r="C81" s="521"/>
      <c r="D81" s="522"/>
      <c r="E81" s="598">
        <f>E80+E62</f>
        <v>27099.487999999998</v>
      </c>
      <c r="F81" s="646">
        <f>E81/E83</f>
        <v>0.50798724751713253</v>
      </c>
      <c r="G81" s="419"/>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row>
    <row r="82" spans="1:35" s="20" customFormat="1" ht="15.75" x14ac:dyDescent="0.25">
      <c r="A82" s="514"/>
      <c r="B82" s="520"/>
      <c r="C82" s="521"/>
      <c r="D82" s="522"/>
      <c r="E82" s="598"/>
      <c r="F82" s="600"/>
      <c r="G82" s="419"/>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1"/>
      <c r="AI82" s="111"/>
    </row>
    <row r="83" spans="1:35" s="23" customFormat="1" ht="20.25" x14ac:dyDescent="0.3">
      <c r="A83" s="508" t="s">
        <v>571</v>
      </c>
      <c r="B83" s="509"/>
      <c r="C83" s="510"/>
      <c r="D83" s="511"/>
      <c r="E83" s="512">
        <f>E8+E14+E39+E45+SUM(E51:E55,E58,E59:E61,E66:E74,E79)</f>
        <v>53346.788</v>
      </c>
      <c r="F83" s="513">
        <f>E83/E83</f>
        <v>1</v>
      </c>
      <c r="G83" s="419"/>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row>
    <row r="84" spans="1:35" ht="26.25" customHeight="1" x14ac:dyDescent="0.3">
      <c r="A84" s="508" t="s">
        <v>572</v>
      </c>
      <c r="B84" s="509"/>
      <c r="C84" s="510"/>
      <c r="D84" s="511"/>
      <c r="E84" s="512">
        <f>E47+E81</f>
        <v>75688.742999999988</v>
      </c>
      <c r="F84" s="513">
        <f>E84/E84</f>
        <v>1</v>
      </c>
      <c r="G84" s="419"/>
    </row>
    <row r="85" spans="1:35" s="16" customFormat="1" ht="20.25" customHeight="1" x14ac:dyDescent="0.3">
      <c r="A85" s="508" t="s">
        <v>401</v>
      </c>
      <c r="B85" s="509"/>
      <c r="C85" s="510"/>
      <c r="D85" s="511"/>
      <c r="E85" s="512">
        <f>E84-E83</f>
        <v>22341.954999999987</v>
      </c>
      <c r="F85" s="513">
        <f>E85/E85</f>
        <v>1</v>
      </c>
      <c r="G85" s="419"/>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row>
    <row r="86" spans="1:35" ht="20.45" customHeight="1" x14ac:dyDescent="0.2">
      <c r="B86" s="13"/>
      <c r="C86" s="11"/>
      <c r="D86" s="11"/>
      <c r="E86" s="11"/>
      <c r="G86" s="419"/>
    </row>
    <row r="87" spans="1:35" ht="19.5" customHeight="1" x14ac:dyDescent="0.25">
      <c r="A87" s="275" t="s">
        <v>14</v>
      </c>
      <c r="B87" s="13"/>
      <c r="C87" s="92" t="s">
        <v>11</v>
      </c>
      <c r="D87" s="92" t="s">
        <v>12</v>
      </c>
      <c r="E87" s="92" t="s">
        <v>13</v>
      </c>
      <c r="F87" s="38"/>
      <c r="G87" s="419"/>
    </row>
    <row r="88" spans="1:35" ht="15" customHeight="1" x14ac:dyDescent="0.2">
      <c r="B88" s="1" t="s">
        <v>91</v>
      </c>
      <c r="C88" s="418">
        <f>('Standard Vorgaben'!B18+'Standard Vorgaben'!B19)*2-2*6</f>
        <v>398</v>
      </c>
      <c r="D88" s="47">
        <f>'Standard Vorgaben'!D166</f>
        <v>8.1174999999999997</v>
      </c>
      <c r="E88" s="34">
        <f t="shared" ref="E88:E94" si="4">C88*D88</f>
        <v>3230.7649999999999</v>
      </c>
      <c r="F88" s="645">
        <f>E88/E107</f>
        <v>0.45796558816548993</v>
      </c>
      <c r="G88" s="419"/>
    </row>
    <row r="89" spans="1:35" ht="15" customHeight="1" x14ac:dyDescent="0.2">
      <c r="B89" s="1" t="s">
        <v>443</v>
      </c>
      <c r="C89" s="94">
        <f>(C88/4)-(C88/4/5)</f>
        <v>79.599999999999994</v>
      </c>
      <c r="D89" s="47">
        <f>'Standard Vorgaben'!D167</f>
        <v>13.065999999999999</v>
      </c>
      <c r="E89" s="34">
        <f t="shared" si="4"/>
        <v>1040.0535999999997</v>
      </c>
      <c r="F89" s="645">
        <f>E89/E107</f>
        <v>0.14742909454808228</v>
      </c>
      <c r="G89" s="419"/>
    </row>
    <row r="90" spans="1:35" ht="15" customHeight="1" x14ac:dyDescent="0.2">
      <c r="B90" s="1" t="s">
        <v>444</v>
      </c>
      <c r="C90" s="94">
        <f>(C88/4)/5</f>
        <v>19.899999999999999</v>
      </c>
      <c r="D90" s="47">
        <f>'Standard Vorgaben'!D168</f>
        <v>20.757999999999999</v>
      </c>
      <c r="E90" s="34">
        <f t="shared" si="4"/>
        <v>413.08419999999995</v>
      </c>
      <c r="F90" s="645">
        <f>E90/E107</f>
        <v>5.8555279822231222E-2</v>
      </c>
      <c r="G90" s="419"/>
    </row>
    <row r="91" spans="1:35" ht="15" customHeight="1" x14ac:dyDescent="0.2">
      <c r="B91" s="1" t="s">
        <v>444</v>
      </c>
      <c r="C91" s="94">
        <f>'Standard Vorgaben'!C169</f>
        <v>6</v>
      </c>
      <c r="D91" s="47">
        <f>'Standard Vorgaben'!D169</f>
        <v>26.75</v>
      </c>
      <c r="E91" s="34">
        <f t="shared" si="4"/>
        <v>160.5</v>
      </c>
      <c r="F91" s="645">
        <f>E91/E107</f>
        <v>2.2751105976621985E-2</v>
      </c>
      <c r="G91" s="419"/>
    </row>
    <row r="92" spans="1:35" ht="15" customHeight="1" x14ac:dyDescent="0.2">
      <c r="B92" s="1" t="s">
        <v>15</v>
      </c>
      <c r="C92" s="601">
        <f>'Standard Vorgaben'!C170</f>
        <v>2</v>
      </c>
      <c r="D92" s="47">
        <f>'Standard Vorgaben'!D170</f>
        <v>200</v>
      </c>
      <c r="E92" s="34">
        <f t="shared" si="4"/>
        <v>400</v>
      </c>
      <c r="F92" s="645">
        <f>E92/E107</f>
        <v>5.670057564267162E-2</v>
      </c>
      <c r="G92" s="419"/>
    </row>
    <row r="93" spans="1:35" ht="15" customHeight="1" x14ac:dyDescent="0.2">
      <c r="B93" s="1" t="s">
        <v>92</v>
      </c>
      <c r="C93" s="213">
        <f>'Standard Vorgaben'!C172</f>
        <v>3</v>
      </c>
      <c r="D93" s="47">
        <f>'Standard Vorgaben'!D172</f>
        <v>14.3</v>
      </c>
      <c r="E93" s="45">
        <f t="shared" si="4"/>
        <v>42.900000000000006</v>
      </c>
      <c r="F93" s="645">
        <f>E93/E107</f>
        <v>6.0811367376765318E-3</v>
      </c>
      <c r="G93" s="419"/>
    </row>
    <row r="94" spans="1:35" ht="15" customHeight="1" thickBot="1" x14ac:dyDescent="0.25">
      <c r="B94" s="1" t="str">
        <f>'Standard Vorgaben'!B171</f>
        <v>Spanndraht 3mm</v>
      </c>
      <c r="C94" s="417">
        <f>C88/18</f>
        <v>22.111111111111111</v>
      </c>
      <c r="D94" s="47">
        <f>'Standard Vorgaben'!D171</f>
        <v>6.9</v>
      </c>
      <c r="E94" s="420">
        <f t="shared" si="4"/>
        <v>152.56666666666666</v>
      </c>
      <c r="F94" s="645">
        <f>E94/E107</f>
        <v>2.1626544559708999E-2</v>
      </c>
      <c r="G94" s="419"/>
    </row>
    <row r="95" spans="1:35" ht="15" customHeight="1" x14ac:dyDescent="0.2">
      <c r="B95" s="1"/>
      <c r="C95" s="417"/>
      <c r="D95" s="47"/>
      <c r="E95" s="421">
        <f>SUM(E88:E94)</f>
        <v>5439.8694666666661</v>
      </c>
      <c r="F95" s="645">
        <f>E95/E107</f>
        <v>0.77110932545248256</v>
      </c>
      <c r="G95" s="419"/>
    </row>
    <row r="96" spans="1:35" ht="15" customHeight="1" thickBot="1" x14ac:dyDescent="0.25">
      <c r="B96" s="1" t="s">
        <v>399</v>
      </c>
      <c r="C96" s="94"/>
      <c r="D96" s="74">
        <f>'Standard Vorgaben'!D173</f>
        <v>0.25</v>
      </c>
      <c r="E96" s="650">
        <f>E95*D96*(-1)</f>
        <v>-1359.9673666666665</v>
      </c>
      <c r="F96" s="645">
        <f>E96/$E$107</f>
        <v>-0.19277733136312064</v>
      </c>
      <c r="G96" s="419"/>
    </row>
    <row r="97" spans="1:35" ht="15" customHeight="1" x14ac:dyDescent="0.2">
      <c r="B97" s="1"/>
      <c r="C97" s="94"/>
      <c r="D97" s="61"/>
      <c r="E97" s="83">
        <f>SUM(E95:E96)</f>
        <v>4079.9020999999993</v>
      </c>
      <c r="F97" s="648">
        <f>E97/$E$107</f>
        <v>0.57833199408936187</v>
      </c>
      <c r="G97" s="419"/>
    </row>
    <row r="98" spans="1:35" s="1" customFormat="1" ht="15" customHeight="1" x14ac:dyDescent="0.2">
      <c r="B98" s="1" t="s">
        <v>94</v>
      </c>
      <c r="C98" s="94"/>
      <c r="D98" s="74"/>
      <c r="E98" s="83">
        <f>'Standard Vorgaben'!E175</f>
        <v>300</v>
      </c>
      <c r="F98" s="648">
        <f>E98/$E$107</f>
        <v>4.2525431732003717E-2</v>
      </c>
      <c r="G98" s="4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row>
    <row r="99" spans="1:35" ht="15" customHeight="1" x14ac:dyDescent="0.25">
      <c r="A99" s="514" t="s">
        <v>19</v>
      </c>
      <c r="B99" s="440"/>
      <c r="C99" s="495"/>
      <c r="D99" s="516"/>
      <c r="E99" s="517">
        <f>E97+E98</f>
        <v>4379.9020999999993</v>
      </c>
      <c r="F99" s="518">
        <f>E99/E107</f>
        <v>0.6208574258213656</v>
      </c>
      <c r="G99" s="419"/>
    </row>
    <row r="100" spans="1:35" ht="19.5" customHeight="1" x14ac:dyDescent="0.2">
      <c r="A100" s="3" t="s">
        <v>23</v>
      </c>
      <c r="C100" s="118" t="s">
        <v>75</v>
      </c>
      <c r="D100" s="291" t="s">
        <v>21</v>
      </c>
      <c r="E100" s="289" t="s">
        <v>13</v>
      </c>
      <c r="F100" s="735"/>
      <c r="G100" s="419"/>
    </row>
    <row r="101" spans="1:35" ht="16.5" customHeight="1" x14ac:dyDescent="0.2">
      <c r="A101" s="13"/>
      <c r="B101" s="1" t="s">
        <v>89</v>
      </c>
      <c r="C101" s="39">
        <f>'Standard Vorgaben'!C147*C105</f>
        <v>7</v>
      </c>
      <c r="D101" s="95">
        <f>D54</f>
        <v>14.1</v>
      </c>
      <c r="E101" s="45">
        <f>C101*D101</f>
        <v>98.7</v>
      </c>
      <c r="F101" s="652">
        <f>E101/E107</f>
        <v>1.3990867039829222E-2</v>
      </c>
      <c r="G101" s="419"/>
    </row>
    <row r="102" spans="1:35" ht="16.5" customHeight="1" thickBot="1" x14ac:dyDescent="0.25">
      <c r="A102" s="13"/>
      <c r="B102" s="1" t="s">
        <v>86</v>
      </c>
      <c r="C102" s="36">
        <f>C101</f>
        <v>7</v>
      </c>
      <c r="D102" s="93">
        <f>D59</f>
        <v>41</v>
      </c>
      <c r="E102" s="420">
        <f>C102*D102</f>
        <v>287</v>
      </c>
      <c r="F102" s="645">
        <f>E102/E107</f>
        <v>4.0682663023616887E-2</v>
      </c>
      <c r="G102" s="419"/>
    </row>
    <row r="103" spans="1:35" ht="16.5" customHeight="1" x14ac:dyDescent="0.2">
      <c r="A103" s="13"/>
      <c r="B103" s="1"/>
      <c r="C103" s="39"/>
      <c r="D103" s="93"/>
      <c r="E103" s="83">
        <f>SUM(E101:E102)</f>
        <v>385.7</v>
      </c>
      <c r="F103" s="648">
        <f>E103/E107</f>
        <v>5.4673530063446107E-2</v>
      </c>
      <c r="G103" s="419"/>
    </row>
    <row r="104" spans="1:35" ht="16.5" customHeight="1" x14ac:dyDescent="0.2">
      <c r="A104" s="3" t="s">
        <v>28</v>
      </c>
      <c r="C104" s="118" t="s">
        <v>27</v>
      </c>
      <c r="D104" s="291" t="s">
        <v>21</v>
      </c>
      <c r="E104" s="289" t="s">
        <v>22</v>
      </c>
      <c r="F104" s="737"/>
      <c r="G104" s="419"/>
    </row>
    <row r="105" spans="1:35" ht="16.5" customHeight="1" x14ac:dyDescent="0.2">
      <c r="B105" s="1" t="s">
        <v>33</v>
      </c>
      <c r="C105" s="519">
        <f>'Standard Vorgaben'!C178</f>
        <v>70</v>
      </c>
      <c r="D105" s="44">
        <f>'Standard Vorgaben'!$C$36</f>
        <v>32.700000000000003</v>
      </c>
      <c r="E105" s="131">
        <f>C105*D105</f>
        <v>2289</v>
      </c>
      <c r="F105" s="648">
        <f>E105/E107</f>
        <v>0.32446904411518834</v>
      </c>
      <c r="G105" s="419"/>
    </row>
    <row r="106" spans="1:35" s="16" customFormat="1" ht="15.75" x14ac:dyDescent="0.25">
      <c r="A106" s="514" t="s">
        <v>35</v>
      </c>
      <c r="B106" s="520"/>
      <c r="C106" s="521"/>
      <c r="D106" s="522"/>
      <c r="E106" s="598">
        <f>E103+E105</f>
        <v>2674.7</v>
      </c>
      <c r="F106" s="518">
        <f>E106/E107</f>
        <v>0.3791425741786344</v>
      </c>
      <c r="G106" s="419"/>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row>
    <row r="107" spans="1:35" s="23" customFormat="1" ht="18" customHeight="1" x14ac:dyDescent="0.25">
      <c r="A107" s="523" t="s">
        <v>93</v>
      </c>
      <c r="B107" s="524"/>
      <c r="C107" s="525"/>
      <c r="D107" s="526"/>
      <c r="E107" s="527">
        <f>E99+E106</f>
        <v>7054.6020999999992</v>
      </c>
      <c r="F107" s="518">
        <f>E107/E107</f>
        <v>1</v>
      </c>
      <c r="G107" s="419"/>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row>
    <row r="108" spans="1:35" s="102" customFormat="1" ht="13.5" customHeight="1" x14ac:dyDescent="0.25">
      <c r="A108" s="96"/>
      <c r="B108" s="97"/>
      <c r="C108" s="98"/>
      <c r="D108" s="99"/>
      <c r="E108" s="100"/>
      <c r="F108" s="89"/>
      <c r="G108" s="419"/>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row>
    <row r="109" spans="1:35" s="102" customFormat="1" ht="20.45" customHeight="1" x14ac:dyDescent="0.25">
      <c r="A109" s="275" t="s">
        <v>400</v>
      </c>
      <c r="B109" s="97"/>
      <c r="C109" s="98"/>
      <c r="D109" s="99"/>
      <c r="E109" s="276">
        <f>E107-E97</f>
        <v>2974.7</v>
      </c>
      <c r="F109" s="89"/>
      <c r="G109" s="419"/>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row>
    <row r="110" spans="1:35" ht="18.75" customHeight="1" x14ac:dyDescent="0.25">
      <c r="A110" s="275" t="s">
        <v>568</v>
      </c>
      <c r="C110" s="15" t="s">
        <v>647</v>
      </c>
    </row>
    <row r="111" spans="1:35" ht="21" customHeight="1" x14ac:dyDescent="0.2">
      <c r="C111" s="118" t="s">
        <v>11</v>
      </c>
      <c r="D111" s="291" t="s">
        <v>12</v>
      </c>
      <c r="E111" s="289" t="s">
        <v>13</v>
      </c>
      <c r="F111" s="289"/>
    </row>
    <row r="112" spans="1:35" x14ac:dyDescent="0.2">
      <c r="A112" t="s">
        <v>476</v>
      </c>
      <c r="B112" t="s">
        <v>477</v>
      </c>
      <c r="E112" s="45">
        <f>'Standard Bewässerung'!H18</f>
        <v>5831.4</v>
      </c>
      <c r="F112" s="89">
        <f>E112/$E$119</f>
        <v>0.36546158059595418</v>
      </c>
      <c r="H112" s="45">
        <v>1713.9</v>
      </c>
    </row>
    <row r="113" spans="1:8" x14ac:dyDescent="0.2">
      <c r="B113" t="s">
        <v>478</v>
      </c>
      <c r="E113" s="45">
        <f>'Standard Bewässerung'!H23</f>
        <v>1807.6</v>
      </c>
      <c r="F113" s="89">
        <f t="shared" ref="F113:F118" si="5">E113/$E$119</f>
        <v>0.11328469202682834</v>
      </c>
      <c r="H113" s="45">
        <v>1807.6</v>
      </c>
    </row>
    <row r="114" spans="1:8" x14ac:dyDescent="0.2">
      <c r="B114" t="s">
        <v>479</v>
      </c>
      <c r="E114" s="45">
        <f>'Standard Bewässerung'!H31</f>
        <v>1386.5</v>
      </c>
      <c r="F114" s="89">
        <f t="shared" si="5"/>
        <v>8.689379591458149E-2</v>
      </c>
      <c r="H114" s="45">
        <v>1386.5</v>
      </c>
    </row>
    <row r="115" spans="1:8" x14ac:dyDescent="0.2">
      <c r="E115" s="45"/>
      <c r="F115" s="89">
        <f t="shared" si="5"/>
        <v>0</v>
      </c>
      <c r="H115" s="45"/>
    </row>
    <row r="116" spans="1:8" x14ac:dyDescent="0.2">
      <c r="E116" s="946">
        <f>SUM(E112:E114)</f>
        <v>9025.5</v>
      </c>
      <c r="F116" s="89">
        <f t="shared" si="5"/>
        <v>0.56564006853736404</v>
      </c>
      <c r="H116" s="946">
        <v>4908</v>
      </c>
    </row>
    <row r="117" spans="1:8" x14ac:dyDescent="0.2">
      <c r="A117" t="s">
        <v>535</v>
      </c>
      <c r="E117" s="960">
        <f>'Standard Bewässerung'!H48</f>
        <v>2650</v>
      </c>
      <c r="F117" s="89">
        <f t="shared" si="5"/>
        <v>0.16607901851687049</v>
      </c>
      <c r="H117" s="960">
        <v>2650</v>
      </c>
    </row>
    <row r="118" spans="1:8" x14ac:dyDescent="0.2">
      <c r="A118" t="s">
        <v>536</v>
      </c>
      <c r="B118" s="10"/>
      <c r="E118" s="960">
        <f>'Standard Bewässerung'!H49</f>
        <v>4280.76</v>
      </c>
      <c r="F118" s="89">
        <f t="shared" si="5"/>
        <v>0.2682809129457655</v>
      </c>
      <c r="H118" s="960">
        <v>4280.76</v>
      </c>
    </row>
    <row r="119" spans="1:8" ht="18" x14ac:dyDescent="0.25">
      <c r="A119" s="515" t="s">
        <v>482</v>
      </c>
      <c r="B119" s="524"/>
      <c r="C119" s="526"/>
      <c r="D119" s="979">
        <f>'Standard Vorgaben'!C186</f>
        <v>1</v>
      </c>
      <c r="E119" s="528">
        <f>E116+E117+E118</f>
        <v>15956.26</v>
      </c>
      <c r="F119" s="518">
        <f>E119/E119</f>
        <v>1</v>
      </c>
      <c r="H119" s="528">
        <v>11838.76</v>
      </c>
    </row>
    <row r="121" spans="1:8" ht="18" x14ac:dyDescent="0.25">
      <c r="A121" s="275" t="s">
        <v>474</v>
      </c>
    </row>
    <row r="123" spans="1:8" x14ac:dyDescent="0.2">
      <c r="C123" s="118" t="s">
        <v>11</v>
      </c>
      <c r="D123" s="291" t="s">
        <v>12</v>
      </c>
      <c r="E123" s="289" t="s">
        <v>13</v>
      </c>
      <c r="F123" s="289"/>
    </row>
    <row r="124" spans="1:8" x14ac:dyDescent="0.2">
      <c r="A124" t="s">
        <v>476</v>
      </c>
      <c r="B124" t="s">
        <v>477</v>
      </c>
      <c r="E124" s="45">
        <f>'Standard Bewässerung'!H70</f>
        <v>9270.0969999999998</v>
      </c>
      <c r="F124" s="89">
        <f>E124/$E$131</f>
        <v>0.44480402125498003</v>
      </c>
    </row>
    <row r="125" spans="1:8" x14ac:dyDescent="0.2">
      <c r="B125" t="s">
        <v>478</v>
      </c>
      <c r="E125" s="45">
        <f>'Standard Bewässerung'!H75</f>
        <v>1725</v>
      </c>
      <c r="F125" s="89">
        <f t="shared" ref="F125:F130" si="6">E125/$E$131</f>
        <v>8.2770108734012235E-2</v>
      </c>
    </row>
    <row r="126" spans="1:8" x14ac:dyDescent="0.2">
      <c r="B126" t="s">
        <v>479</v>
      </c>
      <c r="E126" s="45">
        <f>'Standard Bewässerung'!H83</f>
        <v>1929</v>
      </c>
      <c r="F126" s="89">
        <f t="shared" si="6"/>
        <v>9.2558573766904115E-2</v>
      </c>
    </row>
    <row r="127" spans="1:8" x14ac:dyDescent="0.2">
      <c r="E127" s="45"/>
      <c r="F127" s="89">
        <f t="shared" si="6"/>
        <v>0</v>
      </c>
    </row>
    <row r="128" spans="1:8" x14ac:dyDescent="0.2">
      <c r="E128" s="946">
        <f>SUM(E124:E126)</f>
        <v>12924.097</v>
      </c>
      <c r="F128" s="89">
        <f t="shared" si="6"/>
        <v>0.62013270375589635</v>
      </c>
    </row>
    <row r="129" spans="1:6" x14ac:dyDescent="0.2">
      <c r="A129" t="s">
        <v>535</v>
      </c>
      <c r="E129" s="960">
        <f>'Standard Bewässerung'!H102</f>
        <v>3180.6</v>
      </c>
      <c r="F129" s="89">
        <f t="shared" si="6"/>
        <v>0.15261368570399961</v>
      </c>
    </row>
    <row r="130" spans="1:6" x14ac:dyDescent="0.2">
      <c r="A130" t="s">
        <v>536</v>
      </c>
      <c r="B130" s="10"/>
      <c r="E130" s="960">
        <f>'Standard Bewässerung'!H103</f>
        <v>4736.16</v>
      </c>
      <c r="F130" s="89">
        <f t="shared" si="6"/>
        <v>0.22725361054010398</v>
      </c>
    </row>
    <row r="131" spans="1:6" ht="18" x14ac:dyDescent="0.25">
      <c r="A131" s="515" t="s">
        <v>482</v>
      </c>
      <c r="B131" s="524"/>
      <c r="C131" s="526"/>
      <c r="D131" s="977">
        <f>'Standard Vorgaben'!C187</f>
        <v>0</v>
      </c>
      <c r="E131" s="528">
        <f>E128+E129+E130</f>
        <v>20840.857</v>
      </c>
      <c r="F131" s="518">
        <f>E131/E131</f>
        <v>1</v>
      </c>
    </row>
    <row r="133" spans="1:6" ht="23.25" x14ac:dyDescent="0.35">
      <c r="A133" s="515" t="s">
        <v>581</v>
      </c>
      <c r="B133" s="524"/>
      <c r="C133" s="977">
        <f>IF(C137=0,1,0)</f>
        <v>0</v>
      </c>
      <c r="D133" s="528">
        <f>E83+E107</f>
        <v>60401.390099999997</v>
      </c>
      <c r="E133" s="528">
        <f>C133*D133</f>
        <v>0</v>
      </c>
      <c r="F133" s="978"/>
    </row>
    <row r="134" spans="1:6" ht="23.25" x14ac:dyDescent="0.35">
      <c r="A134" s="515" t="s">
        <v>582</v>
      </c>
      <c r="B134" s="524"/>
      <c r="C134" s="977">
        <f>IF('Standard Vorgaben'!C188=1,0,'Standard Vorgaben'!C180)</f>
        <v>0</v>
      </c>
      <c r="D134" s="528">
        <f>E84+E107</f>
        <v>82743.345099999991</v>
      </c>
      <c r="E134" s="528">
        <f>C134*D134</f>
        <v>0</v>
      </c>
      <c r="F134" s="978"/>
    </row>
    <row r="135" spans="1:6" ht="23.25" x14ac:dyDescent="0.35">
      <c r="A135" s="515" t="s">
        <v>569</v>
      </c>
      <c r="B135" s="524"/>
      <c r="C135" s="977">
        <f>IF('Standard Vorgaben'!C191=2,1,0)</f>
        <v>1</v>
      </c>
      <c r="D135" s="528">
        <f>D119*E119+D131*E131</f>
        <v>15956.26</v>
      </c>
      <c r="E135" s="528">
        <f>C135*(D135+E84+E107)</f>
        <v>98699.605099999986</v>
      </c>
      <c r="F135" s="978"/>
    </row>
    <row r="136" spans="1:6" ht="23.25" x14ac:dyDescent="0.35">
      <c r="A136" s="515" t="s">
        <v>578</v>
      </c>
      <c r="B136" s="524"/>
      <c r="C136" s="977">
        <f>IF(C135=1,0,'Standard Vorgaben'!C188)</f>
        <v>0</v>
      </c>
      <c r="D136" s="528">
        <f>D119*E119+D131*E131</f>
        <v>15956.26</v>
      </c>
      <c r="E136" s="528">
        <f>(E83+E107)*C136</f>
        <v>0</v>
      </c>
      <c r="F136" s="978"/>
    </row>
    <row r="137" spans="1:6" x14ac:dyDescent="0.2">
      <c r="C137" s="982">
        <f>SUM(C134:C136)</f>
        <v>1</v>
      </c>
    </row>
    <row r="138" spans="1:6" ht="18" x14ac:dyDescent="0.25">
      <c r="A138" s="515" t="s">
        <v>570</v>
      </c>
      <c r="B138" s="440"/>
      <c r="C138" s="440"/>
      <c r="D138" s="440"/>
      <c r="E138" s="528">
        <f>SUM(E133:E136)</f>
        <v>98699.605099999986</v>
      </c>
      <c r="F138" s="440"/>
    </row>
  </sheetData>
  <mergeCells count="5">
    <mergeCell ref="B3:F3"/>
    <mergeCell ref="A36:A38"/>
    <mergeCell ref="A10:A13"/>
    <mergeCell ref="A16:A26"/>
    <mergeCell ref="A29:A33"/>
  </mergeCells>
  <phoneticPr fontId="23" type="noConversion"/>
  <printOptions gridLines="1" gridLinesSet="0"/>
  <pageMargins left="0.78740157480314965" right="0.39370078740157483" top="0.59055118110236227" bottom="0.39370078740157483" header="0.51181102362204722" footer="0.51181102362204722"/>
  <pageSetup paperSize="9" scale="60" orientation="portrait" r:id="rId1"/>
  <headerFooter alignWithMargins="0">
    <oddFooter>&amp;LArbokost 2008&amp;RAgroscope Changins - Wädenswil ACW</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tandardStandjahre">
    <tabColor indexed="10"/>
  </sheetPr>
  <dimension ref="A1:DK118"/>
  <sheetViews>
    <sheetView zoomScale="80" zoomScaleNormal="80" workbookViewId="0">
      <selection activeCell="DC58" sqref="DC58"/>
    </sheetView>
  </sheetViews>
  <sheetFormatPr baseColWidth="10" defaultRowHeight="15" x14ac:dyDescent="0.2"/>
  <cols>
    <col min="1" max="1" width="37.42578125" style="12" customWidth="1"/>
    <col min="2" max="2" width="25.5703125" style="15" customWidth="1"/>
    <col min="3" max="3" width="18.42578125" style="10" customWidth="1"/>
    <col min="4" max="4" width="12.85546875" style="10" customWidth="1"/>
    <col min="5" max="5" width="13.42578125" style="24" customWidth="1"/>
    <col min="6" max="6" width="17.42578125" style="25" customWidth="1"/>
    <col min="7" max="7" width="10.7109375" style="10" customWidth="1"/>
    <col min="8" max="8" width="37.42578125" style="315" customWidth="1"/>
    <col min="9" max="9" width="25.5703125" style="10" customWidth="1"/>
    <col min="10" max="10" width="18.42578125" customWidth="1"/>
    <col min="11" max="11" width="12.85546875" customWidth="1"/>
    <col min="12" max="12" width="13.42578125" customWidth="1"/>
    <col min="13" max="13" width="17.42578125" customWidth="1"/>
    <col min="14" max="14" width="10.7109375" style="1" customWidth="1"/>
    <col min="15" max="15" width="37.42578125" style="198" customWidth="1"/>
    <col min="16" max="16" width="25.5703125" customWidth="1"/>
    <col min="17" max="17" width="18.42578125" customWidth="1"/>
    <col min="18" max="18" width="12.85546875" style="26" customWidth="1"/>
    <col min="19" max="19" width="13.42578125" customWidth="1"/>
    <col min="20" max="20" width="19" customWidth="1"/>
    <col min="21" max="21" width="10.7109375" style="319" customWidth="1"/>
    <col min="22" max="22" width="37.42578125" style="198" customWidth="1"/>
    <col min="23" max="23" width="25.5703125" customWidth="1"/>
    <col min="24" max="24" width="18.42578125" customWidth="1"/>
    <col min="25" max="25" width="12.85546875" customWidth="1"/>
    <col min="26" max="26" width="13.42578125" customWidth="1"/>
    <col min="27" max="27" width="19.7109375" customWidth="1"/>
    <col min="28" max="28" width="10.7109375" style="1" customWidth="1"/>
    <col min="29" max="29" width="37.42578125" style="198" customWidth="1"/>
    <col min="30" max="30" width="25.5703125" customWidth="1"/>
    <col min="31" max="31" width="18.42578125" customWidth="1"/>
    <col min="32" max="32" width="12.85546875" customWidth="1"/>
    <col min="33" max="33" width="13.42578125" customWidth="1"/>
    <col min="34" max="34" width="17.42578125" customWidth="1"/>
    <col min="35" max="35" width="10.7109375" style="1" customWidth="1"/>
    <col min="36" max="36" width="37.42578125" style="198" customWidth="1"/>
    <col min="37" max="37" width="25.5703125" customWidth="1"/>
    <col min="38" max="38" width="18.42578125" customWidth="1"/>
    <col min="39" max="39" width="12.85546875" customWidth="1"/>
    <col min="40" max="40" width="13.42578125" customWidth="1"/>
    <col min="41" max="41" width="17.42578125" customWidth="1"/>
    <col min="42" max="42" width="10.7109375" style="412" customWidth="1"/>
    <col min="43" max="43" width="37.42578125" style="198" customWidth="1"/>
    <col min="44" max="44" width="25.5703125" customWidth="1"/>
    <col min="45" max="45" width="18.42578125" customWidth="1"/>
    <col min="46" max="46" width="12.85546875" customWidth="1"/>
    <col min="47" max="47" width="13.42578125" customWidth="1"/>
    <col min="48" max="48" width="17.42578125" customWidth="1"/>
    <col min="49" max="49" width="10.7109375" style="412" customWidth="1"/>
    <col min="50" max="50" width="37.42578125" style="198" customWidth="1"/>
    <col min="51" max="51" width="25.5703125" customWidth="1"/>
    <col min="52" max="52" width="18.42578125" customWidth="1"/>
    <col min="53" max="53" width="12.85546875" customWidth="1"/>
    <col min="54" max="54" width="13.42578125" customWidth="1"/>
    <col min="55" max="55" width="17.42578125" customWidth="1"/>
    <col min="56" max="56" width="10.7109375" style="412" customWidth="1"/>
    <col min="57" max="57" width="37.42578125" style="198" customWidth="1"/>
    <col min="58" max="58" width="25.5703125" customWidth="1"/>
    <col min="59" max="59" width="18.42578125" customWidth="1"/>
    <col min="60" max="60" width="12.85546875" customWidth="1"/>
    <col min="61" max="61" width="13.42578125" customWidth="1"/>
    <col min="62" max="62" width="17.42578125" customWidth="1"/>
    <col min="63" max="63" width="10.7109375" style="1" customWidth="1"/>
    <col min="64" max="64" width="37.42578125" style="198" customWidth="1"/>
    <col min="65" max="65" width="25.5703125" customWidth="1"/>
    <col min="66" max="66" width="18.42578125" customWidth="1"/>
    <col min="67" max="67" width="12.85546875" customWidth="1"/>
    <col min="68" max="68" width="13.42578125" customWidth="1"/>
    <col min="69" max="69" width="17.42578125" customWidth="1"/>
    <col min="70" max="70" width="10.7109375" style="1" customWidth="1"/>
    <col min="71" max="71" width="37.42578125" style="198" customWidth="1"/>
    <col min="72" max="72" width="25.5703125" customWidth="1"/>
    <col min="73" max="73" width="18.42578125" customWidth="1"/>
    <col min="74" max="74" width="12.85546875" customWidth="1"/>
    <col min="75" max="75" width="13.42578125" customWidth="1"/>
    <col min="76" max="76" width="17.42578125" customWidth="1"/>
    <col min="77" max="77" width="10.7109375" style="1" customWidth="1"/>
    <col min="78" max="78" width="37.42578125" style="198" customWidth="1"/>
    <col min="79" max="79" width="25.5703125" customWidth="1"/>
    <col min="80" max="80" width="18.42578125" customWidth="1"/>
    <col min="81" max="81" width="12.85546875" customWidth="1"/>
    <col min="82" max="82" width="13.42578125" customWidth="1"/>
    <col min="83" max="83" width="17.42578125" customWidth="1"/>
    <col min="84" max="84" width="10.7109375" style="1" customWidth="1"/>
    <col min="85" max="85" width="37.42578125" style="198" customWidth="1"/>
    <col min="86" max="86" width="25.5703125" customWidth="1"/>
    <col min="87" max="87" width="18.42578125" customWidth="1"/>
    <col min="88" max="88" width="12.85546875" customWidth="1"/>
    <col min="89" max="89" width="13.42578125" customWidth="1"/>
    <col min="90" max="90" width="19.28515625" customWidth="1"/>
    <col min="91" max="91" width="10.7109375" style="1" customWidth="1"/>
    <col min="92" max="92" width="37.42578125" style="198" customWidth="1"/>
    <col min="93" max="93" width="25.5703125" customWidth="1"/>
    <col min="94" max="94" width="18.42578125" customWidth="1"/>
    <col min="95" max="95" width="12.85546875" customWidth="1"/>
    <col min="96" max="96" width="13.42578125" customWidth="1"/>
    <col min="97" max="97" width="19.28515625" customWidth="1"/>
    <col min="98" max="98" width="10.7109375" style="1" customWidth="1"/>
    <col min="99" max="99" width="37.42578125" style="198" customWidth="1"/>
    <col min="100" max="100" width="25.5703125" customWidth="1"/>
    <col min="101" max="101" width="18.42578125" customWidth="1"/>
    <col min="102" max="102" width="12.85546875" customWidth="1"/>
    <col min="103" max="103" width="13.42578125" customWidth="1"/>
    <col min="104" max="104" width="18.42578125" customWidth="1"/>
    <col min="105" max="105" width="10.7109375" style="19" customWidth="1"/>
    <col min="106" max="256" width="9.140625" customWidth="1"/>
  </cols>
  <sheetData>
    <row r="1" spans="1:105" s="13" customFormat="1" ht="42" customHeight="1" x14ac:dyDescent="0.6">
      <c r="A1" s="1135" t="str">
        <f>'Standard Erstellung'!$A$1</f>
        <v>Arbokost 2023</v>
      </c>
      <c r="B1" s="1432" t="str">
        <f>'Standard Vorgaben'!B8</f>
        <v>Gala</v>
      </c>
      <c r="C1" s="1432"/>
      <c r="D1" s="888"/>
      <c r="E1" s="889"/>
      <c r="F1" s="890"/>
      <c r="G1" s="891"/>
      <c r="H1" s="744"/>
      <c r="I1" s="744"/>
      <c r="J1" s="744"/>
      <c r="K1" s="744"/>
      <c r="L1" s="744"/>
      <c r="M1" s="744"/>
      <c r="N1" s="744"/>
      <c r="O1" s="729"/>
      <c r="P1" s="665"/>
      <c r="Q1" s="744"/>
      <c r="R1" s="744"/>
      <c r="S1" s="744"/>
      <c r="T1" s="744"/>
      <c r="U1" s="744"/>
      <c r="V1" s="744"/>
      <c r="W1" s="744"/>
      <c r="X1" s="744"/>
      <c r="Y1" s="744"/>
      <c r="Z1" s="744"/>
      <c r="AA1" s="744"/>
      <c r="AB1" s="744"/>
      <c r="AC1" s="744"/>
      <c r="AD1" s="744"/>
      <c r="AE1" s="744"/>
      <c r="AF1" s="744"/>
      <c r="AG1" s="744"/>
      <c r="AH1" s="744"/>
      <c r="AI1" s="744"/>
      <c r="AJ1" s="744"/>
      <c r="AK1" s="744"/>
      <c r="AL1" s="744"/>
      <c r="AM1" s="744"/>
      <c r="AN1" s="744"/>
      <c r="AO1" s="744"/>
      <c r="AP1" s="744"/>
      <c r="AQ1" s="744"/>
      <c r="AR1" s="744"/>
      <c r="AS1" s="744"/>
      <c r="AT1" s="744"/>
      <c r="AU1" s="744"/>
      <c r="AV1" s="744"/>
      <c r="AW1" s="744"/>
      <c r="AX1" s="744"/>
      <c r="AY1" s="744"/>
      <c r="AZ1" s="744"/>
      <c r="BA1" s="744"/>
      <c r="BB1" s="744"/>
      <c r="BC1" s="744"/>
      <c r="BD1" s="744"/>
      <c r="BE1" s="744"/>
      <c r="BF1" s="744"/>
      <c r="BG1" s="744"/>
      <c r="BH1" s="744"/>
      <c r="BI1" s="744"/>
      <c r="BJ1" s="744"/>
      <c r="BK1" s="744"/>
      <c r="BL1" s="744"/>
      <c r="BM1" s="744"/>
      <c r="BN1" s="744"/>
      <c r="BO1" s="744"/>
      <c r="BP1" s="744"/>
      <c r="BQ1" s="744"/>
      <c r="BR1" s="744"/>
      <c r="BS1" s="744"/>
      <c r="BT1" s="744"/>
      <c r="BU1" s="744"/>
      <c r="BV1" s="744"/>
      <c r="BW1" s="744"/>
      <c r="BX1" s="744"/>
      <c r="BY1" s="744"/>
      <c r="BZ1" s="744"/>
      <c r="CA1" s="744"/>
      <c r="CB1" s="744"/>
      <c r="CC1" s="744"/>
      <c r="CD1" s="744"/>
      <c r="CE1" s="744"/>
      <c r="CF1" s="744"/>
      <c r="CG1" s="744"/>
      <c r="CH1" s="744"/>
      <c r="CI1" s="744"/>
      <c r="CJ1" s="744"/>
      <c r="CK1" s="744"/>
      <c r="CL1" s="744"/>
      <c r="CM1" s="744"/>
      <c r="CN1" s="744"/>
      <c r="CO1" s="744"/>
      <c r="CP1" s="744"/>
      <c r="CQ1" s="744"/>
      <c r="CR1" s="744"/>
      <c r="CS1" s="744"/>
      <c r="CT1" s="744"/>
      <c r="CU1" s="744"/>
      <c r="CV1" s="744"/>
      <c r="CW1" s="744"/>
      <c r="CX1" s="744"/>
      <c r="CY1" s="744"/>
      <c r="CZ1" s="744"/>
      <c r="DA1" s="744"/>
    </row>
    <row r="2" spans="1:105" s="13" customFormat="1" ht="12.75" customHeight="1" x14ac:dyDescent="0.6">
      <c r="A2" s="904"/>
      <c r="B2" s="904"/>
      <c r="C2" s="887"/>
      <c r="D2" s="888"/>
      <c r="E2" s="889"/>
      <c r="F2" s="890"/>
      <c r="G2" s="891"/>
      <c r="H2" s="744"/>
      <c r="I2" s="744"/>
      <c r="J2" s="744"/>
      <c r="K2" s="744"/>
      <c r="L2" s="744"/>
      <c r="M2" s="744"/>
      <c r="N2" s="744"/>
      <c r="O2" s="729"/>
      <c r="P2" s="744"/>
      <c r="Q2" s="744"/>
      <c r="R2" s="744"/>
      <c r="S2" s="744"/>
      <c r="T2" s="744"/>
      <c r="U2" s="744"/>
      <c r="V2" s="744"/>
      <c r="W2" s="744"/>
      <c r="X2" s="744"/>
      <c r="Y2" s="744"/>
      <c r="Z2" s="744"/>
      <c r="AA2" s="744"/>
      <c r="AB2" s="744"/>
      <c r="AC2" s="744"/>
      <c r="AD2" s="744"/>
      <c r="AE2" s="744"/>
      <c r="AF2" s="744"/>
      <c r="AG2" s="744"/>
      <c r="AH2" s="744"/>
      <c r="AI2" s="744"/>
      <c r="AJ2" s="744"/>
      <c r="AK2" s="744"/>
      <c r="AL2" s="744"/>
      <c r="AM2" s="744"/>
      <c r="AN2" s="744"/>
      <c r="AO2" s="744"/>
      <c r="AP2" s="744"/>
      <c r="AQ2" s="744"/>
      <c r="AR2" s="744"/>
      <c r="AS2" s="744"/>
      <c r="AT2" s="744"/>
      <c r="AU2" s="744"/>
      <c r="AV2" s="744"/>
      <c r="AW2" s="744"/>
      <c r="AX2" s="744"/>
      <c r="AY2" s="744"/>
      <c r="AZ2" s="744"/>
      <c r="BA2" s="744"/>
      <c r="BB2" s="744"/>
      <c r="BC2" s="744"/>
      <c r="BD2" s="744"/>
      <c r="BE2" s="744"/>
      <c r="BF2" s="744"/>
      <c r="BG2" s="744"/>
      <c r="BH2" s="744"/>
      <c r="BI2" s="744"/>
      <c r="BJ2" s="744"/>
      <c r="BK2" s="744"/>
      <c r="BL2" s="744"/>
      <c r="BM2" s="744"/>
      <c r="BN2" s="744"/>
      <c r="BO2" s="744"/>
      <c r="BP2" s="744"/>
      <c r="BQ2" s="744"/>
      <c r="BR2" s="744"/>
      <c r="BS2" s="744"/>
      <c r="BT2" s="744"/>
      <c r="BU2" s="744"/>
      <c r="BV2" s="744"/>
      <c r="BW2" s="744"/>
      <c r="BX2" s="744"/>
      <c r="BY2" s="744"/>
      <c r="BZ2" s="744"/>
      <c r="CA2" s="744"/>
      <c r="CB2" s="744"/>
      <c r="CC2" s="744"/>
      <c r="CD2" s="744"/>
      <c r="CE2" s="744"/>
      <c r="CF2" s="744"/>
      <c r="CG2" s="744"/>
      <c r="CH2" s="744"/>
      <c r="CI2" s="744"/>
      <c r="CJ2" s="744"/>
      <c r="CK2" s="744"/>
      <c r="CL2" s="744"/>
      <c r="CM2" s="744"/>
      <c r="CN2" s="744"/>
      <c r="CO2" s="744"/>
      <c r="CP2" s="744"/>
      <c r="CQ2" s="744"/>
      <c r="CR2" s="744"/>
      <c r="CS2" s="744"/>
      <c r="CT2" s="744"/>
      <c r="CU2" s="744"/>
      <c r="CV2" s="744"/>
      <c r="CW2" s="744"/>
      <c r="CX2" s="744"/>
      <c r="CY2" s="744"/>
      <c r="CZ2" s="744"/>
      <c r="DA2" s="744"/>
    </row>
    <row r="3" spans="1:105" s="13" customFormat="1" ht="18" customHeight="1" x14ac:dyDescent="0.6">
      <c r="A3" s="904"/>
      <c r="B3" s="904"/>
      <c r="C3" s="887"/>
      <c r="D3" s="888"/>
      <c r="E3" s="889"/>
      <c r="F3" s="890"/>
      <c r="G3" s="891"/>
      <c r="H3" s="744"/>
      <c r="I3" s="744"/>
      <c r="J3" s="744"/>
      <c r="K3" s="744"/>
      <c r="L3" s="744"/>
      <c r="M3" s="744"/>
      <c r="N3" s="744"/>
      <c r="O3" s="729"/>
      <c r="P3" s="744"/>
      <c r="Q3" s="744"/>
      <c r="R3" s="744"/>
      <c r="S3" s="744"/>
      <c r="T3" s="744"/>
      <c r="U3" s="744"/>
      <c r="V3" s="744"/>
      <c r="W3" s="744"/>
      <c r="X3" s="744"/>
      <c r="Y3" s="744"/>
      <c r="Z3" s="744"/>
      <c r="AA3" s="744"/>
      <c r="AB3" s="744"/>
      <c r="AC3" s="744"/>
      <c r="AD3" s="744"/>
      <c r="AE3" s="744"/>
      <c r="AF3" s="744"/>
      <c r="AG3" s="744"/>
      <c r="AH3" s="744"/>
      <c r="AI3" s="744"/>
      <c r="AJ3" s="744"/>
      <c r="AK3" s="744"/>
      <c r="AL3" s="744"/>
      <c r="AM3" s="744"/>
      <c r="AN3" s="744"/>
      <c r="AO3" s="744"/>
      <c r="AP3" s="744"/>
      <c r="AQ3" s="744"/>
      <c r="AR3" s="744"/>
      <c r="AS3" s="744"/>
      <c r="AT3" s="744"/>
      <c r="AU3" s="744"/>
      <c r="AV3" s="744"/>
      <c r="AW3" s="744"/>
      <c r="AX3" s="744"/>
      <c r="AY3" s="744"/>
      <c r="AZ3" s="744"/>
      <c r="BA3" s="744"/>
      <c r="BB3" s="744"/>
      <c r="BC3" s="744"/>
      <c r="BD3" s="744"/>
      <c r="BE3" s="744"/>
      <c r="BF3" s="744"/>
      <c r="BG3" s="744"/>
      <c r="BH3" s="744"/>
      <c r="BI3" s="744"/>
      <c r="BJ3" s="744"/>
      <c r="BK3" s="744"/>
      <c r="BL3" s="744"/>
      <c r="BM3" s="744"/>
      <c r="BN3" s="744"/>
      <c r="BO3" s="744"/>
      <c r="BP3" s="744"/>
      <c r="BQ3" s="744"/>
      <c r="BR3" s="744"/>
      <c r="BS3" s="744"/>
      <c r="BT3" s="744"/>
      <c r="BU3" s="744"/>
      <c r="BV3" s="744"/>
      <c r="BW3" s="744"/>
      <c r="BX3" s="744"/>
      <c r="BY3" s="744"/>
      <c r="BZ3" s="744"/>
      <c r="CA3" s="744"/>
      <c r="CB3" s="744"/>
      <c r="CC3" s="744"/>
      <c r="CD3" s="744"/>
      <c r="CE3" s="744"/>
      <c r="CF3" s="744"/>
      <c r="CG3" s="744"/>
      <c r="CH3" s="744"/>
      <c r="CI3" s="744"/>
      <c r="CJ3" s="744"/>
      <c r="CK3" s="744"/>
      <c r="CL3" s="744"/>
      <c r="CM3" s="744"/>
      <c r="CN3" s="744"/>
      <c r="CO3" s="744"/>
      <c r="CP3" s="744"/>
      <c r="CQ3" s="744"/>
      <c r="CR3" s="744"/>
      <c r="CS3" s="744"/>
      <c r="CT3" s="744"/>
      <c r="CU3" s="744"/>
      <c r="CV3" s="744"/>
      <c r="CW3" s="744"/>
      <c r="CX3" s="744"/>
      <c r="CY3" s="744"/>
      <c r="CZ3" s="744"/>
      <c r="DA3" s="744"/>
    </row>
    <row r="4" spans="1:105" s="13" customFormat="1" ht="12.75" x14ac:dyDescent="0.2">
      <c r="A4" s="820"/>
      <c r="B4" s="892"/>
      <c r="C4" s="745"/>
      <c r="D4" s="745"/>
      <c r="E4" s="893"/>
      <c r="F4" s="894"/>
      <c r="G4" s="745"/>
      <c r="H4" s="745"/>
      <c r="I4" s="745"/>
      <c r="J4" s="744"/>
      <c r="K4" s="744"/>
      <c r="L4" s="744"/>
      <c r="M4" s="744"/>
      <c r="N4" s="744"/>
      <c r="O4" s="745"/>
      <c r="P4" s="745"/>
      <c r="Q4" s="744"/>
      <c r="R4" s="744"/>
      <c r="S4" s="744"/>
      <c r="T4" s="744"/>
      <c r="U4" s="744"/>
      <c r="V4" s="745"/>
      <c r="W4" s="745"/>
      <c r="X4" s="744"/>
      <c r="Y4" s="744"/>
      <c r="Z4" s="744"/>
      <c r="AA4" s="744"/>
      <c r="AB4" s="744"/>
      <c r="AC4" s="745"/>
      <c r="AD4" s="745"/>
      <c r="AE4" s="744"/>
      <c r="AF4" s="744"/>
      <c r="AG4" s="744"/>
      <c r="AH4" s="744"/>
      <c r="AI4" s="744"/>
      <c r="AJ4" s="745"/>
      <c r="AK4" s="745"/>
      <c r="AL4" s="744"/>
      <c r="AM4" s="744"/>
      <c r="AN4" s="744"/>
      <c r="AO4" s="744"/>
      <c r="AP4" s="744"/>
      <c r="AQ4" s="745"/>
      <c r="AR4" s="745"/>
      <c r="AS4" s="744"/>
      <c r="AT4" s="744"/>
      <c r="AU4" s="744"/>
      <c r="AV4" s="744"/>
      <c r="AW4" s="744"/>
      <c r="AX4" s="745"/>
      <c r="AY4" s="745"/>
      <c r="AZ4" s="744"/>
      <c r="BA4" s="744"/>
      <c r="BB4" s="744"/>
      <c r="BC4" s="744"/>
      <c r="BD4" s="744"/>
      <c r="BE4" s="745"/>
      <c r="BF4" s="745"/>
      <c r="BG4" s="744"/>
      <c r="BH4" s="744"/>
      <c r="BI4" s="744"/>
      <c r="BJ4" s="744"/>
      <c r="BK4" s="744"/>
      <c r="BL4" s="745"/>
      <c r="BM4" s="745"/>
      <c r="BN4" s="744"/>
      <c r="BO4" s="744"/>
      <c r="BP4" s="744"/>
      <c r="BQ4" s="744"/>
      <c r="BR4" s="744"/>
      <c r="BS4" s="745"/>
      <c r="BT4" s="745"/>
      <c r="BU4" s="744"/>
      <c r="BV4" s="744"/>
      <c r="BW4" s="744"/>
      <c r="BX4" s="744"/>
      <c r="BY4" s="744"/>
      <c r="BZ4" s="745"/>
      <c r="CA4" s="745"/>
      <c r="CB4" s="744"/>
      <c r="CC4" s="744"/>
      <c r="CD4" s="744"/>
      <c r="CE4" s="744"/>
      <c r="CF4" s="744"/>
      <c r="CG4" s="745"/>
      <c r="CH4" s="745"/>
      <c r="CI4" s="744"/>
      <c r="CJ4" s="744"/>
      <c r="CK4" s="744"/>
      <c r="CL4" s="744"/>
      <c r="CM4" s="744"/>
      <c r="CN4" s="745"/>
      <c r="CO4" s="745"/>
      <c r="CP4" s="744"/>
      <c r="CQ4" s="744"/>
      <c r="CR4" s="744"/>
      <c r="CS4" s="744"/>
      <c r="CT4" s="744"/>
      <c r="CU4" s="745"/>
      <c r="CV4" s="745"/>
      <c r="CW4" s="744"/>
      <c r="CX4" s="744"/>
      <c r="CY4" s="744"/>
      <c r="CZ4" s="744"/>
      <c r="DA4" s="744"/>
    </row>
    <row r="5" spans="1:105" s="691" customFormat="1" ht="20.25" x14ac:dyDescent="0.3">
      <c r="A5" s="663" t="s">
        <v>300</v>
      </c>
      <c r="B5" s="665"/>
      <c r="C5" s="662"/>
      <c r="D5" s="663"/>
      <c r="E5" s="905" t="s">
        <v>450</v>
      </c>
      <c r="F5" s="906"/>
      <c r="G5" s="664"/>
      <c r="H5" s="663" t="s">
        <v>300</v>
      </c>
      <c r="I5" s="665"/>
      <c r="J5" s="662"/>
      <c r="K5" s="663"/>
      <c r="L5" s="664"/>
      <c r="M5" s="663"/>
      <c r="N5" s="665"/>
      <c r="O5" s="663" t="s">
        <v>300</v>
      </c>
      <c r="P5" s="665"/>
      <c r="Q5" s="662"/>
      <c r="R5" s="663"/>
      <c r="S5" s="664"/>
      <c r="T5" s="663"/>
      <c r="U5" s="665"/>
      <c r="V5" s="663" t="s">
        <v>300</v>
      </c>
      <c r="W5" s="665"/>
      <c r="X5" s="662"/>
      <c r="Y5" s="663"/>
      <c r="Z5" s="664"/>
      <c r="AA5" s="663"/>
      <c r="AB5" s="665"/>
      <c r="AC5" s="663" t="s">
        <v>300</v>
      </c>
      <c r="AD5" s="665"/>
      <c r="AE5" s="662"/>
      <c r="AF5" s="663"/>
      <c r="AG5" s="664"/>
      <c r="AH5" s="663"/>
      <c r="AI5" s="665"/>
      <c r="AJ5" s="663" t="s">
        <v>300</v>
      </c>
      <c r="AK5" s="665"/>
      <c r="AL5" s="662"/>
      <c r="AM5" s="663"/>
      <c r="AN5" s="664"/>
      <c r="AO5" s="663"/>
      <c r="AP5" s="665"/>
      <c r="AQ5" s="663" t="s">
        <v>300</v>
      </c>
      <c r="AR5" s="665"/>
      <c r="AS5" s="662"/>
      <c r="AT5" s="663"/>
      <c r="AU5" s="664"/>
      <c r="AV5" s="663"/>
      <c r="AW5" s="665"/>
      <c r="AX5" s="663" t="s">
        <v>300</v>
      </c>
      <c r="AY5" s="665"/>
      <c r="AZ5" s="662"/>
      <c r="BA5" s="663"/>
      <c r="BB5" s="664"/>
      <c r="BC5" s="663"/>
      <c r="BD5" s="665"/>
      <c r="BE5" s="663" t="s">
        <v>300</v>
      </c>
      <c r="BF5" s="665"/>
      <c r="BG5" s="662"/>
      <c r="BH5" s="663"/>
      <c r="BI5" s="664"/>
      <c r="BJ5" s="663"/>
      <c r="BK5" s="665"/>
      <c r="BL5" s="663" t="s">
        <v>300</v>
      </c>
      <c r="BM5" s="665"/>
      <c r="BN5" s="662"/>
      <c r="BO5" s="663"/>
      <c r="BP5" s="664"/>
      <c r="BQ5" s="663"/>
      <c r="BR5" s="665"/>
      <c r="BS5" s="663" t="s">
        <v>300</v>
      </c>
      <c r="BT5" s="665"/>
      <c r="BU5" s="662"/>
      <c r="BV5" s="663"/>
      <c r="BW5" s="664"/>
      <c r="BX5" s="663"/>
      <c r="BY5" s="665"/>
      <c r="BZ5" s="663" t="s">
        <v>300</v>
      </c>
      <c r="CA5" s="665"/>
      <c r="CB5" s="662"/>
      <c r="CC5" s="663"/>
      <c r="CD5" s="664"/>
      <c r="CE5" s="663"/>
      <c r="CF5" s="665"/>
      <c r="CG5" s="663" t="s">
        <v>300</v>
      </c>
      <c r="CH5" s="665"/>
      <c r="CI5" s="662"/>
      <c r="CJ5" s="663"/>
      <c r="CK5" s="664"/>
      <c r="CL5" s="663"/>
      <c r="CM5" s="665"/>
      <c r="CN5" s="663" t="s">
        <v>300</v>
      </c>
      <c r="CO5" s="665"/>
      <c r="CP5" s="662"/>
      <c r="CQ5" s="663"/>
      <c r="CR5" s="664"/>
      <c r="CS5" s="663"/>
      <c r="CT5" s="665"/>
      <c r="CU5" s="663" t="s">
        <v>300</v>
      </c>
      <c r="CV5" s="665"/>
      <c r="CW5" s="662"/>
      <c r="CX5" s="663"/>
      <c r="CY5" s="664"/>
      <c r="CZ5" s="663"/>
      <c r="DA5" s="665"/>
    </row>
    <row r="6" spans="1:105" s="17" customFormat="1" ht="29.25" customHeight="1" x14ac:dyDescent="0.3">
      <c r="A6" s="895" t="s">
        <v>39</v>
      </c>
      <c r="B6" s="896">
        <f>'Standard Vorgaben'!B24</f>
        <v>3000</v>
      </c>
      <c r="C6" s="1437"/>
      <c r="D6" s="1438"/>
      <c r="E6" s="1438"/>
      <c r="F6" s="1438"/>
      <c r="G6" s="1438"/>
      <c r="H6" s="895" t="s">
        <v>40</v>
      </c>
      <c r="I6" s="896">
        <f>'Standard Vorgaben'!B24</f>
        <v>3000</v>
      </c>
      <c r="J6" s="1437"/>
      <c r="K6" s="1438"/>
      <c r="L6" s="1438"/>
      <c r="M6" s="1438"/>
      <c r="N6" s="1438"/>
      <c r="O6" s="895" t="s">
        <v>41</v>
      </c>
      <c r="P6" s="896">
        <f>'Standard Vorgaben'!B24</f>
        <v>3000</v>
      </c>
      <c r="Q6" s="1437"/>
      <c r="R6" s="1438"/>
      <c r="S6" s="1438"/>
      <c r="T6" s="1438"/>
      <c r="U6" s="1438"/>
      <c r="V6" s="895" t="s">
        <v>42</v>
      </c>
      <c r="W6" s="896">
        <f>'Standard Vorgaben'!B24</f>
        <v>3000</v>
      </c>
      <c r="X6" s="1437"/>
      <c r="Y6" s="1438"/>
      <c r="Z6" s="1438"/>
      <c r="AA6" s="1438"/>
      <c r="AB6" s="1438"/>
      <c r="AC6" s="895" t="s">
        <v>43</v>
      </c>
      <c r="AD6" s="896">
        <f>'Standard Vorgaben'!B24</f>
        <v>3000</v>
      </c>
      <c r="AE6" s="1437"/>
      <c r="AF6" s="1437"/>
      <c r="AG6" s="1437"/>
      <c r="AH6" s="1437"/>
      <c r="AI6" s="1437"/>
      <c r="AJ6" s="895" t="s">
        <v>44</v>
      </c>
      <c r="AK6" s="896">
        <f>'Standard Vorgaben'!B24</f>
        <v>3000</v>
      </c>
      <c r="AL6" s="1437"/>
      <c r="AM6" s="1437"/>
      <c r="AN6" s="1437"/>
      <c r="AO6" s="1437"/>
      <c r="AP6" s="1437"/>
      <c r="AQ6" s="895" t="s">
        <v>45</v>
      </c>
      <c r="AR6" s="896">
        <f>'Standard Vorgaben'!B24</f>
        <v>3000</v>
      </c>
      <c r="AS6" s="1437"/>
      <c r="AT6" s="1437"/>
      <c r="AU6" s="1437"/>
      <c r="AV6" s="1437"/>
      <c r="AW6" s="1437"/>
      <c r="AX6" s="895" t="s">
        <v>46</v>
      </c>
      <c r="AY6" s="896">
        <f>'Standard Vorgaben'!B24</f>
        <v>3000</v>
      </c>
      <c r="AZ6" s="1437"/>
      <c r="BA6" s="1437"/>
      <c r="BB6" s="1437"/>
      <c r="BC6" s="1437"/>
      <c r="BD6" s="1437"/>
      <c r="BE6" s="895" t="s">
        <v>47</v>
      </c>
      <c r="BF6" s="896">
        <f>'Standard Vorgaben'!B24</f>
        <v>3000</v>
      </c>
      <c r="BG6" s="1437"/>
      <c r="BH6" s="1437"/>
      <c r="BI6" s="1437"/>
      <c r="BJ6" s="1437"/>
      <c r="BK6" s="1437"/>
      <c r="BL6" s="895" t="s">
        <v>48</v>
      </c>
      <c r="BM6" s="896">
        <f>'Standard Vorgaben'!B24</f>
        <v>3000</v>
      </c>
      <c r="BN6" s="1437"/>
      <c r="BO6" s="1437"/>
      <c r="BP6" s="1437"/>
      <c r="BQ6" s="1437"/>
      <c r="BR6" s="1437"/>
      <c r="BS6" s="895" t="s">
        <v>49</v>
      </c>
      <c r="BT6" s="896">
        <f>'Standard Vorgaben'!B24</f>
        <v>3000</v>
      </c>
      <c r="BU6" s="1437"/>
      <c r="BV6" s="1437"/>
      <c r="BW6" s="1437"/>
      <c r="BX6" s="1437"/>
      <c r="BY6" s="1437"/>
      <c r="BZ6" s="895" t="s">
        <v>50</v>
      </c>
      <c r="CA6" s="896">
        <f>'Standard Vorgaben'!B24</f>
        <v>3000</v>
      </c>
      <c r="CB6" s="1437"/>
      <c r="CC6" s="1437"/>
      <c r="CD6" s="1437"/>
      <c r="CE6" s="1437"/>
      <c r="CF6" s="1437"/>
      <c r="CG6" s="895" t="s">
        <v>51</v>
      </c>
      <c r="CH6" s="896">
        <f>'Standard Vorgaben'!B24</f>
        <v>3000</v>
      </c>
      <c r="CI6" s="1437"/>
      <c r="CJ6" s="1437"/>
      <c r="CK6" s="1437"/>
      <c r="CL6" s="1437"/>
      <c r="CM6" s="1437"/>
      <c r="CN6" s="895" t="s">
        <v>52</v>
      </c>
      <c r="CO6" s="896">
        <f>'Standard Vorgaben'!B24</f>
        <v>3000</v>
      </c>
      <c r="CP6" s="1437"/>
      <c r="CQ6" s="1437"/>
      <c r="CR6" s="1437"/>
      <c r="CS6" s="1437"/>
      <c r="CT6" s="1437"/>
      <c r="CU6" s="895" t="s">
        <v>53</v>
      </c>
      <c r="CV6" s="896">
        <f>'Standard Vorgaben'!B24</f>
        <v>3000</v>
      </c>
      <c r="CW6" s="1437"/>
      <c r="CX6" s="1437"/>
      <c r="CY6" s="1437"/>
      <c r="CZ6" s="1437"/>
      <c r="DA6" s="1437"/>
    </row>
    <row r="7" spans="1:105" s="3" customFormat="1" ht="21.2" customHeight="1" x14ac:dyDescent="0.25">
      <c r="A7" s="149" t="s">
        <v>68</v>
      </c>
      <c r="B7" s="666"/>
      <c r="C7" s="1434" t="s">
        <v>363</v>
      </c>
      <c r="D7" s="1434"/>
      <c r="E7" s="84" t="s">
        <v>404</v>
      </c>
      <c r="F7" s="732" t="s">
        <v>365</v>
      </c>
      <c r="G7" s="1435" t="s">
        <v>411</v>
      </c>
      <c r="H7" s="149" t="s">
        <v>68</v>
      </c>
      <c r="I7" s="666"/>
      <c r="J7" s="1434" t="s">
        <v>363</v>
      </c>
      <c r="K7" s="1434"/>
      <c r="L7" s="84" t="s">
        <v>404</v>
      </c>
      <c r="M7" s="732" t="s">
        <v>365</v>
      </c>
      <c r="N7" s="1435" t="s">
        <v>411</v>
      </c>
      <c r="O7" s="149" t="s">
        <v>68</v>
      </c>
      <c r="P7" s="666"/>
      <c r="Q7" s="1434" t="s">
        <v>363</v>
      </c>
      <c r="R7" s="1434"/>
      <c r="S7" s="84" t="s">
        <v>404</v>
      </c>
      <c r="T7" s="732" t="s">
        <v>365</v>
      </c>
      <c r="U7" s="1435" t="s">
        <v>411</v>
      </c>
      <c r="V7" s="149" t="s">
        <v>68</v>
      </c>
      <c r="W7" s="666"/>
      <c r="X7" s="1434" t="s">
        <v>363</v>
      </c>
      <c r="Y7" s="1434"/>
      <c r="Z7" s="84" t="s">
        <v>404</v>
      </c>
      <c r="AA7" s="732" t="s">
        <v>365</v>
      </c>
      <c r="AB7" s="1435" t="s">
        <v>411</v>
      </c>
      <c r="AC7" s="149" t="s">
        <v>68</v>
      </c>
      <c r="AD7" s="666"/>
      <c r="AE7" s="1434" t="s">
        <v>363</v>
      </c>
      <c r="AF7" s="1434"/>
      <c r="AG7" s="84" t="s">
        <v>404</v>
      </c>
      <c r="AH7" s="732" t="s">
        <v>365</v>
      </c>
      <c r="AI7" s="1435" t="s">
        <v>411</v>
      </c>
      <c r="AJ7" s="149" t="s">
        <v>68</v>
      </c>
      <c r="AK7" s="666"/>
      <c r="AL7" s="1434" t="s">
        <v>363</v>
      </c>
      <c r="AM7" s="1434"/>
      <c r="AN7" s="84" t="s">
        <v>404</v>
      </c>
      <c r="AO7" s="732" t="s">
        <v>365</v>
      </c>
      <c r="AP7" s="1435" t="s">
        <v>411</v>
      </c>
      <c r="AQ7" s="149" t="s">
        <v>68</v>
      </c>
      <c r="AR7" s="666"/>
      <c r="AS7" s="1434" t="s">
        <v>363</v>
      </c>
      <c r="AT7" s="1434"/>
      <c r="AU7" s="84" t="s">
        <v>404</v>
      </c>
      <c r="AV7" s="732" t="s">
        <v>365</v>
      </c>
      <c r="AW7" s="1435" t="s">
        <v>411</v>
      </c>
      <c r="AX7" s="149" t="s">
        <v>68</v>
      </c>
      <c r="AY7" s="666"/>
      <c r="AZ7" s="1434" t="s">
        <v>363</v>
      </c>
      <c r="BA7" s="1434"/>
      <c r="BB7" s="84" t="s">
        <v>404</v>
      </c>
      <c r="BC7" s="732" t="s">
        <v>365</v>
      </c>
      <c r="BD7" s="1435" t="s">
        <v>411</v>
      </c>
      <c r="BE7" s="149" t="s">
        <v>68</v>
      </c>
      <c r="BF7" s="666"/>
      <c r="BG7" s="1434" t="s">
        <v>363</v>
      </c>
      <c r="BH7" s="1434"/>
      <c r="BI7" s="84" t="s">
        <v>404</v>
      </c>
      <c r="BJ7" s="732" t="s">
        <v>365</v>
      </c>
      <c r="BK7" s="1435" t="s">
        <v>411</v>
      </c>
      <c r="BL7" s="149" t="s">
        <v>68</v>
      </c>
      <c r="BM7" s="666"/>
      <c r="BN7" s="1434" t="s">
        <v>363</v>
      </c>
      <c r="BO7" s="1434"/>
      <c r="BP7" s="84" t="s">
        <v>404</v>
      </c>
      <c r="BQ7" s="732" t="s">
        <v>365</v>
      </c>
      <c r="BR7" s="1435" t="s">
        <v>411</v>
      </c>
      <c r="BS7" s="149" t="s">
        <v>68</v>
      </c>
      <c r="BT7" s="666"/>
      <c r="BU7" s="1434" t="s">
        <v>363</v>
      </c>
      <c r="BV7" s="1434"/>
      <c r="BW7" s="84" t="s">
        <v>404</v>
      </c>
      <c r="BX7" s="732" t="s">
        <v>365</v>
      </c>
      <c r="BY7" s="1435" t="s">
        <v>411</v>
      </c>
      <c r="BZ7" s="149" t="s">
        <v>68</v>
      </c>
      <c r="CA7" s="666"/>
      <c r="CB7" s="1434" t="s">
        <v>363</v>
      </c>
      <c r="CC7" s="1434"/>
      <c r="CD7" s="84" t="s">
        <v>404</v>
      </c>
      <c r="CE7" s="732" t="s">
        <v>365</v>
      </c>
      <c r="CF7" s="1435" t="s">
        <v>411</v>
      </c>
      <c r="CG7" s="149" t="s">
        <v>68</v>
      </c>
      <c r="CH7" s="666"/>
      <c r="CI7" s="1434" t="s">
        <v>363</v>
      </c>
      <c r="CJ7" s="1434"/>
      <c r="CK7" s="84" t="s">
        <v>404</v>
      </c>
      <c r="CL7" s="732" t="s">
        <v>365</v>
      </c>
      <c r="CM7" s="1435" t="s">
        <v>411</v>
      </c>
      <c r="CN7" s="149" t="s">
        <v>68</v>
      </c>
      <c r="CO7" s="666"/>
      <c r="CP7" s="1434" t="s">
        <v>363</v>
      </c>
      <c r="CQ7" s="1434"/>
      <c r="CR7" s="84" t="s">
        <v>404</v>
      </c>
      <c r="CS7" s="732" t="s">
        <v>365</v>
      </c>
      <c r="CT7" s="1435" t="s">
        <v>411</v>
      </c>
      <c r="CU7" s="149" t="s">
        <v>68</v>
      </c>
      <c r="CV7" s="666"/>
      <c r="CW7" s="1434" t="s">
        <v>363</v>
      </c>
      <c r="CX7" s="1434"/>
      <c r="CY7" s="84" t="s">
        <v>404</v>
      </c>
      <c r="CZ7" s="732" t="s">
        <v>365</v>
      </c>
      <c r="DA7" s="1435" t="s">
        <v>411</v>
      </c>
    </row>
    <row r="8" spans="1:105" s="12" customFormat="1" ht="12.75" customHeight="1" x14ac:dyDescent="0.2">
      <c r="B8" s="41"/>
      <c r="C8" s="184" t="s">
        <v>54</v>
      </c>
      <c r="D8" s="184" t="s">
        <v>55</v>
      </c>
      <c r="E8" s="206" t="s">
        <v>152</v>
      </c>
      <c r="F8" s="659" t="s">
        <v>22</v>
      </c>
      <c r="G8" s="1436"/>
      <c r="I8" s="41"/>
      <c r="J8" s="184" t="s">
        <v>54</v>
      </c>
      <c r="K8" s="184" t="s">
        <v>55</v>
      </c>
      <c r="L8" s="206" t="s">
        <v>152</v>
      </c>
      <c r="M8" s="659" t="s">
        <v>22</v>
      </c>
      <c r="N8" s="1436"/>
      <c r="P8" s="41"/>
      <c r="Q8" s="184" t="s">
        <v>54</v>
      </c>
      <c r="R8" s="184" t="s">
        <v>55</v>
      </c>
      <c r="S8" s="206" t="s">
        <v>152</v>
      </c>
      <c r="T8" s="659" t="s">
        <v>22</v>
      </c>
      <c r="U8" s="1436"/>
      <c r="W8" s="41"/>
      <c r="X8" s="184" t="s">
        <v>54</v>
      </c>
      <c r="Y8" s="184" t="s">
        <v>55</v>
      </c>
      <c r="Z8" s="206" t="s">
        <v>152</v>
      </c>
      <c r="AA8" s="659" t="s">
        <v>22</v>
      </c>
      <c r="AB8" s="1436"/>
      <c r="AD8" s="41"/>
      <c r="AE8" s="184" t="s">
        <v>54</v>
      </c>
      <c r="AF8" s="184" t="s">
        <v>55</v>
      </c>
      <c r="AG8" s="206" t="s">
        <v>152</v>
      </c>
      <c r="AH8" s="659" t="s">
        <v>22</v>
      </c>
      <c r="AI8" s="1435"/>
      <c r="AK8" s="41"/>
      <c r="AL8" s="184" t="s">
        <v>54</v>
      </c>
      <c r="AM8" s="184" t="s">
        <v>55</v>
      </c>
      <c r="AN8" s="206" t="s">
        <v>152</v>
      </c>
      <c r="AO8" s="659" t="s">
        <v>22</v>
      </c>
      <c r="AP8" s="1435"/>
      <c r="AR8" s="41"/>
      <c r="AS8" s="184" t="s">
        <v>54</v>
      </c>
      <c r="AT8" s="184" t="s">
        <v>55</v>
      </c>
      <c r="AU8" s="206" t="s">
        <v>152</v>
      </c>
      <c r="AV8" s="659" t="s">
        <v>22</v>
      </c>
      <c r="AW8" s="1435"/>
      <c r="AY8" s="41"/>
      <c r="AZ8" s="184" t="s">
        <v>54</v>
      </c>
      <c r="BA8" s="184" t="s">
        <v>55</v>
      </c>
      <c r="BB8" s="206" t="s">
        <v>152</v>
      </c>
      <c r="BC8" s="659" t="s">
        <v>22</v>
      </c>
      <c r="BD8" s="1435"/>
      <c r="BF8" s="41"/>
      <c r="BG8" s="184" t="s">
        <v>54</v>
      </c>
      <c r="BH8" s="184" t="s">
        <v>55</v>
      </c>
      <c r="BI8" s="206" t="s">
        <v>152</v>
      </c>
      <c r="BJ8" s="659" t="s">
        <v>22</v>
      </c>
      <c r="BK8" s="1435"/>
      <c r="BM8" s="41"/>
      <c r="BN8" s="184" t="s">
        <v>54</v>
      </c>
      <c r="BO8" s="184" t="s">
        <v>55</v>
      </c>
      <c r="BP8" s="206" t="s">
        <v>152</v>
      </c>
      <c r="BQ8" s="659" t="s">
        <v>22</v>
      </c>
      <c r="BR8" s="1435"/>
      <c r="BT8" s="41"/>
      <c r="BU8" s="184" t="s">
        <v>54</v>
      </c>
      <c r="BV8" s="184" t="s">
        <v>55</v>
      </c>
      <c r="BW8" s="206" t="s">
        <v>152</v>
      </c>
      <c r="BX8" s="659" t="s">
        <v>22</v>
      </c>
      <c r="BY8" s="1435"/>
      <c r="CA8" s="41"/>
      <c r="CB8" s="184" t="s">
        <v>54</v>
      </c>
      <c r="CC8" s="184" t="s">
        <v>55</v>
      </c>
      <c r="CD8" s="206" t="s">
        <v>152</v>
      </c>
      <c r="CE8" s="659" t="s">
        <v>22</v>
      </c>
      <c r="CF8" s="1435"/>
      <c r="CH8" s="41"/>
      <c r="CI8" s="184" t="s">
        <v>54</v>
      </c>
      <c r="CJ8" s="184" t="s">
        <v>55</v>
      </c>
      <c r="CK8" s="206" t="s">
        <v>152</v>
      </c>
      <c r="CL8" s="659" t="s">
        <v>22</v>
      </c>
      <c r="CM8" s="1435"/>
      <c r="CO8" s="41"/>
      <c r="CP8" s="184" t="s">
        <v>54</v>
      </c>
      <c r="CQ8" s="184" t="s">
        <v>55</v>
      </c>
      <c r="CR8" s="206" t="s">
        <v>152</v>
      </c>
      <c r="CS8" s="659" t="s">
        <v>22</v>
      </c>
      <c r="CT8" s="1435"/>
      <c r="CV8" s="41"/>
      <c r="CW8" s="184" t="s">
        <v>54</v>
      </c>
      <c r="CX8" s="184" t="s">
        <v>55</v>
      </c>
      <c r="CY8" s="206" t="s">
        <v>152</v>
      </c>
      <c r="CZ8" s="659" t="s">
        <v>22</v>
      </c>
      <c r="DA8" s="1435"/>
    </row>
    <row r="9" spans="1:105" s="85" customFormat="1" ht="15.75" customHeight="1" x14ac:dyDescent="0.2">
      <c r="A9" s="73"/>
      <c r="B9" s="85" t="str">
        <f>'Standard Vorgaben'!$B$47</f>
        <v>Klasse I</v>
      </c>
      <c r="C9" s="658">
        <f>D9/B6</f>
        <v>0</v>
      </c>
      <c r="D9" s="203">
        <f>G9*D12</f>
        <v>0</v>
      </c>
      <c r="E9" s="200">
        <f>'Standard Vorgaben'!B48</f>
        <v>1.1200000000000001</v>
      </c>
      <c r="F9" s="146">
        <f>D9*E9</f>
        <v>0</v>
      </c>
      <c r="G9" s="644">
        <f>'Standard Vorgaben'!B71</f>
        <v>0.7</v>
      </c>
      <c r="H9" s="73"/>
      <c r="I9" s="85" t="str">
        <f>'Standard Vorgaben'!$B$47</f>
        <v>Klasse I</v>
      </c>
      <c r="J9" s="658">
        <f>K9/I6</f>
        <v>2.94</v>
      </c>
      <c r="K9" s="203">
        <f>N9*K12</f>
        <v>8820</v>
      </c>
      <c r="L9" s="200">
        <f>'Standard Vorgaben'!B49</f>
        <v>1.1200000000000001</v>
      </c>
      <c r="M9" s="146">
        <f>K9*L9</f>
        <v>9878.4000000000015</v>
      </c>
      <c r="N9" s="644">
        <f>'Standard Vorgaben'!B72</f>
        <v>0.7</v>
      </c>
      <c r="O9" s="73"/>
      <c r="P9" s="85" t="str">
        <f>'Standard Vorgaben'!$B$47</f>
        <v>Klasse I</v>
      </c>
      <c r="Q9" s="658">
        <f>R9/P6</f>
        <v>3.6749999999999998</v>
      </c>
      <c r="R9" s="203">
        <f>U9*R12</f>
        <v>11025</v>
      </c>
      <c r="S9" s="200">
        <f>'Standard Vorgaben'!B50</f>
        <v>1.1200000000000001</v>
      </c>
      <c r="T9" s="146">
        <f>R9*S9</f>
        <v>12348.000000000002</v>
      </c>
      <c r="U9" s="644">
        <f>'Standard Vorgaben'!B73</f>
        <v>0.7</v>
      </c>
      <c r="V9" s="73"/>
      <c r="W9" s="85" t="str">
        <f>'Standard Vorgaben'!$B$47</f>
        <v>Klasse I</v>
      </c>
      <c r="X9" s="658">
        <f>Y9/W6</f>
        <v>6.37</v>
      </c>
      <c r="Y9" s="203">
        <f>AB9*Y12</f>
        <v>19110</v>
      </c>
      <c r="Z9" s="200">
        <f>'Standard Vorgaben'!B51</f>
        <v>1.1200000000000001</v>
      </c>
      <c r="AA9" s="146">
        <f>Y9*Z9</f>
        <v>21403.200000000001</v>
      </c>
      <c r="AB9" s="644">
        <f>'Standard Vorgaben'!B74</f>
        <v>0.7</v>
      </c>
      <c r="AC9" s="73"/>
      <c r="AD9" s="85" t="str">
        <f>'Standard Vorgaben'!$B$47</f>
        <v>Klasse I</v>
      </c>
      <c r="AE9" s="658">
        <f>AF9/AD6</f>
        <v>8.5749999999999993</v>
      </c>
      <c r="AF9" s="203">
        <f>AI9*AF12</f>
        <v>25725</v>
      </c>
      <c r="AG9" s="200">
        <f>'Standard Vorgaben'!B52</f>
        <v>1.1200000000000001</v>
      </c>
      <c r="AH9" s="146">
        <f>AF9*AG9</f>
        <v>28812.000000000004</v>
      </c>
      <c r="AI9" s="644">
        <f>'Standard Vorgaben'!B75</f>
        <v>0.7</v>
      </c>
      <c r="AJ9" s="73"/>
      <c r="AK9" s="85" t="str">
        <f>'Standard Vorgaben'!$B$47</f>
        <v>Klasse I</v>
      </c>
      <c r="AL9" s="658">
        <f>AM9/AK6</f>
        <v>10.78</v>
      </c>
      <c r="AM9" s="203">
        <f>AP9*AM12</f>
        <v>32339.999999999996</v>
      </c>
      <c r="AN9" s="200">
        <f>'Standard Vorgaben'!B53</f>
        <v>1.1200000000000001</v>
      </c>
      <c r="AO9" s="146">
        <f>AM9*AN9</f>
        <v>36220.800000000003</v>
      </c>
      <c r="AP9" s="644">
        <f>'Standard Vorgaben'!B76</f>
        <v>0.7</v>
      </c>
      <c r="AQ9" s="73"/>
      <c r="AR9" s="85" t="str">
        <f>'Standard Vorgaben'!$B$47</f>
        <v>Klasse I</v>
      </c>
      <c r="AS9" s="658">
        <f>AT9/AR6</f>
        <v>8.7893749999999997</v>
      </c>
      <c r="AT9" s="203">
        <f>AW9*AT12</f>
        <v>26368.125</v>
      </c>
      <c r="AU9" s="200">
        <f>'Standard Vorgaben'!B54</f>
        <v>1.1200000000000001</v>
      </c>
      <c r="AV9" s="146">
        <f>AT9*AU9</f>
        <v>29532.300000000003</v>
      </c>
      <c r="AW9" s="644">
        <f>'Standard Vorgaben'!B77</f>
        <v>0.7</v>
      </c>
      <c r="AX9" s="73"/>
      <c r="AY9" s="85" t="str">
        <f>'Standard Vorgaben'!$B$47</f>
        <v>Klasse I</v>
      </c>
      <c r="AZ9" s="658">
        <f>BA9/AY6</f>
        <v>8.7893749999999997</v>
      </c>
      <c r="BA9" s="203">
        <f>BD9*BA12</f>
        <v>26368.125</v>
      </c>
      <c r="BB9" s="200">
        <f>'Standard Vorgaben'!B55</f>
        <v>1.1200000000000001</v>
      </c>
      <c r="BC9" s="146">
        <f>BA9*BB9</f>
        <v>29532.300000000003</v>
      </c>
      <c r="BD9" s="644">
        <f>'Standard Vorgaben'!B78</f>
        <v>0.7</v>
      </c>
      <c r="BE9" s="73"/>
      <c r="BF9" s="85" t="str">
        <f>'Standard Vorgaben'!$B$47</f>
        <v>Klasse I</v>
      </c>
      <c r="BG9" s="658">
        <f>BH9/B6</f>
        <v>12.74</v>
      </c>
      <c r="BH9" s="203">
        <f>BK9*BH12</f>
        <v>38220</v>
      </c>
      <c r="BI9" s="200">
        <f>'Standard Vorgaben'!B56</f>
        <v>1.1200000000000001</v>
      </c>
      <c r="BJ9" s="146">
        <f>BH9*BI9</f>
        <v>42806.400000000001</v>
      </c>
      <c r="BK9" s="644">
        <f>'Standard Vorgaben'!B78</f>
        <v>0.7</v>
      </c>
      <c r="BL9" s="73"/>
      <c r="BM9" s="85" t="str">
        <f>'Standard Vorgaben'!$B$47</f>
        <v>Klasse I</v>
      </c>
      <c r="BN9" s="658">
        <f>BO9/B6</f>
        <v>13.475</v>
      </c>
      <c r="BO9" s="203">
        <f>BR9*BO12</f>
        <v>40425</v>
      </c>
      <c r="BP9" s="200">
        <f>'Standard Vorgaben'!B57</f>
        <v>1.1200000000000001</v>
      </c>
      <c r="BQ9" s="146">
        <f>BO9*BP9</f>
        <v>45276.000000000007</v>
      </c>
      <c r="BR9" s="644">
        <f>'Standard Vorgaben'!B80</f>
        <v>0.7</v>
      </c>
      <c r="BS9" s="73"/>
      <c r="BT9" s="85" t="str">
        <f>'Standard Vorgaben'!$B$47</f>
        <v>Klasse I</v>
      </c>
      <c r="BU9" s="658">
        <f>BV9/B6</f>
        <v>10.841249999999999</v>
      </c>
      <c r="BV9" s="203">
        <f>BY9*BV12</f>
        <v>32523.749999999996</v>
      </c>
      <c r="BW9" s="200">
        <f>'Standard Vorgaben'!B58</f>
        <v>1.1200000000000001</v>
      </c>
      <c r="BX9" s="146">
        <f>BV9*BW9</f>
        <v>36426.6</v>
      </c>
      <c r="BY9" s="644">
        <f>'Standard Vorgaben'!B81</f>
        <v>0.7</v>
      </c>
      <c r="BZ9" s="73"/>
      <c r="CA9" s="85" t="str">
        <f>'Standard Vorgaben'!$B$47</f>
        <v>Klasse I</v>
      </c>
      <c r="CB9" s="658">
        <f>CC9/B6</f>
        <v>8.82</v>
      </c>
      <c r="CC9" s="203">
        <f>CF9*CC12</f>
        <v>26460</v>
      </c>
      <c r="CD9" s="200">
        <f>'Standard Vorgaben'!B59</f>
        <v>1.1200000000000001</v>
      </c>
      <c r="CE9" s="146">
        <f>CC9*CD9</f>
        <v>29635.200000000004</v>
      </c>
      <c r="CF9" s="644">
        <f>'Standard Vorgaben'!B82</f>
        <v>0.7</v>
      </c>
      <c r="CG9" s="73"/>
      <c r="CH9" s="85" t="str">
        <f>'Standard Vorgaben'!$B$47</f>
        <v>Klasse I</v>
      </c>
      <c r="CI9" s="658">
        <f>CJ9/B6</f>
        <v>9.7999999999999989</v>
      </c>
      <c r="CJ9" s="203">
        <f>CM9*CJ12</f>
        <v>29399.999999999996</v>
      </c>
      <c r="CK9" s="200">
        <f>'Standard Vorgaben'!B60</f>
        <v>1.1200000000000001</v>
      </c>
      <c r="CL9" s="146">
        <f>CJ9*CK9</f>
        <v>32928</v>
      </c>
      <c r="CM9" s="644">
        <f>'Standard Vorgaben'!B83</f>
        <v>0.7</v>
      </c>
      <c r="CN9" s="73"/>
      <c r="CO9" s="85" t="str">
        <f>'Standard Vorgaben'!$B$47</f>
        <v>Klasse I</v>
      </c>
      <c r="CP9" s="658">
        <f>CQ9/B6</f>
        <v>10.044999999999998</v>
      </c>
      <c r="CQ9" s="203">
        <f>CT9*CQ12</f>
        <v>30134.999999999996</v>
      </c>
      <c r="CR9" s="200">
        <f>'Standard Vorgaben'!B61</f>
        <v>1.1200000000000001</v>
      </c>
      <c r="CS9" s="146">
        <f>CQ9*CR9</f>
        <v>33751.199999999997</v>
      </c>
      <c r="CT9" s="644">
        <f>'Standard Vorgaben'!B84</f>
        <v>0.7</v>
      </c>
      <c r="CU9" s="73"/>
      <c r="CV9" s="85" t="str">
        <f>'Standard Vorgaben'!$B$47</f>
        <v>Klasse I</v>
      </c>
      <c r="CW9" s="658">
        <f>CX9/B6</f>
        <v>8.5749999999999993</v>
      </c>
      <c r="CX9" s="203">
        <f>DA9*CX12</f>
        <v>25725</v>
      </c>
      <c r="CY9" s="200">
        <f>'Standard Vorgaben'!B62</f>
        <v>1.1200000000000001</v>
      </c>
      <c r="CZ9" s="146">
        <f>CX9*CY9</f>
        <v>28812.000000000004</v>
      </c>
      <c r="DA9" s="644">
        <f>'Standard Vorgaben'!B85</f>
        <v>0.7</v>
      </c>
    </row>
    <row r="10" spans="1:105" s="85" customFormat="1" ht="13.7" customHeight="1" x14ac:dyDescent="0.2">
      <c r="B10" s="85" t="str">
        <f>'Standard Vorgaben'!$C$47</f>
        <v>Klasse II</v>
      </c>
      <c r="C10" s="658">
        <f>D10/B6</f>
        <v>0</v>
      </c>
      <c r="D10" s="203">
        <f>G10*D12</f>
        <v>0</v>
      </c>
      <c r="E10" s="200">
        <f>'Standard Vorgaben'!C48</f>
        <v>0.45</v>
      </c>
      <c r="F10" s="146">
        <f>D10*E10</f>
        <v>0</v>
      </c>
      <c r="G10" s="644">
        <f>'Standard Vorgaben'!C71</f>
        <v>0.2</v>
      </c>
      <c r="I10" s="85" t="str">
        <f>'Standard Vorgaben'!$C$47</f>
        <v>Klasse II</v>
      </c>
      <c r="J10" s="658">
        <f>K10/I6</f>
        <v>0.84</v>
      </c>
      <c r="K10" s="203">
        <f>N10*K12</f>
        <v>2520</v>
      </c>
      <c r="L10" s="200">
        <f>'Standard Vorgaben'!C49</f>
        <v>0.45</v>
      </c>
      <c r="M10" s="146">
        <f>K10*L10</f>
        <v>1134</v>
      </c>
      <c r="N10" s="644">
        <f>'Standard Vorgaben'!C72</f>
        <v>0.2</v>
      </c>
      <c r="P10" s="85" t="str">
        <f>'Standard Vorgaben'!$C$47</f>
        <v>Klasse II</v>
      </c>
      <c r="Q10" s="658">
        <f>R10/P6</f>
        <v>1.05</v>
      </c>
      <c r="R10" s="203">
        <f>U10*R12</f>
        <v>3150</v>
      </c>
      <c r="S10" s="200">
        <f>'Standard Vorgaben'!C50</f>
        <v>0.45</v>
      </c>
      <c r="T10" s="146">
        <f>R10*S10</f>
        <v>1417.5</v>
      </c>
      <c r="U10" s="644">
        <f>'Standard Vorgaben'!C73</f>
        <v>0.2</v>
      </c>
      <c r="W10" s="85" t="str">
        <f>'Standard Vorgaben'!$C$47</f>
        <v>Klasse II</v>
      </c>
      <c r="X10" s="658">
        <f>Y10/W6</f>
        <v>1.82</v>
      </c>
      <c r="Y10" s="203">
        <f>AB10*Y12</f>
        <v>5460</v>
      </c>
      <c r="Z10" s="200">
        <f>'Standard Vorgaben'!C51</f>
        <v>0.45</v>
      </c>
      <c r="AA10" s="146">
        <f>Y10*Z10</f>
        <v>2457</v>
      </c>
      <c r="AB10" s="644">
        <f>'Standard Vorgaben'!C74</f>
        <v>0.2</v>
      </c>
      <c r="AD10" s="85" t="str">
        <f>'Standard Vorgaben'!$C$47</f>
        <v>Klasse II</v>
      </c>
      <c r="AE10" s="658">
        <f>AF10/AD6</f>
        <v>2.4500000000000002</v>
      </c>
      <c r="AF10" s="203">
        <f>AI10*AF12</f>
        <v>7350</v>
      </c>
      <c r="AG10" s="200">
        <f>'Standard Vorgaben'!C52</f>
        <v>0.45</v>
      </c>
      <c r="AH10" s="146">
        <f>AF10*AG10</f>
        <v>3307.5</v>
      </c>
      <c r="AI10" s="644">
        <f>'Standard Vorgaben'!C75</f>
        <v>0.2</v>
      </c>
      <c r="AK10" s="85" t="str">
        <f>'Standard Vorgaben'!$C$47</f>
        <v>Klasse II</v>
      </c>
      <c r="AL10" s="658">
        <f>AM10/AK6</f>
        <v>3.08</v>
      </c>
      <c r="AM10" s="203">
        <f>AP10*AM12</f>
        <v>9240</v>
      </c>
      <c r="AN10" s="200">
        <f>'Standard Vorgaben'!C53</f>
        <v>0.45</v>
      </c>
      <c r="AO10" s="146">
        <f>AM10*AN10</f>
        <v>4158</v>
      </c>
      <c r="AP10" s="644">
        <f>'Standard Vorgaben'!C76</f>
        <v>0.2</v>
      </c>
      <c r="AR10" s="85" t="str">
        <f>'Standard Vorgaben'!$C$47</f>
        <v>Klasse II</v>
      </c>
      <c r="AS10" s="658">
        <f>AT10/AR6</f>
        <v>2.51125</v>
      </c>
      <c r="AT10" s="203">
        <f>AW10*AT12</f>
        <v>7533.75</v>
      </c>
      <c r="AU10" s="200">
        <f>'Standard Vorgaben'!C54</f>
        <v>0.45</v>
      </c>
      <c r="AV10" s="146">
        <f>AT10*AU10</f>
        <v>3390.1875</v>
      </c>
      <c r="AW10" s="644">
        <f>'Standard Vorgaben'!C77</f>
        <v>0.2</v>
      </c>
      <c r="AY10" s="85" t="str">
        <f>'Standard Vorgaben'!$C$47</f>
        <v>Klasse II</v>
      </c>
      <c r="AZ10" s="658">
        <f>BA10/AY6</f>
        <v>2.51125</v>
      </c>
      <c r="BA10" s="203">
        <f>BD10*BA12</f>
        <v>7533.75</v>
      </c>
      <c r="BB10" s="200">
        <f>'Standard Vorgaben'!C55</f>
        <v>0.45</v>
      </c>
      <c r="BC10" s="146">
        <f>BA10*BB10</f>
        <v>3390.1875</v>
      </c>
      <c r="BD10" s="644">
        <f>'Standard Vorgaben'!C78</f>
        <v>0.2</v>
      </c>
      <c r="BF10" s="85" t="str">
        <f>'Standard Vorgaben'!$C$47</f>
        <v>Klasse II</v>
      </c>
      <c r="BG10" s="658">
        <f>BH10/B6</f>
        <v>3.64</v>
      </c>
      <c r="BH10" s="203">
        <f>BK10*BH12</f>
        <v>10920</v>
      </c>
      <c r="BI10" s="200">
        <f>'Standard Vorgaben'!C56</f>
        <v>0.45</v>
      </c>
      <c r="BJ10" s="146">
        <f>BH10*BI10</f>
        <v>4914</v>
      </c>
      <c r="BK10" s="644">
        <f>'Standard Vorgaben'!C79</f>
        <v>0.2</v>
      </c>
      <c r="BM10" s="85" t="str">
        <f>'Standard Vorgaben'!$C$47</f>
        <v>Klasse II</v>
      </c>
      <c r="BN10" s="658">
        <f>BO10/B6</f>
        <v>3.85</v>
      </c>
      <c r="BO10" s="203">
        <f>BR10*BO12</f>
        <v>11550</v>
      </c>
      <c r="BP10" s="200">
        <f>'Standard Vorgaben'!C57</f>
        <v>0.45</v>
      </c>
      <c r="BQ10" s="146">
        <f>BO10*BP10</f>
        <v>5197.5</v>
      </c>
      <c r="BR10" s="644">
        <f>'Standard Vorgaben'!C80</f>
        <v>0.2</v>
      </c>
      <c r="BT10" s="85" t="str">
        <f>'Standard Vorgaben'!$C$47</f>
        <v>Klasse II</v>
      </c>
      <c r="BU10" s="658">
        <f>BV10/B6</f>
        <v>3.0975000000000001</v>
      </c>
      <c r="BV10" s="203">
        <f>BY10*BV12</f>
        <v>9292.5</v>
      </c>
      <c r="BW10" s="200">
        <f>'Standard Vorgaben'!C57</f>
        <v>0.45</v>
      </c>
      <c r="BX10" s="146">
        <f>BV10*BW10</f>
        <v>4181.625</v>
      </c>
      <c r="BY10" s="644">
        <f>'Standard Vorgaben'!C81</f>
        <v>0.2</v>
      </c>
      <c r="CA10" s="85" t="str">
        <f>'Standard Vorgaben'!$C$47</f>
        <v>Klasse II</v>
      </c>
      <c r="CB10" s="658">
        <f>CC10/B6</f>
        <v>2.52</v>
      </c>
      <c r="CC10" s="203">
        <f>CF10*CC12</f>
        <v>7560</v>
      </c>
      <c r="CD10" s="200">
        <f>'Standard Vorgaben'!C59</f>
        <v>0.45</v>
      </c>
      <c r="CE10" s="146">
        <f>CC10*CD10</f>
        <v>3402</v>
      </c>
      <c r="CF10" s="644">
        <f>'Standard Vorgaben'!C82</f>
        <v>0.2</v>
      </c>
      <c r="CH10" s="85" t="str">
        <f>'Standard Vorgaben'!$C$47</f>
        <v>Klasse II</v>
      </c>
      <c r="CI10" s="658">
        <f>CJ10/B6</f>
        <v>2.8</v>
      </c>
      <c r="CJ10" s="203">
        <f>CM10*CJ12</f>
        <v>8400</v>
      </c>
      <c r="CK10" s="200">
        <f>'Standard Vorgaben'!C60</f>
        <v>0.45</v>
      </c>
      <c r="CL10" s="146">
        <f>CJ10*CK10</f>
        <v>3780</v>
      </c>
      <c r="CM10" s="644">
        <f>'Standard Vorgaben'!C83</f>
        <v>0.2</v>
      </c>
      <c r="CO10" s="85" t="str">
        <f>'Standard Vorgaben'!$C$47</f>
        <v>Klasse II</v>
      </c>
      <c r="CP10" s="658">
        <f>CQ10/B6</f>
        <v>2.87</v>
      </c>
      <c r="CQ10" s="203">
        <f>CT10*CQ12</f>
        <v>8610</v>
      </c>
      <c r="CR10" s="200">
        <f>'Standard Vorgaben'!C61</f>
        <v>0.45</v>
      </c>
      <c r="CS10" s="146">
        <f>CQ10*CR10</f>
        <v>3874.5</v>
      </c>
      <c r="CT10" s="644">
        <f>'Standard Vorgaben'!C84</f>
        <v>0.2</v>
      </c>
      <c r="CV10" s="85" t="str">
        <f>'Standard Vorgaben'!$C$47</f>
        <v>Klasse II</v>
      </c>
      <c r="CW10" s="658">
        <f>CX10/B6</f>
        <v>2.4500000000000002</v>
      </c>
      <c r="CX10" s="203">
        <f>DA10*CX12</f>
        <v>7350</v>
      </c>
      <c r="CY10" s="200">
        <f>'Standard Vorgaben'!C62</f>
        <v>0.45</v>
      </c>
      <c r="CZ10" s="146">
        <f>CX10*CY10</f>
        <v>3307.5</v>
      </c>
      <c r="DA10" s="644">
        <f>'Standard Vorgaben'!C85</f>
        <v>0.2</v>
      </c>
    </row>
    <row r="11" spans="1:105" s="85" customFormat="1" ht="13.7" customHeight="1" thickBot="1" x14ac:dyDescent="0.25">
      <c r="B11" s="85" t="str">
        <f>'Standard Vorgaben'!$D$47</f>
        <v>Most</v>
      </c>
      <c r="C11" s="660"/>
      <c r="D11" s="661">
        <f>D12*G11</f>
        <v>0</v>
      </c>
      <c r="E11" s="594">
        <f>'Standard Vorgaben'!D48</f>
        <v>0.23</v>
      </c>
      <c r="F11" s="501">
        <f>D11*E11</f>
        <v>0</v>
      </c>
      <c r="G11" s="644">
        <f>'Standard Vorgaben'!F71</f>
        <v>0.1</v>
      </c>
      <c r="I11" s="85" t="str">
        <f>'Standard Vorgaben'!$D$47</f>
        <v>Most</v>
      </c>
      <c r="J11" s="660">
        <f>K11/$B$6</f>
        <v>0.42</v>
      </c>
      <c r="K11" s="661">
        <f>K12*N11</f>
        <v>1260</v>
      </c>
      <c r="L11" s="594">
        <f>'Standard Vorgaben'!D49</f>
        <v>0.23</v>
      </c>
      <c r="M11" s="501">
        <f>K11*L11</f>
        <v>289.8</v>
      </c>
      <c r="N11" s="644">
        <f>'Standard Vorgaben'!F72</f>
        <v>0.1</v>
      </c>
      <c r="P11" s="85" t="str">
        <f>'Standard Vorgaben'!$D$47</f>
        <v>Most</v>
      </c>
      <c r="Q11" s="660">
        <f>R11/$B$6</f>
        <v>0.52500000000000002</v>
      </c>
      <c r="R11" s="661">
        <f>R12*U11</f>
        <v>1575</v>
      </c>
      <c r="S11" s="594">
        <f>'Standard Vorgaben'!D50</f>
        <v>0.23</v>
      </c>
      <c r="T11" s="501">
        <f>R11*S11</f>
        <v>362.25</v>
      </c>
      <c r="U11" s="644">
        <f>'Standard Vorgaben'!F73</f>
        <v>0.1</v>
      </c>
      <c r="W11" s="85" t="str">
        <f>'Standard Vorgaben'!$D$47</f>
        <v>Most</v>
      </c>
      <c r="X11" s="660">
        <f>Y11/$B$6</f>
        <v>0.91</v>
      </c>
      <c r="Y11" s="661">
        <f>Y12*AB11</f>
        <v>2730</v>
      </c>
      <c r="Z11" s="594">
        <f>'Standard Vorgaben'!D51</f>
        <v>0.23</v>
      </c>
      <c r="AA11" s="501">
        <f>Y11*Z11</f>
        <v>627.9</v>
      </c>
      <c r="AB11" s="644">
        <f>'Standard Vorgaben'!F74</f>
        <v>0.1</v>
      </c>
      <c r="AD11" s="85" t="str">
        <f>'Standard Vorgaben'!$D$47</f>
        <v>Most</v>
      </c>
      <c r="AE11" s="660">
        <f>AF11/$B$6</f>
        <v>1.2250000000000001</v>
      </c>
      <c r="AF11" s="661">
        <f>AF12*AI11</f>
        <v>3675</v>
      </c>
      <c r="AG11" s="594">
        <f>'Standard Vorgaben'!D52</f>
        <v>0.23</v>
      </c>
      <c r="AH11" s="501">
        <f>AF11*AG11</f>
        <v>845.25</v>
      </c>
      <c r="AI11" s="644">
        <f>'Standard Vorgaben'!F75</f>
        <v>0.1</v>
      </c>
      <c r="AK11" s="85" t="str">
        <f>'Standard Vorgaben'!$D$47</f>
        <v>Most</v>
      </c>
      <c r="AL11" s="660">
        <f>AM11/$B$6</f>
        <v>1.54</v>
      </c>
      <c r="AM11" s="661">
        <f>AM12*AP11</f>
        <v>4620</v>
      </c>
      <c r="AN11" s="594">
        <f>'Standard Vorgaben'!D53</f>
        <v>0.23</v>
      </c>
      <c r="AO11" s="501">
        <f>AM11*AN11</f>
        <v>1062.6000000000001</v>
      </c>
      <c r="AP11" s="644">
        <f>'Standard Vorgaben'!F76</f>
        <v>0.1</v>
      </c>
      <c r="AR11" s="85" t="str">
        <f>'Standard Vorgaben'!$D$47</f>
        <v>Most</v>
      </c>
      <c r="AS11" s="660">
        <f>AT11/$B$6</f>
        <v>1.255625</v>
      </c>
      <c r="AT11" s="661">
        <f>AT12*AW11</f>
        <v>3766.875</v>
      </c>
      <c r="AU11" s="594">
        <f>'Standard Vorgaben'!D54</f>
        <v>0.23</v>
      </c>
      <c r="AV11" s="501">
        <f>AT11*AU11</f>
        <v>866.38125000000002</v>
      </c>
      <c r="AW11" s="644">
        <f>'Standard Vorgaben'!F77</f>
        <v>0.1</v>
      </c>
      <c r="AY11" s="85" t="str">
        <f>'Standard Vorgaben'!$D$47</f>
        <v>Most</v>
      </c>
      <c r="AZ11" s="660">
        <f>BA11/$B$6</f>
        <v>1.255625</v>
      </c>
      <c r="BA11" s="661">
        <f>BA12*BD11</f>
        <v>3766.875</v>
      </c>
      <c r="BB11" s="594">
        <f>'Standard Vorgaben'!D55</f>
        <v>0.23</v>
      </c>
      <c r="BC11" s="501">
        <f>BA11*BB11</f>
        <v>866.38125000000002</v>
      </c>
      <c r="BD11" s="644">
        <f>'Standard Vorgaben'!F78</f>
        <v>0.1</v>
      </c>
      <c r="BF11" s="85" t="str">
        <f>'Standard Vorgaben'!$D$47</f>
        <v>Most</v>
      </c>
      <c r="BG11" s="660">
        <f>BH11/$B$6</f>
        <v>1.82</v>
      </c>
      <c r="BH11" s="661">
        <f>BH12*BK11</f>
        <v>5460</v>
      </c>
      <c r="BI11" s="594">
        <f>'Standard Vorgaben'!D56</f>
        <v>0.23</v>
      </c>
      <c r="BJ11" s="501">
        <f>BH11*BI11</f>
        <v>1255.8</v>
      </c>
      <c r="BK11" s="644">
        <f>'Standard Vorgaben'!F79</f>
        <v>0.1</v>
      </c>
      <c r="BM11" s="85" t="str">
        <f>'Standard Vorgaben'!$D$47</f>
        <v>Most</v>
      </c>
      <c r="BN11" s="660">
        <f>BO11/$B$6</f>
        <v>1.925</v>
      </c>
      <c r="BO11" s="661">
        <f>BO12*BR11</f>
        <v>5775</v>
      </c>
      <c r="BP11" s="594">
        <f>'Standard Vorgaben'!D57</f>
        <v>0.23</v>
      </c>
      <c r="BQ11" s="501">
        <f>BO11*BP11</f>
        <v>1328.25</v>
      </c>
      <c r="BR11" s="644">
        <f>'Standard Vorgaben'!F80</f>
        <v>0.1</v>
      </c>
      <c r="BT11" s="85" t="str">
        <f>'Standard Vorgaben'!$D$47</f>
        <v>Most</v>
      </c>
      <c r="BU11" s="660">
        <f>BV11/$B$6</f>
        <v>1.5487500000000001</v>
      </c>
      <c r="BV11" s="661">
        <f>BV12*BY11</f>
        <v>4646.25</v>
      </c>
      <c r="BW11" s="594">
        <f>'Standard Vorgaben'!D58</f>
        <v>0.23</v>
      </c>
      <c r="BX11" s="501">
        <f>BV11*BW11</f>
        <v>1068.6375</v>
      </c>
      <c r="BY11" s="644">
        <f>'Standard Vorgaben'!F81</f>
        <v>0.1</v>
      </c>
      <c r="CA11" s="85" t="str">
        <f>'Standard Vorgaben'!$D$47</f>
        <v>Most</v>
      </c>
      <c r="CB11" s="660">
        <f>CC11/$B$6</f>
        <v>1.26</v>
      </c>
      <c r="CC11" s="661">
        <f>CC12*CF11</f>
        <v>3780</v>
      </c>
      <c r="CD11" s="594">
        <f>'Standard Vorgaben'!D59</f>
        <v>0.23</v>
      </c>
      <c r="CE11" s="501">
        <f>CC11*CD11</f>
        <v>869.40000000000009</v>
      </c>
      <c r="CF11" s="644">
        <f>'Standard Vorgaben'!F82</f>
        <v>0.1</v>
      </c>
      <c r="CH11" s="85" t="str">
        <f>'Standard Vorgaben'!$D$47</f>
        <v>Most</v>
      </c>
      <c r="CI11" s="660">
        <f>CJ11/$B$6</f>
        <v>1.4</v>
      </c>
      <c r="CJ11" s="661">
        <f>CJ12*CM11</f>
        <v>4200</v>
      </c>
      <c r="CK11" s="594">
        <f>'Standard Vorgaben'!D60</f>
        <v>0.23</v>
      </c>
      <c r="CL11" s="501">
        <f>CJ11*CK11</f>
        <v>966</v>
      </c>
      <c r="CM11" s="644">
        <f>'Standard Vorgaben'!F83</f>
        <v>0.1</v>
      </c>
      <c r="CO11" s="85" t="str">
        <f>'Standard Vorgaben'!$D$47</f>
        <v>Most</v>
      </c>
      <c r="CP11" s="660">
        <f>CQ11/$B$6</f>
        <v>1.4350000000000001</v>
      </c>
      <c r="CQ11" s="661">
        <f>CQ12*CT11</f>
        <v>4305</v>
      </c>
      <c r="CR11" s="594">
        <f>'Standard Vorgaben'!D61</f>
        <v>0.23</v>
      </c>
      <c r="CS11" s="501">
        <f>CQ11*CR11</f>
        <v>990.15000000000009</v>
      </c>
      <c r="CT11" s="644">
        <f>'Standard Vorgaben'!F84</f>
        <v>0.1</v>
      </c>
      <c r="CV11" s="85" t="str">
        <f>'Standard Vorgaben'!$D$47</f>
        <v>Most</v>
      </c>
      <c r="CW11" s="660">
        <f>CX11/$B$6</f>
        <v>1.2250000000000001</v>
      </c>
      <c r="CX11" s="661">
        <f>CX12*DA11</f>
        <v>3675</v>
      </c>
      <c r="CY11" s="594">
        <f>'Standard Vorgaben'!D62</f>
        <v>0.23</v>
      </c>
      <c r="CZ11" s="501">
        <f>CX11*CY11</f>
        <v>845.25</v>
      </c>
      <c r="DA11" s="644">
        <f>'Standard Vorgaben'!F85</f>
        <v>0.1</v>
      </c>
    </row>
    <row r="12" spans="1:105" s="85" customFormat="1" ht="12.75" x14ac:dyDescent="0.2">
      <c r="B12" s="142"/>
      <c r="C12" s="296">
        <f>SUM(C9:C11)</f>
        <v>0</v>
      </c>
      <c r="D12" s="297">
        <f>'Standard Vorgaben'!E48</f>
        <v>0</v>
      </c>
      <c r="E12" s="277">
        <v>0</v>
      </c>
      <c r="F12" s="83">
        <f>SUM(F9:F11)</f>
        <v>0</v>
      </c>
      <c r="G12" s="644">
        <f>SUM(G9:G11)</f>
        <v>0.99999999999999989</v>
      </c>
      <c r="I12" s="142"/>
      <c r="J12" s="296">
        <f>SUM(J9:J11)</f>
        <v>4.2</v>
      </c>
      <c r="K12" s="297">
        <f>'Standard Vorgaben'!E49</f>
        <v>12600</v>
      </c>
      <c r="L12" s="277">
        <f>M12/K12</f>
        <v>0.89700000000000002</v>
      </c>
      <c r="M12" s="83">
        <f>SUM(M9:M11)</f>
        <v>11302.2</v>
      </c>
      <c r="N12" s="644">
        <f>SUM(N9:N11)</f>
        <v>0.99999999999999989</v>
      </c>
      <c r="P12" s="142"/>
      <c r="Q12" s="296">
        <f>SUM(Q9:Q11)</f>
        <v>5.25</v>
      </c>
      <c r="R12" s="297">
        <f>'Standard Vorgaben'!E50</f>
        <v>15750</v>
      </c>
      <c r="S12" s="277">
        <f>T12/R12</f>
        <v>0.89700000000000013</v>
      </c>
      <c r="T12" s="83">
        <f>SUM(T9:T11)</f>
        <v>14127.750000000002</v>
      </c>
      <c r="U12" s="644">
        <f>SUM(U9:U11)</f>
        <v>0.99999999999999989</v>
      </c>
      <c r="W12" s="142"/>
      <c r="X12" s="296">
        <f>SUM(X9:X11)</f>
        <v>9.1</v>
      </c>
      <c r="Y12" s="297">
        <f>'Standard Vorgaben'!E51</f>
        <v>27300</v>
      </c>
      <c r="Z12" s="277">
        <f>AA12/Y12</f>
        <v>0.89700000000000013</v>
      </c>
      <c r="AA12" s="83">
        <f>SUM(AA9:AA11)</f>
        <v>24488.100000000002</v>
      </c>
      <c r="AB12" s="644">
        <f>SUM(AB9:AB11)</f>
        <v>0.99999999999999989</v>
      </c>
      <c r="AD12" s="142"/>
      <c r="AE12" s="296">
        <f>SUM(AE9:AE11)</f>
        <v>12.249999999999998</v>
      </c>
      <c r="AF12" s="297">
        <f>'Standard Vorgaben'!E52</f>
        <v>36750</v>
      </c>
      <c r="AG12" s="277">
        <f>AH12/AF12</f>
        <v>0.89700000000000002</v>
      </c>
      <c r="AH12" s="83">
        <f>SUM(AH9:AH11)</f>
        <v>32964.75</v>
      </c>
      <c r="AI12" s="644">
        <f>SUM(AI9:AI11)</f>
        <v>0.99999999999999989</v>
      </c>
      <c r="AK12" s="142"/>
      <c r="AL12" s="296">
        <f>SUM(AL9:AL11)</f>
        <v>15.399999999999999</v>
      </c>
      <c r="AM12" s="297">
        <f>'Standard Vorgaben'!E53</f>
        <v>46200</v>
      </c>
      <c r="AN12" s="277">
        <f>AO12/AM12</f>
        <v>0.89700000000000002</v>
      </c>
      <c r="AO12" s="83">
        <f>SUM(AO9:AO11)</f>
        <v>41441.4</v>
      </c>
      <c r="AP12" s="644">
        <f>SUM(AP9:AP11)</f>
        <v>0.99999999999999989</v>
      </c>
      <c r="AR12" s="142"/>
      <c r="AS12" s="296">
        <f>SUM(AS9:AS11)</f>
        <v>12.55625</v>
      </c>
      <c r="AT12" s="297">
        <f>'Standard Vorgaben'!E54</f>
        <v>37668.75</v>
      </c>
      <c r="AU12" s="277">
        <f>AV12/AT12</f>
        <v>0.89700000000000002</v>
      </c>
      <c r="AV12" s="83">
        <f>SUM(AV9:AV11)</f>
        <v>33788.868750000001</v>
      </c>
      <c r="AW12" s="644">
        <f>SUM(AW9:AW11)</f>
        <v>0.99999999999999989</v>
      </c>
      <c r="AY12" s="142"/>
      <c r="AZ12" s="296">
        <f>SUM(AZ9:AZ11)</f>
        <v>12.55625</v>
      </c>
      <c r="BA12" s="297">
        <f>'Standard Vorgaben'!E55</f>
        <v>37668.75</v>
      </c>
      <c r="BB12" s="277">
        <f>BC12/BA12</f>
        <v>0.89700000000000002</v>
      </c>
      <c r="BC12" s="83">
        <f>SUM(BC9:BC11)</f>
        <v>33788.868750000001</v>
      </c>
      <c r="BD12" s="644">
        <f>SUM(BD9:BD11)</f>
        <v>0.99999999999999989</v>
      </c>
      <c r="BF12" s="142"/>
      <c r="BG12" s="296">
        <f>SUM(BG9:BG11)</f>
        <v>18.2</v>
      </c>
      <c r="BH12" s="297">
        <f>'Standard Vorgaben'!E56</f>
        <v>54600</v>
      </c>
      <c r="BI12" s="277">
        <f>BJ12/BH12</f>
        <v>0.89700000000000013</v>
      </c>
      <c r="BJ12" s="83">
        <f>SUM(BJ9:BJ11)</f>
        <v>48976.200000000004</v>
      </c>
      <c r="BK12" s="644">
        <f>SUM(BK9:BK11)</f>
        <v>0.99999999999999989</v>
      </c>
      <c r="BM12" s="142"/>
      <c r="BN12" s="296">
        <f>SUM(BN9:BN11)</f>
        <v>19.25</v>
      </c>
      <c r="BO12" s="297">
        <f>'Standard Vorgaben'!E57</f>
        <v>57750</v>
      </c>
      <c r="BP12" s="277">
        <f>BQ12/BO12</f>
        <v>0.89700000000000013</v>
      </c>
      <c r="BQ12" s="83">
        <f>SUM(BQ9:BQ11)</f>
        <v>51801.750000000007</v>
      </c>
      <c r="BR12" s="644">
        <f>SUM(BR9:BR11)</f>
        <v>0.99999999999999989</v>
      </c>
      <c r="BT12" s="142"/>
      <c r="BU12" s="296">
        <f>SUM(BU9:BU11)</f>
        <v>15.487499999999999</v>
      </c>
      <c r="BV12" s="297">
        <f>'Standard Vorgaben'!E58</f>
        <v>46462.5</v>
      </c>
      <c r="BW12" s="277">
        <f>BX12/BV12</f>
        <v>0.89699999999999991</v>
      </c>
      <c r="BX12" s="83">
        <f>SUM(BX9:BX11)</f>
        <v>41676.862499999996</v>
      </c>
      <c r="BY12" s="644">
        <f>SUM(BY9:BY11)</f>
        <v>0.99999999999999989</v>
      </c>
      <c r="CA12" s="142"/>
      <c r="CB12" s="296">
        <f>SUM(CB9:CB11)</f>
        <v>12.6</v>
      </c>
      <c r="CC12" s="297">
        <f>'Standard Vorgaben'!E59</f>
        <v>37800</v>
      </c>
      <c r="CD12" s="277">
        <f>CE12/CC12</f>
        <v>0.89700000000000013</v>
      </c>
      <c r="CE12" s="83">
        <f>SUM(CE9:CE11)</f>
        <v>33906.600000000006</v>
      </c>
      <c r="CF12" s="644">
        <f>SUM(CF9:CF11)</f>
        <v>0.99999999999999989</v>
      </c>
      <c r="CH12" s="142"/>
      <c r="CI12" s="296">
        <f>SUM(CI9:CI11)</f>
        <v>13.999999999999998</v>
      </c>
      <c r="CJ12" s="297">
        <f>'Standard Vorgaben'!E60</f>
        <v>42000</v>
      </c>
      <c r="CK12" s="277">
        <f>CL12/CJ12</f>
        <v>0.89700000000000002</v>
      </c>
      <c r="CL12" s="83">
        <f>SUM(CL9:CL11)</f>
        <v>37674</v>
      </c>
      <c r="CM12" s="644">
        <f>SUM(CM9:CM11)</f>
        <v>0.99999999999999989</v>
      </c>
      <c r="CO12" s="142"/>
      <c r="CP12" s="296">
        <f>SUM(CP9:CP11)</f>
        <v>14.35</v>
      </c>
      <c r="CQ12" s="297">
        <f>'Standard Vorgaben'!E61</f>
        <v>43050</v>
      </c>
      <c r="CR12" s="277">
        <f>CS12/CQ12</f>
        <v>0.89700000000000002</v>
      </c>
      <c r="CS12" s="83">
        <f>SUM(CS9:CS11)</f>
        <v>38615.85</v>
      </c>
      <c r="CT12" s="644">
        <f>SUM(CT9:CT11)</f>
        <v>0.99999999999999989</v>
      </c>
      <c r="CV12" s="142"/>
      <c r="CW12" s="296">
        <f>SUM(CW9:CW11)</f>
        <v>12.249999999999998</v>
      </c>
      <c r="CX12" s="297">
        <f>'Standard Vorgaben'!E62</f>
        <v>36750</v>
      </c>
      <c r="CY12" s="277">
        <f>CZ12/CX12</f>
        <v>0.89700000000000002</v>
      </c>
      <c r="CZ12" s="83">
        <f>SUM(CZ9:CZ11)</f>
        <v>32964.75</v>
      </c>
      <c r="DA12" s="644">
        <f>SUM(DA9:DA11)</f>
        <v>0.99999999999999989</v>
      </c>
    </row>
    <row r="13" spans="1:105" s="85" customFormat="1" ht="12.75" x14ac:dyDescent="0.2">
      <c r="B13" s="142"/>
      <c r="C13" s="296"/>
      <c r="D13" s="297"/>
      <c r="E13" s="277"/>
      <c r="F13" s="83"/>
      <c r="G13" s="201"/>
      <c r="I13" s="142"/>
      <c r="J13" s="296"/>
      <c r="K13" s="297"/>
      <c r="L13" s="277"/>
      <c r="M13" s="83"/>
      <c r="N13" s="201"/>
      <c r="P13" s="142"/>
      <c r="Q13" s="296"/>
      <c r="R13" s="297"/>
      <c r="S13" s="277"/>
      <c r="T13" s="83"/>
      <c r="U13" s="201"/>
      <c r="W13" s="142"/>
      <c r="X13" s="296"/>
      <c r="Y13" s="297"/>
      <c r="Z13" s="277"/>
      <c r="AA13" s="83"/>
      <c r="AB13" s="201"/>
      <c r="AD13" s="142"/>
      <c r="AE13" s="296"/>
      <c r="AF13" s="297"/>
      <c r="AG13" s="277"/>
      <c r="AH13" s="83"/>
      <c r="AI13" s="201"/>
      <c r="AK13" s="142"/>
      <c r="AL13" s="296"/>
      <c r="AM13" s="297"/>
      <c r="AN13" s="277"/>
      <c r="AO13" s="83"/>
      <c r="AP13" s="201"/>
      <c r="AR13" s="142"/>
      <c r="AS13" s="296"/>
      <c r="AT13" s="297"/>
      <c r="AU13" s="277"/>
      <c r="AV13" s="83"/>
      <c r="AW13" s="201"/>
      <c r="AY13" s="142"/>
      <c r="AZ13" s="296"/>
      <c r="BA13" s="297"/>
      <c r="BB13" s="277"/>
      <c r="BC13" s="83"/>
      <c r="BD13" s="201"/>
      <c r="BF13" s="142"/>
      <c r="BG13" s="296"/>
      <c r="BH13" s="297"/>
      <c r="BI13" s="277"/>
      <c r="BJ13" s="83"/>
      <c r="BK13" s="201"/>
      <c r="BM13" s="142"/>
      <c r="BN13" s="296"/>
      <c r="BO13" s="297"/>
      <c r="BP13" s="277"/>
      <c r="BQ13" s="83"/>
      <c r="BR13" s="201"/>
      <c r="BT13" s="142"/>
      <c r="BU13" s="296"/>
      <c r="BV13" s="297"/>
      <c r="BW13" s="277"/>
      <c r="BX13" s="83"/>
      <c r="BY13" s="201"/>
      <c r="CA13" s="142"/>
      <c r="CB13" s="296"/>
      <c r="CC13" s="297"/>
      <c r="CD13" s="277"/>
      <c r="CE13" s="83"/>
      <c r="CF13" s="201"/>
      <c r="CH13" s="142"/>
      <c r="CI13" s="296"/>
      <c r="CJ13" s="297"/>
      <c r="CK13" s="277"/>
      <c r="CL13" s="83"/>
      <c r="CM13" s="201"/>
      <c r="CO13" s="142"/>
      <c r="CP13" s="296"/>
      <c r="CQ13" s="297"/>
      <c r="CR13" s="277"/>
      <c r="CS13" s="83"/>
      <c r="CT13" s="201"/>
      <c r="CV13" s="142"/>
      <c r="CW13" s="296"/>
      <c r="CX13" s="297"/>
      <c r="CY13" s="277"/>
      <c r="CZ13" s="83"/>
      <c r="DA13" s="201"/>
    </row>
    <row r="14" spans="1:105" s="85" customFormat="1" ht="12.75" x14ac:dyDescent="0.2">
      <c r="B14" s="85" t="str">
        <f>'Standard Vorgaben'!$A$39</f>
        <v>Direktzahlungen ÖLN</v>
      </c>
      <c r="C14" s="296"/>
      <c r="D14" s="297"/>
      <c r="E14" s="277"/>
      <c r="F14" s="146">
        <f>'Standard Vorgaben'!$C$39</f>
        <v>1100</v>
      </c>
      <c r="G14" s="201"/>
      <c r="I14" s="85" t="str">
        <f>'Standard Vorgaben'!$A$39</f>
        <v>Direktzahlungen ÖLN</v>
      </c>
      <c r="J14" s="296"/>
      <c r="K14" s="297"/>
      <c r="L14" s="277"/>
      <c r="M14" s="146">
        <f>'Standard Vorgaben'!$C$39</f>
        <v>1100</v>
      </c>
      <c r="N14" s="201"/>
      <c r="P14" s="85" t="str">
        <f>'Standard Vorgaben'!$A$39</f>
        <v>Direktzahlungen ÖLN</v>
      </c>
      <c r="Q14" s="296"/>
      <c r="R14" s="297"/>
      <c r="S14" s="277"/>
      <c r="T14" s="146">
        <f>'Standard Vorgaben'!$C$39</f>
        <v>1100</v>
      </c>
      <c r="U14" s="201"/>
      <c r="W14" s="85" t="str">
        <f>'Standard Vorgaben'!$A$39</f>
        <v>Direktzahlungen ÖLN</v>
      </c>
      <c r="X14" s="296"/>
      <c r="Y14" s="297"/>
      <c r="Z14" s="277"/>
      <c r="AA14" s="146">
        <f>'Standard Vorgaben'!$C$39</f>
        <v>1100</v>
      </c>
      <c r="AB14" s="201"/>
      <c r="AD14" s="85" t="str">
        <f>'Standard Vorgaben'!$A$39</f>
        <v>Direktzahlungen ÖLN</v>
      </c>
      <c r="AE14" s="296"/>
      <c r="AF14" s="297"/>
      <c r="AG14" s="277"/>
      <c r="AH14" s="146">
        <f>'Standard Vorgaben'!$C$39</f>
        <v>1100</v>
      </c>
      <c r="AI14" s="201"/>
      <c r="AK14" s="85" t="str">
        <f>'Standard Vorgaben'!$A$39</f>
        <v>Direktzahlungen ÖLN</v>
      </c>
      <c r="AL14" s="296"/>
      <c r="AM14" s="297"/>
      <c r="AN14" s="277"/>
      <c r="AO14" s="146">
        <f>'Standard Vorgaben'!$C$39</f>
        <v>1100</v>
      </c>
      <c r="AP14" s="201"/>
      <c r="AR14" s="85" t="str">
        <f>'Standard Vorgaben'!$A$39</f>
        <v>Direktzahlungen ÖLN</v>
      </c>
      <c r="AS14" s="296"/>
      <c r="AT14" s="297"/>
      <c r="AU14" s="277"/>
      <c r="AV14" s="146">
        <f>'Standard Vorgaben'!$C$39</f>
        <v>1100</v>
      </c>
      <c r="AW14" s="201"/>
      <c r="AY14" s="85" t="str">
        <f>'Standard Vorgaben'!$A$39</f>
        <v>Direktzahlungen ÖLN</v>
      </c>
      <c r="AZ14" s="296"/>
      <c r="BA14" s="297"/>
      <c r="BB14" s="277"/>
      <c r="BC14" s="146">
        <f>'Standard Vorgaben'!$C$39</f>
        <v>1100</v>
      </c>
      <c r="BD14" s="201"/>
      <c r="BF14" s="85" t="str">
        <f>'Standard Vorgaben'!$A$39</f>
        <v>Direktzahlungen ÖLN</v>
      </c>
      <c r="BG14" s="296"/>
      <c r="BH14" s="297"/>
      <c r="BI14" s="277"/>
      <c r="BJ14" s="146">
        <f>'Standard Vorgaben'!$C$39</f>
        <v>1100</v>
      </c>
      <c r="BK14" s="201"/>
      <c r="BM14" s="85" t="str">
        <f>'Standard Vorgaben'!$A$39</f>
        <v>Direktzahlungen ÖLN</v>
      </c>
      <c r="BN14" s="296"/>
      <c r="BO14" s="297"/>
      <c r="BP14" s="277"/>
      <c r="BQ14" s="146">
        <f>'Standard Vorgaben'!$C$39</f>
        <v>1100</v>
      </c>
      <c r="BR14" s="201"/>
      <c r="BT14" s="85" t="str">
        <f>'Standard Vorgaben'!$A$39</f>
        <v>Direktzahlungen ÖLN</v>
      </c>
      <c r="BU14" s="296"/>
      <c r="BV14" s="297"/>
      <c r="BW14" s="277"/>
      <c r="BX14" s="146">
        <f>'Standard Vorgaben'!$C$39</f>
        <v>1100</v>
      </c>
      <c r="BY14" s="201"/>
      <c r="CA14" s="85" t="str">
        <f>'Standard Vorgaben'!$A$39</f>
        <v>Direktzahlungen ÖLN</v>
      </c>
      <c r="CB14" s="296"/>
      <c r="CC14" s="297"/>
      <c r="CD14" s="277"/>
      <c r="CE14" s="146">
        <f>'Standard Vorgaben'!$C$39</f>
        <v>1100</v>
      </c>
      <c r="CF14" s="201"/>
      <c r="CH14" s="85" t="str">
        <f>'Standard Vorgaben'!$A$39</f>
        <v>Direktzahlungen ÖLN</v>
      </c>
      <c r="CI14" s="296"/>
      <c r="CJ14" s="297"/>
      <c r="CK14" s="277"/>
      <c r="CL14" s="146">
        <f>'Standard Vorgaben'!$C$39</f>
        <v>1100</v>
      </c>
      <c r="CM14" s="201"/>
      <c r="CO14" s="85" t="str">
        <f>'Standard Vorgaben'!$A$39</f>
        <v>Direktzahlungen ÖLN</v>
      </c>
      <c r="CP14" s="296"/>
      <c r="CQ14" s="297"/>
      <c r="CR14" s="277"/>
      <c r="CS14" s="146">
        <f>'Standard Vorgaben'!$C$39</f>
        <v>1100</v>
      </c>
      <c r="CT14" s="201"/>
      <c r="CV14" s="85" t="str">
        <f>'Standard Vorgaben'!$A$39</f>
        <v>Direktzahlungen ÖLN</v>
      </c>
      <c r="CW14" s="296"/>
      <c r="CX14" s="297"/>
      <c r="CY14" s="277"/>
      <c r="CZ14" s="146">
        <f>'Standard Vorgaben'!$C$39</f>
        <v>1100</v>
      </c>
      <c r="DA14" s="201"/>
    </row>
    <row r="15" spans="1:105" s="300" customFormat="1" ht="23.25" customHeight="1" x14ac:dyDescent="0.3">
      <c r="A15" s="656" t="s">
        <v>212</v>
      </c>
      <c r="B15" s="657"/>
      <c r="C15" s="657"/>
      <c r="D15" s="657"/>
      <c r="E15" s="657"/>
      <c r="F15" s="512">
        <f>SUM(F12:F14)</f>
        <v>1100</v>
      </c>
      <c r="G15" s="606"/>
      <c r="H15" s="656" t="s">
        <v>212</v>
      </c>
      <c r="I15" s="657"/>
      <c r="J15" s="657"/>
      <c r="K15" s="657"/>
      <c r="L15" s="657"/>
      <c r="M15" s="512">
        <f>SUM(M12:M14)</f>
        <v>12402.2</v>
      </c>
      <c r="N15" s="606"/>
      <c r="O15" s="656" t="s">
        <v>212</v>
      </c>
      <c r="P15" s="657"/>
      <c r="Q15" s="657"/>
      <c r="R15" s="657"/>
      <c r="S15" s="657"/>
      <c r="T15" s="512">
        <f>SUM(T12:T14)</f>
        <v>15227.750000000002</v>
      </c>
      <c r="U15" s="606"/>
      <c r="V15" s="656" t="s">
        <v>212</v>
      </c>
      <c r="W15" s="657"/>
      <c r="X15" s="657"/>
      <c r="Y15" s="657"/>
      <c r="Z15" s="657"/>
      <c r="AA15" s="512">
        <f>SUM(AA12:AA14)</f>
        <v>25588.100000000002</v>
      </c>
      <c r="AB15" s="606"/>
      <c r="AC15" s="656" t="s">
        <v>212</v>
      </c>
      <c r="AD15" s="657"/>
      <c r="AE15" s="657"/>
      <c r="AF15" s="657"/>
      <c r="AG15" s="657"/>
      <c r="AH15" s="512">
        <f>SUM(AH12:AH14)</f>
        <v>34064.75</v>
      </c>
      <c r="AI15" s="606"/>
      <c r="AJ15" s="656" t="s">
        <v>212</v>
      </c>
      <c r="AK15" s="657"/>
      <c r="AL15" s="657"/>
      <c r="AM15" s="657"/>
      <c r="AN15" s="657"/>
      <c r="AO15" s="512">
        <f>SUM(AO12:AO14)</f>
        <v>42541.4</v>
      </c>
      <c r="AP15" s="606"/>
      <c r="AQ15" s="656" t="s">
        <v>212</v>
      </c>
      <c r="AR15" s="657"/>
      <c r="AS15" s="657"/>
      <c r="AT15" s="657"/>
      <c r="AU15" s="657"/>
      <c r="AV15" s="512">
        <f>SUM(AV12:AV14)</f>
        <v>34888.868750000001</v>
      </c>
      <c r="AW15" s="606"/>
      <c r="AX15" s="656" t="s">
        <v>212</v>
      </c>
      <c r="AY15" s="657"/>
      <c r="AZ15" s="657"/>
      <c r="BA15" s="657"/>
      <c r="BB15" s="657"/>
      <c r="BC15" s="512">
        <f>SUM(BC12:BC14)</f>
        <v>34888.868750000001</v>
      </c>
      <c r="BD15" s="606"/>
      <c r="BE15" s="656" t="s">
        <v>212</v>
      </c>
      <c r="BF15" s="657"/>
      <c r="BG15" s="657"/>
      <c r="BH15" s="657"/>
      <c r="BI15" s="657"/>
      <c r="BJ15" s="512">
        <f>SUM(BJ12:BJ14)</f>
        <v>50076.200000000004</v>
      </c>
      <c r="BK15" s="606"/>
      <c r="BL15" s="656" t="s">
        <v>212</v>
      </c>
      <c r="BM15" s="657"/>
      <c r="BN15" s="657"/>
      <c r="BO15" s="657"/>
      <c r="BP15" s="657"/>
      <c r="BQ15" s="512">
        <f>SUM(BQ12:BQ14)</f>
        <v>52901.750000000007</v>
      </c>
      <c r="BR15" s="606"/>
      <c r="BS15" s="656" t="s">
        <v>212</v>
      </c>
      <c r="BT15" s="657"/>
      <c r="BU15" s="657"/>
      <c r="BV15" s="657"/>
      <c r="BW15" s="657"/>
      <c r="BX15" s="512">
        <f>SUM(BX12:BX14)</f>
        <v>42776.862499999996</v>
      </c>
      <c r="BY15" s="606"/>
      <c r="BZ15" s="656" t="s">
        <v>212</v>
      </c>
      <c r="CA15" s="657"/>
      <c r="CB15" s="657"/>
      <c r="CC15" s="657"/>
      <c r="CD15" s="657"/>
      <c r="CE15" s="512">
        <f>SUM(CE12:CE14)</f>
        <v>35006.600000000006</v>
      </c>
      <c r="CF15" s="606"/>
      <c r="CG15" s="656" t="s">
        <v>212</v>
      </c>
      <c r="CH15" s="657"/>
      <c r="CI15" s="657"/>
      <c r="CJ15" s="657"/>
      <c r="CK15" s="657"/>
      <c r="CL15" s="512">
        <f>SUM(CL12:CL14)</f>
        <v>38774</v>
      </c>
      <c r="CM15" s="606"/>
      <c r="CN15" s="656" t="s">
        <v>212</v>
      </c>
      <c r="CO15" s="657"/>
      <c r="CP15" s="657"/>
      <c r="CQ15" s="657"/>
      <c r="CR15" s="657"/>
      <c r="CS15" s="512">
        <f>SUM(CS12:CS14)</f>
        <v>39715.85</v>
      </c>
      <c r="CT15" s="606"/>
      <c r="CU15" s="656" t="s">
        <v>212</v>
      </c>
      <c r="CV15" s="657"/>
      <c r="CW15" s="657"/>
      <c r="CX15" s="657"/>
      <c r="CY15" s="657"/>
      <c r="CZ15" s="512">
        <f>SUM(CZ12:CZ14)</f>
        <v>34064.75</v>
      </c>
      <c r="DA15" s="606"/>
    </row>
    <row r="16" spans="1:105" s="15" customFormat="1" ht="12.75" x14ac:dyDescent="0.2">
      <c r="A16" s="41"/>
      <c r="B16" s="4"/>
      <c r="C16" s="27" t="s">
        <v>11</v>
      </c>
      <c r="D16" s="27" t="s">
        <v>55</v>
      </c>
      <c r="E16" s="28" t="s">
        <v>56</v>
      </c>
      <c r="F16" s="33" t="s">
        <v>13</v>
      </c>
      <c r="G16" s="651" t="s">
        <v>57</v>
      </c>
      <c r="H16" s="41"/>
      <c r="I16" s="4"/>
      <c r="J16" s="27" t="s">
        <v>11</v>
      </c>
      <c r="K16" s="27" t="s">
        <v>55</v>
      </c>
      <c r="L16" s="28" t="s">
        <v>56</v>
      </c>
      <c r="M16" s="33" t="s">
        <v>13</v>
      </c>
      <c r="N16" s="651" t="s">
        <v>57</v>
      </c>
      <c r="O16" s="41"/>
      <c r="P16" s="4"/>
      <c r="Q16" s="27" t="s">
        <v>11</v>
      </c>
      <c r="R16" s="27" t="s">
        <v>55</v>
      </c>
      <c r="S16" s="28" t="s">
        <v>56</v>
      </c>
      <c r="T16" s="33" t="s">
        <v>13</v>
      </c>
      <c r="U16" s="651" t="s">
        <v>57</v>
      </c>
      <c r="V16" s="41"/>
      <c r="W16" s="4"/>
      <c r="X16" s="27" t="s">
        <v>11</v>
      </c>
      <c r="Y16" s="27" t="s">
        <v>55</v>
      </c>
      <c r="Z16" s="28" t="s">
        <v>56</v>
      </c>
      <c r="AA16" s="33" t="s">
        <v>13</v>
      </c>
      <c r="AB16" s="651" t="s">
        <v>57</v>
      </c>
      <c r="AC16" s="41"/>
      <c r="AD16" s="4"/>
      <c r="AE16" s="27" t="s">
        <v>11</v>
      </c>
      <c r="AF16" s="27" t="s">
        <v>55</v>
      </c>
      <c r="AG16" s="28" t="s">
        <v>56</v>
      </c>
      <c r="AH16" s="33" t="s">
        <v>13</v>
      </c>
      <c r="AI16" s="651" t="s">
        <v>57</v>
      </c>
      <c r="AJ16" s="41"/>
      <c r="AK16" s="4"/>
      <c r="AL16" s="27" t="s">
        <v>11</v>
      </c>
      <c r="AM16" s="27" t="s">
        <v>55</v>
      </c>
      <c r="AN16" s="28" t="s">
        <v>56</v>
      </c>
      <c r="AO16" s="33" t="s">
        <v>13</v>
      </c>
      <c r="AP16" s="651" t="s">
        <v>57</v>
      </c>
      <c r="AQ16" s="41"/>
      <c r="AR16" s="4"/>
      <c r="AS16" s="27" t="s">
        <v>11</v>
      </c>
      <c r="AT16" s="27" t="s">
        <v>55</v>
      </c>
      <c r="AU16" s="28" t="s">
        <v>56</v>
      </c>
      <c r="AV16" s="33" t="s">
        <v>13</v>
      </c>
      <c r="AW16" s="651" t="s">
        <v>57</v>
      </c>
      <c r="AX16" s="41"/>
      <c r="AY16" s="4"/>
      <c r="AZ16" s="27" t="s">
        <v>11</v>
      </c>
      <c r="BA16" s="27" t="s">
        <v>55</v>
      </c>
      <c r="BB16" s="28" t="s">
        <v>56</v>
      </c>
      <c r="BC16" s="33" t="s">
        <v>13</v>
      </c>
      <c r="BD16" s="651" t="s">
        <v>57</v>
      </c>
      <c r="BE16" s="41"/>
      <c r="BF16" s="4"/>
      <c r="BG16" s="27" t="s">
        <v>11</v>
      </c>
      <c r="BH16" s="27" t="s">
        <v>55</v>
      </c>
      <c r="BI16" s="28" t="s">
        <v>56</v>
      </c>
      <c r="BJ16" s="33" t="s">
        <v>13</v>
      </c>
      <c r="BK16" s="651" t="s">
        <v>57</v>
      </c>
      <c r="BL16" s="41"/>
      <c r="BM16" s="4"/>
      <c r="BN16" s="27" t="s">
        <v>11</v>
      </c>
      <c r="BO16" s="27" t="s">
        <v>55</v>
      </c>
      <c r="BP16" s="28" t="s">
        <v>56</v>
      </c>
      <c r="BQ16" s="33" t="s">
        <v>13</v>
      </c>
      <c r="BR16" s="651" t="s">
        <v>57</v>
      </c>
      <c r="BS16" s="41"/>
      <c r="BT16" s="4"/>
      <c r="BU16" s="27" t="s">
        <v>11</v>
      </c>
      <c r="BV16" s="27" t="s">
        <v>55</v>
      </c>
      <c r="BW16" s="28" t="s">
        <v>56</v>
      </c>
      <c r="BX16" s="33" t="s">
        <v>13</v>
      </c>
      <c r="BY16" s="651" t="s">
        <v>57</v>
      </c>
      <c r="BZ16" s="41"/>
      <c r="CA16" s="4"/>
      <c r="CB16" s="27" t="s">
        <v>11</v>
      </c>
      <c r="CC16" s="27" t="s">
        <v>55</v>
      </c>
      <c r="CD16" s="28" t="s">
        <v>56</v>
      </c>
      <c r="CE16" s="33" t="s">
        <v>13</v>
      </c>
      <c r="CF16" s="651" t="s">
        <v>57</v>
      </c>
      <c r="CG16" s="41"/>
      <c r="CH16" s="4"/>
      <c r="CI16" s="27" t="s">
        <v>11</v>
      </c>
      <c r="CJ16" s="27" t="s">
        <v>55</v>
      </c>
      <c r="CK16" s="28" t="s">
        <v>56</v>
      </c>
      <c r="CL16" s="33" t="s">
        <v>13</v>
      </c>
      <c r="CM16" s="651" t="s">
        <v>57</v>
      </c>
      <c r="CN16" s="41"/>
      <c r="CO16" s="4"/>
      <c r="CP16" s="27" t="s">
        <v>11</v>
      </c>
      <c r="CQ16" s="27" t="s">
        <v>55</v>
      </c>
      <c r="CR16" s="28" t="s">
        <v>56</v>
      </c>
      <c r="CS16" s="33" t="s">
        <v>13</v>
      </c>
      <c r="CT16" s="651" t="s">
        <v>57</v>
      </c>
      <c r="CU16" s="41"/>
      <c r="CV16" s="4"/>
      <c r="CW16" s="27" t="s">
        <v>11</v>
      </c>
      <c r="CX16" s="27" t="s">
        <v>55</v>
      </c>
      <c r="CY16" s="28" t="s">
        <v>56</v>
      </c>
      <c r="CZ16" s="33" t="s">
        <v>13</v>
      </c>
      <c r="DA16" s="651" t="s">
        <v>57</v>
      </c>
    </row>
    <row r="17" spans="1:105" s="41" customFormat="1" ht="12.75" x14ac:dyDescent="0.2">
      <c r="A17" s="40" t="s">
        <v>29</v>
      </c>
      <c r="C17" s="42"/>
      <c r="D17" s="42"/>
      <c r="E17" s="541"/>
      <c r="F17" s="421"/>
      <c r="G17" s="651"/>
      <c r="H17" s="40" t="s">
        <v>29</v>
      </c>
      <c r="J17" s="42"/>
      <c r="K17" s="42"/>
      <c r="L17" s="541"/>
      <c r="M17" s="421"/>
      <c r="N17" s="651"/>
      <c r="O17" s="40" t="s">
        <v>29</v>
      </c>
      <c r="Q17" s="42"/>
      <c r="R17" s="42"/>
      <c r="S17" s="541"/>
      <c r="T17" s="421"/>
      <c r="U17" s="651"/>
      <c r="V17" s="40" t="s">
        <v>29</v>
      </c>
      <c r="X17" s="42"/>
      <c r="Y17" s="42"/>
      <c r="Z17" s="541"/>
      <c r="AA17" s="421"/>
      <c r="AB17" s="651"/>
      <c r="AC17" s="40" t="s">
        <v>29</v>
      </c>
      <c r="AE17" s="42"/>
      <c r="AF17" s="42"/>
      <c r="AG17" s="541"/>
      <c r="AH17" s="421"/>
      <c r="AI17" s="651"/>
      <c r="AJ17" s="40" t="s">
        <v>29</v>
      </c>
      <c r="AL17" s="42"/>
      <c r="AM17" s="42"/>
      <c r="AN17" s="541"/>
      <c r="AO17" s="421"/>
      <c r="AP17" s="651"/>
      <c r="AQ17" s="40" t="s">
        <v>29</v>
      </c>
      <c r="AS17" s="42"/>
      <c r="AT17" s="42"/>
      <c r="AU17" s="541"/>
      <c r="AV17" s="421"/>
      <c r="AW17" s="651"/>
      <c r="AX17" s="40" t="s">
        <v>29</v>
      </c>
      <c r="AZ17" s="42"/>
      <c r="BA17" s="42"/>
      <c r="BB17" s="541"/>
      <c r="BC17" s="421"/>
      <c r="BD17" s="651"/>
      <c r="BE17" s="40" t="s">
        <v>29</v>
      </c>
      <c r="BG17" s="42"/>
      <c r="BH17" s="42"/>
      <c r="BI17" s="541"/>
      <c r="BJ17" s="421"/>
      <c r="BK17" s="651"/>
      <c r="BL17" s="40" t="s">
        <v>29</v>
      </c>
      <c r="BN17" s="42"/>
      <c r="BO17" s="42"/>
      <c r="BP17" s="541"/>
      <c r="BQ17" s="421"/>
      <c r="BR17" s="651"/>
      <c r="BS17" s="40" t="s">
        <v>29</v>
      </c>
      <c r="BU17" s="42"/>
      <c r="BV17" s="42"/>
      <c r="BW17" s="541"/>
      <c r="BX17" s="421"/>
      <c r="BY17" s="651"/>
      <c r="BZ17" s="40" t="s">
        <v>29</v>
      </c>
      <c r="CB17" s="42"/>
      <c r="CC17" s="42"/>
      <c r="CD17" s="541"/>
      <c r="CE17" s="421"/>
      <c r="CF17" s="651"/>
      <c r="CG17" s="40" t="s">
        <v>29</v>
      </c>
      <c r="CI17" s="42"/>
      <c r="CJ17" s="42"/>
      <c r="CK17" s="541"/>
      <c r="CL17" s="421"/>
      <c r="CM17" s="651"/>
      <c r="CN17" s="40" t="s">
        <v>29</v>
      </c>
      <c r="CP17" s="42"/>
      <c r="CQ17" s="42"/>
      <c r="CR17" s="541"/>
      <c r="CS17" s="421"/>
      <c r="CT17" s="651"/>
      <c r="CU17" s="40" t="s">
        <v>29</v>
      </c>
      <c r="CW17" s="42"/>
      <c r="CX17" s="42"/>
      <c r="CY17" s="541"/>
      <c r="CZ17" s="421"/>
      <c r="DA17" s="651"/>
    </row>
    <row r="18" spans="1:105" s="13" customFormat="1" ht="12.75" x14ac:dyDescent="0.2">
      <c r="A18" s="40"/>
      <c r="B18" s="29" t="str">
        <f>'Standard Vorgaben'!B100</f>
        <v>Stickstoff</v>
      </c>
      <c r="C18" s="667">
        <f>'Standard Vorgaben'!B106</f>
        <v>0</v>
      </c>
      <c r="D18" s="104">
        <f>'Standard Vorgaben'!B105</f>
        <v>50</v>
      </c>
      <c r="E18" s="105">
        <f>'Standard Vorgaben'!B101</f>
        <v>0.95</v>
      </c>
      <c r="F18" s="30">
        <f>D18*E18*C18</f>
        <v>0</v>
      </c>
      <c r="G18" s="652">
        <f>F18/$F$81</f>
        <v>0</v>
      </c>
      <c r="H18" s="40"/>
      <c r="I18" s="29" t="str">
        <f>'Standard Vorgaben'!B100</f>
        <v>Stickstoff</v>
      </c>
      <c r="J18" s="667">
        <f>'Standard Vorgaben'!B108</f>
        <v>1</v>
      </c>
      <c r="K18" s="104">
        <f>'Standard Vorgaben'!B107</f>
        <v>100</v>
      </c>
      <c r="L18" s="105">
        <f>'Standard Vorgaben'!B101</f>
        <v>0.95</v>
      </c>
      <c r="M18" s="30">
        <f>K18*L18</f>
        <v>95</v>
      </c>
      <c r="N18" s="652">
        <f>M18/$M$81</f>
        <v>5.8518090969757732E-3</v>
      </c>
      <c r="O18" s="40"/>
      <c r="P18" s="29" t="str">
        <f>'Standard Vorgaben'!B100</f>
        <v>Stickstoff</v>
      </c>
      <c r="Q18" s="667">
        <f>'Standard Vorgaben'!B110</f>
        <v>1</v>
      </c>
      <c r="R18" s="104">
        <f>'Standard Vorgaben'!B109</f>
        <v>150</v>
      </c>
      <c r="S18" s="105">
        <f>'Standard Vorgaben'!B101</f>
        <v>0.95</v>
      </c>
      <c r="T18" s="30">
        <f>R18*S18</f>
        <v>142.5</v>
      </c>
      <c r="U18" s="652">
        <f>T18/T$81</f>
        <v>4.7917666727955608E-3</v>
      </c>
      <c r="V18" s="40"/>
      <c r="W18" s="29" t="str">
        <f>'Standard Vorgaben'!B100</f>
        <v>Stickstoff</v>
      </c>
      <c r="X18" s="667">
        <f>'Standard Vorgaben'!B112</f>
        <v>2</v>
      </c>
      <c r="Y18" s="104">
        <f>'Standard Vorgaben'!B111</f>
        <v>200</v>
      </c>
      <c r="Z18" s="105">
        <f>'Standard Vorgaben'!B101</f>
        <v>0.95</v>
      </c>
      <c r="AA18" s="30">
        <f>Y18*Z18</f>
        <v>190</v>
      </c>
      <c r="AB18" s="652">
        <f>AA18/$AA$81</f>
        <v>5.7082709607341933E-3</v>
      </c>
      <c r="AC18" s="40"/>
      <c r="AD18" s="29" t="str">
        <f>'Standard Vorgaben'!B100</f>
        <v>Stickstoff</v>
      </c>
      <c r="AE18" s="667">
        <f>'Standard Vorgaben'!B112</f>
        <v>2</v>
      </c>
      <c r="AF18" s="104">
        <f>'Standard Vorgaben'!B111</f>
        <v>200</v>
      </c>
      <c r="AG18" s="105">
        <f>'Standard Vorgaben'!B101</f>
        <v>0.95</v>
      </c>
      <c r="AH18" s="30">
        <f>AF18*AG18</f>
        <v>190</v>
      </c>
      <c r="AI18" s="652">
        <f>AH18/$AH$81</f>
        <v>5.3716119488091711E-3</v>
      </c>
      <c r="AJ18" s="40"/>
      <c r="AK18" s="29" t="str">
        <f>'Standard Vorgaben'!B100</f>
        <v>Stickstoff</v>
      </c>
      <c r="AL18" s="667">
        <f>'Standard Vorgaben'!B112</f>
        <v>2</v>
      </c>
      <c r="AM18" s="104">
        <f>'Standard Vorgaben'!B111</f>
        <v>200</v>
      </c>
      <c r="AN18" s="105">
        <f>'Standard Vorgaben'!B101</f>
        <v>0.95</v>
      </c>
      <c r="AO18" s="30">
        <f>AM18*AN18</f>
        <v>190</v>
      </c>
      <c r="AP18" s="652">
        <f>AO18/$AO$81</f>
        <v>5.0802525413286932E-3</v>
      </c>
      <c r="AQ18" s="40"/>
      <c r="AR18" s="29" t="str">
        <f>'Standard Vorgaben'!B100</f>
        <v>Stickstoff</v>
      </c>
      <c r="AS18" s="667">
        <f>'Standard Vorgaben'!B112</f>
        <v>2</v>
      </c>
      <c r="AT18" s="104">
        <f>'Standard Vorgaben'!B111</f>
        <v>200</v>
      </c>
      <c r="AU18" s="105">
        <f>'Standard Vorgaben'!B101</f>
        <v>0.95</v>
      </c>
      <c r="AV18" s="30">
        <f>AT18*AU18</f>
        <v>190</v>
      </c>
      <c r="AW18" s="652">
        <f>AV18/$AV$81</f>
        <v>5.3471879320759275E-3</v>
      </c>
      <c r="AX18" s="40"/>
      <c r="AY18" s="29" t="str">
        <f>'Standard Vorgaben'!B100</f>
        <v>Stickstoff</v>
      </c>
      <c r="AZ18" s="667">
        <f>'Standard Vorgaben'!B112</f>
        <v>2</v>
      </c>
      <c r="BA18" s="104">
        <f>'Standard Vorgaben'!B111</f>
        <v>200</v>
      </c>
      <c r="BB18" s="105">
        <f>'Standard Vorgaben'!B101</f>
        <v>0.95</v>
      </c>
      <c r="BC18" s="30">
        <f>BA18*BB18</f>
        <v>190</v>
      </c>
      <c r="BD18" s="652">
        <f>BC18/$BC$81</f>
        <v>5.3463160897817925E-3</v>
      </c>
      <c r="BE18" s="40"/>
      <c r="BF18" s="29" t="str">
        <f>'Standard Vorgaben'!B100</f>
        <v>Stickstoff</v>
      </c>
      <c r="BG18" s="667">
        <f>'Standard Vorgaben'!B112</f>
        <v>2</v>
      </c>
      <c r="BH18" s="104">
        <f>'Standard Vorgaben'!B111</f>
        <v>200</v>
      </c>
      <c r="BI18" s="105">
        <f>'Standard Vorgaben'!B101</f>
        <v>0.95</v>
      </c>
      <c r="BJ18" s="30">
        <f>BH18*BI18</f>
        <v>190</v>
      </c>
      <c r="BK18" s="652">
        <f>BJ18/$BJ$81</f>
        <v>4.8521604220646674E-3</v>
      </c>
      <c r="BL18" s="40"/>
      <c r="BM18" s="29" t="str">
        <f>'Standard Vorgaben'!B100</f>
        <v>Stickstoff</v>
      </c>
      <c r="BN18" s="667">
        <f>'Standard Vorgaben'!B112</f>
        <v>2</v>
      </c>
      <c r="BO18" s="104">
        <f>'Standard Vorgaben'!B111</f>
        <v>200</v>
      </c>
      <c r="BP18" s="105">
        <f>'Standard Vorgaben'!B101</f>
        <v>0.95</v>
      </c>
      <c r="BQ18" s="30">
        <f>BO18*BP18</f>
        <v>190</v>
      </c>
      <c r="BR18" s="652">
        <f>BQ18/$BQ$81</f>
        <v>4.782060778902337E-3</v>
      </c>
      <c r="BS18" s="40"/>
      <c r="BT18" s="29" t="str">
        <f>'Standard Vorgaben'!B100</f>
        <v>Stickstoff</v>
      </c>
      <c r="BU18" s="667">
        <f>'Standard Vorgaben'!B112</f>
        <v>2</v>
      </c>
      <c r="BV18" s="104">
        <f>'Standard Vorgaben'!B111</f>
        <v>200</v>
      </c>
      <c r="BW18" s="105">
        <f>'Standard Vorgaben'!B101</f>
        <v>0.95</v>
      </c>
      <c r="BX18" s="30">
        <f>BV18*BW18</f>
        <v>190</v>
      </c>
      <c r="BY18" s="652">
        <f>BX18/$BX$81</f>
        <v>5.1069352521982293E-3</v>
      </c>
      <c r="BZ18" s="40"/>
      <c r="CA18" s="29" t="str">
        <f>'Standard Vorgaben'!B100</f>
        <v>Stickstoff</v>
      </c>
      <c r="CB18" s="667">
        <f>'Standard Vorgaben'!B112</f>
        <v>2</v>
      </c>
      <c r="CC18" s="104">
        <f>'Standard Vorgaben'!B111</f>
        <v>200</v>
      </c>
      <c r="CD18" s="105">
        <f>'Standard Vorgaben'!B101</f>
        <v>0.95</v>
      </c>
      <c r="CE18" s="30">
        <f>CC18*CD18</f>
        <v>190</v>
      </c>
      <c r="CF18" s="652">
        <f>CE18/$CE$81</f>
        <v>5.3816129937206709E-3</v>
      </c>
      <c r="CG18" s="40"/>
      <c r="CH18" s="29" t="str">
        <f>'Standard Vorgaben'!B100</f>
        <v>Stickstoff</v>
      </c>
      <c r="CI18" s="667">
        <f>'Standard Vorgaben'!B112</f>
        <v>2</v>
      </c>
      <c r="CJ18" s="104">
        <f>'Standard Vorgaben'!B111</f>
        <v>200</v>
      </c>
      <c r="CK18" s="105">
        <f>'Standard Vorgaben'!B101</f>
        <v>0.95</v>
      </c>
      <c r="CL18" s="30">
        <f>CJ18*CK18</f>
        <v>190</v>
      </c>
      <c r="CM18" s="652">
        <f>CL18/$CL$81</f>
        <v>5.2479727785825579E-3</v>
      </c>
      <c r="CN18" s="40"/>
      <c r="CO18" s="29" t="str">
        <f>'Standard Vorgaben'!B100</f>
        <v>Stickstoff</v>
      </c>
      <c r="CP18" s="667">
        <f>'Standard Vorgaben'!B112</f>
        <v>2</v>
      </c>
      <c r="CQ18" s="104">
        <f>'Standard Vorgaben'!B111</f>
        <v>200</v>
      </c>
      <c r="CR18" s="105">
        <f>'Standard Vorgaben'!B101</f>
        <v>0.95</v>
      </c>
      <c r="CS18" s="30">
        <f>CQ18*CR18</f>
        <v>190</v>
      </c>
      <c r="CT18" s="652">
        <f>CS18/$CS$81</f>
        <v>5.2288140183506943E-3</v>
      </c>
      <c r="CU18" s="40"/>
      <c r="CV18" s="29" t="str">
        <f>'Standard Vorgaben'!B100</f>
        <v>Stickstoff</v>
      </c>
      <c r="CW18" s="667">
        <f>'Standard Vorgaben'!B112</f>
        <v>2</v>
      </c>
      <c r="CX18" s="104">
        <f>'Standard Vorgaben'!B111</f>
        <v>200</v>
      </c>
      <c r="CY18" s="105">
        <f>'Standard Vorgaben'!B101</f>
        <v>0.95</v>
      </c>
      <c r="CZ18" s="30">
        <f>CX18*CY18</f>
        <v>190</v>
      </c>
      <c r="DA18" s="652">
        <f>CZ18/$CZ$81</f>
        <v>4.6307057176666446E-3</v>
      </c>
    </row>
    <row r="19" spans="1:105" ht="12.75" x14ac:dyDescent="0.2">
      <c r="A19" s="17"/>
      <c r="B19" s="29" t="str">
        <f>'Standard Vorgaben'!C100</f>
        <v>Grundüngung</v>
      </c>
      <c r="C19" s="667">
        <f>'Standard Vorgaben'!C106</f>
        <v>0</v>
      </c>
      <c r="D19" s="104">
        <f>'Standard Vorgaben'!C105</f>
        <v>50</v>
      </c>
      <c r="E19" s="105">
        <f>'Standard Vorgaben'!C101</f>
        <v>0.43</v>
      </c>
      <c r="F19" s="30">
        <f>D19*E19*C19</f>
        <v>0</v>
      </c>
      <c r="G19" s="652">
        <f>F19/$F$81</f>
        <v>0</v>
      </c>
      <c r="H19" s="17"/>
      <c r="I19" s="29" t="str">
        <f>'Standard Vorgaben'!C100</f>
        <v>Grundüngung</v>
      </c>
      <c r="J19" s="667">
        <f>'Standard Vorgaben'!C108</f>
        <v>0</v>
      </c>
      <c r="K19" s="104">
        <f>'Standard Vorgaben'!C107</f>
        <v>125</v>
      </c>
      <c r="L19" s="105">
        <f>'Standard Vorgaben'!C101</f>
        <v>0.43</v>
      </c>
      <c r="M19" s="30">
        <f>K19*L19</f>
        <v>53.75</v>
      </c>
      <c r="N19" s="652">
        <f>M19/$M$81</f>
        <v>3.310891989078398E-3</v>
      </c>
      <c r="O19" s="17"/>
      <c r="P19" s="29" t="str">
        <f>'Standard Vorgaben'!C100</f>
        <v>Grundüngung</v>
      </c>
      <c r="Q19" s="667">
        <f>'Standard Vorgaben'!C110</f>
        <v>1</v>
      </c>
      <c r="R19" s="104">
        <f>'Standard Vorgaben'!C109</f>
        <v>200</v>
      </c>
      <c r="S19" s="105">
        <f>'Standard Vorgaben'!C101</f>
        <v>0.43</v>
      </c>
      <c r="T19" s="30">
        <f>R19*S19</f>
        <v>86</v>
      </c>
      <c r="U19" s="652">
        <f>T19/T$81</f>
        <v>2.8918732200731104E-3</v>
      </c>
      <c r="V19" s="17"/>
      <c r="W19" s="29" t="str">
        <f>'Standard Vorgaben'!C100</f>
        <v>Grundüngung</v>
      </c>
      <c r="X19" s="667">
        <f>'Standard Vorgaben'!C112</f>
        <v>1</v>
      </c>
      <c r="Y19" s="104">
        <f>'Standard Vorgaben'!C111</f>
        <v>400</v>
      </c>
      <c r="Z19" s="105">
        <f>'Standard Vorgaben'!C101</f>
        <v>0.43</v>
      </c>
      <c r="AA19" s="30">
        <f>Y19*Z19</f>
        <v>172</v>
      </c>
      <c r="AB19" s="652">
        <f>AA19/$AA$81</f>
        <v>5.1674873960330589E-3</v>
      </c>
      <c r="AC19" s="17"/>
      <c r="AD19" s="29" t="str">
        <f>'Standard Vorgaben'!C100</f>
        <v>Grundüngung</v>
      </c>
      <c r="AE19" s="667">
        <f>'Standard Vorgaben'!C112</f>
        <v>1</v>
      </c>
      <c r="AF19" s="104">
        <f>'Standard Vorgaben'!C111</f>
        <v>400</v>
      </c>
      <c r="AG19" s="105">
        <f>'Standard Vorgaben'!C101</f>
        <v>0.43</v>
      </c>
      <c r="AH19" s="30">
        <f>AF19*AG19</f>
        <v>172</v>
      </c>
      <c r="AI19" s="652">
        <f>AH19/$AH$81</f>
        <v>4.8627223957640915E-3</v>
      </c>
      <c r="AJ19" s="17"/>
      <c r="AK19" s="29" t="str">
        <f>'Standard Vorgaben'!C100</f>
        <v>Grundüngung</v>
      </c>
      <c r="AL19" s="667">
        <f>'Standard Vorgaben'!C112</f>
        <v>1</v>
      </c>
      <c r="AM19" s="104">
        <f>'Standard Vorgaben'!C111</f>
        <v>400</v>
      </c>
      <c r="AN19" s="105">
        <f>'Standard Vorgaben'!C101</f>
        <v>0.43</v>
      </c>
      <c r="AO19" s="30">
        <f>AM19*AN19</f>
        <v>172</v>
      </c>
      <c r="AP19" s="652">
        <f>AO19/$AO$81</f>
        <v>4.5989654584659744E-3</v>
      </c>
      <c r="AQ19" s="17"/>
      <c r="AR19" s="29" t="str">
        <f>'Standard Vorgaben'!C100</f>
        <v>Grundüngung</v>
      </c>
      <c r="AS19" s="667">
        <f>'Standard Vorgaben'!C112</f>
        <v>1</v>
      </c>
      <c r="AT19" s="104">
        <f>'Standard Vorgaben'!C111</f>
        <v>400</v>
      </c>
      <c r="AU19" s="105">
        <f>'Standard Vorgaben'!C101</f>
        <v>0.43</v>
      </c>
      <c r="AV19" s="30">
        <f>AT19*AU19</f>
        <v>172</v>
      </c>
      <c r="AW19" s="652">
        <f>AV19/$AV$81</f>
        <v>4.8406122332476818E-3</v>
      </c>
      <c r="AX19" s="17"/>
      <c r="AY19" s="29" t="str">
        <f>'Standard Vorgaben'!C100</f>
        <v>Grundüngung</v>
      </c>
      <c r="AZ19" s="667">
        <f>'Standard Vorgaben'!C112</f>
        <v>1</v>
      </c>
      <c r="BA19" s="104">
        <f>'Standard Vorgaben'!C111</f>
        <v>400</v>
      </c>
      <c r="BB19" s="105">
        <f>'Standard Vorgaben'!C101</f>
        <v>0.43</v>
      </c>
      <c r="BC19" s="30">
        <f>BA19*BB19</f>
        <v>172</v>
      </c>
      <c r="BD19" s="652">
        <f>BC19/$BC$81</f>
        <v>4.8398229865393065E-3</v>
      </c>
      <c r="BE19" s="17"/>
      <c r="BF19" s="29" t="str">
        <f>'Standard Vorgaben'!C100</f>
        <v>Grundüngung</v>
      </c>
      <c r="BG19" s="667">
        <f>'Standard Vorgaben'!C112</f>
        <v>1</v>
      </c>
      <c r="BH19" s="104">
        <f>'Standard Vorgaben'!C111</f>
        <v>400</v>
      </c>
      <c r="BI19" s="105">
        <f>'Standard Vorgaben'!C101</f>
        <v>0.43</v>
      </c>
      <c r="BJ19" s="30">
        <f>BH19*BI19</f>
        <v>172</v>
      </c>
      <c r="BK19" s="652">
        <f>BJ19/$BJ$81</f>
        <v>4.3924820662901197E-3</v>
      </c>
      <c r="BL19" s="17"/>
      <c r="BM19" s="29" t="str">
        <f>'Standard Vorgaben'!C100</f>
        <v>Grundüngung</v>
      </c>
      <c r="BN19" s="667">
        <f>'Standard Vorgaben'!C112</f>
        <v>1</v>
      </c>
      <c r="BO19" s="104">
        <f>'Standard Vorgaben'!C111</f>
        <v>400</v>
      </c>
      <c r="BP19" s="105">
        <f>'Standard Vorgaben'!C101</f>
        <v>0.43</v>
      </c>
      <c r="BQ19" s="30">
        <f>BO19*BP19</f>
        <v>172</v>
      </c>
      <c r="BR19" s="652">
        <f>BQ19/$BQ$81</f>
        <v>4.3290234419536945E-3</v>
      </c>
      <c r="BS19" s="17"/>
      <c r="BT19" s="29" t="str">
        <f>'Standard Vorgaben'!C100</f>
        <v>Grundüngung</v>
      </c>
      <c r="BU19" s="667">
        <f>'Standard Vorgaben'!C112</f>
        <v>1</v>
      </c>
      <c r="BV19" s="104">
        <f>'Standard Vorgaben'!C111</f>
        <v>400</v>
      </c>
      <c r="BW19" s="105">
        <f>'Standard Vorgaben'!C101</f>
        <v>0.43</v>
      </c>
      <c r="BX19" s="30">
        <f>BV19*BW19</f>
        <v>172</v>
      </c>
      <c r="BY19" s="652">
        <f>BX19/$BX$81</f>
        <v>4.6231203335689239E-3</v>
      </c>
      <c r="BZ19" s="17"/>
      <c r="CA19" s="29" t="str">
        <f>'Standard Vorgaben'!C100</f>
        <v>Grundüngung</v>
      </c>
      <c r="CB19" s="667">
        <f>'Standard Vorgaben'!C112</f>
        <v>1</v>
      </c>
      <c r="CC19" s="104">
        <f>'Standard Vorgaben'!C111</f>
        <v>400</v>
      </c>
      <c r="CD19" s="105">
        <f>'Standard Vorgaben'!C101</f>
        <v>0.43</v>
      </c>
      <c r="CE19" s="30">
        <f>CC19*CD19</f>
        <v>172</v>
      </c>
      <c r="CF19" s="652">
        <f>CE19/$CE$81</f>
        <v>4.8717759732629226E-3</v>
      </c>
      <c r="CG19" s="17"/>
      <c r="CH19" s="29" t="str">
        <f>'Standard Vorgaben'!C100</f>
        <v>Grundüngung</v>
      </c>
      <c r="CI19" s="667">
        <f>'Standard Vorgaben'!C112</f>
        <v>1</v>
      </c>
      <c r="CJ19" s="104">
        <f>'Standard Vorgaben'!C111</f>
        <v>400</v>
      </c>
      <c r="CK19" s="105">
        <f>'Standard Vorgaben'!C101</f>
        <v>0.43</v>
      </c>
      <c r="CL19" s="30">
        <f>CJ19*CK19</f>
        <v>172</v>
      </c>
      <c r="CM19" s="652">
        <f>CL19/$CL$81</f>
        <v>4.7507964100852633E-3</v>
      </c>
      <c r="CN19" s="17"/>
      <c r="CO19" s="29" t="str">
        <f>'Standard Vorgaben'!C100</f>
        <v>Grundüngung</v>
      </c>
      <c r="CP19" s="667">
        <f>'Standard Vorgaben'!C112</f>
        <v>1</v>
      </c>
      <c r="CQ19" s="104">
        <f>'Standard Vorgaben'!C111</f>
        <v>400</v>
      </c>
      <c r="CR19" s="105">
        <f>'Standard Vorgaben'!C101</f>
        <v>0.43</v>
      </c>
      <c r="CS19" s="30">
        <f>CQ19*CR19</f>
        <v>172</v>
      </c>
      <c r="CT19" s="652">
        <f>CS19/$CS$81</f>
        <v>4.7334526902964181E-3</v>
      </c>
      <c r="CU19" s="17"/>
      <c r="CV19" s="29" t="str">
        <f>'Standard Vorgaben'!C100</f>
        <v>Grundüngung</v>
      </c>
      <c r="CW19" s="667">
        <f>'Standard Vorgaben'!C112</f>
        <v>1</v>
      </c>
      <c r="CX19" s="104">
        <f>'Standard Vorgaben'!C111</f>
        <v>400</v>
      </c>
      <c r="CY19" s="105">
        <f>'Standard Vorgaben'!C101</f>
        <v>0.43</v>
      </c>
      <c r="CZ19" s="30">
        <f>CX19*CY19</f>
        <v>172</v>
      </c>
      <c r="DA19" s="652">
        <f>CZ19/$CZ$81</f>
        <v>4.1920072812561202E-3</v>
      </c>
    </row>
    <row r="20" spans="1:105" ht="13.5" thickBot="1" x14ac:dyDescent="0.25">
      <c r="A20" s="17"/>
      <c r="B20" s="29" t="str">
        <f>'Standard Vorgaben'!$D$100</f>
        <v>Hühnermist</v>
      </c>
      <c r="C20" s="655">
        <f>'Standard Vorgaben'!D106</f>
        <v>0</v>
      </c>
      <c r="D20" s="1360">
        <f>'Standard Vorgaben'!D105</f>
        <v>0</v>
      </c>
      <c r="E20" s="1361">
        <f>'Standard Vorgaben'!$D$101</f>
        <v>0.35</v>
      </c>
      <c r="F20" s="655">
        <f>C20*D20*E20</f>
        <v>0</v>
      </c>
      <c r="G20" s="652"/>
      <c r="H20" s="17"/>
      <c r="I20" s="29" t="str">
        <f>'Standard Vorgaben'!$D$100</f>
        <v>Hühnermist</v>
      </c>
      <c r="J20" s="655">
        <f>'Standard Vorgaben'!D108</f>
        <v>0</v>
      </c>
      <c r="K20" s="1360">
        <f>'Standard Vorgaben'!D107</f>
        <v>0</v>
      </c>
      <c r="L20" s="1361">
        <f>'Standard Vorgaben'!$D$101</f>
        <v>0.35</v>
      </c>
      <c r="M20" s="655">
        <f>J20*K20*L20</f>
        <v>0</v>
      </c>
      <c r="N20" s="652"/>
      <c r="O20" s="17"/>
      <c r="P20" s="29" t="str">
        <f>'Standard Vorgaben'!$D$100</f>
        <v>Hühnermist</v>
      </c>
      <c r="Q20" s="655">
        <f>'Standard Vorgaben'!D110</f>
        <v>0</v>
      </c>
      <c r="R20" s="1360">
        <f>'Standard Vorgaben'!D109</f>
        <v>0</v>
      </c>
      <c r="S20" s="1361">
        <f>'Standard Vorgaben'!$D$101</f>
        <v>0.35</v>
      </c>
      <c r="T20" s="677">
        <f>Q20*R20*S20</f>
        <v>0</v>
      </c>
      <c r="U20" s="652"/>
      <c r="V20" s="17"/>
      <c r="W20" s="29" t="str">
        <f>'Standard Vorgaben'!$D$100</f>
        <v>Hühnermist</v>
      </c>
      <c r="X20" s="655">
        <f>'Standard Vorgaben'!$D$112</f>
        <v>1</v>
      </c>
      <c r="Y20" s="1360">
        <f>'Standard Vorgaben'!$D$111</f>
        <v>1000</v>
      </c>
      <c r="Z20" s="1361">
        <f>'Standard Vorgaben'!$D$101</f>
        <v>0.35</v>
      </c>
      <c r="AA20" s="677">
        <f>X20*Y20*Z20</f>
        <v>350</v>
      </c>
      <c r="AB20" s="652"/>
      <c r="AC20" s="17"/>
      <c r="AD20" s="29" t="str">
        <f>'Standard Vorgaben'!$D$100</f>
        <v>Hühnermist</v>
      </c>
      <c r="AE20" s="655">
        <f>'Standard Vorgaben'!$D$112</f>
        <v>1</v>
      </c>
      <c r="AF20" s="1360">
        <f>'Standard Vorgaben'!$D$111</f>
        <v>1000</v>
      </c>
      <c r="AG20" s="1361">
        <f>'Standard Vorgaben'!$D$101</f>
        <v>0.35</v>
      </c>
      <c r="AH20" s="677">
        <f>AE20*AF20*AG20</f>
        <v>350</v>
      </c>
      <c r="AI20" s="652"/>
      <c r="AJ20" s="17"/>
      <c r="AK20" s="29" t="str">
        <f>'Standard Vorgaben'!$D$100</f>
        <v>Hühnermist</v>
      </c>
      <c r="AL20" s="655">
        <f>'Standard Vorgaben'!$D$112</f>
        <v>1</v>
      </c>
      <c r="AM20" s="1360">
        <f>'Standard Vorgaben'!$D$111</f>
        <v>1000</v>
      </c>
      <c r="AN20" s="1361">
        <f>'Standard Vorgaben'!$D$101</f>
        <v>0.35</v>
      </c>
      <c r="AO20" s="677">
        <f>AL20*AM20*AN20</f>
        <v>350</v>
      </c>
      <c r="AP20" s="652"/>
      <c r="AQ20" s="17"/>
      <c r="AR20" s="29" t="str">
        <f>'Standard Vorgaben'!$D$100</f>
        <v>Hühnermist</v>
      </c>
      <c r="AS20" s="655">
        <f>'Standard Vorgaben'!$D$112</f>
        <v>1</v>
      </c>
      <c r="AT20" s="1360">
        <f>'Standard Vorgaben'!$D$111</f>
        <v>1000</v>
      </c>
      <c r="AU20" s="1361">
        <f>'Standard Vorgaben'!$D$101</f>
        <v>0.35</v>
      </c>
      <c r="AV20" s="677">
        <f>AS20*AT20*AU20</f>
        <v>350</v>
      </c>
      <c r="AW20" s="652"/>
      <c r="AX20" s="17"/>
      <c r="AY20" s="29" t="str">
        <f>'Standard Vorgaben'!$D$100</f>
        <v>Hühnermist</v>
      </c>
      <c r="AZ20" s="655">
        <f>'Standard Vorgaben'!$D$112</f>
        <v>1</v>
      </c>
      <c r="BA20" s="1360">
        <f>'Standard Vorgaben'!$D$111</f>
        <v>1000</v>
      </c>
      <c r="BB20" s="1361">
        <f>'Standard Vorgaben'!$D$101</f>
        <v>0.35</v>
      </c>
      <c r="BC20" s="677">
        <f>AZ20*BA20*BB20</f>
        <v>350</v>
      </c>
      <c r="BD20" s="652"/>
      <c r="BE20" s="17"/>
      <c r="BF20" s="29" t="str">
        <f>'Standard Vorgaben'!$D$100</f>
        <v>Hühnermist</v>
      </c>
      <c r="BG20" s="655">
        <f>'Standard Vorgaben'!$D$112</f>
        <v>1</v>
      </c>
      <c r="BH20" s="1360">
        <f>'Standard Vorgaben'!$D$111</f>
        <v>1000</v>
      </c>
      <c r="BI20" s="1361">
        <f>'Standard Vorgaben'!$D$101</f>
        <v>0.35</v>
      </c>
      <c r="BJ20" s="677">
        <f>BG20*BH20*BI20</f>
        <v>350</v>
      </c>
      <c r="BK20" s="652"/>
      <c r="BL20" s="17"/>
      <c r="BM20" s="29" t="str">
        <f>'Standard Vorgaben'!$D$100</f>
        <v>Hühnermist</v>
      </c>
      <c r="BN20" s="655">
        <f>'Standard Vorgaben'!$D$112</f>
        <v>1</v>
      </c>
      <c r="BO20" s="1360">
        <f>'Standard Vorgaben'!$D$111</f>
        <v>1000</v>
      </c>
      <c r="BP20" s="1361">
        <f>'Standard Vorgaben'!$D$101</f>
        <v>0.35</v>
      </c>
      <c r="BQ20" s="677">
        <f>BN20*BO20*BP20</f>
        <v>350</v>
      </c>
      <c r="BR20" s="652"/>
      <c r="BS20" s="17"/>
      <c r="BT20" s="29" t="str">
        <f>'Standard Vorgaben'!$D$100</f>
        <v>Hühnermist</v>
      </c>
      <c r="BU20" s="655">
        <f>'Standard Vorgaben'!$D$112</f>
        <v>1</v>
      </c>
      <c r="BV20" s="1360">
        <f>'Standard Vorgaben'!$D$111</f>
        <v>1000</v>
      </c>
      <c r="BW20" s="1361">
        <f>'Standard Vorgaben'!$D$101</f>
        <v>0.35</v>
      </c>
      <c r="BX20" s="677">
        <f>BU20*BV20*BW20</f>
        <v>350</v>
      </c>
      <c r="BY20" s="652"/>
      <c r="BZ20" s="17"/>
      <c r="CA20" s="29" t="str">
        <f>'Standard Vorgaben'!$D$100</f>
        <v>Hühnermist</v>
      </c>
      <c r="CB20" s="655">
        <f>'Standard Vorgaben'!$D$112</f>
        <v>1</v>
      </c>
      <c r="CC20" s="1360">
        <f>'Standard Vorgaben'!$D$111</f>
        <v>1000</v>
      </c>
      <c r="CD20" s="1361">
        <f>'Standard Vorgaben'!$D$101</f>
        <v>0.35</v>
      </c>
      <c r="CE20" s="677">
        <f>CB20*CC20*CD20</f>
        <v>350</v>
      </c>
      <c r="CF20" s="652"/>
      <c r="CG20" s="17"/>
      <c r="CH20" s="29" t="str">
        <f>'Standard Vorgaben'!$D$100</f>
        <v>Hühnermist</v>
      </c>
      <c r="CI20" s="655">
        <f>'Standard Vorgaben'!$D$112</f>
        <v>1</v>
      </c>
      <c r="CJ20" s="1360">
        <f>'Standard Vorgaben'!$D$111</f>
        <v>1000</v>
      </c>
      <c r="CK20" s="1361">
        <f>'Standard Vorgaben'!$D$101</f>
        <v>0.35</v>
      </c>
      <c r="CL20" s="677">
        <f>CI20*CJ20*CK20</f>
        <v>350</v>
      </c>
      <c r="CM20" s="652"/>
      <c r="CN20" s="17"/>
      <c r="CO20" s="29" t="str">
        <f>'Standard Vorgaben'!$D$100</f>
        <v>Hühnermist</v>
      </c>
      <c r="CP20" s="655">
        <f>'Standard Vorgaben'!$D$112</f>
        <v>1</v>
      </c>
      <c r="CQ20" s="1360">
        <f>'Standard Vorgaben'!$D$111</f>
        <v>1000</v>
      </c>
      <c r="CR20" s="1361">
        <f>'Standard Vorgaben'!$D$101</f>
        <v>0.35</v>
      </c>
      <c r="CS20" s="677">
        <f>CP20*CQ20*CR20</f>
        <v>350</v>
      </c>
      <c r="CT20" s="652"/>
      <c r="CU20" s="17"/>
      <c r="CV20" s="29" t="str">
        <f>'Standard Vorgaben'!$D$100</f>
        <v>Hühnermist</v>
      </c>
      <c r="CW20" s="655">
        <f>'Standard Vorgaben'!$D$112</f>
        <v>1</v>
      </c>
      <c r="CX20" s="1360">
        <f>'Standard Vorgaben'!$D$111</f>
        <v>1000</v>
      </c>
      <c r="CY20" s="1361">
        <f>'Standard Vorgaben'!$D$101</f>
        <v>0.35</v>
      </c>
      <c r="CZ20" s="677">
        <f>CW20*CX20*CY20</f>
        <v>350</v>
      </c>
      <c r="DA20" s="652"/>
    </row>
    <row r="21" spans="1:105" s="1" customFormat="1" ht="12.75" x14ac:dyDescent="0.2">
      <c r="A21" s="40"/>
      <c r="B21" s="41"/>
      <c r="C21" s="43">
        <f>SUM(C18:C20)</f>
        <v>0</v>
      </c>
      <c r="D21" s="43"/>
      <c r="E21" s="44"/>
      <c r="F21" s="81">
        <f>SUM(F18:F20)</f>
        <v>0</v>
      </c>
      <c r="G21" s="649">
        <f>F21/$F$81</f>
        <v>0</v>
      </c>
      <c r="H21" s="40"/>
      <c r="I21" s="41"/>
      <c r="J21" s="43">
        <f>SUM(J18:J20)</f>
        <v>1</v>
      </c>
      <c r="K21" s="43"/>
      <c r="L21" s="44"/>
      <c r="M21" s="81">
        <f>SUM(M18:M20)</f>
        <v>148.75</v>
      </c>
      <c r="N21" s="649">
        <f>M21/$M$81</f>
        <v>9.1627010860541713E-3</v>
      </c>
      <c r="O21" s="40"/>
      <c r="P21" s="41"/>
      <c r="Q21" s="43">
        <f>SUM(Q18:Q20)</f>
        <v>2</v>
      </c>
      <c r="R21" s="43"/>
      <c r="S21" s="44"/>
      <c r="T21" s="81">
        <f>SUM(T18:T20)</f>
        <v>228.5</v>
      </c>
      <c r="U21" s="649">
        <f>T21/T$81</f>
        <v>7.6836398928686713E-3</v>
      </c>
      <c r="V21" s="40"/>
      <c r="W21" s="41"/>
      <c r="X21" s="43">
        <f>SUM(X18:X20)</f>
        <v>4</v>
      </c>
      <c r="Y21" s="43"/>
      <c r="Z21" s="44"/>
      <c r="AA21" s="81">
        <f>SUM(AA18:AA20)</f>
        <v>712</v>
      </c>
      <c r="AB21" s="649">
        <f>AA21/$AA$81</f>
        <v>2.1390994337067079E-2</v>
      </c>
      <c r="AC21" s="40"/>
      <c r="AD21" s="41"/>
      <c r="AE21" s="43">
        <f>SUM(AE18:AE20)</f>
        <v>4</v>
      </c>
      <c r="AF21" s="43"/>
      <c r="AG21" s="44"/>
      <c r="AH21" s="81">
        <f>SUM(AH18:AH20)</f>
        <v>712</v>
      </c>
      <c r="AI21" s="649">
        <f>AH21/$AH$81</f>
        <v>2.0129408987116473E-2</v>
      </c>
      <c r="AJ21" s="40"/>
      <c r="AK21" s="41"/>
      <c r="AL21" s="43">
        <f>SUM(AL18:AL20)</f>
        <v>4</v>
      </c>
      <c r="AM21" s="43"/>
      <c r="AN21" s="44"/>
      <c r="AO21" s="81">
        <f>SUM(AO18:AO20)</f>
        <v>712</v>
      </c>
      <c r="AP21" s="649">
        <f>AO21/$AO$81</f>
        <v>1.9037577944347524E-2</v>
      </c>
      <c r="AQ21" s="40"/>
      <c r="AR21" s="41"/>
      <c r="AS21" s="43">
        <f>SUM(AS18:AS20)</f>
        <v>4</v>
      </c>
      <c r="AT21" s="43"/>
      <c r="AU21" s="44"/>
      <c r="AV21" s="81">
        <f>SUM(AV18:AV20)</f>
        <v>712</v>
      </c>
      <c r="AW21" s="649">
        <f>AV21/$AV$81</f>
        <v>2.0037883198095054E-2</v>
      </c>
      <c r="AX21" s="40"/>
      <c r="AY21" s="41"/>
      <c r="AZ21" s="43">
        <f>SUM(AZ18:AZ20)</f>
        <v>4</v>
      </c>
      <c r="BA21" s="43"/>
      <c r="BB21" s="44"/>
      <c r="BC21" s="81">
        <f>SUM(BC18:BC20)</f>
        <v>712</v>
      </c>
      <c r="BD21" s="649">
        <f>BC21/$BC$81</f>
        <v>2.0034616083813874E-2</v>
      </c>
      <c r="BE21" s="40"/>
      <c r="BF21" s="41"/>
      <c r="BG21" s="43">
        <f>SUM(BG18:BG20)</f>
        <v>4</v>
      </c>
      <c r="BH21" s="43"/>
      <c r="BI21" s="44"/>
      <c r="BJ21" s="81">
        <f>SUM(BJ18:BJ20)</f>
        <v>712</v>
      </c>
      <c r="BK21" s="649">
        <f>BJ21/$BJ$81</f>
        <v>1.8182832739526544E-2</v>
      </c>
      <c r="BL21" s="40"/>
      <c r="BM21" s="41"/>
      <c r="BN21" s="43">
        <f>SUM(BN18:BN20)</f>
        <v>4</v>
      </c>
      <c r="BO21" s="43"/>
      <c r="BP21" s="44"/>
      <c r="BQ21" s="81">
        <f>SUM(BQ18:BQ20)</f>
        <v>712</v>
      </c>
      <c r="BR21" s="649">
        <f>BQ21/$BQ$81</f>
        <v>1.7920143550412968E-2</v>
      </c>
      <c r="BS21" s="40"/>
      <c r="BT21" s="41"/>
      <c r="BU21" s="43">
        <f>SUM(BU18:BU20)</f>
        <v>4</v>
      </c>
      <c r="BV21" s="43"/>
      <c r="BW21" s="44"/>
      <c r="BX21" s="81">
        <f>SUM(BX18:BX20)</f>
        <v>712</v>
      </c>
      <c r="BY21" s="649">
        <f>BX21/$BX$81</f>
        <v>1.9137567892448103E-2</v>
      </c>
      <c r="BZ21" s="40"/>
      <c r="CA21" s="41"/>
      <c r="CB21" s="43">
        <f>SUM(CB18:CB20)</f>
        <v>4</v>
      </c>
      <c r="CC21" s="43"/>
      <c r="CD21" s="44"/>
      <c r="CE21" s="81">
        <f>SUM(CE18:CE20)</f>
        <v>712</v>
      </c>
      <c r="CF21" s="649">
        <f>CE21/$CE$81</f>
        <v>2.0166886586995354E-2</v>
      </c>
      <c r="CG21" s="40"/>
      <c r="CH21" s="41"/>
      <c r="CI21" s="43">
        <f>SUM(CI18:CI20)</f>
        <v>4</v>
      </c>
      <c r="CJ21" s="43"/>
      <c r="CK21" s="44"/>
      <c r="CL21" s="81">
        <f>SUM(CL18:CL20)</f>
        <v>712</v>
      </c>
      <c r="CM21" s="649">
        <f>CL21/$CL$81</f>
        <v>1.966608746500411E-2</v>
      </c>
      <c r="CN21" s="40"/>
      <c r="CO21" s="41"/>
      <c r="CP21" s="43">
        <f>SUM(CP18:CP20)</f>
        <v>4</v>
      </c>
      <c r="CQ21" s="43"/>
      <c r="CR21" s="44"/>
      <c r="CS21" s="81">
        <f>SUM(CS18:CS20)</f>
        <v>712</v>
      </c>
      <c r="CT21" s="649">
        <f>CS21/$CS$81</f>
        <v>1.9594292531924708E-2</v>
      </c>
      <c r="CU21" s="40"/>
      <c r="CV21" s="41"/>
      <c r="CW21" s="43">
        <f>SUM(CW18:CW20)</f>
        <v>4</v>
      </c>
      <c r="CX21" s="43"/>
      <c r="CY21" s="44"/>
      <c r="CZ21" s="81">
        <f>SUM(CZ18:CZ20)</f>
        <v>712</v>
      </c>
      <c r="DA21" s="649">
        <f>CZ21/$CZ$81</f>
        <v>1.7352960373571844E-2</v>
      </c>
    </row>
    <row r="22" spans="1:105" ht="12.75" x14ac:dyDescent="0.2">
      <c r="A22" s="17"/>
      <c r="B22" s="29"/>
      <c r="C22" s="11"/>
      <c r="D22" s="11"/>
      <c r="E22" s="105"/>
      <c r="F22" s="110"/>
      <c r="G22" s="652"/>
      <c r="H22" s="17"/>
      <c r="I22" s="29"/>
      <c r="J22" s="11"/>
      <c r="K22" s="11"/>
      <c r="L22" s="105"/>
      <c r="M22" s="110"/>
      <c r="N22" s="652"/>
      <c r="O22" s="17"/>
      <c r="P22" s="29"/>
      <c r="Q22" s="11"/>
      <c r="R22" s="11"/>
      <c r="S22" s="105"/>
      <c r="T22" s="110"/>
      <c r="U22" s="652"/>
      <c r="V22" s="17"/>
      <c r="W22" s="29"/>
      <c r="X22" s="11"/>
      <c r="Y22" s="11"/>
      <c r="Z22" s="105"/>
      <c r="AA22" s="110"/>
      <c r="AB22" s="652"/>
      <c r="AC22" s="17"/>
      <c r="AD22" s="29"/>
      <c r="AE22" s="11"/>
      <c r="AF22" s="11"/>
      <c r="AG22" s="105"/>
      <c r="AH22" s="110"/>
      <c r="AI22" s="652"/>
      <c r="AJ22" s="17"/>
      <c r="AK22" s="29"/>
      <c r="AL22" s="11"/>
      <c r="AM22" s="11"/>
      <c r="AN22" s="105"/>
      <c r="AO22" s="110"/>
      <c r="AP22" s="652"/>
      <c r="AQ22" s="17"/>
      <c r="AR22" s="29"/>
      <c r="AS22" s="11"/>
      <c r="AT22" s="11"/>
      <c r="AU22" s="105"/>
      <c r="AV22" s="110"/>
      <c r="AW22" s="652"/>
      <c r="AX22" s="17"/>
      <c r="AY22" s="29"/>
      <c r="AZ22" s="11"/>
      <c r="BA22" s="11"/>
      <c r="BB22" s="105"/>
      <c r="BC22" s="110"/>
      <c r="BD22" s="652"/>
      <c r="BE22" s="17"/>
      <c r="BF22" s="29"/>
      <c r="BG22" s="11"/>
      <c r="BH22" s="11"/>
      <c r="BI22" s="105"/>
      <c r="BJ22" s="110"/>
      <c r="BK22" s="652"/>
      <c r="BL22" s="17"/>
      <c r="BM22" s="29"/>
      <c r="BN22" s="11"/>
      <c r="BO22" s="11"/>
      <c r="BP22" s="105"/>
      <c r="BQ22" s="110"/>
      <c r="BR22" s="652"/>
      <c r="BS22" s="17"/>
      <c r="BT22" s="29"/>
      <c r="BU22" s="11"/>
      <c r="BV22" s="11"/>
      <c r="BW22" s="105"/>
      <c r="BX22" s="110"/>
      <c r="BY22" s="652"/>
      <c r="BZ22" s="17"/>
      <c r="CA22" s="29"/>
      <c r="CB22" s="11"/>
      <c r="CC22" s="11"/>
      <c r="CD22" s="105"/>
      <c r="CE22" s="110"/>
      <c r="CF22" s="652"/>
      <c r="CG22" s="17"/>
      <c r="CH22" s="29"/>
      <c r="CI22" s="11"/>
      <c r="CJ22" s="11"/>
      <c r="CK22" s="105"/>
      <c r="CL22" s="110"/>
      <c r="CM22" s="652"/>
      <c r="CN22" s="17"/>
      <c r="CO22" s="29"/>
      <c r="CP22" s="11"/>
      <c r="CQ22" s="11"/>
      <c r="CR22" s="105"/>
      <c r="CS22" s="110"/>
      <c r="CT22" s="652"/>
      <c r="CU22" s="17"/>
      <c r="CV22" s="29"/>
      <c r="CW22" s="11"/>
      <c r="CX22" s="11"/>
      <c r="CY22" s="105"/>
      <c r="CZ22" s="110"/>
      <c r="DA22" s="652"/>
    </row>
    <row r="23" spans="1:105" ht="12.75" x14ac:dyDescent="0.2">
      <c r="A23" s="17" t="str">
        <f>'Standard Vorgaben'!A114:H114</f>
        <v xml:space="preserve">Pflanzenschutzmittel, Wachstumstregulatoren und Blattdüngung                                                                          </v>
      </c>
      <c r="B23" s="29"/>
      <c r="C23" s="11"/>
      <c r="D23" s="11"/>
      <c r="E23" s="105"/>
      <c r="F23" s="110"/>
      <c r="G23" s="653"/>
      <c r="H23" s="17" t="s">
        <v>637</v>
      </c>
      <c r="I23" s="29"/>
      <c r="J23" s="11"/>
      <c r="K23" s="11"/>
      <c r="L23" s="105"/>
      <c r="M23" s="110"/>
      <c r="N23" s="653"/>
      <c r="O23" s="17" t="s">
        <v>637</v>
      </c>
      <c r="P23" s="29"/>
      <c r="Q23" s="11"/>
      <c r="R23" s="11"/>
      <c r="S23" s="105"/>
      <c r="T23" s="110"/>
      <c r="U23" s="653"/>
      <c r="V23" s="17" t="s">
        <v>637</v>
      </c>
      <c r="W23" s="29"/>
      <c r="X23" s="11"/>
      <c r="Y23" s="11"/>
      <c r="Z23" s="105"/>
      <c r="AA23" s="110"/>
      <c r="AB23" s="653"/>
      <c r="AC23" s="17" t="s">
        <v>637</v>
      </c>
      <c r="AD23" s="29"/>
      <c r="AE23" s="11"/>
      <c r="AF23" s="11"/>
      <c r="AG23" s="105"/>
      <c r="AH23" s="110"/>
      <c r="AI23" s="653"/>
      <c r="AJ23" s="17" t="s">
        <v>637</v>
      </c>
      <c r="AK23" s="29"/>
      <c r="AL23" s="11"/>
      <c r="AM23" s="11"/>
      <c r="AN23" s="105"/>
      <c r="AO23" s="110"/>
      <c r="AP23" s="653"/>
      <c r="AQ23" s="17" t="s">
        <v>637</v>
      </c>
      <c r="AR23" s="29"/>
      <c r="AS23" s="11"/>
      <c r="AT23" s="11"/>
      <c r="AU23" s="105"/>
      <c r="AV23" s="110"/>
      <c r="AW23" s="653"/>
      <c r="AX23" s="17" t="s">
        <v>637</v>
      </c>
      <c r="AY23" s="29"/>
      <c r="AZ23" s="11"/>
      <c r="BA23" s="11"/>
      <c r="BB23" s="105"/>
      <c r="BC23" s="110"/>
      <c r="BD23" s="653"/>
      <c r="BE23" s="17" t="s">
        <v>637</v>
      </c>
      <c r="BF23" s="29"/>
      <c r="BG23" s="11"/>
      <c r="BH23" s="11"/>
      <c r="BI23" s="105"/>
      <c r="BJ23" s="110"/>
      <c r="BK23" s="653"/>
      <c r="BL23" s="17" t="s">
        <v>637</v>
      </c>
      <c r="BM23" s="29"/>
      <c r="BN23" s="11"/>
      <c r="BO23" s="11"/>
      <c r="BP23" s="105"/>
      <c r="BQ23" s="110"/>
      <c r="BR23" s="653"/>
      <c r="BS23" s="17" t="s">
        <v>637</v>
      </c>
      <c r="BT23" s="29"/>
      <c r="BU23" s="11"/>
      <c r="BV23" s="11"/>
      <c r="BW23" s="105"/>
      <c r="BX23" s="110"/>
      <c r="BY23" s="653"/>
      <c r="BZ23" s="17" t="s">
        <v>637</v>
      </c>
      <c r="CA23" s="29"/>
      <c r="CB23" s="11"/>
      <c r="CC23" s="11"/>
      <c r="CD23" s="105"/>
      <c r="CE23" s="110"/>
      <c r="CF23" s="653"/>
      <c r="CG23" s="17" t="s">
        <v>637</v>
      </c>
      <c r="CH23" s="29"/>
      <c r="CI23" s="11"/>
      <c r="CJ23" s="11"/>
      <c r="CK23" s="105"/>
      <c r="CL23" s="110"/>
      <c r="CM23" s="653"/>
      <c r="CN23" s="17" t="s">
        <v>637</v>
      </c>
      <c r="CO23" s="29"/>
      <c r="CP23" s="11"/>
      <c r="CQ23" s="11"/>
      <c r="CR23" s="105"/>
      <c r="CS23" s="110"/>
      <c r="CT23" s="653"/>
      <c r="CU23" s="17" t="s">
        <v>637</v>
      </c>
      <c r="CV23" s="29"/>
      <c r="CW23" s="11"/>
      <c r="CX23" s="11"/>
      <c r="CY23" s="105"/>
      <c r="CZ23" s="110"/>
      <c r="DA23" s="653"/>
    </row>
    <row r="24" spans="1:105" ht="21.2" customHeight="1" x14ac:dyDescent="0.2">
      <c r="A24" s="1334"/>
      <c r="B24" s="13"/>
      <c r="F24" s="30"/>
      <c r="G24" s="653"/>
      <c r="H24" s="1334"/>
      <c r="I24" s="13"/>
      <c r="J24" s="11"/>
      <c r="K24" s="280"/>
      <c r="L24" s="105"/>
      <c r="M24" s="30"/>
      <c r="N24" s="653"/>
      <c r="O24" s="1334"/>
      <c r="P24" s="13"/>
      <c r="Q24" s="11"/>
      <c r="R24" s="280"/>
      <c r="S24" s="105"/>
      <c r="T24" s="30"/>
      <c r="U24" s="653"/>
      <c r="V24" s="1334"/>
      <c r="W24" s="13"/>
      <c r="X24" s="11"/>
      <c r="Y24" s="280"/>
      <c r="Z24" s="105"/>
      <c r="AA24" s="30"/>
      <c r="AB24" s="653"/>
      <c r="AC24" s="1334"/>
      <c r="AD24" s="13"/>
      <c r="AE24" s="11"/>
      <c r="AF24" s="280"/>
      <c r="AG24" s="105"/>
      <c r="AH24" s="30"/>
      <c r="AI24" s="653"/>
      <c r="AJ24" s="1334"/>
      <c r="AK24" s="13"/>
      <c r="AL24" s="11"/>
      <c r="AM24" s="280"/>
      <c r="AN24" s="105"/>
      <c r="AO24" s="30"/>
      <c r="AP24" s="653"/>
      <c r="AQ24" s="1334"/>
      <c r="AR24" s="13"/>
      <c r="AS24" s="11"/>
      <c r="AT24" s="280"/>
      <c r="AU24" s="105"/>
      <c r="AV24" s="30"/>
      <c r="AW24" s="653"/>
      <c r="AX24" s="1334"/>
      <c r="AY24" s="13"/>
      <c r="AZ24" s="11"/>
      <c r="BA24" s="280"/>
      <c r="BB24" s="105"/>
      <c r="BC24" s="30"/>
      <c r="BD24" s="653"/>
      <c r="BE24" s="1334"/>
      <c r="BF24" s="13"/>
      <c r="BG24" s="11"/>
      <c r="BH24" s="280"/>
      <c r="BI24" s="105"/>
      <c r="BJ24" s="30"/>
      <c r="BK24" s="653"/>
      <c r="BL24" s="1334"/>
      <c r="BM24" s="13"/>
      <c r="BN24" s="11"/>
      <c r="BO24" s="280"/>
      <c r="BP24" s="105"/>
      <c r="BQ24" s="30"/>
      <c r="BR24" s="653"/>
      <c r="BS24" s="1334"/>
      <c r="BT24" s="13"/>
      <c r="BU24" s="11"/>
      <c r="BV24" s="280"/>
      <c r="BW24" s="105"/>
      <c r="BX24" s="30"/>
      <c r="BY24" s="653"/>
      <c r="BZ24" s="1334"/>
      <c r="CA24" s="13"/>
      <c r="CB24" s="11"/>
      <c r="CC24" s="280"/>
      <c r="CD24" s="105"/>
      <c r="CE24" s="30"/>
      <c r="CF24" s="653"/>
      <c r="CG24" s="1334"/>
      <c r="CH24" s="13"/>
      <c r="CI24" s="11"/>
      <c r="CJ24" s="280"/>
      <c r="CK24" s="105"/>
      <c r="CL24" s="30"/>
      <c r="CM24" s="653"/>
      <c r="CN24" s="1334"/>
      <c r="CO24" s="13"/>
      <c r="CP24" s="11"/>
      <c r="CQ24" s="280"/>
      <c r="CR24" s="105"/>
      <c r="CS24" s="30"/>
      <c r="CT24" s="653"/>
      <c r="CU24" s="1334"/>
      <c r="CV24" s="13"/>
      <c r="CW24" s="11"/>
      <c r="CX24" s="280"/>
      <c r="CY24" s="105"/>
      <c r="CZ24" s="30"/>
      <c r="DA24" s="653"/>
    </row>
    <row r="25" spans="1:105" ht="12.75" x14ac:dyDescent="0.2">
      <c r="A25" s="193" t="str">
        <f>'Standard Vorgaben'!$A$118</f>
        <v>Fungizide</v>
      </c>
      <c r="B25" s="13"/>
      <c r="C25" s="13"/>
      <c r="D25" s="13"/>
      <c r="E25" s="357"/>
      <c r="F25" s="25">
        <f>'Standard Vorgaben'!B118</f>
        <v>1209</v>
      </c>
      <c r="G25" s="653">
        <f t="shared" ref="G25:G30" si="0">F25/$F$81</f>
        <v>9.482429956431368E-2</v>
      </c>
      <c r="H25" s="193" t="str">
        <f>'Standard Vorgaben'!$A$118</f>
        <v>Fungizide</v>
      </c>
      <c r="I25" s="13"/>
      <c r="J25" s="13"/>
      <c r="K25" s="13"/>
      <c r="L25" s="357"/>
      <c r="M25" s="25">
        <f>'Standard Vorgaben'!$C118</f>
        <v>1209</v>
      </c>
      <c r="N25" s="653">
        <f t="shared" ref="N25:N30" si="1">M25/$M$81</f>
        <v>7.4471970507828528E-2</v>
      </c>
      <c r="O25" s="193" t="str">
        <f>'Standard Vorgaben'!$A$118</f>
        <v>Fungizide</v>
      </c>
      <c r="P25" s="13"/>
      <c r="Q25" s="13"/>
      <c r="R25" s="13"/>
      <c r="S25" s="357"/>
      <c r="T25" s="25">
        <f>'Standard Vorgaben'!$D$118</f>
        <v>2844</v>
      </c>
      <c r="U25" s="653">
        <f t="shared" ref="U25:U30" si="2">T25/T$81</f>
        <v>9.5633574859161921E-2</v>
      </c>
      <c r="V25" s="193" t="str">
        <f>'Standard Vorgaben'!$A$118</f>
        <v>Fungizide</v>
      </c>
      <c r="W25" s="13"/>
      <c r="X25" s="13"/>
      <c r="Y25" s="13"/>
      <c r="Z25" s="357"/>
      <c r="AA25" s="25">
        <f>'Standard Vorgaben'!$D$118</f>
        <v>2844</v>
      </c>
      <c r="AB25" s="653">
        <f t="shared" ref="AB25:AB30" si="3">AA25/AA$81</f>
        <v>8.5443803222779183E-2</v>
      </c>
      <c r="AC25" s="193" t="str">
        <f>'Standard Vorgaben'!$A$118</f>
        <v>Fungizide</v>
      </c>
      <c r="AD25" s="13"/>
      <c r="AE25" s="13"/>
      <c r="AF25" s="13"/>
      <c r="AG25" s="357"/>
      <c r="AH25" s="25">
        <f>'Standard Vorgaben'!$D$118</f>
        <v>2844</v>
      </c>
      <c r="AI25" s="653">
        <f t="shared" ref="AI25:AI30" si="4">AH25/AH$81</f>
        <v>8.0404549381122542E-2</v>
      </c>
      <c r="AJ25" s="193" t="str">
        <f>'Standard Vorgaben'!$A$118</f>
        <v>Fungizide</v>
      </c>
      <c r="AK25" s="13"/>
      <c r="AL25" s="13"/>
      <c r="AM25" s="13"/>
      <c r="AN25" s="357"/>
      <c r="AO25" s="25">
        <f>'Standard Vorgaben'!$D$118</f>
        <v>2844</v>
      </c>
      <c r="AP25" s="653">
        <f t="shared" ref="AP25:AP30" si="5">AO25/AO$81</f>
        <v>7.6043359092309484E-2</v>
      </c>
      <c r="AQ25" s="193" t="str">
        <f>'Standard Vorgaben'!$A$118</f>
        <v>Fungizide</v>
      </c>
      <c r="AR25" s="13"/>
      <c r="AS25" s="13"/>
      <c r="AT25" s="13"/>
      <c r="AU25" s="357"/>
      <c r="AV25" s="25">
        <f>'Standard Vorgaben'!$D$118</f>
        <v>2844</v>
      </c>
      <c r="AW25" s="653">
        <f t="shared" ref="AW25:AW30" si="6">AV25/AV$81</f>
        <v>8.0038960414862831E-2</v>
      </c>
      <c r="AX25" s="193" t="str">
        <f>'Standard Vorgaben'!$A$118</f>
        <v>Fungizide</v>
      </c>
      <c r="AY25" s="13"/>
      <c r="AZ25" s="13"/>
      <c r="BA25" s="13"/>
      <c r="BB25" s="357"/>
      <c r="BC25" s="25">
        <f>'Standard Vorgaben'!$D$118</f>
        <v>2844</v>
      </c>
      <c r="BD25" s="653">
        <f t="shared" ref="BD25:BD30" si="7">BC25/BC$81</f>
        <v>8.0025910312312723E-2</v>
      </c>
      <c r="BE25" s="193" t="str">
        <f>'Standard Vorgaben'!$A$118</f>
        <v>Fungizide</v>
      </c>
      <c r="BF25" s="13"/>
      <c r="BG25" s="13"/>
      <c r="BH25" s="13"/>
      <c r="BI25" s="357"/>
      <c r="BJ25" s="25">
        <f>'Standard Vorgaben'!$D$118</f>
        <v>2844</v>
      </c>
      <c r="BK25" s="653">
        <f t="shared" ref="BK25:BK30" si="8">BJ25/BJ$81</f>
        <v>7.2629180212378491E-2</v>
      </c>
      <c r="BL25" s="193" t="str">
        <f>'Standard Vorgaben'!$A$118</f>
        <v>Fungizide</v>
      </c>
      <c r="BM25" s="13"/>
      <c r="BN25" s="13"/>
      <c r="BO25" s="13"/>
      <c r="BP25" s="357"/>
      <c r="BQ25" s="25">
        <f>'Standard Vorgaben'!$D$118</f>
        <v>2844</v>
      </c>
      <c r="BR25" s="653">
        <f t="shared" ref="BR25:BR30" si="9">BQ25/BQ$81</f>
        <v>7.1579899237885505E-2</v>
      </c>
      <c r="BS25" s="193" t="str">
        <f>'Standard Vorgaben'!$A$118</f>
        <v>Fungizide</v>
      </c>
      <c r="BT25" s="13"/>
      <c r="BU25" s="13"/>
      <c r="BV25" s="13"/>
      <c r="BW25" s="357"/>
      <c r="BX25" s="25">
        <f>'Standard Vorgaben'!$D$118</f>
        <v>2844</v>
      </c>
      <c r="BY25" s="653">
        <f t="shared" ref="BY25:BY30" si="10">BX25/BX$81</f>
        <v>7.6442757143430337E-2</v>
      </c>
      <c r="BZ25" s="193" t="str">
        <f>'Standard Vorgaben'!$A$118</f>
        <v>Fungizide</v>
      </c>
      <c r="CA25" s="13"/>
      <c r="CB25" s="13"/>
      <c r="CC25" s="13"/>
      <c r="CD25" s="357"/>
      <c r="CE25" s="25">
        <f>'Standard Vorgaben'!$D$118</f>
        <v>2844</v>
      </c>
      <c r="CF25" s="653">
        <f t="shared" ref="CF25:CF30" si="11">CE25/CE$81</f>
        <v>8.055424923232414E-2</v>
      </c>
      <c r="CG25" s="193" t="str">
        <f>'Standard Vorgaben'!$A$118</f>
        <v>Fungizide</v>
      </c>
      <c r="CH25" s="13"/>
      <c r="CI25" s="13"/>
      <c r="CJ25" s="13"/>
      <c r="CK25" s="357"/>
      <c r="CL25" s="25">
        <f>'Standard Vorgaben'!$D$118</f>
        <v>2844</v>
      </c>
      <c r="CM25" s="653">
        <f t="shared" ref="CM25:CM30" si="12">CL25/CL$81</f>
        <v>7.8553866222572599E-2</v>
      </c>
      <c r="CN25" s="193" t="str">
        <f>'Standard Vorgaben'!$A$118</f>
        <v>Fungizide</v>
      </c>
      <c r="CO25" s="13"/>
      <c r="CP25" s="13"/>
      <c r="CQ25" s="13"/>
      <c r="CR25" s="357"/>
      <c r="CS25" s="25">
        <f>'Standard Vorgaben'!$D$118</f>
        <v>2844</v>
      </c>
      <c r="CT25" s="653">
        <f t="shared" ref="CT25:CT30" si="13">CS25/CS$81</f>
        <v>7.8267089832575659E-2</v>
      </c>
      <c r="CU25" s="193" t="str">
        <f>'Standard Vorgaben'!$A$118</f>
        <v>Fungizide</v>
      </c>
      <c r="CV25" s="13"/>
      <c r="CW25" s="13"/>
      <c r="CX25" s="13"/>
      <c r="CY25" s="357"/>
      <c r="CZ25" s="25">
        <f>'Standard Vorgaben'!$D$118</f>
        <v>2844</v>
      </c>
      <c r="DA25" s="653">
        <f t="shared" ref="DA25:DA30" si="14">CZ25/CZ$81</f>
        <v>6.9314352952862826E-2</v>
      </c>
    </row>
    <row r="26" spans="1:105" ht="12.75" x14ac:dyDescent="0.2">
      <c r="A26" s="193" t="str">
        <f>'Standard Vorgaben'!$A$119</f>
        <v>Feuerbrandbekämpfung</v>
      </c>
      <c r="B26" s="13"/>
      <c r="C26" s="13"/>
      <c r="D26" s="13"/>
      <c r="E26" s="357"/>
      <c r="F26" s="25">
        <f>'Standard Vorgaben'!B119</f>
        <v>0</v>
      </c>
      <c r="G26" s="653">
        <f t="shared" si="0"/>
        <v>0</v>
      </c>
      <c r="H26" s="193" t="str">
        <f>'Standard Vorgaben'!$A$119</f>
        <v>Feuerbrandbekämpfung</v>
      </c>
      <c r="I26" s="13"/>
      <c r="J26" s="13"/>
      <c r="K26" s="13"/>
      <c r="L26" s="357"/>
      <c r="M26" s="25">
        <f>'Standard Vorgaben'!$C119</f>
        <v>0</v>
      </c>
      <c r="N26" s="653">
        <f t="shared" si="1"/>
        <v>0</v>
      </c>
      <c r="O26" s="193" t="str">
        <f>'Standard Vorgaben'!$A$119</f>
        <v>Feuerbrandbekämpfung</v>
      </c>
      <c r="P26" s="13"/>
      <c r="Q26" s="13"/>
      <c r="R26" s="13"/>
      <c r="S26" s="357"/>
      <c r="T26" s="25">
        <f>'Standard Vorgaben'!$D$119</f>
        <v>1057</v>
      </c>
      <c r="U26" s="653">
        <f t="shared" si="2"/>
        <v>3.5543139460666021E-2</v>
      </c>
      <c r="V26" s="193" t="str">
        <f>'Standard Vorgaben'!$A$119</f>
        <v>Feuerbrandbekämpfung</v>
      </c>
      <c r="W26" s="13"/>
      <c r="X26" s="13"/>
      <c r="Y26" s="13"/>
      <c r="Z26" s="357"/>
      <c r="AA26" s="25">
        <f>'Standard Vorgaben'!$D$119</f>
        <v>1057</v>
      </c>
      <c r="AB26" s="653">
        <f t="shared" si="3"/>
        <v>3.1756012660505484E-2</v>
      </c>
      <c r="AC26" s="193" t="str">
        <f>'Standard Vorgaben'!$A$119</f>
        <v>Feuerbrandbekämpfung</v>
      </c>
      <c r="AD26" s="13"/>
      <c r="AE26" s="13"/>
      <c r="AF26" s="13"/>
      <c r="AG26" s="357"/>
      <c r="AH26" s="25">
        <f>'Standard Vorgaben'!$D$119</f>
        <v>1057</v>
      </c>
      <c r="AI26" s="653">
        <f t="shared" si="4"/>
        <v>2.9883125420480494E-2</v>
      </c>
      <c r="AJ26" s="193" t="str">
        <f>'Standard Vorgaben'!$A$119</f>
        <v>Feuerbrandbekämpfung</v>
      </c>
      <c r="AK26" s="13"/>
      <c r="AL26" s="13"/>
      <c r="AM26" s="13"/>
      <c r="AN26" s="357"/>
      <c r="AO26" s="25">
        <f>'Standard Vorgaben'!$D$119</f>
        <v>1057</v>
      </c>
      <c r="AP26" s="653">
        <f t="shared" si="5"/>
        <v>2.8262247032549623E-2</v>
      </c>
      <c r="AQ26" s="193" t="str">
        <f>'Standard Vorgaben'!$A$119</f>
        <v>Feuerbrandbekämpfung</v>
      </c>
      <c r="AR26" s="13"/>
      <c r="AS26" s="13"/>
      <c r="AT26" s="13"/>
      <c r="AU26" s="357"/>
      <c r="AV26" s="25">
        <f>'Standard Vorgaben'!$D$119</f>
        <v>1057</v>
      </c>
      <c r="AW26" s="653">
        <f t="shared" si="6"/>
        <v>2.9747250758969765E-2</v>
      </c>
      <c r="AX26" s="193" t="str">
        <f>'Standard Vorgaben'!$A$119</f>
        <v>Feuerbrandbekämpfung</v>
      </c>
      <c r="AY26" s="13"/>
      <c r="AZ26" s="13"/>
      <c r="BA26" s="13"/>
      <c r="BB26" s="357"/>
      <c r="BC26" s="25">
        <f>'Standard Vorgaben'!$D$119</f>
        <v>1057</v>
      </c>
      <c r="BD26" s="653">
        <f t="shared" si="7"/>
        <v>2.9742400562628182E-2</v>
      </c>
      <c r="BE26" s="193" t="str">
        <f>'Standard Vorgaben'!$A$119</f>
        <v>Feuerbrandbekämpfung</v>
      </c>
      <c r="BF26" s="13"/>
      <c r="BG26" s="13"/>
      <c r="BH26" s="13"/>
      <c r="BI26" s="357"/>
      <c r="BJ26" s="25">
        <f>'Standard Vorgaben'!$D$119</f>
        <v>1057</v>
      </c>
      <c r="BK26" s="653">
        <f t="shared" si="8"/>
        <v>2.6993334558538702E-2</v>
      </c>
      <c r="BL26" s="193" t="str">
        <f>'Standard Vorgaben'!$A$119</f>
        <v>Feuerbrandbekämpfung</v>
      </c>
      <c r="BM26" s="13"/>
      <c r="BN26" s="13"/>
      <c r="BO26" s="13"/>
      <c r="BP26" s="357"/>
      <c r="BQ26" s="25">
        <f>'Standard Vorgaben'!$D$119</f>
        <v>1057</v>
      </c>
      <c r="BR26" s="653">
        <f t="shared" si="9"/>
        <v>2.6603359175261947E-2</v>
      </c>
      <c r="BS26" s="193" t="str">
        <f>'Standard Vorgaben'!$A$119</f>
        <v>Feuerbrandbekämpfung</v>
      </c>
      <c r="BT26" s="13"/>
      <c r="BU26" s="13"/>
      <c r="BV26" s="13"/>
      <c r="BW26" s="357"/>
      <c r="BX26" s="25">
        <f>'Standard Vorgaben'!$D$119</f>
        <v>1057</v>
      </c>
      <c r="BY26" s="653">
        <f t="shared" si="10"/>
        <v>2.8410687166176465E-2</v>
      </c>
      <c r="BZ26" s="193" t="str">
        <f>'Standard Vorgaben'!$A$119</f>
        <v>Feuerbrandbekämpfung</v>
      </c>
      <c r="CA26" s="13"/>
      <c r="CB26" s="13"/>
      <c r="CC26" s="13"/>
      <c r="CD26" s="357"/>
      <c r="CE26" s="25">
        <f>'Standard Vorgaben'!$D$119</f>
        <v>1057</v>
      </c>
      <c r="CF26" s="653">
        <f t="shared" si="11"/>
        <v>2.9938762812435519E-2</v>
      </c>
      <c r="CG26" s="193" t="str">
        <f>'Standard Vorgaben'!$A$119</f>
        <v>Feuerbrandbekämpfung</v>
      </c>
      <c r="CH26" s="13"/>
      <c r="CI26" s="13"/>
      <c r="CJ26" s="13"/>
      <c r="CK26" s="357"/>
      <c r="CL26" s="25">
        <f>'Standard Vorgaben'!$D$119</f>
        <v>1057</v>
      </c>
      <c r="CM26" s="653">
        <f t="shared" si="12"/>
        <v>2.9195301194535599E-2</v>
      </c>
      <c r="CN26" s="193" t="str">
        <f>'Standard Vorgaben'!$A$119</f>
        <v>Feuerbrandbekämpfung</v>
      </c>
      <c r="CO26" s="13"/>
      <c r="CP26" s="13"/>
      <c r="CQ26" s="13"/>
      <c r="CR26" s="357"/>
      <c r="CS26" s="25">
        <f>'Standard Vorgaben'!$D$119</f>
        <v>1057</v>
      </c>
      <c r="CT26" s="653">
        <f t="shared" si="13"/>
        <v>2.9088717986298338E-2</v>
      </c>
      <c r="CU26" s="193" t="str">
        <f>'Standard Vorgaben'!$A$119</f>
        <v>Feuerbrandbekämpfung</v>
      </c>
      <c r="CV26" s="13"/>
      <c r="CW26" s="13"/>
      <c r="CX26" s="13"/>
      <c r="CY26" s="357"/>
      <c r="CZ26" s="25">
        <f>'Standard Vorgaben'!$D$119</f>
        <v>1057</v>
      </c>
      <c r="DA26" s="653">
        <f t="shared" si="14"/>
        <v>2.5761347071440226E-2</v>
      </c>
    </row>
    <row r="27" spans="1:105" ht="12.75" x14ac:dyDescent="0.2">
      <c r="A27" s="193" t="str">
        <f>'Standard Vorgaben'!$A$120</f>
        <v>Insektizide</v>
      </c>
      <c r="B27" s="13"/>
      <c r="C27" s="13"/>
      <c r="D27" s="13"/>
      <c r="E27" s="357"/>
      <c r="F27" s="25">
        <f>'Standard Vorgaben'!B120</f>
        <v>491</v>
      </c>
      <c r="G27" s="653">
        <f t="shared" si="0"/>
        <v>3.8510116696507869E-2</v>
      </c>
      <c r="H27" s="193" t="str">
        <f>'Standard Vorgaben'!$A$120</f>
        <v>Insektizide</v>
      </c>
      <c r="I27" s="13"/>
      <c r="J27" s="13"/>
      <c r="K27" s="13"/>
      <c r="L27" s="357"/>
      <c r="M27" s="25">
        <f>'Standard Vorgaben'!$C120</f>
        <v>491</v>
      </c>
      <c r="N27" s="653">
        <f t="shared" si="1"/>
        <v>3.0244613332790573E-2</v>
      </c>
      <c r="O27" s="193" t="str">
        <f>'Standard Vorgaben'!$A$120</f>
        <v>Insektizide</v>
      </c>
      <c r="P27" s="13"/>
      <c r="Q27" s="13"/>
      <c r="R27" s="13"/>
      <c r="S27" s="357"/>
      <c r="T27" s="25">
        <f>'Standard Vorgaben'!$D$120</f>
        <v>1241</v>
      </c>
      <c r="U27" s="653">
        <f t="shared" si="2"/>
        <v>4.1730403094310815E-2</v>
      </c>
      <c r="V27" s="193" t="str">
        <f>'Standard Vorgaben'!$A$120</f>
        <v>Insektizide</v>
      </c>
      <c r="W27" s="13"/>
      <c r="X27" s="13"/>
      <c r="Y27" s="13"/>
      <c r="Z27" s="357"/>
      <c r="AA27" s="25">
        <f>'Standard Vorgaben'!$D$120</f>
        <v>1241</v>
      </c>
      <c r="AB27" s="653">
        <f t="shared" si="3"/>
        <v>3.7284022433005964E-2</v>
      </c>
      <c r="AC27" s="193" t="str">
        <f>'Standard Vorgaben'!$A$120</f>
        <v>Insektizide</v>
      </c>
      <c r="AD27" s="13"/>
      <c r="AE27" s="13"/>
      <c r="AF27" s="13"/>
      <c r="AG27" s="357"/>
      <c r="AH27" s="25">
        <f>'Standard Vorgaben'!$D$120</f>
        <v>1241</v>
      </c>
      <c r="AI27" s="653">
        <f t="shared" si="4"/>
        <v>3.5085107518274636E-2</v>
      </c>
      <c r="AJ27" s="193" t="str">
        <f>'Standard Vorgaben'!$A$120</f>
        <v>Insektizide</v>
      </c>
      <c r="AK27" s="13"/>
      <c r="AL27" s="13"/>
      <c r="AM27" s="13"/>
      <c r="AN27" s="357"/>
      <c r="AO27" s="25">
        <f>'Standard Vorgaben'!$D$120</f>
        <v>1241</v>
      </c>
      <c r="AP27" s="653">
        <f t="shared" si="5"/>
        <v>3.3182070546257408E-2</v>
      </c>
      <c r="AQ27" s="193" t="str">
        <f>'Standard Vorgaben'!$A$120</f>
        <v>Insektizide</v>
      </c>
      <c r="AR27" s="13"/>
      <c r="AS27" s="13"/>
      <c r="AT27" s="13"/>
      <c r="AU27" s="357"/>
      <c r="AV27" s="25">
        <f>'Standard Vorgaben'!$D$120</f>
        <v>1241</v>
      </c>
      <c r="AW27" s="653">
        <f t="shared" si="6"/>
        <v>3.4925580124769609E-2</v>
      </c>
      <c r="AX27" s="193" t="str">
        <f>'Standard Vorgaben'!$A$120</f>
        <v>Insektizide</v>
      </c>
      <c r="AY27" s="13"/>
      <c r="AZ27" s="13"/>
      <c r="BA27" s="13"/>
      <c r="BB27" s="357"/>
      <c r="BC27" s="25">
        <f>'Standard Vorgaben'!$D$120</f>
        <v>1241</v>
      </c>
      <c r="BD27" s="653">
        <f t="shared" si="7"/>
        <v>3.4919885617995812E-2</v>
      </c>
      <c r="BE27" s="193" t="str">
        <f>'Standard Vorgaben'!$A$120</f>
        <v>Insektizide</v>
      </c>
      <c r="BF27" s="13"/>
      <c r="BG27" s="13"/>
      <c r="BH27" s="13"/>
      <c r="BI27" s="357"/>
      <c r="BJ27" s="25">
        <f>'Standard Vorgaben'!$D$120</f>
        <v>1241</v>
      </c>
      <c r="BK27" s="653">
        <f t="shared" si="8"/>
        <v>3.1692268862011853E-2</v>
      </c>
      <c r="BL27" s="193" t="str">
        <f>'Standard Vorgaben'!$A$120</f>
        <v>Insektizide</v>
      </c>
      <c r="BM27" s="13"/>
      <c r="BN27" s="13"/>
      <c r="BO27" s="13"/>
      <c r="BP27" s="357"/>
      <c r="BQ27" s="25">
        <f>'Standard Vorgaben'!$D$120</f>
        <v>1241</v>
      </c>
      <c r="BR27" s="653">
        <f t="shared" si="9"/>
        <v>3.1234407508514739E-2</v>
      </c>
      <c r="BS27" s="193" t="str">
        <f>'Standard Vorgaben'!$A$120</f>
        <v>Insektizide</v>
      </c>
      <c r="BT27" s="13"/>
      <c r="BU27" s="13"/>
      <c r="BV27" s="13"/>
      <c r="BW27" s="357"/>
      <c r="BX27" s="25">
        <f>'Standard Vorgaben'!$D$120</f>
        <v>1241</v>
      </c>
      <c r="BY27" s="653">
        <f t="shared" si="10"/>
        <v>3.3356350778831596E-2</v>
      </c>
      <c r="BZ27" s="193" t="str">
        <f>'Standard Vorgaben'!$A$120</f>
        <v>Insektizide</v>
      </c>
      <c r="CA27" s="13"/>
      <c r="CB27" s="13"/>
      <c r="CC27" s="13"/>
      <c r="CD27" s="357"/>
      <c r="CE27" s="25">
        <f>'Standard Vorgaben'!$D$120</f>
        <v>1241</v>
      </c>
      <c r="CF27" s="653">
        <f t="shared" si="11"/>
        <v>3.5150430132670274E-2</v>
      </c>
      <c r="CG27" s="193" t="str">
        <f>'Standard Vorgaben'!$A$120</f>
        <v>Insektizide</v>
      </c>
      <c r="CH27" s="13"/>
      <c r="CI27" s="13"/>
      <c r="CJ27" s="13"/>
      <c r="CK27" s="357"/>
      <c r="CL27" s="25">
        <f>'Standard Vorgaben'!$D$120</f>
        <v>1241</v>
      </c>
      <c r="CM27" s="653">
        <f t="shared" si="12"/>
        <v>3.4277548516952389E-2</v>
      </c>
      <c r="CN27" s="193" t="str">
        <f>'Standard Vorgaben'!$A$120</f>
        <v>Insektizide</v>
      </c>
      <c r="CO27" s="13"/>
      <c r="CP27" s="13"/>
      <c r="CQ27" s="13"/>
      <c r="CR27" s="357"/>
      <c r="CS27" s="25">
        <f>'Standard Vorgaben'!$D$120</f>
        <v>1241</v>
      </c>
      <c r="CT27" s="653">
        <f t="shared" si="13"/>
        <v>3.4152411561964274E-2</v>
      </c>
      <c r="CU27" s="193" t="str">
        <f>'Standard Vorgaben'!$A$120</f>
        <v>Insektizide</v>
      </c>
      <c r="CV27" s="13"/>
      <c r="CW27" s="13"/>
      <c r="CX27" s="13"/>
      <c r="CY27" s="357"/>
      <c r="CZ27" s="25">
        <f>'Standard Vorgaben'!$D$120</f>
        <v>1241</v>
      </c>
      <c r="DA27" s="653">
        <f t="shared" si="14"/>
        <v>3.0245819976970029E-2</v>
      </c>
    </row>
    <row r="28" spans="1:105" ht="12.75" x14ac:dyDescent="0.2">
      <c r="A28" s="193" t="str">
        <f>'Standard Vorgaben'!$A$121</f>
        <v>Herbizide</v>
      </c>
      <c r="B28" s="13"/>
      <c r="C28" s="13"/>
      <c r="D28" s="13"/>
      <c r="E28" s="357"/>
      <c r="F28" s="25">
        <f>'Standard Vorgaben'!B121</f>
        <v>0</v>
      </c>
      <c r="G28" s="653">
        <f t="shared" si="0"/>
        <v>0</v>
      </c>
      <c r="H28" s="193" t="str">
        <f>'Standard Vorgaben'!$A$121</f>
        <v>Herbizide</v>
      </c>
      <c r="I28" s="13"/>
      <c r="J28" s="13"/>
      <c r="K28" s="13"/>
      <c r="L28" s="357"/>
      <c r="M28" s="25">
        <f>'Standard Vorgaben'!$C121</f>
        <v>0</v>
      </c>
      <c r="N28" s="653">
        <f t="shared" si="1"/>
        <v>0</v>
      </c>
      <c r="O28" s="193" t="str">
        <f>'Standard Vorgaben'!$A$121</f>
        <v>Herbizide</v>
      </c>
      <c r="P28" s="13"/>
      <c r="Q28" s="13"/>
      <c r="R28" s="13"/>
      <c r="S28" s="357"/>
      <c r="T28" s="25">
        <f>'Standard Vorgaben'!$D$121</f>
        <v>430</v>
      </c>
      <c r="U28" s="653">
        <f t="shared" si="2"/>
        <v>1.4459366100365552E-2</v>
      </c>
      <c r="V28" s="193" t="str">
        <f>'Standard Vorgaben'!$A$121</f>
        <v>Herbizide</v>
      </c>
      <c r="W28" s="13"/>
      <c r="X28" s="13"/>
      <c r="Y28" s="13"/>
      <c r="Z28" s="357"/>
      <c r="AA28" s="25">
        <f>'Standard Vorgaben'!$D$121</f>
        <v>430</v>
      </c>
      <c r="AB28" s="653">
        <f t="shared" si="3"/>
        <v>1.2918718490082647E-2</v>
      </c>
      <c r="AC28" s="193" t="str">
        <f>'Standard Vorgaben'!$A$121</f>
        <v>Herbizide</v>
      </c>
      <c r="AD28" s="13"/>
      <c r="AE28" s="13"/>
      <c r="AF28" s="13"/>
      <c r="AG28" s="357"/>
      <c r="AH28" s="25">
        <f>'Standard Vorgaben'!$D$121</f>
        <v>430</v>
      </c>
      <c r="AI28" s="653">
        <f t="shared" si="4"/>
        <v>1.2156805989410229E-2</v>
      </c>
      <c r="AJ28" s="193" t="str">
        <f>'Standard Vorgaben'!$A$121</f>
        <v>Herbizide</v>
      </c>
      <c r="AK28" s="13"/>
      <c r="AL28" s="13"/>
      <c r="AM28" s="13"/>
      <c r="AN28" s="357"/>
      <c r="AO28" s="25">
        <f>'Standard Vorgaben'!$D$121</f>
        <v>430</v>
      </c>
      <c r="AP28" s="653">
        <f t="shared" si="5"/>
        <v>1.1497413646164936E-2</v>
      </c>
      <c r="AQ28" s="193" t="str">
        <f>'Standard Vorgaben'!$A$121</f>
        <v>Herbizide</v>
      </c>
      <c r="AR28" s="13"/>
      <c r="AS28" s="13"/>
      <c r="AT28" s="13"/>
      <c r="AU28" s="357"/>
      <c r="AV28" s="25">
        <f>'Standard Vorgaben'!$D$121</f>
        <v>430</v>
      </c>
      <c r="AW28" s="653">
        <f t="shared" si="6"/>
        <v>1.2101530583119203E-2</v>
      </c>
      <c r="AX28" s="193" t="str">
        <f>'Standard Vorgaben'!$A$121</f>
        <v>Herbizide</v>
      </c>
      <c r="AY28" s="13"/>
      <c r="AZ28" s="13"/>
      <c r="BA28" s="13"/>
      <c r="BB28" s="357"/>
      <c r="BC28" s="25">
        <f>'Standard Vorgaben'!$D$121</f>
        <v>430</v>
      </c>
      <c r="BD28" s="653">
        <f t="shared" si="7"/>
        <v>1.2099557466348268E-2</v>
      </c>
      <c r="BE28" s="193" t="str">
        <f>'Standard Vorgaben'!$A$121</f>
        <v>Herbizide</v>
      </c>
      <c r="BF28" s="13"/>
      <c r="BG28" s="13"/>
      <c r="BH28" s="13"/>
      <c r="BI28" s="357"/>
      <c r="BJ28" s="25">
        <f>'Standard Vorgaben'!$D$121</f>
        <v>430</v>
      </c>
      <c r="BK28" s="653">
        <f t="shared" si="8"/>
        <v>1.0981205165725299E-2</v>
      </c>
      <c r="BL28" s="193" t="str">
        <f>'Standard Vorgaben'!$A$121</f>
        <v>Herbizide</v>
      </c>
      <c r="BM28" s="13"/>
      <c r="BN28" s="13"/>
      <c r="BO28" s="13"/>
      <c r="BP28" s="357"/>
      <c r="BQ28" s="25">
        <f>'Standard Vorgaben'!$D$121</f>
        <v>430</v>
      </c>
      <c r="BR28" s="653">
        <f t="shared" si="9"/>
        <v>1.0822558604884236E-2</v>
      </c>
      <c r="BS28" s="193" t="str">
        <f>'Standard Vorgaben'!$A$121</f>
        <v>Herbizide</v>
      </c>
      <c r="BT28" s="13"/>
      <c r="BU28" s="13"/>
      <c r="BV28" s="13"/>
      <c r="BW28" s="357"/>
      <c r="BX28" s="25">
        <f>'Standard Vorgaben'!$D$121</f>
        <v>430</v>
      </c>
      <c r="BY28" s="653">
        <f t="shared" si="10"/>
        <v>1.155780083392231E-2</v>
      </c>
      <c r="BZ28" s="193" t="str">
        <f>'Standard Vorgaben'!$A$121</f>
        <v>Herbizide</v>
      </c>
      <c r="CA28" s="13"/>
      <c r="CB28" s="13"/>
      <c r="CC28" s="13"/>
      <c r="CD28" s="357"/>
      <c r="CE28" s="25">
        <f>'Standard Vorgaben'!$D$121</f>
        <v>430</v>
      </c>
      <c r="CF28" s="653">
        <f t="shared" si="11"/>
        <v>1.2179439933157307E-2</v>
      </c>
      <c r="CG28" s="193" t="str">
        <f>'Standard Vorgaben'!$A$121</f>
        <v>Herbizide</v>
      </c>
      <c r="CH28" s="13"/>
      <c r="CI28" s="13"/>
      <c r="CJ28" s="13"/>
      <c r="CK28" s="357"/>
      <c r="CL28" s="25">
        <f>'Standard Vorgaben'!$D$121</f>
        <v>430</v>
      </c>
      <c r="CM28" s="653">
        <f t="shared" si="12"/>
        <v>1.1876991025213158E-2</v>
      </c>
      <c r="CN28" s="193" t="str">
        <f>'Standard Vorgaben'!$A$121</f>
        <v>Herbizide</v>
      </c>
      <c r="CO28" s="13"/>
      <c r="CP28" s="13"/>
      <c r="CQ28" s="13"/>
      <c r="CR28" s="357"/>
      <c r="CS28" s="25">
        <f>'Standard Vorgaben'!$D$121</f>
        <v>430</v>
      </c>
      <c r="CT28" s="653">
        <f t="shared" si="13"/>
        <v>1.1833631725741046E-2</v>
      </c>
      <c r="CU28" s="193" t="str">
        <f>'Standard Vorgaben'!$A$121</f>
        <v>Herbizide</v>
      </c>
      <c r="CV28" s="13"/>
      <c r="CW28" s="13"/>
      <c r="CX28" s="13"/>
      <c r="CY28" s="357"/>
      <c r="CZ28" s="25">
        <f>'Standard Vorgaben'!$D$121</f>
        <v>430</v>
      </c>
      <c r="DA28" s="653">
        <f t="shared" si="14"/>
        <v>1.04800182031403E-2</v>
      </c>
    </row>
    <row r="29" spans="1:105" ht="12.75" x14ac:dyDescent="0.2">
      <c r="A29" s="193" t="str">
        <f>'Standard Vorgaben'!$A$122</f>
        <v>Behangsregulierung</v>
      </c>
      <c r="B29" s="13"/>
      <c r="C29" s="13"/>
      <c r="D29" s="13"/>
      <c r="E29" s="357"/>
      <c r="F29" s="25">
        <f>'Standard Vorgaben'!B122</f>
        <v>0</v>
      </c>
      <c r="G29" s="653">
        <f t="shared" si="0"/>
        <v>0</v>
      </c>
      <c r="H29" s="193" t="str">
        <f>'Standard Vorgaben'!$A$122</f>
        <v>Behangsregulierung</v>
      </c>
      <c r="I29" s="13"/>
      <c r="J29" s="13"/>
      <c r="K29" s="13"/>
      <c r="L29" s="357"/>
      <c r="M29" s="25">
        <f>'Standard Vorgaben'!$C122</f>
        <v>0</v>
      </c>
      <c r="N29" s="653">
        <f t="shared" si="1"/>
        <v>0</v>
      </c>
      <c r="O29" s="193" t="str">
        <f>'Standard Vorgaben'!$A$122</f>
        <v>Behangsregulierung</v>
      </c>
      <c r="P29" s="13"/>
      <c r="Q29" s="13"/>
      <c r="R29" s="13"/>
      <c r="S29" s="357"/>
      <c r="T29" s="25">
        <f>'Standard Vorgaben'!$D$122</f>
        <v>10</v>
      </c>
      <c r="U29" s="653">
        <f t="shared" si="2"/>
        <v>3.3626432791547794E-4</v>
      </c>
      <c r="V29" s="193" t="str">
        <f>'Standard Vorgaben'!$A$122</f>
        <v>Behangsregulierung</v>
      </c>
      <c r="W29" s="13"/>
      <c r="X29" s="13"/>
      <c r="Y29" s="13"/>
      <c r="Z29" s="357"/>
      <c r="AA29" s="25">
        <f>'Standard Vorgaben'!$D$122</f>
        <v>10</v>
      </c>
      <c r="AB29" s="653">
        <f t="shared" si="3"/>
        <v>3.0043531372285227E-4</v>
      </c>
      <c r="AC29" s="193" t="str">
        <f>'Standard Vorgaben'!$A$122</f>
        <v>Behangsregulierung</v>
      </c>
      <c r="AD29" s="13"/>
      <c r="AE29" s="13"/>
      <c r="AF29" s="13"/>
      <c r="AG29" s="357"/>
      <c r="AH29" s="25">
        <f>'Standard Vorgaben'!$D$122</f>
        <v>10</v>
      </c>
      <c r="AI29" s="653">
        <f t="shared" si="4"/>
        <v>2.8271641835837742E-4</v>
      </c>
      <c r="AJ29" s="193" t="str">
        <f>'Standard Vorgaben'!$A$122</f>
        <v>Behangsregulierung</v>
      </c>
      <c r="AK29" s="13"/>
      <c r="AL29" s="13"/>
      <c r="AM29" s="13"/>
      <c r="AN29" s="357"/>
      <c r="AO29" s="25">
        <f>'Standard Vorgaben'!$D$122</f>
        <v>10</v>
      </c>
      <c r="AP29" s="653">
        <f t="shared" si="5"/>
        <v>2.6738171270151013E-4</v>
      </c>
      <c r="AQ29" s="193" t="str">
        <f>'Standard Vorgaben'!$A$122</f>
        <v>Behangsregulierung</v>
      </c>
      <c r="AR29" s="13"/>
      <c r="AS29" s="13"/>
      <c r="AT29" s="13"/>
      <c r="AU29" s="357"/>
      <c r="AV29" s="25">
        <f>'Standard Vorgaben'!$D$122</f>
        <v>10</v>
      </c>
      <c r="AW29" s="653">
        <f t="shared" si="6"/>
        <v>2.8143094379346986E-4</v>
      </c>
      <c r="AX29" s="193" t="str">
        <f>'Standard Vorgaben'!$A$122</f>
        <v>Behangsregulierung</v>
      </c>
      <c r="AY29" s="13"/>
      <c r="AZ29" s="13"/>
      <c r="BA29" s="13"/>
      <c r="BB29" s="357"/>
      <c r="BC29" s="25">
        <f>'Standard Vorgaben'!$D$122</f>
        <v>10</v>
      </c>
      <c r="BD29" s="653">
        <f t="shared" si="7"/>
        <v>2.8138505735693646E-4</v>
      </c>
      <c r="BE29" s="193" t="str">
        <f>'Standard Vorgaben'!$A$122</f>
        <v>Behangsregulierung</v>
      </c>
      <c r="BF29" s="13"/>
      <c r="BG29" s="13"/>
      <c r="BH29" s="13"/>
      <c r="BI29" s="357"/>
      <c r="BJ29" s="25">
        <f>'Standard Vorgaben'!$D$122</f>
        <v>10</v>
      </c>
      <c r="BK29" s="653">
        <f t="shared" si="8"/>
        <v>2.5537686431919302E-4</v>
      </c>
      <c r="BL29" s="193" t="str">
        <f>'Standard Vorgaben'!$A$122</f>
        <v>Behangsregulierung</v>
      </c>
      <c r="BM29" s="13"/>
      <c r="BN29" s="13"/>
      <c r="BO29" s="13"/>
      <c r="BP29" s="357"/>
      <c r="BQ29" s="25">
        <f>'Standard Vorgaben'!$D$122</f>
        <v>10</v>
      </c>
      <c r="BR29" s="653">
        <f t="shared" si="9"/>
        <v>2.5168740941591247E-4</v>
      </c>
      <c r="BS29" s="193" t="str">
        <f>'Standard Vorgaben'!$A$122</f>
        <v>Behangsregulierung</v>
      </c>
      <c r="BT29" s="13"/>
      <c r="BU29" s="13"/>
      <c r="BV29" s="13"/>
      <c r="BW29" s="357"/>
      <c r="BX29" s="25">
        <f>'Standard Vorgaben'!$D$122</f>
        <v>10</v>
      </c>
      <c r="BY29" s="653">
        <f t="shared" si="10"/>
        <v>2.6878606590516996E-4</v>
      </c>
      <c r="BZ29" s="193" t="str">
        <f>'Standard Vorgaben'!$A$122</f>
        <v>Behangsregulierung</v>
      </c>
      <c r="CA29" s="13"/>
      <c r="CB29" s="13"/>
      <c r="CC29" s="13"/>
      <c r="CD29" s="357"/>
      <c r="CE29" s="25">
        <f>'Standard Vorgaben'!$D$122</f>
        <v>10</v>
      </c>
      <c r="CF29" s="653">
        <f t="shared" si="11"/>
        <v>2.8324278914319318E-4</v>
      </c>
      <c r="CG29" s="193" t="str">
        <f>'Standard Vorgaben'!$A$122</f>
        <v>Behangsregulierung</v>
      </c>
      <c r="CH29" s="13"/>
      <c r="CI29" s="13"/>
      <c r="CJ29" s="13"/>
      <c r="CK29" s="357"/>
      <c r="CL29" s="25">
        <f>'Standard Vorgaben'!$D$122</f>
        <v>10</v>
      </c>
      <c r="CM29" s="653">
        <f t="shared" si="12"/>
        <v>2.7620909360960832E-4</v>
      </c>
      <c r="CN29" s="193" t="str">
        <f>'Standard Vorgaben'!$A$122</f>
        <v>Behangsregulierung</v>
      </c>
      <c r="CO29" s="13"/>
      <c r="CP29" s="13"/>
      <c r="CQ29" s="13"/>
      <c r="CR29" s="357"/>
      <c r="CS29" s="25">
        <f>'Standard Vorgaben'!$D$122</f>
        <v>10</v>
      </c>
      <c r="CT29" s="653">
        <f t="shared" si="13"/>
        <v>2.7520073780793131E-4</v>
      </c>
      <c r="CU29" s="193" t="str">
        <f>'Standard Vorgaben'!$A$122</f>
        <v>Behangsregulierung</v>
      </c>
      <c r="CV29" s="13"/>
      <c r="CW29" s="13"/>
      <c r="CX29" s="13"/>
      <c r="CY29" s="357"/>
      <c r="CZ29" s="25">
        <f>'Standard Vorgaben'!$D$122</f>
        <v>10</v>
      </c>
      <c r="DA29" s="653">
        <f t="shared" si="14"/>
        <v>2.4372135356140234E-4</v>
      </c>
    </row>
    <row r="30" spans="1:105" ht="13.5" thickBot="1" x14ac:dyDescent="0.25">
      <c r="A30" s="193" t="str">
        <f>'Standard Vorgaben'!$A$123</f>
        <v>Blattdüngung</v>
      </c>
      <c r="B30" s="13"/>
      <c r="C30" s="13"/>
      <c r="D30" s="13"/>
      <c r="E30" s="357"/>
      <c r="F30" s="677">
        <f>'Standard Vorgaben'!B123</f>
        <v>0</v>
      </c>
      <c r="G30" s="653">
        <f t="shared" si="0"/>
        <v>0</v>
      </c>
      <c r="H30" s="193" t="str">
        <f>'Standard Vorgaben'!$A$123</f>
        <v>Blattdüngung</v>
      </c>
      <c r="I30" s="13"/>
      <c r="J30" s="13"/>
      <c r="K30" s="13"/>
      <c r="L30" s="357"/>
      <c r="M30" s="677">
        <f>'Standard Vorgaben'!$C123</f>
        <v>0</v>
      </c>
      <c r="N30" s="653">
        <f t="shared" si="1"/>
        <v>0</v>
      </c>
      <c r="O30" s="193" t="str">
        <f>'Standard Vorgaben'!$A$123</f>
        <v>Blattdüngung</v>
      </c>
      <c r="P30" s="13"/>
      <c r="Q30" s="13"/>
      <c r="R30" s="13"/>
      <c r="S30" s="357"/>
      <c r="T30" s="677">
        <f>'Standard Vorgaben'!$D$123</f>
        <v>360</v>
      </c>
      <c r="U30" s="653">
        <f t="shared" si="2"/>
        <v>1.2105515804957206E-2</v>
      </c>
      <c r="V30" s="193" t="str">
        <f>'Standard Vorgaben'!$A$123</f>
        <v>Blattdüngung</v>
      </c>
      <c r="W30" s="13"/>
      <c r="X30" s="13"/>
      <c r="Y30" s="13"/>
      <c r="Z30" s="357"/>
      <c r="AA30" s="677">
        <f>'Standard Vorgaben'!$D$123</f>
        <v>360</v>
      </c>
      <c r="AB30" s="653">
        <f t="shared" si="3"/>
        <v>1.0815671294022682E-2</v>
      </c>
      <c r="AC30" s="193" t="str">
        <f>'Standard Vorgaben'!$A$123</f>
        <v>Blattdüngung</v>
      </c>
      <c r="AD30" s="13"/>
      <c r="AE30" s="13"/>
      <c r="AF30" s="13"/>
      <c r="AG30" s="357"/>
      <c r="AH30" s="677">
        <f>'Standard Vorgaben'!$D$123</f>
        <v>360</v>
      </c>
      <c r="AI30" s="653">
        <f t="shared" si="4"/>
        <v>1.0177791060901588E-2</v>
      </c>
      <c r="AJ30" s="193" t="str">
        <f>'Standard Vorgaben'!$A$123</f>
        <v>Blattdüngung</v>
      </c>
      <c r="AK30" s="13"/>
      <c r="AL30" s="13"/>
      <c r="AM30" s="13"/>
      <c r="AN30" s="357"/>
      <c r="AO30" s="677">
        <f>'Standard Vorgaben'!$D$123</f>
        <v>360</v>
      </c>
      <c r="AP30" s="653">
        <f t="shared" si="5"/>
        <v>9.6257416572543657E-3</v>
      </c>
      <c r="AQ30" s="193" t="str">
        <f>'Standard Vorgaben'!$A$123</f>
        <v>Blattdüngung</v>
      </c>
      <c r="AR30" s="13"/>
      <c r="AS30" s="13"/>
      <c r="AT30" s="13"/>
      <c r="AU30" s="357"/>
      <c r="AV30" s="677">
        <f>'Standard Vorgaben'!$D$123</f>
        <v>360</v>
      </c>
      <c r="AW30" s="653">
        <f t="shared" si="6"/>
        <v>1.0131513976564914E-2</v>
      </c>
      <c r="AX30" s="193" t="str">
        <f>'Standard Vorgaben'!$A$123</f>
        <v>Blattdüngung</v>
      </c>
      <c r="AY30" s="13"/>
      <c r="AZ30" s="13"/>
      <c r="BA30" s="13"/>
      <c r="BB30" s="357"/>
      <c r="BC30" s="677">
        <f>'Standard Vorgaben'!$D$123</f>
        <v>360</v>
      </c>
      <c r="BD30" s="653">
        <f t="shared" si="7"/>
        <v>1.0129862064849712E-2</v>
      </c>
      <c r="BE30" s="193" t="str">
        <f>'Standard Vorgaben'!$A$123</f>
        <v>Blattdüngung</v>
      </c>
      <c r="BF30" s="13"/>
      <c r="BG30" s="13"/>
      <c r="BH30" s="13"/>
      <c r="BI30" s="357"/>
      <c r="BJ30" s="677">
        <f>'Standard Vorgaben'!$D$123</f>
        <v>360</v>
      </c>
      <c r="BK30" s="653">
        <f t="shared" si="8"/>
        <v>9.1935671154909481E-3</v>
      </c>
      <c r="BL30" s="193" t="str">
        <f>'Standard Vorgaben'!$A$123</f>
        <v>Blattdüngung</v>
      </c>
      <c r="BM30" s="13"/>
      <c r="BN30" s="13"/>
      <c r="BO30" s="13"/>
      <c r="BP30" s="357"/>
      <c r="BQ30" s="677">
        <f>'Standard Vorgaben'!$D$123</f>
        <v>360</v>
      </c>
      <c r="BR30" s="653">
        <f t="shared" si="9"/>
        <v>9.0607467389728497E-3</v>
      </c>
      <c r="BS30" s="193" t="str">
        <f>'Standard Vorgaben'!$A$123</f>
        <v>Blattdüngung</v>
      </c>
      <c r="BT30" s="13"/>
      <c r="BU30" s="13"/>
      <c r="BV30" s="13"/>
      <c r="BW30" s="357"/>
      <c r="BX30" s="677">
        <f>'Standard Vorgaben'!$D$123</f>
        <v>360</v>
      </c>
      <c r="BY30" s="653">
        <f t="shared" si="10"/>
        <v>9.6762983725861198E-3</v>
      </c>
      <c r="BZ30" s="193" t="str">
        <f>'Standard Vorgaben'!$A$123</f>
        <v>Blattdüngung</v>
      </c>
      <c r="CA30" s="13"/>
      <c r="CB30" s="13"/>
      <c r="CC30" s="13"/>
      <c r="CD30" s="357"/>
      <c r="CE30" s="677">
        <f>'Standard Vorgaben'!$D$123</f>
        <v>360</v>
      </c>
      <c r="CF30" s="653">
        <f t="shared" si="11"/>
        <v>1.0196740409154954E-2</v>
      </c>
      <c r="CG30" s="193" t="str">
        <f>'Standard Vorgaben'!$A$123</f>
        <v>Blattdüngung</v>
      </c>
      <c r="CH30" s="13"/>
      <c r="CI30" s="13"/>
      <c r="CJ30" s="13"/>
      <c r="CK30" s="357"/>
      <c r="CL30" s="677">
        <f>'Standard Vorgaben'!$D$123</f>
        <v>360</v>
      </c>
      <c r="CM30" s="653">
        <f t="shared" si="12"/>
        <v>9.9435273699458992E-3</v>
      </c>
      <c r="CN30" s="193" t="str">
        <f>'Standard Vorgaben'!$A$123</f>
        <v>Blattdüngung</v>
      </c>
      <c r="CO30" s="13"/>
      <c r="CP30" s="13"/>
      <c r="CQ30" s="13"/>
      <c r="CR30" s="357"/>
      <c r="CS30" s="677">
        <f>'Standard Vorgaben'!$D$123</f>
        <v>360</v>
      </c>
      <c r="CT30" s="653">
        <f t="shared" si="13"/>
        <v>9.9072265610855269E-3</v>
      </c>
      <c r="CU30" s="193" t="str">
        <f>'Standard Vorgaben'!$A$123</f>
        <v>Blattdüngung</v>
      </c>
      <c r="CV30" s="13"/>
      <c r="CW30" s="13"/>
      <c r="CX30" s="13"/>
      <c r="CY30" s="357"/>
      <c r="CZ30" s="677">
        <f>'Standard Vorgaben'!$D$123</f>
        <v>360</v>
      </c>
      <c r="DA30" s="653">
        <f t="shared" si="14"/>
        <v>8.7739687282104833E-3</v>
      </c>
    </row>
    <row r="31" spans="1:105" ht="12.75" x14ac:dyDescent="0.2">
      <c r="A31" s="193"/>
      <c r="B31" s="13"/>
      <c r="C31" s="13"/>
      <c r="D31" s="13"/>
      <c r="E31" s="357"/>
      <c r="F31" s="25">
        <f>SUM(F25:F30)</f>
        <v>1700</v>
      </c>
      <c r="G31" s="653"/>
      <c r="H31" s="193"/>
      <c r="I31" s="13"/>
      <c r="J31" s="13"/>
      <c r="K31" s="13"/>
      <c r="L31" s="357"/>
      <c r="M31" s="25">
        <f>SUM(M25:M30)</f>
        <v>1700</v>
      </c>
      <c r="N31" s="653"/>
      <c r="O31" s="193"/>
      <c r="P31" s="13"/>
      <c r="Q31" s="13"/>
      <c r="R31" s="13"/>
      <c r="S31" s="357"/>
      <c r="T31" s="25">
        <f>SUM(T25:T30)</f>
        <v>5942</v>
      </c>
      <c r="U31" s="653"/>
      <c r="V31" s="193"/>
      <c r="W31" s="13"/>
      <c r="X31" s="13"/>
      <c r="Y31" s="13"/>
      <c r="Z31" s="357"/>
      <c r="AA31" s="25">
        <f>SUM(AA25:AA30)</f>
        <v>5942</v>
      </c>
      <c r="AB31" s="653"/>
      <c r="AC31" s="193"/>
      <c r="AD31" s="13"/>
      <c r="AE31" s="13"/>
      <c r="AF31" s="13"/>
      <c r="AG31" s="357"/>
      <c r="AH31" s="25">
        <f>SUM(AH25:AH30)</f>
        <v>5942</v>
      </c>
      <c r="AI31" s="653"/>
      <c r="AJ31" s="193"/>
      <c r="AK31" s="13"/>
      <c r="AL31" s="13"/>
      <c r="AM31" s="13"/>
      <c r="AN31" s="357"/>
      <c r="AO31" s="25">
        <f>SUM(AO25:AO30)</f>
        <v>5942</v>
      </c>
      <c r="AP31" s="653"/>
      <c r="AQ31" s="193"/>
      <c r="AR31" s="13"/>
      <c r="AS31" s="13"/>
      <c r="AT31" s="13"/>
      <c r="AU31" s="357"/>
      <c r="AV31" s="25">
        <f>SUM(AV25:AV30)</f>
        <v>5942</v>
      </c>
      <c r="AW31" s="653"/>
      <c r="AX31" s="193"/>
      <c r="AY31" s="13"/>
      <c r="AZ31" s="13"/>
      <c r="BA31" s="13"/>
      <c r="BB31" s="357"/>
      <c r="BC31" s="25">
        <f>SUM(BC25:BC30)</f>
        <v>5942</v>
      </c>
      <c r="BD31" s="653"/>
      <c r="BE31" s="193"/>
      <c r="BF31" s="13"/>
      <c r="BG31" s="13"/>
      <c r="BH31" s="13"/>
      <c r="BI31" s="357"/>
      <c r="BJ31" s="25">
        <f>SUM(BJ25:BJ30)</f>
        <v>5942</v>
      </c>
      <c r="BK31" s="653"/>
      <c r="BL31" s="193"/>
      <c r="BM31" s="13"/>
      <c r="BN31" s="13"/>
      <c r="BO31" s="13"/>
      <c r="BP31" s="357"/>
      <c r="BQ31" s="25">
        <f>SUM(BQ25:BQ30)</f>
        <v>5942</v>
      </c>
      <c r="BR31" s="653"/>
      <c r="BS31" s="193"/>
      <c r="BT31" s="13"/>
      <c r="BU31" s="13"/>
      <c r="BV31" s="13"/>
      <c r="BW31" s="357"/>
      <c r="BX31" s="25">
        <f>SUM(BX25:BX30)</f>
        <v>5942</v>
      </c>
      <c r="BY31" s="653"/>
      <c r="BZ31" s="193"/>
      <c r="CA31" s="13"/>
      <c r="CB31" s="13"/>
      <c r="CC31" s="13"/>
      <c r="CD31" s="357"/>
      <c r="CE31" s="25">
        <f>SUM(CE25:CE30)</f>
        <v>5942</v>
      </c>
      <c r="CF31" s="653"/>
      <c r="CG31" s="193"/>
      <c r="CH31" s="13"/>
      <c r="CI31" s="13"/>
      <c r="CJ31" s="13"/>
      <c r="CK31" s="357"/>
      <c r="CL31" s="25">
        <f>SUM(CL25:CL30)</f>
        <v>5942</v>
      </c>
      <c r="CM31" s="653"/>
      <c r="CN31" s="193"/>
      <c r="CO31" s="13"/>
      <c r="CP31" s="13"/>
      <c r="CQ31" s="13"/>
      <c r="CR31" s="357"/>
      <c r="CS31" s="25">
        <f>SUM(CS25:CS30)</f>
        <v>5942</v>
      </c>
      <c r="CT31" s="653"/>
      <c r="CU31" s="193"/>
      <c r="CV31" s="13"/>
      <c r="CW31" s="13"/>
      <c r="CX31" s="13"/>
      <c r="CY31" s="357"/>
      <c r="CZ31" s="25">
        <f>SUM(CZ25:CZ30)</f>
        <v>5942</v>
      </c>
      <c r="DA31" s="653"/>
    </row>
    <row r="32" spans="1:105" ht="12.75" x14ac:dyDescent="0.2">
      <c r="A32" s="193"/>
      <c r="B32" s="13"/>
      <c r="C32" s="13"/>
      <c r="D32" s="13"/>
      <c r="E32" s="357"/>
      <c r="G32" s="653"/>
      <c r="H32" s="1366"/>
      <c r="I32" s="13"/>
      <c r="J32" s="13"/>
      <c r="K32" s="13"/>
      <c r="L32" s="357"/>
      <c r="M32" s="25"/>
      <c r="N32" s="653"/>
      <c r="O32" s="1365"/>
      <c r="P32" s="13"/>
      <c r="Q32" s="13"/>
      <c r="R32" s="13"/>
      <c r="S32" s="357"/>
      <c r="T32" s="25"/>
      <c r="U32" s="653"/>
      <c r="V32" s="1365"/>
      <c r="W32" s="13"/>
      <c r="X32" s="13"/>
      <c r="Y32" s="13"/>
      <c r="Z32" s="357"/>
      <c r="AA32" s="25"/>
      <c r="AB32" s="653"/>
      <c r="AC32" s="1365"/>
      <c r="AD32" s="13"/>
      <c r="AE32" s="13"/>
      <c r="AF32" s="13"/>
      <c r="AG32" s="357"/>
      <c r="AH32" s="25"/>
      <c r="AI32" s="653"/>
      <c r="AJ32" s="1365"/>
      <c r="AK32" s="13"/>
      <c r="AL32" s="13"/>
      <c r="AM32" s="13"/>
      <c r="AN32" s="357"/>
      <c r="AO32" s="25"/>
      <c r="AP32" s="653"/>
      <c r="AQ32" s="1365"/>
      <c r="AR32" s="13"/>
      <c r="AS32" s="13"/>
      <c r="AT32" s="13"/>
      <c r="AU32" s="357"/>
      <c r="AV32" s="25"/>
      <c r="AW32" s="653"/>
      <c r="AX32" s="1365"/>
      <c r="AY32" s="13"/>
      <c r="AZ32" s="13"/>
      <c r="BA32" s="13"/>
      <c r="BB32" s="357"/>
      <c r="BC32" s="25"/>
      <c r="BD32" s="653"/>
      <c r="BE32" s="1365"/>
      <c r="BF32" s="13"/>
      <c r="BG32" s="13"/>
      <c r="BH32" s="13"/>
      <c r="BI32" s="357"/>
      <c r="BJ32" s="25"/>
      <c r="BK32" s="653"/>
      <c r="BL32" s="1365"/>
      <c r="BM32" s="13"/>
      <c r="BN32" s="13"/>
      <c r="BO32" s="13"/>
      <c r="BP32" s="357"/>
      <c r="BQ32" s="25"/>
      <c r="BR32" s="653"/>
      <c r="BS32" s="1365"/>
      <c r="BT32" s="13"/>
      <c r="BU32" s="13"/>
      <c r="BV32" s="13"/>
      <c r="BW32" s="357"/>
      <c r="BX32" s="25"/>
      <c r="BY32" s="653"/>
      <c r="BZ32" s="1365"/>
      <c r="CA32" s="13"/>
      <c r="CB32" s="13"/>
      <c r="CC32" s="13"/>
      <c r="CD32" s="357"/>
      <c r="CE32" s="25"/>
      <c r="CF32" s="653"/>
      <c r="CG32" s="1365"/>
      <c r="CH32" s="13"/>
      <c r="CI32" s="13"/>
      <c r="CJ32" s="13"/>
      <c r="CK32" s="357"/>
      <c r="CL32" s="25"/>
      <c r="CM32" s="653"/>
      <c r="CN32" s="1365"/>
      <c r="CO32" s="13"/>
      <c r="CP32" s="13"/>
      <c r="CQ32" s="13"/>
      <c r="CR32" s="357"/>
      <c r="CS32" s="25"/>
      <c r="CT32" s="653"/>
      <c r="CU32" s="1365"/>
      <c r="CV32" s="13"/>
      <c r="CW32" s="13"/>
      <c r="CX32" s="13"/>
      <c r="CY32" s="357"/>
      <c r="CZ32" s="25"/>
      <c r="DA32" s="653"/>
    </row>
    <row r="33" spans="1:105" ht="16.5" customHeight="1" x14ac:dyDescent="0.2">
      <c r="A33" s="142" t="str">
        <f>'Standard Hagel'!A74</f>
        <v>Hagelversicherung</v>
      </c>
      <c r="B33" s="984">
        <f>'Standard Vorgaben'!$C$181</f>
        <v>0</v>
      </c>
      <c r="C33" s="786">
        <f>'Standard Hagel'!D77</f>
        <v>0.112</v>
      </c>
      <c r="D33" s="127">
        <f>'Standard Hagel'!C77</f>
        <v>0</v>
      </c>
      <c r="E33" s="44">
        <f>'Standard Hagel'!E77</f>
        <v>0.8</v>
      </c>
      <c r="F33" s="81">
        <f>B33*C33*D33*E33</f>
        <v>0</v>
      </c>
      <c r="G33" s="649">
        <f>F33/F82</f>
        <v>0</v>
      </c>
      <c r="H33" s="142" t="str">
        <f>'Standard Hagel'!$A$74</f>
        <v>Hagelversicherung</v>
      </c>
      <c r="I33" s="984">
        <f>'Standard Vorgaben'!$C$181</f>
        <v>0</v>
      </c>
      <c r="J33" s="786">
        <f>'Standard Hagel'!D78</f>
        <v>0.112</v>
      </c>
      <c r="K33" s="127">
        <f>'Standard Hagel'!C78</f>
        <v>9878.4000000000015</v>
      </c>
      <c r="L33" s="44">
        <f>'Standard Hagel'!E78</f>
        <v>0.8</v>
      </c>
      <c r="M33" s="81">
        <f>I33*J33*K33*L33</f>
        <v>0</v>
      </c>
      <c r="N33" s="649">
        <f>M33/$M$81</f>
        <v>0</v>
      </c>
      <c r="O33" s="142" t="str">
        <f>'Standard Hagel'!$A$74</f>
        <v>Hagelversicherung</v>
      </c>
      <c r="P33" s="984">
        <f>'Standard Vorgaben'!$C$181</f>
        <v>0</v>
      </c>
      <c r="Q33" s="786">
        <f>'Standard Hagel'!D79</f>
        <v>0.112</v>
      </c>
      <c r="R33" s="127">
        <f>'Standard Hagel'!C79</f>
        <v>12348</v>
      </c>
      <c r="S33" s="44">
        <f>'Standard Hagel'!E79</f>
        <v>0.8</v>
      </c>
      <c r="T33" s="81">
        <f>P33*Q33*R33*S33</f>
        <v>0</v>
      </c>
      <c r="U33" s="649">
        <f>T33/$T$81</f>
        <v>0</v>
      </c>
      <c r="V33" s="142" t="str">
        <f>'Standard Hagel'!$A$74</f>
        <v>Hagelversicherung</v>
      </c>
      <c r="W33" s="984">
        <f>'Standard Vorgaben'!$C$181</f>
        <v>0</v>
      </c>
      <c r="X33" s="786">
        <f>'Standard Hagel'!D80</f>
        <v>0.112</v>
      </c>
      <c r="Y33" s="127">
        <f>'Standard Hagel'!C80</f>
        <v>21403.200000000001</v>
      </c>
      <c r="Z33" s="44">
        <f>'Standard Hagel'!E80</f>
        <v>0.8</v>
      </c>
      <c r="AA33" s="81">
        <f>W33*X33*Y33*Z33</f>
        <v>0</v>
      </c>
      <c r="AB33" s="649">
        <f>AA33/$AA$81</f>
        <v>0</v>
      </c>
      <c r="AC33" s="142" t="str">
        <f>'Standard Hagel'!$A$74</f>
        <v>Hagelversicherung</v>
      </c>
      <c r="AD33" s="984">
        <f>'Standard Vorgaben'!$C$181</f>
        <v>0</v>
      </c>
      <c r="AE33" s="786">
        <f>'Standard Hagel'!D81</f>
        <v>0.112</v>
      </c>
      <c r="AF33" s="127">
        <f>'Standard Hagel'!C81</f>
        <v>28812.000000000004</v>
      </c>
      <c r="AG33" s="44">
        <f>'Standard Hagel'!E81</f>
        <v>0.8</v>
      </c>
      <c r="AH33" s="81">
        <f>AD33*AE33*AF33*AG33</f>
        <v>0</v>
      </c>
      <c r="AI33" s="649">
        <f>AH33/$AH$81</f>
        <v>0</v>
      </c>
      <c r="AJ33" s="142" t="str">
        <f>'Standard Hagel'!$A$74</f>
        <v>Hagelversicherung</v>
      </c>
      <c r="AK33" s="984">
        <f>'Standard Vorgaben'!$C$181</f>
        <v>0</v>
      </c>
      <c r="AL33" s="786">
        <f>'Standard Hagel'!D82</f>
        <v>0.112</v>
      </c>
      <c r="AM33" s="127">
        <f>'Standard Hagel'!C82</f>
        <v>36220.800000000003</v>
      </c>
      <c r="AN33" s="44">
        <f>'Standard Hagel'!E82</f>
        <v>0.8</v>
      </c>
      <c r="AO33" s="81">
        <f>AK33*AL33*AM33*AN33</f>
        <v>0</v>
      </c>
      <c r="AP33" s="649">
        <f>AO33/$AO$81</f>
        <v>0</v>
      </c>
      <c r="AQ33" s="142" t="str">
        <f>'Standard Hagel'!$A$74</f>
        <v>Hagelversicherung</v>
      </c>
      <c r="AR33" s="984">
        <f>'Standard Vorgaben'!$C$181</f>
        <v>0</v>
      </c>
      <c r="AS33" s="786">
        <f>'Standard Hagel'!D83</f>
        <v>0.112</v>
      </c>
      <c r="AT33" s="127">
        <f>'Standard Hagel'!C83</f>
        <v>29532.300000000003</v>
      </c>
      <c r="AU33" s="44">
        <f>'Standard Hagel'!E83</f>
        <v>0.8</v>
      </c>
      <c r="AV33" s="81">
        <f>AR33*AS33*AT33*AU33</f>
        <v>0</v>
      </c>
      <c r="AW33" s="649">
        <f>AV33/$AV$81</f>
        <v>0</v>
      </c>
      <c r="AX33" s="142" t="str">
        <f>'Standard Hagel'!$A$74</f>
        <v>Hagelversicherung</v>
      </c>
      <c r="AY33" s="984">
        <f>'Standard Vorgaben'!$C$181</f>
        <v>0</v>
      </c>
      <c r="AZ33" s="786">
        <f>'Standard Hagel'!D84</f>
        <v>0.112</v>
      </c>
      <c r="BA33" s="127">
        <f>'Standard Hagel'!C84</f>
        <v>29532.300000000003</v>
      </c>
      <c r="BB33" s="44">
        <f>'Standard Hagel'!E84</f>
        <v>0.8</v>
      </c>
      <c r="BC33" s="81">
        <f>AY33*AZ33*BA33*BB33</f>
        <v>0</v>
      </c>
      <c r="BD33" s="649">
        <f>BC33/$BC$81</f>
        <v>0</v>
      </c>
      <c r="BE33" s="142" t="str">
        <f>'Standard Hagel'!$A$74</f>
        <v>Hagelversicherung</v>
      </c>
      <c r="BF33" s="984">
        <f>'Standard Vorgaben'!$C$181</f>
        <v>0</v>
      </c>
      <c r="BG33" s="786">
        <f>'Standard Hagel'!D85</f>
        <v>0.112</v>
      </c>
      <c r="BH33" s="127">
        <f>'Standard Hagel'!C85</f>
        <v>42806.400000000001</v>
      </c>
      <c r="BI33" s="44">
        <f>'Standard Hagel'!E85</f>
        <v>0.8</v>
      </c>
      <c r="BJ33" s="81">
        <f>BF33*BG33*BH33*BI33</f>
        <v>0</v>
      </c>
      <c r="BK33" s="649">
        <f>BJ33/$BJ$81</f>
        <v>0</v>
      </c>
      <c r="BL33" s="142" t="str">
        <f>'Standard Hagel'!$A$74</f>
        <v>Hagelversicherung</v>
      </c>
      <c r="BM33" s="984">
        <f>'Standard Vorgaben'!$C$181</f>
        <v>0</v>
      </c>
      <c r="BN33" s="786">
        <f>'Standard Hagel'!D86</f>
        <v>0.112</v>
      </c>
      <c r="BO33" s="127">
        <f>'Standard Hagel'!C86</f>
        <v>45276</v>
      </c>
      <c r="BP33" s="44">
        <f>'Standard Hagel'!E86</f>
        <v>0.8</v>
      </c>
      <c r="BQ33" s="81">
        <f>BM33*BN33*BO33*BP33</f>
        <v>0</v>
      </c>
      <c r="BR33" s="649">
        <f>BQ33/$BQ$81</f>
        <v>0</v>
      </c>
      <c r="BS33" s="142" t="str">
        <f>'Standard Hagel'!$A$74</f>
        <v>Hagelversicherung</v>
      </c>
      <c r="BT33" s="984">
        <f>'Standard Vorgaben'!$C$181</f>
        <v>0</v>
      </c>
      <c r="BU33" s="786">
        <f>'Standard Hagel'!D87</f>
        <v>0.112</v>
      </c>
      <c r="BV33" s="127">
        <f>'Standard Hagel'!C87</f>
        <v>36426.600000000006</v>
      </c>
      <c r="BW33" s="44">
        <f>'Standard Hagel'!E87</f>
        <v>0.8</v>
      </c>
      <c r="BX33" s="81">
        <f>BT33*BU33*BV33*BW33</f>
        <v>0</v>
      </c>
      <c r="BY33" s="649">
        <f>BX33/$BX$81</f>
        <v>0</v>
      </c>
      <c r="BZ33" s="142" t="str">
        <f>'Standard Hagel'!$A$74</f>
        <v>Hagelversicherung</v>
      </c>
      <c r="CA33" s="984">
        <f>'Standard Vorgaben'!$C$181</f>
        <v>0</v>
      </c>
      <c r="CB33" s="786">
        <f>'Standard Hagel'!D88</f>
        <v>0.112</v>
      </c>
      <c r="CC33" s="127">
        <f>'Standard Hagel'!C88</f>
        <v>29635.200000000004</v>
      </c>
      <c r="CD33" s="44">
        <f>'Standard Hagel'!E88</f>
        <v>0.8</v>
      </c>
      <c r="CE33" s="81">
        <f>CA33*CB33*CC33*CD33</f>
        <v>0</v>
      </c>
      <c r="CF33" s="649">
        <f>CE33/$CE$81</f>
        <v>0</v>
      </c>
      <c r="CG33" s="142" t="str">
        <f>'Standard Hagel'!$A$74</f>
        <v>Hagelversicherung</v>
      </c>
      <c r="CH33" s="984">
        <f>'Standard Vorgaben'!$C$181</f>
        <v>0</v>
      </c>
      <c r="CI33" s="786">
        <f>'Standard Hagel'!D89</f>
        <v>0.112</v>
      </c>
      <c r="CJ33" s="127">
        <f>'Standard Hagel'!C89</f>
        <v>32928</v>
      </c>
      <c r="CK33" s="44">
        <f>'Standard Hagel'!E89</f>
        <v>0.8</v>
      </c>
      <c r="CL33" s="81">
        <f>CH33*CI33*CJ33*CK33</f>
        <v>0</v>
      </c>
      <c r="CM33" s="649">
        <f>CL33/$CL$81</f>
        <v>0</v>
      </c>
      <c r="CN33" s="142" t="str">
        <f>'Standard Hagel'!$A$74</f>
        <v>Hagelversicherung</v>
      </c>
      <c r="CO33" s="984">
        <f>'Standard Vorgaben'!$C$181</f>
        <v>0</v>
      </c>
      <c r="CP33" s="786">
        <f>'Standard Hagel'!D90</f>
        <v>0.112</v>
      </c>
      <c r="CQ33" s="127">
        <f>'Standard Hagel'!C90</f>
        <v>33751.200000000004</v>
      </c>
      <c r="CR33" s="44">
        <f>'Standard Hagel'!E90</f>
        <v>0.8</v>
      </c>
      <c r="CS33" s="81">
        <f>CO33*CP33*CQ33*CR33</f>
        <v>0</v>
      </c>
      <c r="CT33" s="649">
        <f>CS33/$CS$81</f>
        <v>0</v>
      </c>
      <c r="CU33" s="142" t="str">
        <f>'Standard Hagel'!$A$74</f>
        <v>Hagelversicherung</v>
      </c>
      <c r="CV33" s="984">
        <f>'Standard Vorgaben'!$C$181</f>
        <v>0</v>
      </c>
      <c r="CW33" s="786">
        <f>'Standard Hagel'!D91</f>
        <v>0.112</v>
      </c>
      <c r="CX33" s="127">
        <f>'Standard Hagel'!C91</f>
        <v>28812.000000000004</v>
      </c>
      <c r="CY33" s="44">
        <f>'Standard Hagel'!E91</f>
        <v>0.8</v>
      </c>
      <c r="CZ33" s="81">
        <f>CV33*CW33*CX33*CY33</f>
        <v>0</v>
      </c>
      <c r="DA33" s="649">
        <f>CZ33/$CZ$81</f>
        <v>0</v>
      </c>
    </row>
    <row r="34" spans="1:105" ht="16.5" customHeight="1" x14ac:dyDescent="0.2">
      <c r="A34" s="142" t="s">
        <v>585</v>
      </c>
      <c r="B34" s="984"/>
      <c r="C34" s="786"/>
      <c r="D34" s="127"/>
      <c r="E34" s="44"/>
      <c r="F34" s="81">
        <f>'Standard Vorgaben'!$C$189</f>
        <v>1317.8</v>
      </c>
      <c r="G34" s="653"/>
      <c r="H34" s="142" t="s">
        <v>585</v>
      </c>
      <c r="I34" s="984"/>
      <c r="J34" s="786"/>
      <c r="K34" s="127"/>
      <c r="L34" s="44"/>
      <c r="M34" s="81">
        <f>'Standard Vorgaben'!$C$189</f>
        <v>1317.8</v>
      </c>
      <c r="N34" s="653"/>
      <c r="O34" s="142" t="s">
        <v>585</v>
      </c>
      <c r="P34" s="984"/>
      <c r="Q34" s="786"/>
      <c r="R34" s="127"/>
      <c r="S34" s="44"/>
      <c r="T34" s="81">
        <f>'Standard Vorgaben'!$C$189</f>
        <v>1317.8</v>
      </c>
      <c r="U34" s="653"/>
      <c r="V34" s="142" t="s">
        <v>585</v>
      </c>
      <c r="W34" s="984"/>
      <c r="X34" s="786"/>
      <c r="Y34" s="127"/>
      <c r="Z34" s="44"/>
      <c r="AA34" s="81">
        <f>'Standard Vorgaben'!$C$189</f>
        <v>1317.8</v>
      </c>
      <c r="AB34" s="653"/>
      <c r="AC34" s="142" t="s">
        <v>585</v>
      </c>
      <c r="AD34" s="984"/>
      <c r="AE34" s="786"/>
      <c r="AF34" s="127"/>
      <c r="AG34" s="44"/>
      <c r="AH34" s="81">
        <f>'Standard Vorgaben'!$C$189</f>
        <v>1317.8</v>
      </c>
      <c r="AI34" s="653"/>
      <c r="AJ34" s="142" t="s">
        <v>585</v>
      </c>
      <c r="AK34" s="984"/>
      <c r="AL34" s="786"/>
      <c r="AM34" s="127"/>
      <c r="AN34" s="44"/>
      <c r="AO34" s="81">
        <f>'Standard Vorgaben'!$C$189</f>
        <v>1317.8</v>
      </c>
      <c r="AP34" s="653"/>
      <c r="AQ34" s="142" t="s">
        <v>585</v>
      </c>
      <c r="AR34" s="984"/>
      <c r="AS34" s="786"/>
      <c r="AT34" s="127"/>
      <c r="AU34" s="44"/>
      <c r="AV34" s="81">
        <f>'Standard Vorgaben'!$C$189</f>
        <v>1317.8</v>
      </c>
      <c r="AW34" s="653"/>
      <c r="AX34" s="142" t="s">
        <v>585</v>
      </c>
      <c r="AY34" s="984"/>
      <c r="AZ34" s="786"/>
      <c r="BA34" s="127"/>
      <c r="BB34" s="44"/>
      <c r="BC34" s="81">
        <f>'Standard Vorgaben'!$C$189</f>
        <v>1317.8</v>
      </c>
      <c r="BD34" s="653"/>
      <c r="BE34" s="142" t="s">
        <v>585</v>
      </c>
      <c r="BF34" s="984"/>
      <c r="BG34" s="786"/>
      <c r="BH34" s="127"/>
      <c r="BI34" s="44"/>
      <c r="BJ34" s="81">
        <f>'Standard Vorgaben'!$C$189</f>
        <v>1317.8</v>
      </c>
      <c r="BK34" s="653"/>
      <c r="BL34" s="142" t="s">
        <v>585</v>
      </c>
      <c r="BM34" s="984"/>
      <c r="BN34" s="786"/>
      <c r="BO34" s="127"/>
      <c r="BP34" s="44"/>
      <c r="BQ34" s="81">
        <f>'Standard Vorgaben'!$C$189</f>
        <v>1317.8</v>
      </c>
      <c r="BR34" s="649"/>
      <c r="BS34" s="142" t="s">
        <v>585</v>
      </c>
      <c r="BT34" s="984"/>
      <c r="BU34" s="786"/>
      <c r="BV34" s="127"/>
      <c r="BW34" s="44"/>
      <c r="BX34" s="81">
        <f>'Standard Vorgaben'!$C$189</f>
        <v>1317.8</v>
      </c>
      <c r="BY34" s="653"/>
      <c r="BZ34" s="142" t="s">
        <v>585</v>
      </c>
      <c r="CA34" s="984"/>
      <c r="CB34" s="786"/>
      <c r="CC34" s="127"/>
      <c r="CD34" s="44"/>
      <c r="CE34" s="81">
        <f>'Standard Vorgaben'!$C$189</f>
        <v>1317.8</v>
      </c>
      <c r="CF34" s="653"/>
      <c r="CG34" s="142" t="s">
        <v>585</v>
      </c>
      <c r="CH34" s="984"/>
      <c r="CI34" s="786"/>
      <c r="CJ34" s="127"/>
      <c r="CK34" s="44"/>
      <c r="CL34" s="81">
        <f>'Standard Vorgaben'!$C$189</f>
        <v>1317.8</v>
      </c>
      <c r="CM34" s="653"/>
      <c r="CN34" s="142" t="s">
        <v>585</v>
      </c>
      <c r="CO34" s="984"/>
      <c r="CP34" s="786"/>
      <c r="CQ34" s="127"/>
      <c r="CR34" s="44"/>
      <c r="CS34" s="81">
        <f>'Standard Vorgaben'!$C$189</f>
        <v>1317.8</v>
      </c>
      <c r="CT34" s="653"/>
      <c r="CU34" s="142" t="s">
        <v>585</v>
      </c>
      <c r="CV34" s="984"/>
      <c r="CW34" s="786"/>
      <c r="CX34" s="127"/>
      <c r="CY34" s="44"/>
      <c r="CZ34" s="81">
        <f>'Standard Vorgaben'!$C$189</f>
        <v>1317.8</v>
      </c>
      <c r="DA34" s="653"/>
    </row>
    <row r="35" spans="1:105" ht="16.5" customHeight="1" x14ac:dyDescent="0.2">
      <c r="A35" s="70" t="s">
        <v>406</v>
      </c>
      <c r="B35" s="287"/>
      <c r="C35" s="11"/>
      <c r="D35" s="11"/>
      <c r="E35" s="105"/>
      <c r="F35" s="110"/>
      <c r="G35" s="653"/>
      <c r="H35" s="70" t="s">
        <v>406</v>
      </c>
      <c r="I35" s="287"/>
      <c r="J35" s="11"/>
      <c r="K35" s="11"/>
      <c r="L35" s="105"/>
      <c r="M35" s="110"/>
      <c r="N35" s="653"/>
      <c r="O35" s="70" t="s">
        <v>406</v>
      </c>
      <c r="P35" s="287"/>
      <c r="Q35" s="11"/>
      <c r="R35" s="11"/>
      <c r="S35" s="105"/>
      <c r="T35" s="110"/>
      <c r="U35" s="653"/>
      <c r="V35" s="70" t="s">
        <v>406</v>
      </c>
      <c r="W35" s="287"/>
      <c r="X35" s="11"/>
      <c r="Y35" s="11"/>
      <c r="Z35" s="105"/>
      <c r="AA35" s="110"/>
      <c r="AB35" s="653"/>
      <c r="AC35" s="70" t="s">
        <v>406</v>
      </c>
      <c r="AD35" s="287"/>
      <c r="AE35" s="11"/>
      <c r="AF35" s="11"/>
      <c r="AG35" s="105"/>
      <c r="AH35" s="110"/>
      <c r="AI35" s="653"/>
      <c r="AJ35" s="70" t="s">
        <v>406</v>
      </c>
      <c r="AK35" s="287"/>
      <c r="AL35" s="11"/>
      <c r="AM35" s="11"/>
      <c r="AN35" s="105"/>
      <c r="AO35" s="110"/>
      <c r="AP35" s="653"/>
      <c r="AQ35" s="70" t="s">
        <v>406</v>
      </c>
      <c r="AR35" s="287"/>
      <c r="AS35" s="11"/>
      <c r="AT35" s="11"/>
      <c r="AU35" s="105"/>
      <c r="AV35" s="110"/>
      <c r="AW35" s="653"/>
      <c r="AX35" s="70" t="s">
        <v>406</v>
      </c>
      <c r="AY35" s="287"/>
      <c r="AZ35" s="11"/>
      <c r="BA35" s="11"/>
      <c r="BB35" s="105"/>
      <c r="BC35" s="110"/>
      <c r="BD35" s="653"/>
      <c r="BE35" s="70" t="s">
        <v>406</v>
      </c>
      <c r="BF35" s="287"/>
      <c r="BG35" s="11"/>
      <c r="BH35" s="11"/>
      <c r="BI35" s="105"/>
      <c r="BJ35" s="110"/>
      <c r="BK35" s="653"/>
      <c r="BL35" s="70" t="s">
        <v>406</v>
      </c>
      <c r="BM35" s="287"/>
      <c r="BN35" s="11"/>
      <c r="BO35" s="11"/>
      <c r="BP35" s="105"/>
      <c r="BQ35" s="110"/>
      <c r="BR35" s="653"/>
      <c r="BS35" s="70" t="s">
        <v>406</v>
      </c>
      <c r="BT35" s="287"/>
      <c r="BU35" s="11"/>
      <c r="BV35" s="11"/>
      <c r="BW35" s="105"/>
      <c r="BX35" s="110"/>
      <c r="BY35" s="653"/>
      <c r="BZ35" s="70" t="s">
        <v>406</v>
      </c>
      <c r="CA35" s="287"/>
      <c r="CB35" s="11"/>
      <c r="CC35" s="11"/>
      <c r="CD35" s="105"/>
      <c r="CE35" s="110"/>
      <c r="CF35" s="653"/>
      <c r="CG35" s="70" t="s">
        <v>406</v>
      </c>
      <c r="CH35" s="287"/>
      <c r="CI35" s="11"/>
      <c r="CJ35" s="11"/>
      <c r="CK35" s="105"/>
      <c r="CL35" s="110"/>
      <c r="CM35" s="653"/>
      <c r="CN35" s="70" t="s">
        <v>406</v>
      </c>
      <c r="CO35" s="287"/>
      <c r="CP35" s="11"/>
      <c r="CQ35" s="11"/>
      <c r="CR35" s="105"/>
      <c r="CS35" s="110"/>
      <c r="CT35" s="653"/>
      <c r="CU35" s="70" t="s">
        <v>406</v>
      </c>
      <c r="CV35" s="287"/>
      <c r="CW35" s="11"/>
      <c r="CX35" s="11"/>
      <c r="CY35" s="105"/>
      <c r="CZ35" s="110"/>
      <c r="DA35" s="653"/>
    </row>
    <row r="36" spans="1:105" s="1" customFormat="1" ht="18" customHeight="1" x14ac:dyDescent="0.2">
      <c r="A36" s="1433" t="s">
        <v>608</v>
      </c>
      <c r="B36" s="19" t="str">
        <f>'Standard Vorgaben'!$F$38</f>
        <v>Klasse I+II</v>
      </c>
      <c r="C36" s="19"/>
      <c r="D36" s="944" t="s">
        <v>135</v>
      </c>
      <c r="E36" s="44">
        <f>'Standard Vorgaben'!$G$38</f>
        <v>325</v>
      </c>
      <c r="F36" s="146">
        <f>'Standard Vorgaben'!$G$38</f>
        <v>325</v>
      </c>
      <c r="G36" s="652">
        <f>F36/F81</f>
        <v>2.5490403108686471E-2</v>
      </c>
      <c r="H36" s="1433" t="s">
        <v>608</v>
      </c>
      <c r="I36" s="19" t="str">
        <f>'Standard Vorgaben'!$F$38</f>
        <v>Klasse I+II</v>
      </c>
      <c r="J36" s="19"/>
      <c r="K36" s="41" t="str">
        <f>D36</f>
        <v>pro ha</v>
      </c>
      <c r="L36" s="44">
        <f>'Standard Vorgaben'!$G$38</f>
        <v>325</v>
      </c>
      <c r="M36" s="146">
        <f>'Standard Vorgaben'!$G$38</f>
        <v>325</v>
      </c>
      <c r="N36" s="652">
        <f>M36/M81</f>
        <v>2.001934691070659E-2</v>
      </c>
      <c r="O36" s="1433" t="s">
        <v>608</v>
      </c>
      <c r="P36" s="19" t="str">
        <f>'Standard Vorgaben'!$F$38</f>
        <v>Klasse I+II</v>
      </c>
      <c r="Q36" s="19"/>
      <c r="R36" s="41" t="str">
        <f>K36</f>
        <v>pro ha</v>
      </c>
      <c r="S36" s="44">
        <f>'Standard Vorgaben'!$G$38</f>
        <v>325</v>
      </c>
      <c r="T36" s="146">
        <f>'Standard Vorgaben'!$G$38</f>
        <v>325</v>
      </c>
      <c r="U36" s="652">
        <f>T36/T81</f>
        <v>1.0928590657253033E-2</v>
      </c>
      <c r="V36" s="1433" t="s">
        <v>608</v>
      </c>
      <c r="W36" s="19" t="str">
        <f>'Standard Vorgaben'!$F$38</f>
        <v>Klasse I+II</v>
      </c>
      <c r="X36" s="19"/>
      <c r="Y36" s="41" t="str">
        <f>R36</f>
        <v>pro ha</v>
      </c>
      <c r="Z36" s="44">
        <f>'Standard Vorgaben'!$G$38</f>
        <v>325</v>
      </c>
      <c r="AA36" s="146">
        <f>'Standard Vorgaben'!$G$38</f>
        <v>325</v>
      </c>
      <c r="AB36" s="652">
        <f>AA36/AA81</f>
        <v>9.7641476959926983E-3</v>
      </c>
      <c r="AC36" s="1433" t="s">
        <v>608</v>
      </c>
      <c r="AD36" s="19" t="str">
        <f>'Standard Vorgaben'!$F$38</f>
        <v>Klasse I+II</v>
      </c>
      <c r="AE36" s="19"/>
      <c r="AF36" s="41" t="str">
        <f>Y36</f>
        <v>pro ha</v>
      </c>
      <c r="AG36" s="44">
        <f>'Standard Vorgaben'!$G$38</f>
        <v>325</v>
      </c>
      <c r="AH36" s="146">
        <f>'Standard Vorgaben'!$G$38</f>
        <v>325</v>
      </c>
      <c r="AI36" s="652">
        <f>AH36/AH81</f>
        <v>9.1882835966472665E-3</v>
      </c>
      <c r="AJ36" s="1433" t="s">
        <v>608</v>
      </c>
      <c r="AK36" s="19" t="str">
        <f>'Standard Vorgaben'!$F$38</f>
        <v>Klasse I+II</v>
      </c>
      <c r="AL36" s="19"/>
      <c r="AM36" s="41" t="str">
        <f>AF36</f>
        <v>pro ha</v>
      </c>
      <c r="AN36" s="44">
        <f>'Standard Vorgaben'!$G$38</f>
        <v>325</v>
      </c>
      <c r="AO36" s="146">
        <f>'Standard Vorgaben'!$G$38</f>
        <v>325</v>
      </c>
      <c r="AP36" s="652">
        <f>AO36/AO81</f>
        <v>8.689905662799079E-3</v>
      </c>
      <c r="AQ36" s="1433" t="s">
        <v>608</v>
      </c>
      <c r="AR36" s="19" t="str">
        <f>'Standard Vorgaben'!$F$38</f>
        <v>Klasse I+II</v>
      </c>
      <c r="AS36" s="19"/>
      <c r="AT36" s="41" t="str">
        <f>AM36</f>
        <v>pro ha</v>
      </c>
      <c r="AU36" s="44">
        <f>'Standard Vorgaben'!$G$38</f>
        <v>325</v>
      </c>
      <c r="AV36" s="146">
        <f>'Standard Vorgaben'!$G$38</f>
        <v>325</v>
      </c>
      <c r="AW36" s="652">
        <f>AV36/AV81</f>
        <v>9.1465056732877702E-3</v>
      </c>
      <c r="AX36" s="1433" t="s">
        <v>608</v>
      </c>
      <c r="AY36" s="19" t="str">
        <f>'Standard Vorgaben'!$F$38</f>
        <v>Klasse I+II</v>
      </c>
      <c r="AZ36" s="19"/>
      <c r="BA36" s="41" t="str">
        <f>AT36</f>
        <v>pro ha</v>
      </c>
      <c r="BB36" s="44">
        <f>'Standard Vorgaben'!$G$38</f>
        <v>325</v>
      </c>
      <c r="BC36" s="146">
        <f>'Standard Vorgaben'!$G$38</f>
        <v>325</v>
      </c>
      <c r="BD36" s="652">
        <f>BC36/BC81</f>
        <v>9.1450143641004338E-3</v>
      </c>
      <c r="BE36" s="1433" t="s">
        <v>608</v>
      </c>
      <c r="BF36" s="19" t="str">
        <f>'Standard Vorgaben'!$F$38</f>
        <v>Klasse I+II</v>
      </c>
      <c r="BG36" s="19"/>
      <c r="BH36" s="41" t="str">
        <f>BA36</f>
        <v>pro ha</v>
      </c>
      <c r="BI36" s="44">
        <f>'Standard Vorgaben'!$G$38</f>
        <v>325</v>
      </c>
      <c r="BJ36" s="146">
        <f>'Standard Vorgaben'!$G$38</f>
        <v>325</v>
      </c>
      <c r="BK36" s="652">
        <f>BJ36/BJ81</f>
        <v>8.2997480903737736E-3</v>
      </c>
      <c r="BL36" s="1433" t="s">
        <v>608</v>
      </c>
      <c r="BM36" s="19" t="str">
        <f>'Standard Vorgaben'!$F$38</f>
        <v>Klasse I+II</v>
      </c>
      <c r="BN36" s="19"/>
      <c r="BO36" s="41" t="str">
        <f>BH36</f>
        <v>pro ha</v>
      </c>
      <c r="BP36" s="44">
        <f>'Standard Vorgaben'!$G$38</f>
        <v>325</v>
      </c>
      <c r="BQ36" s="146">
        <f>'Standard Vorgaben'!$G$38</f>
        <v>325</v>
      </c>
      <c r="BR36" s="652">
        <f>BQ36/BQ81</f>
        <v>8.1798408060171548E-3</v>
      </c>
      <c r="BS36" s="1433" t="s">
        <v>608</v>
      </c>
      <c r="BT36" s="19" t="str">
        <f>'Standard Vorgaben'!$F$38</f>
        <v>Klasse I+II</v>
      </c>
      <c r="BU36" s="19"/>
      <c r="BV36" s="41" t="str">
        <f>BO36</f>
        <v>pro ha</v>
      </c>
      <c r="BW36" s="44">
        <f>'Standard Vorgaben'!$G$38</f>
        <v>325</v>
      </c>
      <c r="BX36" s="146">
        <f>'Standard Vorgaben'!$G$38</f>
        <v>325</v>
      </c>
      <c r="BY36" s="652">
        <f>BX36/BX81</f>
        <v>8.735547141918024E-3</v>
      </c>
      <c r="BZ36" s="1433" t="s">
        <v>608</v>
      </c>
      <c r="CA36" s="19" t="str">
        <f>'Standard Vorgaben'!$F$38</f>
        <v>Klasse I+II</v>
      </c>
      <c r="CB36" s="19"/>
      <c r="CC36" s="41" t="str">
        <f>BV36</f>
        <v>pro ha</v>
      </c>
      <c r="CD36" s="44">
        <f>'Standard Vorgaben'!$G$38</f>
        <v>325</v>
      </c>
      <c r="CE36" s="146">
        <f>'Standard Vorgaben'!$G$38</f>
        <v>325</v>
      </c>
      <c r="CF36" s="652">
        <f>CE36/CE81</f>
        <v>9.2053906471537793E-3</v>
      </c>
      <c r="CG36" s="1433" t="s">
        <v>608</v>
      </c>
      <c r="CH36" s="19" t="str">
        <f>'Standard Vorgaben'!$F$38</f>
        <v>Klasse I+II</v>
      </c>
      <c r="CI36" s="19"/>
      <c r="CJ36" s="41" t="str">
        <f>CC36</f>
        <v>pro ha</v>
      </c>
      <c r="CK36" s="44">
        <f>'Standard Vorgaben'!$G$38</f>
        <v>325</v>
      </c>
      <c r="CL36" s="146">
        <f>'Standard Vorgaben'!$G$38</f>
        <v>325</v>
      </c>
      <c r="CM36" s="652">
        <f>CL36/CL81</f>
        <v>8.9767955423122707E-3</v>
      </c>
      <c r="CN36" s="1433" t="s">
        <v>608</v>
      </c>
      <c r="CO36" s="19" t="str">
        <f>'Standard Vorgaben'!$F$38</f>
        <v>Klasse I+II</v>
      </c>
      <c r="CP36" s="19"/>
      <c r="CQ36" s="41" t="str">
        <f>CJ36</f>
        <v>pro ha</v>
      </c>
      <c r="CR36" s="44">
        <f>'Standard Vorgaben'!$G$38</f>
        <v>325</v>
      </c>
      <c r="CS36" s="146">
        <f>'Standard Vorgaben'!$G$38</f>
        <v>325</v>
      </c>
      <c r="CT36" s="652">
        <f>CS36/CS81</f>
        <v>8.9440239787577664E-3</v>
      </c>
      <c r="CU36" s="1433" t="s">
        <v>608</v>
      </c>
      <c r="CV36" s="19" t="str">
        <f>'Standard Vorgaben'!$F$38</f>
        <v>Klasse I+II</v>
      </c>
      <c r="CW36" s="19"/>
      <c r="CX36" s="41" t="str">
        <f>CQ36</f>
        <v>pro ha</v>
      </c>
      <c r="CY36" s="44">
        <f>'Standard Vorgaben'!$G$38</f>
        <v>325</v>
      </c>
      <c r="CZ36" s="146">
        <f>'Standard Vorgaben'!$G$38</f>
        <v>325</v>
      </c>
      <c r="DA36" s="652">
        <f>CZ36/CZ81</f>
        <v>7.9209439907455756E-3</v>
      </c>
    </row>
    <row r="37" spans="1:105" s="1" customFormat="1" ht="18" customHeight="1" x14ac:dyDescent="0.2">
      <c r="A37" s="1433"/>
      <c r="B37" s="19" t="str">
        <f>'Standard Vorgaben'!$F$39</f>
        <v>Mostobst</v>
      </c>
      <c r="C37" s="19"/>
      <c r="D37" s="944" t="s">
        <v>58</v>
      </c>
      <c r="E37" s="44">
        <f>'Standard Vorgaben'!$G$39</f>
        <v>1</v>
      </c>
      <c r="F37" s="146">
        <f>E37*D11/100</f>
        <v>0</v>
      </c>
      <c r="G37" s="652">
        <f>F37/F81</f>
        <v>0</v>
      </c>
      <c r="H37" s="1433"/>
      <c r="I37" s="19" t="str">
        <f>'Standard Vorgaben'!$F$39</f>
        <v>Mostobst</v>
      </c>
      <c r="J37" s="19"/>
      <c r="K37" s="41" t="str">
        <f>D37</f>
        <v>pro 100 kg</v>
      </c>
      <c r="L37" s="44">
        <f>'Standard Vorgaben'!$G$39</f>
        <v>1</v>
      </c>
      <c r="M37" s="146">
        <f>L37*K11/100</f>
        <v>12.6</v>
      </c>
      <c r="N37" s="652">
        <f>M37/M81</f>
        <v>7.7613468023047096E-4</v>
      </c>
      <c r="O37" s="1433"/>
      <c r="P37" s="19" t="str">
        <f>'Standard Vorgaben'!$F$39</f>
        <v>Mostobst</v>
      </c>
      <c r="Q37" s="19"/>
      <c r="R37" s="41" t="str">
        <f>K37</f>
        <v>pro 100 kg</v>
      </c>
      <c r="S37" s="44">
        <f>'Standard Vorgaben'!$G$39</f>
        <v>1</v>
      </c>
      <c r="T37" s="146">
        <f>S37*R11/100</f>
        <v>15.75</v>
      </c>
      <c r="U37" s="652">
        <f>T37/T81</f>
        <v>5.2961631646687777E-4</v>
      </c>
      <c r="V37" s="1433"/>
      <c r="W37" s="19" t="str">
        <f>'Standard Vorgaben'!$F$39</f>
        <v>Mostobst</v>
      </c>
      <c r="X37" s="19"/>
      <c r="Y37" s="41" t="str">
        <f>R37</f>
        <v>pro 100 kg</v>
      </c>
      <c r="Z37" s="44">
        <f>'Standard Vorgaben'!$G$39</f>
        <v>1</v>
      </c>
      <c r="AA37" s="146">
        <f>Z37*Y11/100</f>
        <v>27.3</v>
      </c>
      <c r="AB37" s="652">
        <f>AA37/AA81</f>
        <v>8.2018840646338673E-4</v>
      </c>
      <c r="AC37" s="1433"/>
      <c r="AD37" s="19" t="str">
        <f>'Standard Vorgaben'!$F$39</f>
        <v>Mostobst</v>
      </c>
      <c r="AE37" s="19"/>
      <c r="AF37" s="41" t="str">
        <f>Y37</f>
        <v>pro 100 kg</v>
      </c>
      <c r="AG37" s="44">
        <f>'Standard Vorgaben'!$G$39</f>
        <v>1</v>
      </c>
      <c r="AH37" s="146">
        <f>AG37*AF11/100</f>
        <v>36.75</v>
      </c>
      <c r="AI37" s="652">
        <f>AH37/AH81</f>
        <v>1.0389828374670371E-3</v>
      </c>
      <c r="AJ37" s="1433"/>
      <c r="AK37" s="19" t="str">
        <f>'Standard Vorgaben'!$F$39</f>
        <v>Mostobst</v>
      </c>
      <c r="AL37" s="19"/>
      <c r="AM37" s="41" t="str">
        <f>AF37</f>
        <v>pro 100 kg</v>
      </c>
      <c r="AN37" s="44">
        <f>'Standard Vorgaben'!$G$39</f>
        <v>1</v>
      </c>
      <c r="AO37" s="146">
        <f>AN37*AM11/100</f>
        <v>46.2</v>
      </c>
      <c r="AP37" s="652">
        <f>AO37/AO81</f>
        <v>1.235303512680977E-3</v>
      </c>
      <c r="AQ37" s="1433"/>
      <c r="AR37" s="19" t="str">
        <f>'Standard Vorgaben'!$F$39</f>
        <v>Mostobst</v>
      </c>
      <c r="AS37" s="19"/>
      <c r="AT37" s="41" t="str">
        <f>AM37</f>
        <v>pro 100 kg</v>
      </c>
      <c r="AU37" s="44">
        <f>'Standard Vorgaben'!$G$39</f>
        <v>1</v>
      </c>
      <c r="AV37" s="146">
        <f>AU37*AT11/100</f>
        <v>37.668750000000003</v>
      </c>
      <c r="AW37" s="652">
        <f>AV37/AV81</f>
        <v>1.0601151864020268E-3</v>
      </c>
      <c r="AX37" s="1433"/>
      <c r="AY37" s="19" t="str">
        <f>'Standard Vorgaben'!$F$39</f>
        <v>Mostobst</v>
      </c>
      <c r="AZ37" s="19"/>
      <c r="BA37" s="41" t="str">
        <f>AT37</f>
        <v>pro 100 kg</v>
      </c>
      <c r="BB37" s="44">
        <f>'Standard Vorgaben'!$G$39</f>
        <v>1</v>
      </c>
      <c r="BC37" s="146">
        <f>BB37*BA11/100</f>
        <v>37.668750000000003</v>
      </c>
      <c r="BD37" s="652">
        <f>BC37/BC81</f>
        <v>1.05994233793141E-3</v>
      </c>
      <c r="BE37" s="1433"/>
      <c r="BF37" s="19" t="str">
        <f>'Standard Vorgaben'!$F$39</f>
        <v>Mostobst</v>
      </c>
      <c r="BG37" s="19"/>
      <c r="BH37" s="41" t="str">
        <f>BA37</f>
        <v>pro 100 kg</v>
      </c>
      <c r="BI37" s="44">
        <f>'Standard Vorgaben'!$G$39</f>
        <v>1</v>
      </c>
      <c r="BJ37" s="146">
        <f>BI37*BH11/100</f>
        <v>54.6</v>
      </c>
      <c r="BK37" s="652">
        <f>BJ37/BJ81</f>
        <v>1.3943576791827939E-3</v>
      </c>
      <c r="BL37" s="1433"/>
      <c r="BM37" s="19" t="str">
        <f>'Standard Vorgaben'!$F$39</f>
        <v>Mostobst</v>
      </c>
      <c r="BN37" s="19"/>
      <c r="BO37" s="41" t="str">
        <f>BH37</f>
        <v>pro 100 kg</v>
      </c>
      <c r="BP37" s="44">
        <f>'Standard Vorgaben'!$G$39</f>
        <v>1</v>
      </c>
      <c r="BQ37" s="146">
        <f>BP37*BO11/100</f>
        <v>57.75</v>
      </c>
      <c r="BR37" s="652">
        <f>BQ37/BQ81</f>
        <v>1.4534947893768946E-3</v>
      </c>
      <c r="BS37" s="1433"/>
      <c r="BT37" s="19" t="str">
        <f>'Standard Vorgaben'!$F$39</f>
        <v>Mostobst</v>
      </c>
      <c r="BU37" s="19"/>
      <c r="BV37" s="41" t="str">
        <f>BO37</f>
        <v>pro 100 kg</v>
      </c>
      <c r="BW37" s="44">
        <f>'Standard Vorgaben'!$G$39</f>
        <v>1</v>
      </c>
      <c r="BX37" s="146">
        <f>BW37*BV11/100</f>
        <v>46.462499999999999</v>
      </c>
      <c r="BY37" s="652">
        <f>BX37/BX81</f>
        <v>1.2488472587118959E-3</v>
      </c>
      <c r="BZ37" s="1433"/>
      <c r="CA37" s="19" t="str">
        <f>'Standard Vorgaben'!$F$39</f>
        <v>Mostobst</v>
      </c>
      <c r="CB37" s="19"/>
      <c r="CC37" s="41" t="str">
        <f>BV37</f>
        <v>pro 100 kg</v>
      </c>
      <c r="CD37" s="44">
        <f>'Standard Vorgaben'!$G$39</f>
        <v>1</v>
      </c>
      <c r="CE37" s="146">
        <f>CD37*CC11/100</f>
        <v>37.799999999999997</v>
      </c>
      <c r="CF37" s="652">
        <f>CE37/CE81</f>
        <v>1.0706577429612702E-3</v>
      </c>
      <c r="CG37" s="1433"/>
      <c r="CH37" s="19" t="str">
        <f>'Standard Vorgaben'!$F$39</f>
        <v>Mostobst</v>
      </c>
      <c r="CI37" s="19"/>
      <c r="CJ37" s="41" t="str">
        <f>CC37</f>
        <v>pro 100 kg</v>
      </c>
      <c r="CK37" s="44">
        <f>'Standard Vorgaben'!$G$39</f>
        <v>1</v>
      </c>
      <c r="CL37" s="146">
        <f>CK37*CJ11/100</f>
        <v>42</v>
      </c>
      <c r="CM37" s="652">
        <f>CL37/CL81</f>
        <v>1.1600781931603548E-3</v>
      </c>
      <c r="CN37" s="1433"/>
      <c r="CO37" s="19" t="str">
        <f>'Standard Vorgaben'!$F$39</f>
        <v>Mostobst</v>
      </c>
      <c r="CP37" s="19"/>
      <c r="CQ37" s="41" t="str">
        <f>CJ37</f>
        <v>pro 100 kg</v>
      </c>
      <c r="CR37" s="44">
        <f>'Standard Vorgaben'!$G$39</f>
        <v>1</v>
      </c>
      <c r="CS37" s="146">
        <f>CR37*CQ11/100</f>
        <v>43.05</v>
      </c>
      <c r="CT37" s="652">
        <f>CS37/CS81</f>
        <v>1.184739176263144E-3</v>
      </c>
      <c r="CU37" s="1433"/>
      <c r="CV37" s="19" t="str">
        <f>'Standard Vorgaben'!$F$39</f>
        <v>Mostobst</v>
      </c>
      <c r="CW37" s="19"/>
      <c r="CX37" s="41" t="str">
        <f>CQ37</f>
        <v>pro 100 kg</v>
      </c>
      <c r="CY37" s="44">
        <f>'Standard Vorgaben'!$G$39</f>
        <v>1</v>
      </c>
      <c r="CZ37" s="146">
        <f>CY37*CX11/100</f>
        <v>36.75</v>
      </c>
      <c r="DA37" s="652">
        <f>CZ37/CZ81</f>
        <v>8.9567597433815353E-4</v>
      </c>
    </row>
    <row r="38" spans="1:105" s="19" customFormat="1" ht="12.75" x14ac:dyDescent="0.2">
      <c r="A38" s="670" t="str">
        <f>'Standard Vorgaben'!$E$41</f>
        <v>Gebindekosten</v>
      </c>
      <c r="B38" s="147" t="str">
        <f>'Standard Vorgaben'!$F$41</f>
        <v>Klasse I+II</v>
      </c>
      <c r="D38" s="448" t="s">
        <v>58</v>
      </c>
      <c r="E38" s="529">
        <f>'Standard Vorgaben'!$G$41</f>
        <v>0</v>
      </c>
      <c r="F38" s="146">
        <f>(D9+D10)/100*E38</f>
        <v>0</v>
      </c>
      <c r="G38" s="652">
        <f>F38/F81</f>
        <v>0</v>
      </c>
      <c r="H38" s="670" t="str">
        <f>'Standard Vorgaben'!$E$41</f>
        <v>Gebindekosten</v>
      </c>
      <c r="I38" s="147" t="str">
        <f>'Standard Vorgaben'!$F$41</f>
        <v>Klasse I+II</v>
      </c>
      <c r="K38" s="41" t="str">
        <f>D38</f>
        <v>pro 100 kg</v>
      </c>
      <c r="L38" s="529">
        <f>'Standard Vorgaben'!$G$41</f>
        <v>0</v>
      </c>
      <c r="M38" s="146">
        <f>(K9+K10)/100*L38</f>
        <v>0</v>
      </c>
      <c r="N38" s="652">
        <f>M38/M81</f>
        <v>0</v>
      </c>
      <c r="O38" s="670" t="str">
        <f>'Standard Vorgaben'!$E$41</f>
        <v>Gebindekosten</v>
      </c>
      <c r="P38" s="147" t="str">
        <f>'Standard Vorgaben'!$F$41</f>
        <v>Klasse I+II</v>
      </c>
      <c r="R38" s="41" t="str">
        <f>K38</f>
        <v>pro 100 kg</v>
      </c>
      <c r="S38" s="529">
        <f>'Standard Vorgaben'!$G$41</f>
        <v>0</v>
      </c>
      <c r="T38" s="146">
        <f>(R9+R10)/100*S38</f>
        <v>0</v>
      </c>
      <c r="U38" s="652">
        <f>T38/T81</f>
        <v>0</v>
      </c>
      <c r="V38" s="670" t="str">
        <f>'Standard Vorgaben'!$E$41</f>
        <v>Gebindekosten</v>
      </c>
      <c r="W38" s="147" t="str">
        <f>'Standard Vorgaben'!$F$41</f>
        <v>Klasse I+II</v>
      </c>
      <c r="Y38" s="41" t="str">
        <f>R38</f>
        <v>pro 100 kg</v>
      </c>
      <c r="Z38" s="529">
        <f>'Standard Vorgaben'!$G$41</f>
        <v>0</v>
      </c>
      <c r="AA38" s="146">
        <f>(Y9+Y10)/100*Z38</f>
        <v>0</v>
      </c>
      <c r="AB38" s="652">
        <f>AA38/AA81</f>
        <v>0</v>
      </c>
      <c r="AC38" s="670" t="str">
        <f>'Standard Vorgaben'!$E$41</f>
        <v>Gebindekosten</v>
      </c>
      <c r="AD38" s="147" t="str">
        <f>'Standard Vorgaben'!$F$41</f>
        <v>Klasse I+II</v>
      </c>
      <c r="AF38" s="41" t="str">
        <f>Y38</f>
        <v>pro 100 kg</v>
      </c>
      <c r="AG38" s="529">
        <f>'Standard Vorgaben'!$G$41</f>
        <v>0</v>
      </c>
      <c r="AH38" s="146">
        <f>(AF9+AF10)/100*AG38</f>
        <v>0</v>
      </c>
      <c r="AI38" s="652">
        <f>AH38/AH81</f>
        <v>0</v>
      </c>
      <c r="AJ38" s="670" t="str">
        <f>'Standard Vorgaben'!$E$41</f>
        <v>Gebindekosten</v>
      </c>
      <c r="AK38" s="147" t="str">
        <f>'Standard Vorgaben'!$F$41</f>
        <v>Klasse I+II</v>
      </c>
      <c r="AM38" s="41" t="str">
        <f>AF38</f>
        <v>pro 100 kg</v>
      </c>
      <c r="AN38" s="529">
        <f>'Standard Vorgaben'!$G$41</f>
        <v>0</v>
      </c>
      <c r="AO38" s="146">
        <f>(AM9+AM10)/100*AN38</f>
        <v>0</v>
      </c>
      <c r="AP38" s="652">
        <f>AO38/AO81</f>
        <v>0</v>
      </c>
      <c r="AQ38" s="670" t="str">
        <f>'Standard Vorgaben'!$E$41</f>
        <v>Gebindekosten</v>
      </c>
      <c r="AR38" s="147" t="str">
        <f>'Standard Vorgaben'!$F$41</f>
        <v>Klasse I+II</v>
      </c>
      <c r="AT38" s="41" t="str">
        <f>AM38</f>
        <v>pro 100 kg</v>
      </c>
      <c r="AU38" s="529">
        <f>'Standard Vorgaben'!$G$41</f>
        <v>0</v>
      </c>
      <c r="AV38" s="146">
        <f>(AT9+AT10)/100*AU38</f>
        <v>0</v>
      </c>
      <c r="AW38" s="652">
        <f>AV38/AV81</f>
        <v>0</v>
      </c>
      <c r="AX38" s="670" t="str">
        <f>'Standard Vorgaben'!$E$41</f>
        <v>Gebindekosten</v>
      </c>
      <c r="AY38" s="147" t="str">
        <f>'Standard Vorgaben'!$F$41</f>
        <v>Klasse I+II</v>
      </c>
      <c r="BA38" s="41" t="str">
        <f>AT38</f>
        <v>pro 100 kg</v>
      </c>
      <c r="BB38" s="529">
        <f>'Standard Vorgaben'!$G$41</f>
        <v>0</v>
      </c>
      <c r="BC38" s="146">
        <f>(BA9+BA10)/100*BB38</f>
        <v>0</v>
      </c>
      <c r="BD38" s="652">
        <f>BC38/BC81</f>
        <v>0</v>
      </c>
      <c r="BE38" s="670" t="str">
        <f>'Standard Vorgaben'!$E$41</f>
        <v>Gebindekosten</v>
      </c>
      <c r="BF38" s="147" t="str">
        <f>'Standard Vorgaben'!$F$41</f>
        <v>Klasse I+II</v>
      </c>
      <c r="BH38" s="41" t="str">
        <f>BA38</f>
        <v>pro 100 kg</v>
      </c>
      <c r="BI38" s="529">
        <f>'Standard Vorgaben'!$G$41</f>
        <v>0</v>
      </c>
      <c r="BJ38" s="146">
        <f>(BH9+BH10)/100*BI38</f>
        <v>0</v>
      </c>
      <c r="BK38" s="652">
        <f>BJ38/BJ81</f>
        <v>0</v>
      </c>
      <c r="BL38" s="670" t="str">
        <f>'Standard Vorgaben'!$E$41</f>
        <v>Gebindekosten</v>
      </c>
      <c r="BM38" s="147" t="str">
        <f>'Standard Vorgaben'!$F$41</f>
        <v>Klasse I+II</v>
      </c>
      <c r="BO38" s="41" t="str">
        <f>BH38</f>
        <v>pro 100 kg</v>
      </c>
      <c r="BP38" s="529">
        <f>'Standard Vorgaben'!$G$41</f>
        <v>0</v>
      </c>
      <c r="BQ38" s="146">
        <f>(BO9+BO10)/100*BP38</f>
        <v>0</v>
      </c>
      <c r="BR38" s="652">
        <f>BQ38/BQ81</f>
        <v>0</v>
      </c>
      <c r="BS38" s="670" t="str">
        <f>'Standard Vorgaben'!$E$41</f>
        <v>Gebindekosten</v>
      </c>
      <c r="BT38" s="147" t="str">
        <f>'Standard Vorgaben'!$F$41</f>
        <v>Klasse I+II</v>
      </c>
      <c r="BV38" s="41" t="str">
        <f>BO38</f>
        <v>pro 100 kg</v>
      </c>
      <c r="BW38" s="529">
        <f>'Standard Vorgaben'!$G$41</f>
        <v>0</v>
      </c>
      <c r="BX38" s="146">
        <f>(BV9+BV10)/100*BW38</f>
        <v>0</v>
      </c>
      <c r="BY38" s="652">
        <f>BX38/BX81</f>
        <v>0</v>
      </c>
      <c r="BZ38" s="670" t="str">
        <f>'Standard Vorgaben'!$E$41</f>
        <v>Gebindekosten</v>
      </c>
      <c r="CA38" s="147" t="str">
        <f>'Standard Vorgaben'!$F$41</f>
        <v>Klasse I+II</v>
      </c>
      <c r="CC38" s="41" t="str">
        <f>BV38</f>
        <v>pro 100 kg</v>
      </c>
      <c r="CD38" s="529">
        <f>'Standard Vorgaben'!$G$41</f>
        <v>0</v>
      </c>
      <c r="CE38" s="146">
        <f>(CC9+CC10)/100*CD38</f>
        <v>0</v>
      </c>
      <c r="CF38" s="652">
        <f>CE38/CE81</f>
        <v>0</v>
      </c>
      <c r="CG38" s="670" t="str">
        <f>'Standard Vorgaben'!$E$41</f>
        <v>Gebindekosten</v>
      </c>
      <c r="CH38" s="147" t="str">
        <f>'Standard Vorgaben'!$F$41</f>
        <v>Klasse I+II</v>
      </c>
      <c r="CJ38" s="41" t="str">
        <f>CC38</f>
        <v>pro 100 kg</v>
      </c>
      <c r="CK38" s="529">
        <f>'Standard Vorgaben'!$G$41</f>
        <v>0</v>
      </c>
      <c r="CL38" s="146">
        <f>(CJ9+CJ10)/100*CK38</f>
        <v>0</v>
      </c>
      <c r="CM38" s="652">
        <f>CL38/CL81</f>
        <v>0</v>
      </c>
      <c r="CN38" s="670" t="str">
        <f>'Standard Vorgaben'!$E$41</f>
        <v>Gebindekosten</v>
      </c>
      <c r="CO38" s="147" t="str">
        <f>'Standard Vorgaben'!$F$41</f>
        <v>Klasse I+II</v>
      </c>
      <c r="CQ38" s="41" t="str">
        <f>CJ38</f>
        <v>pro 100 kg</v>
      </c>
      <c r="CR38" s="529">
        <f>'Standard Vorgaben'!$G$41</f>
        <v>0</v>
      </c>
      <c r="CS38" s="146">
        <f>(CQ9+CQ10)/100*CR38</f>
        <v>0</v>
      </c>
      <c r="CT38" s="652">
        <f>CS38/CS81</f>
        <v>0</v>
      </c>
      <c r="CU38" s="670" t="str">
        <f>'Standard Vorgaben'!$E$41</f>
        <v>Gebindekosten</v>
      </c>
      <c r="CV38" s="147" t="str">
        <f>'Standard Vorgaben'!$F$41</f>
        <v>Klasse I+II</v>
      </c>
      <c r="CX38" s="41" t="str">
        <f>CQ38</f>
        <v>pro 100 kg</v>
      </c>
      <c r="CY38" s="529">
        <f>'Standard Vorgaben'!$G$41</f>
        <v>0</v>
      </c>
      <c r="CZ38" s="146">
        <f>(CX9+CX10)/100*CY38</f>
        <v>0</v>
      </c>
      <c r="DA38" s="652">
        <f>CZ38/CZ81</f>
        <v>0</v>
      </c>
    </row>
    <row r="39" spans="1:105" s="19" customFormat="1" ht="12.75" x14ac:dyDescent="0.2">
      <c r="A39" s="670" t="str">
        <f>'Standard Vorgaben'!$E$42</f>
        <v>Sortierkosten</v>
      </c>
      <c r="B39" s="19" t="str">
        <f>'Standard Vorgaben'!$F$42</f>
        <v>Klasse I+II</v>
      </c>
      <c r="D39" s="448" t="s">
        <v>58</v>
      </c>
      <c r="E39" s="44">
        <f>'Standard Vorgaben'!$G$42</f>
        <v>0</v>
      </c>
      <c r="F39" s="146">
        <f>(D9+D10)/100*E39</f>
        <v>0</v>
      </c>
      <c r="G39" s="652">
        <f>F39/F81</f>
        <v>0</v>
      </c>
      <c r="H39" s="670" t="str">
        <f>'Standard Vorgaben'!$E$42</f>
        <v>Sortierkosten</v>
      </c>
      <c r="I39" s="19" t="str">
        <f>'Standard Vorgaben'!$F$42</f>
        <v>Klasse I+II</v>
      </c>
      <c r="K39" s="41" t="str">
        <f>D39</f>
        <v>pro 100 kg</v>
      </c>
      <c r="L39" s="44">
        <f>'Standard Vorgaben'!$G$42</f>
        <v>0</v>
      </c>
      <c r="M39" s="146">
        <f>(K9+K10)/100*L39</f>
        <v>0</v>
      </c>
      <c r="N39" s="652">
        <f>M39/M81</f>
        <v>0</v>
      </c>
      <c r="O39" s="670" t="str">
        <f>'Standard Vorgaben'!$E$42</f>
        <v>Sortierkosten</v>
      </c>
      <c r="P39" s="19" t="str">
        <f>'Standard Vorgaben'!$F$42</f>
        <v>Klasse I+II</v>
      </c>
      <c r="R39" s="41" t="str">
        <f>K39</f>
        <v>pro 100 kg</v>
      </c>
      <c r="S39" s="44">
        <f>'Standard Vorgaben'!$G$42</f>
        <v>0</v>
      </c>
      <c r="T39" s="146">
        <f>(R9+R10)/100*S39</f>
        <v>0</v>
      </c>
      <c r="U39" s="652">
        <f>T39/T81</f>
        <v>0</v>
      </c>
      <c r="V39" s="670" t="str">
        <f>'Standard Vorgaben'!$E$42</f>
        <v>Sortierkosten</v>
      </c>
      <c r="W39" s="19" t="str">
        <f>'Standard Vorgaben'!$F$42</f>
        <v>Klasse I+II</v>
      </c>
      <c r="Y39" s="41" t="str">
        <f>R39</f>
        <v>pro 100 kg</v>
      </c>
      <c r="Z39" s="44">
        <f>'Standard Vorgaben'!$G$42</f>
        <v>0</v>
      </c>
      <c r="AA39" s="146">
        <f>(Y9+Y10)/100*Z39</f>
        <v>0</v>
      </c>
      <c r="AB39" s="652">
        <f>AA39/AA81</f>
        <v>0</v>
      </c>
      <c r="AC39" s="670" t="str">
        <f>'Standard Vorgaben'!$E$42</f>
        <v>Sortierkosten</v>
      </c>
      <c r="AD39" s="19" t="str">
        <f>'Standard Vorgaben'!$F$42</f>
        <v>Klasse I+II</v>
      </c>
      <c r="AF39" s="41" t="str">
        <f>Y39</f>
        <v>pro 100 kg</v>
      </c>
      <c r="AG39" s="44">
        <f>'Standard Vorgaben'!$G$42</f>
        <v>0</v>
      </c>
      <c r="AH39" s="146">
        <f>(AF9+AF10)/100*AG39</f>
        <v>0</v>
      </c>
      <c r="AI39" s="652">
        <f>AH39/AH81</f>
        <v>0</v>
      </c>
      <c r="AJ39" s="670" t="str">
        <f>'Standard Vorgaben'!$E$42</f>
        <v>Sortierkosten</v>
      </c>
      <c r="AK39" s="19" t="str">
        <f>'Standard Vorgaben'!$F$42</f>
        <v>Klasse I+II</v>
      </c>
      <c r="AM39" s="41" t="str">
        <f>AF39</f>
        <v>pro 100 kg</v>
      </c>
      <c r="AN39" s="44">
        <f>'Standard Vorgaben'!$G$42</f>
        <v>0</v>
      </c>
      <c r="AO39" s="146">
        <f>(AM9+AM10)/100*AN39</f>
        <v>0</v>
      </c>
      <c r="AP39" s="652">
        <f>AO39/AO81</f>
        <v>0</v>
      </c>
      <c r="AQ39" s="670" t="str">
        <f>'Standard Vorgaben'!$E$42</f>
        <v>Sortierkosten</v>
      </c>
      <c r="AR39" s="19" t="str">
        <f>'Standard Vorgaben'!$F$42</f>
        <v>Klasse I+II</v>
      </c>
      <c r="AT39" s="41" t="str">
        <f>AM39</f>
        <v>pro 100 kg</v>
      </c>
      <c r="AU39" s="44">
        <f>'Standard Vorgaben'!$G$42</f>
        <v>0</v>
      </c>
      <c r="AV39" s="146">
        <f>(AT9+AT10)/100*AU39</f>
        <v>0</v>
      </c>
      <c r="AW39" s="652">
        <f>AV39/AV81</f>
        <v>0</v>
      </c>
      <c r="AX39" s="670" t="str">
        <f>'Standard Vorgaben'!$E$42</f>
        <v>Sortierkosten</v>
      </c>
      <c r="AY39" s="19" t="str">
        <f>'Standard Vorgaben'!$F$42</f>
        <v>Klasse I+II</v>
      </c>
      <c r="BA39" s="41" t="str">
        <f>AT39</f>
        <v>pro 100 kg</v>
      </c>
      <c r="BB39" s="44">
        <f>'Standard Vorgaben'!$G$42</f>
        <v>0</v>
      </c>
      <c r="BC39" s="146">
        <f>(BA9+BA10)/100*BB39</f>
        <v>0</v>
      </c>
      <c r="BD39" s="652">
        <f>BC39/BC81</f>
        <v>0</v>
      </c>
      <c r="BE39" s="670" t="str">
        <f>'Standard Vorgaben'!$E$42</f>
        <v>Sortierkosten</v>
      </c>
      <c r="BF39" s="19" t="str">
        <f>'Standard Vorgaben'!$F$42</f>
        <v>Klasse I+II</v>
      </c>
      <c r="BH39" s="41" t="str">
        <f>BA39</f>
        <v>pro 100 kg</v>
      </c>
      <c r="BI39" s="44">
        <f>'Standard Vorgaben'!$G$42</f>
        <v>0</v>
      </c>
      <c r="BJ39" s="146">
        <f>(BH9+BH10)/100*BI39</f>
        <v>0</v>
      </c>
      <c r="BK39" s="652">
        <f>BJ39/BJ81</f>
        <v>0</v>
      </c>
      <c r="BL39" s="670" t="str">
        <f>'Standard Vorgaben'!$E$42</f>
        <v>Sortierkosten</v>
      </c>
      <c r="BM39" s="19" t="str">
        <f>'Standard Vorgaben'!$F$42</f>
        <v>Klasse I+II</v>
      </c>
      <c r="BO39" s="41" t="str">
        <f>BH39</f>
        <v>pro 100 kg</v>
      </c>
      <c r="BP39" s="44">
        <f>'Standard Vorgaben'!$G$42</f>
        <v>0</v>
      </c>
      <c r="BQ39" s="146">
        <f>(BO9+BO10)/100*BP39</f>
        <v>0</v>
      </c>
      <c r="BR39" s="652">
        <f>BQ39/BQ81</f>
        <v>0</v>
      </c>
      <c r="BS39" s="670" t="str">
        <f>'Standard Vorgaben'!$E$42</f>
        <v>Sortierkosten</v>
      </c>
      <c r="BT39" s="19" t="str">
        <f>'Standard Vorgaben'!$F$42</f>
        <v>Klasse I+II</v>
      </c>
      <c r="BV39" s="41" t="str">
        <f>BO39</f>
        <v>pro 100 kg</v>
      </c>
      <c r="BW39" s="44">
        <f>'Standard Vorgaben'!$G$42</f>
        <v>0</v>
      </c>
      <c r="BX39" s="146">
        <f>(BV9+BV10)/100*BW39</f>
        <v>0</v>
      </c>
      <c r="BY39" s="652">
        <f>BX39/BX81</f>
        <v>0</v>
      </c>
      <c r="BZ39" s="670" t="str">
        <f>'Standard Vorgaben'!$E$42</f>
        <v>Sortierkosten</v>
      </c>
      <c r="CA39" s="19" t="str">
        <f>'Standard Vorgaben'!$F$42</f>
        <v>Klasse I+II</v>
      </c>
      <c r="CC39" s="41" t="str">
        <f>BV39</f>
        <v>pro 100 kg</v>
      </c>
      <c r="CD39" s="44">
        <f>'Standard Vorgaben'!$G$42</f>
        <v>0</v>
      </c>
      <c r="CE39" s="146">
        <f>(CC9+CC10)/100*CD39</f>
        <v>0</v>
      </c>
      <c r="CF39" s="652">
        <f>CE39/CE81</f>
        <v>0</v>
      </c>
      <c r="CG39" s="670" t="str">
        <f>'Standard Vorgaben'!$E$42</f>
        <v>Sortierkosten</v>
      </c>
      <c r="CH39" s="19" t="str">
        <f>'Standard Vorgaben'!$F$42</f>
        <v>Klasse I+II</v>
      </c>
      <c r="CJ39" s="41" t="str">
        <f>CC39</f>
        <v>pro 100 kg</v>
      </c>
      <c r="CK39" s="44">
        <f>'Standard Vorgaben'!$G$42</f>
        <v>0</v>
      </c>
      <c r="CL39" s="146">
        <f>(CJ9+CJ10)/100*CK39</f>
        <v>0</v>
      </c>
      <c r="CM39" s="652">
        <f>CL39/CL81</f>
        <v>0</v>
      </c>
      <c r="CN39" s="670" t="str">
        <f>'Standard Vorgaben'!$E$42</f>
        <v>Sortierkosten</v>
      </c>
      <c r="CO39" s="19" t="str">
        <f>'Standard Vorgaben'!$F$42</f>
        <v>Klasse I+II</v>
      </c>
      <c r="CQ39" s="41" t="str">
        <f>CJ39</f>
        <v>pro 100 kg</v>
      </c>
      <c r="CR39" s="44">
        <f>'Standard Vorgaben'!$G$42</f>
        <v>0</v>
      </c>
      <c r="CS39" s="146">
        <f>(CQ9+CQ10)/100*CR39</f>
        <v>0</v>
      </c>
      <c r="CT39" s="652">
        <f>CS39/CS81</f>
        <v>0</v>
      </c>
      <c r="CU39" s="670" t="str">
        <f>'Standard Vorgaben'!$E$42</f>
        <v>Sortierkosten</v>
      </c>
      <c r="CV39" s="19" t="str">
        <f>'Standard Vorgaben'!$F$42</f>
        <v>Klasse I+II</v>
      </c>
      <c r="CX39" s="41" t="str">
        <f>CQ39</f>
        <v>pro 100 kg</v>
      </c>
      <c r="CY39" s="44">
        <f>'Standard Vorgaben'!$G$42</f>
        <v>0</v>
      </c>
      <c r="CZ39" s="146">
        <f>(CX9+CX10)/100*CY39</f>
        <v>0</v>
      </c>
      <c r="DA39" s="652">
        <f>CZ39/CZ81</f>
        <v>0</v>
      </c>
    </row>
    <row r="40" spans="1:105" s="1" customFormat="1" ht="13.5" thickBot="1" x14ac:dyDescent="0.25">
      <c r="A40" s="670"/>
      <c r="B40" s="19" t="str">
        <f>'Standard Vorgaben'!F43</f>
        <v>Abgang</v>
      </c>
      <c r="C40" s="19"/>
      <c r="D40" s="448" t="s">
        <v>58</v>
      </c>
      <c r="E40" s="44">
        <f>'Standard Vorgaben'!$G$43</f>
        <v>0</v>
      </c>
      <c r="F40" s="501">
        <f>(E40/100)*D12*Eingabeseite!$B$13</f>
        <v>0</v>
      </c>
      <c r="G40" s="652">
        <f>F40/F81</f>
        <v>0</v>
      </c>
      <c r="H40" s="670"/>
      <c r="I40" s="19" t="str">
        <f>'Standard Vorgaben'!F43</f>
        <v>Abgang</v>
      </c>
      <c r="J40" s="19"/>
      <c r="K40" s="41" t="str">
        <f>D40</f>
        <v>pro 100 kg</v>
      </c>
      <c r="L40" s="44">
        <f>'Standard Vorgaben'!$G$43</f>
        <v>0</v>
      </c>
      <c r="M40" s="501">
        <f>(L40/100)*K12*Eingabeseite!$B$13</f>
        <v>0</v>
      </c>
      <c r="N40" s="652">
        <f>M40/M81</f>
        <v>0</v>
      </c>
      <c r="O40" s="670"/>
      <c r="P40" s="19" t="str">
        <f>'Standard Vorgaben'!F43</f>
        <v>Abgang</v>
      </c>
      <c r="Q40" s="19"/>
      <c r="R40" s="41" t="str">
        <f>K40</f>
        <v>pro 100 kg</v>
      </c>
      <c r="S40" s="44">
        <f>'Standard Vorgaben'!$G$43</f>
        <v>0</v>
      </c>
      <c r="T40" s="501">
        <f>(S40/100)*R12*Eingabeseite!$B$13</f>
        <v>0</v>
      </c>
      <c r="U40" s="652">
        <f>T40/T81</f>
        <v>0</v>
      </c>
      <c r="V40" s="670"/>
      <c r="W40" s="19" t="str">
        <f>'Standard Vorgaben'!F43</f>
        <v>Abgang</v>
      </c>
      <c r="X40" s="19"/>
      <c r="Y40" s="41" t="str">
        <f>R40</f>
        <v>pro 100 kg</v>
      </c>
      <c r="Z40" s="44">
        <f>'Standard Vorgaben'!$G$43</f>
        <v>0</v>
      </c>
      <c r="AA40" s="501">
        <f>(Z40/100)*Y12*Eingabeseite!$B$13</f>
        <v>0</v>
      </c>
      <c r="AB40" s="652">
        <f>AA40/AA81</f>
        <v>0</v>
      </c>
      <c r="AC40" s="670"/>
      <c r="AD40" s="19" t="str">
        <f>'Standard Vorgaben'!F43</f>
        <v>Abgang</v>
      </c>
      <c r="AE40" s="19"/>
      <c r="AF40" s="41" t="str">
        <f>Y40</f>
        <v>pro 100 kg</v>
      </c>
      <c r="AG40" s="44">
        <f>'Standard Vorgaben'!$G$43</f>
        <v>0</v>
      </c>
      <c r="AH40" s="501">
        <f>(AG40/100)*AF12*Eingabeseite!$B$13</f>
        <v>0</v>
      </c>
      <c r="AI40" s="652">
        <f>AH40/AH81</f>
        <v>0</v>
      </c>
      <c r="AJ40" s="670"/>
      <c r="AK40" s="19" t="str">
        <f>'Standard Vorgaben'!F43</f>
        <v>Abgang</v>
      </c>
      <c r="AL40" s="19"/>
      <c r="AM40" s="41" t="str">
        <f>AF40</f>
        <v>pro 100 kg</v>
      </c>
      <c r="AN40" s="44">
        <f>'Standard Vorgaben'!$G$43</f>
        <v>0</v>
      </c>
      <c r="AO40" s="501">
        <f>(AN40/100)*AM12*Eingabeseite!$B$13</f>
        <v>0</v>
      </c>
      <c r="AP40" s="652">
        <f>AO40/AO81</f>
        <v>0</v>
      </c>
      <c r="AQ40" s="670"/>
      <c r="AR40" s="19" t="str">
        <f>'Standard Vorgaben'!F43</f>
        <v>Abgang</v>
      </c>
      <c r="AS40" s="19"/>
      <c r="AT40" s="41" t="str">
        <f>AM40</f>
        <v>pro 100 kg</v>
      </c>
      <c r="AU40" s="44">
        <f>'Standard Vorgaben'!$G$43</f>
        <v>0</v>
      </c>
      <c r="AV40" s="501">
        <f>(AU40/100)*AT12*Eingabeseite!$B$13</f>
        <v>0</v>
      </c>
      <c r="AW40" s="652">
        <f>AV40/AV81</f>
        <v>0</v>
      </c>
      <c r="AX40" s="670"/>
      <c r="AY40" s="19" t="str">
        <f>'Standard Vorgaben'!F43</f>
        <v>Abgang</v>
      </c>
      <c r="AZ40" s="19"/>
      <c r="BA40" s="41" t="str">
        <f>AT40</f>
        <v>pro 100 kg</v>
      </c>
      <c r="BB40" s="44">
        <f>'Standard Vorgaben'!$G$43</f>
        <v>0</v>
      </c>
      <c r="BC40" s="501">
        <f>(BB40/100)*BA12*Eingabeseite!$B$13</f>
        <v>0</v>
      </c>
      <c r="BD40" s="652">
        <f>BC40/BC81</f>
        <v>0</v>
      </c>
      <c r="BE40" s="670"/>
      <c r="BF40" s="19" t="str">
        <f>'Standard Vorgaben'!F43</f>
        <v>Abgang</v>
      </c>
      <c r="BG40" s="19"/>
      <c r="BH40" s="41" t="str">
        <f>BA40</f>
        <v>pro 100 kg</v>
      </c>
      <c r="BI40" s="44">
        <f>'Standard Vorgaben'!$G$43</f>
        <v>0</v>
      </c>
      <c r="BJ40" s="501">
        <f>(BI40/100)*BH12*Eingabeseite!$B$13</f>
        <v>0</v>
      </c>
      <c r="BK40" s="652">
        <f>BJ40/BJ81</f>
        <v>0</v>
      </c>
      <c r="BL40" s="670"/>
      <c r="BM40" s="19" t="str">
        <f>'Standard Vorgaben'!F43</f>
        <v>Abgang</v>
      </c>
      <c r="BN40" s="19"/>
      <c r="BO40" s="41" t="str">
        <f>BH40</f>
        <v>pro 100 kg</v>
      </c>
      <c r="BP40" s="44">
        <f>'Standard Vorgaben'!$G$43</f>
        <v>0</v>
      </c>
      <c r="BQ40" s="501">
        <f>(BP40/100)*BO12*Eingabeseite!$B$13</f>
        <v>0</v>
      </c>
      <c r="BR40" s="652">
        <f>BQ40/BQ81</f>
        <v>0</v>
      </c>
      <c r="BS40" s="670"/>
      <c r="BT40" s="19" t="str">
        <f>'Standard Vorgaben'!F43</f>
        <v>Abgang</v>
      </c>
      <c r="BU40" s="19"/>
      <c r="BV40" s="41" t="str">
        <f>BO40</f>
        <v>pro 100 kg</v>
      </c>
      <c r="BW40" s="44">
        <f>'Standard Vorgaben'!$G$43</f>
        <v>0</v>
      </c>
      <c r="BX40" s="501">
        <f>(BW40/100)*BV12*Eingabeseite!$B$13</f>
        <v>0</v>
      </c>
      <c r="BY40" s="652">
        <f>BX40/BX81</f>
        <v>0</v>
      </c>
      <c r="BZ40" s="670"/>
      <c r="CA40" s="19" t="str">
        <f>'Standard Vorgaben'!F43</f>
        <v>Abgang</v>
      </c>
      <c r="CB40" s="19"/>
      <c r="CC40" s="41" t="str">
        <f>BV40</f>
        <v>pro 100 kg</v>
      </c>
      <c r="CD40" s="44">
        <f>'Standard Vorgaben'!$G$43</f>
        <v>0</v>
      </c>
      <c r="CE40" s="501">
        <f>(CD40/100)*CC12*Eingabeseite!$B$13</f>
        <v>0</v>
      </c>
      <c r="CF40" s="652">
        <f>CE40/CE81</f>
        <v>0</v>
      </c>
      <c r="CG40" s="670"/>
      <c r="CH40" s="19" t="str">
        <f>'Standard Vorgaben'!F43</f>
        <v>Abgang</v>
      </c>
      <c r="CI40" s="19"/>
      <c r="CJ40" s="41" t="str">
        <f>CC40</f>
        <v>pro 100 kg</v>
      </c>
      <c r="CK40" s="44">
        <f>'Standard Vorgaben'!$G$43</f>
        <v>0</v>
      </c>
      <c r="CL40" s="501">
        <f>(CK40/100)*CJ12*Eingabeseite!$B$13</f>
        <v>0</v>
      </c>
      <c r="CM40" s="652">
        <f>CL40/CL81</f>
        <v>0</v>
      </c>
      <c r="CN40" s="670"/>
      <c r="CO40" s="19" t="str">
        <f>'Standard Vorgaben'!F43</f>
        <v>Abgang</v>
      </c>
      <c r="CP40" s="19"/>
      <c r="CQ40" s="41" t="str">
        <f>CJ40</f>
        <v>pro 100 kg</v>
      </c>
      <c r="CR40" s="44">
        <f>'Standard Vorgaben'!$G$43</f>
        <v>0</v>
      </c>
      <c r="CS40" s="501">
        <f>(CR40/100)*CQ12*Eingabeseite!$B$13</f>
        <v>0</v>
      </c>
      <c r="CT40" s="652">
        <f>CS40/CS81</f>
        <v>0</v>
      </c>
      <c r="CU40" s="670"/>
      <c r="CV40" s="19" t="str">
        <f>'Standard Vorgaben'!F43</f>
        <v>Abgang</v>
      </c>
      <c r="CW40" s="19"/>
      <c r="CX40" s="41" t="str">
        <f>CQ40</f>
        <v>pro 100 kg</v>
      </c>
      <c r="CY40" s="44">
        <f>'Standard Vorgaben'!$G$43</f>
        <v>0</v>
      </c>
      <c r="CZ40" s="501">
        <f>(CY40/100)*CX12*Eingabeseite!$B$13</f>
        <v>0</v>
      </c>
      <c r="DA40" s="652">
        <f>CZ40/CZ81</f>
        <v>0</v>
      </c>
    </row>
    <row r="41" spans="1:105" s="1" customFormat="1" ht="12.75" x14ac:dyDescent="0.2">
      <c r="A41" s="530"/>
      <c r="B41" s="19"/>
      <c r="C41" s="19"/>
      <c r="D41" s="19"/>
      <c r="E41" s="44"/>
      <c r="F41" s="81">
        <f>SUM(F36:F40)</f>
        <v>325</v>
      </c>
      <c r="G41" s="649">
        <f>F41/F81</f>
        <v>2.5490403108686471E-2</v>
      </c>
      <c r="H41" s="530"/>
      <c r="I41" s="19"/>
      <c r="J41" s="19"/>
      <c r="K41" s="19"/>
      <c r="L41" s="44"/>
      <c r="M41" s="81">
        <f>SUM(M36:M40)</f>
        <v>337.6</v>
      </c>
      <c r="N41" s="649">
        <f>M41/M81</f>
        <v>2.0795481590937064E-2</v>
      </c>
      <c r="O41" s="530"/>
      <c r="P41" s="19"/>
      <c r="Q41" s="19"/>
      <c r="R41" s="19"/>
      <c r="S41" s="44"/>
      <c r="T41" s="81">
        <f>SUM(T36:T40)</f>
        <v>340.75</v>
      </c>
      <c r="U41" s="649">
        <f>T41/T81</f>
        <v>1.1458206973719911E-2</v>
      </c>
      <c r="V41" s="530"/>
      <c r="W41" s="19"/>
      <c r="X41" s="19"/>
      <c r="Y41" s="19"/>
      <c r="Z41" s="44"/>
      <c r="AA41" s="81">
        <f>SUM(AA36:AA40)</f>
        <v>352.3</v>
      </c>
      <c r="AB41" s="649">
        <f>AA41/AA81</f>
        <v>1.0584336102456085E-2</v>
      </c>
      <c r="AC41" s="530"/>
      <c r="AD41" s="19"/>
      <c r="AE41" s="19"/>
      <c r="AF41" s="19"/>
      <c r="AG41" s="44"/>
      <c r="AH41" s="81">
        <f>SUM(AH36:AH40)</f>
        <v>361.75</v>
      </c>
      <c r="AI41" s="649">
        <f>AH41/AH81</f>
        <v>1.0227266434114304E-2</v>
      </c>
      <c r="AJ41" s="530"/>
      <c r="AK41" s="19"/>
      <c r="AL41" s="19"/>
      <c r="AM41" s="19"/>
      <c r="AN41" s="44"/>
      <c r="AO41" s="81">
        <f>SUM(AO36:AO40)</f>
        <v>371.2</v>
      </c>
      <c r="AP41" s="649">
        <f>AO41/AO81</f>
        <v>9.9252091754800566E-3</v>
      </c>
      <c r="AQ41" s="530"/>
      <c r="AR41" s="19"/>
      <c r="AS41" s="19"/>
      <c r="AT41" s="19"/>
      <c r="AU41" s="44"/>
      <c r="AV41" s="81">
        <f>SUM(AV36:AV40)</f>
        <v>362.66874999999999</v>
      </c>
      <c r="AW41" s="649">
        <f>AV41/AV81</f>
        <v>1.0206620859689796E-2</v>
      </c>
      <c r="AX41" s="530"/>
      <c r="AY41" s="19"/>
      <c r="AZ41" s="19"/>
      <c r="BA41" s="19"/>
      <c r="BB41" s="44"/>
      <c r="BC41" s="81">
        <f>SUM(BC36:BC40)</f>
        <v>362.66874999999999</v>
      </c>
      <c r="BD41" s="649">
        <f>BC41/BC81</f>
        <v>1.0204956702031844E-2</v>
      </c>
      <c r="BE41" s="530"/>
      <c r="BF41" s="19"/>
      <c r="BG41" s="19"/>
      <c r="BH41" s="19"/>
      <c r="BI41" s="44"/>
      <c r="BJ41" s="81">
        <f>SUM(BJ36:BJ40)</f>
        <v>379.6</v>
      </c>
      <c r="BK41" s="649">
        <f>BJ41/BJ81</f>
        <v>9.6941057695565675E-3</v>
      </c>
      <c r="BL41" s="530"/>
      <c r="BM41" s="19"/>
      <c r="BN41" s="19"/>
      <c r="BO41" s="41"/>
      <c r="BP41" s="44"/>
      <c r="BQ41" s="81">
        <f>SUM(BQ36:BQ40)</f>
        <v>382.75</v>
      </c>
      <c r="BR41" s="649">
        <f>BQ41/BQ81</f>
        <v>9.6333355953940498E-3</v>
      </c>
      <c r="BS41" s="530"/>
      <c r="BT41" s="19"/>
      <c r="BU41" s="19"/>
      <c r="BV41" s="19"/>
      <c r="BW41" s="44"/>
      <c r="BX41" s="81">
        <f>SUM(BX36:BX40)</f>
        <v>371.46249999999998</v>
      </c>
      <c r="BY41" s="649">
        <f>BX41/BX81</f>
        <v>9.9843944006299187E-3</v>
      </c>
      <c r="BZ41" s="530"/>
      <c r="CA41" s="19"/>
      <c r="CB41" s="19"/>
      <c r="CC41" s="19"/>
      <c r="CD41" s="44"/>
      <c r="CE41" s="81">
        <f>SUM(CE36:CE40)</f>
        <v>362.8</v>
      </c>
      <c r="CF41" s="649">
        <f>CE41/CE81</f>
        <v>1.0276048390115049E-2</v>
      </c>
      <c r="CG41" s="530"/>
      <c r="CH41" s="19"/>
      <c r="CI41" s="19"/>
      <c r="CJ41" s="19"/>
      <c r="CK41" s="44"/>
      <c r="CL41" s="81">
        <f>SUM(CL36:CL40)</f>
        <v>367</v>
      </c>
      <c r="CM41" s="649">
        <f>CL41/CL81</f>
        <v>1.0136873735472625E-2</v>
      </c>
      <c r="CN41" s="530"/>
      <c r="CO41" s="19"/>
      <c r="CP41" s="19"/>
      <c r="CQ41" s="19"/>
      <c r="CR41" s="44"/>
      <c r="CS41" s="81">
        <f>SUM(CS36:CS40)</f>
        <v>368.05</v>
      </c>
      <c r="CT41" s="649">
        <f>CS41/CS81</f>
        <v>1.0128763155020912E-2</v>
      </c>
      <c r="CU41" s="530"/>
      <c r="CV41" s="19"/>
      <c r="CW41" s="19"/>
      <c r="CX41" s="19"/>
      <c r="CY41" s="44"/>
      <c r="CZ41" s="81">
        <f>SUM(CZ36:CZ40)</f>
        <v>361.75</v>
      </c>
      <c r="DA41" s="649">
        <f>CZ41/CZ81</f>
        <v>8.8166199650837294E-3</v>
      </c>
    </row>
    <row r="42" spans="1:105" s="1" customFormat="1" ht="6" customHeight="1" x14ac:dyDescent="0.2">
      <c r="A42" s="670"/>
      <c r="B42" s="671"/>
      <c r="C42" s="672"/>
      <c r="D42" s="43"/>
      <c r="E42" s="529"/>
      <c r="F42" s="146"/>
      <c r="G42" s="652"/>
      <c r="H42" s="670"/>
      <c r="I42" s="671"/>
      <c r="J42" s="672"/>
      <c r="K42" s="43"/>
      <c r="L42" s="529"/>
      <c r="M42" s="146"/>
      <c r="N42" s="652">
        <f>M42/$M$81</f>
        <v>0</v>
      </c>
      <c r="O42" s="670"/>
      <c r="P42" s="671"/>
      <c r="Q42" s="672"/>
      <c r="R42" s="43"/>
      <c r="S42" s="529"/>
      <c r="T42" s="146"/>
      <c r="U42" s="652">
        <f>T42/$T$81</f>
        <v>0</v>
      </c>
      <c r="V42" s="670"/>
      <c r="W42" s="671"/>
      <c r="X42" s="672"/>
      <c r="Y42" s="43"/>
      <c r="Z42" s="529"/>
      <c r="AA42" s="146"/>
      <c r="AB42" s="652">
        <f>AA42/$AA$81</f>
        <v>0</v>
      </c>
      <c r="AC42" s="670"/>
      <c r="AD42" s="671"/>
      <c r="AE42" s="672"/>
      <c r="AF42" s="43"/>
      <c r="AG42" s="529"/>
      <c r="AH42" s="146"/>
      <c r="AI42" s="652">
        <f>AH42/$AH$81</f>
        <v>0</v>
      </c>
      <c r="AJ42" s="670"/>
      <c r="AK42" s="671"/>
      <c r="AL42" s="672"/>
      <c r="AM42" s="43"/>
      <c r="AN42" s="529"/>
      <c r="AO42" s="146"/>
      <c r="AP42" s="652"/>
      <c r="AQ42" s="670"/>
      <c r="AR42" s="671"/>
      <c r="AS42" s="672"/>
      <c r="AT42" s="43"/>
      <c r="AU42" s="529"/>
      <c r="AV42" s="146"/>
      <c r="AW42" s="652"/>
      <c r="AX42" s="670"/>
      <c r="AY42" s="671"/>
      <c r="AZ42" s="672"/>
      <c r="BA42" s="43"/>
      <c r="BB42" s="529"/>
      <c r="BC42" s="146"/>
      <c r="BD42" s="652"/>
      <c r="BE42" s="670"/>
      <c r="BF42" s="671"/>
      <c r="BG42" s="672"/>
      <c r="BH42" s="43"/>
      <c r="BI42" s="529"/>
      <c r="BJ42" s="146"/>
      <c r="BK42" s="652"/>
      <c r="BL42" s="670"/>
      <c r="BM42" s="671"/>
      <c r="BN42" s="672"/>
      <c r="BO42" s="43"/>
      <c r="BP42" s="529"/>
      <c r="BQ42" s="146"/>
      <c r="BR42" s="652"/>
      <c r="BS42" s="670"/>
      <c r="BT42" s="671"/>
      <c r="BU42" s="672"/>
      <c r="BV42" s="43"/>
      <c r="BW42" s="529"/>
      <c r="BX42" s="146"/>
      <c r="BY42" s="652"/>
      <c r="BZ42" s="670"/>
      <c r="CA42" s="671"/>
      <c r="CB42" s="672"/>
      <c r="CC42" s="43"/>
      <c r="CD42" s="529"/>
      <c r="CE42" s="146"/>
      <c r="CF42" s="652"/>
      <c r="CG42" s="670"/>
      <c r="CH42" s="671"/>
      <c r="CI42" s="672"/>
      <c r="CJ42" s="43"/>
      <c r="CK42" s="529"/>
      <c r="CL42" s="146"/>
      <c r="CM42" s="652"/>
      <c r="CN42" s="670"/>
      <c r="CO42" s="671"/>
      <c r="CP42" s="672"/>
      <c r="CQ42" s="43"/>
      <c r="CR42" s="529"/>
      <c r="CS42" s="146"/>
      <c r="CT42" s="652"/>
      <c r="CU42" s="670"/>
      <c r="CV42" s="671"/>
      <c r="CW42" s="672"/>
      <c r="CX42" s="43"/>
      <c r="CY42" s="529"/>
      <c r="CZ42" s="146"/>
      <c r="DA42" s="652"/>
    </row>
    <row r="43" spans="1:105" s="67" customFormat="1" ht="15" customHeight="1" x14ac:dyDescent="0.2">
      <c r="A43" s="85" t="s">
        <v>171</v>
      </c>
      <c r="B43" s="673" t="s">
        <v>405</v>
      </c>
      <c r="C43" s="674"/>
      <c r="D43" s="670"/>
      <c r="E43" s="675"/>
      <c r="F43" s="83">
        <f>'Standard Vorgaben'!E161</f>
        <v>400</v>
      </c>
      <c r="G43" s="649">
        <f>F43/$F$81</f>
        <v>3.1372803826075657E-2</v>
      </c>
      <c r="H43" s="85" t="s">
        <v>171</v>
      </c>
      <c r="I43" s="673" t="s">
        <v>405</v>
      </c>
      <c r="J43" s="674"/>
      <c r="K43" s="670"/>
      <c r="L43" s="675"/>
      <c r="M43" s="83">
        <f>'Standard Vorgaben'!E161</f>
        <v>400</v>
      </c>
      <c r="N43" s="649">
        <f>M43/$M$81</f>
        <v>2.4639196197792729E-2</v>
      </c>
      <c r="O43" s="85" t="s">
        <v>171</v>
      </c>
      <c r="P43" s="673" t="s">
        <v>405</v>
      </c>
      <c r="Q43" s="674"/>
      <c r="R43" s="670"/>
      <c r="S43" s="675"/>
      <c r="T43" s="83">
        <f>'Standard Vorgaben'!E161</f>
        <v>400</v>
      </c>
      <c r="U43" s="649">
        <f>T43/$T$81</f>
        <v>1.3450573116619118E-2</v>
      </c>
      <c r="V43" s="85" t="s">
        <v>171</v>
      </c>
      <c r="W43" s="673" t="s">
        <v>405</v>
      </c>
      <c r="X43" s="674"/>
      <c r="Y43" s="670"/>
      <c r="Z43" s="675"/>
      <c r="AA43" s="83">
        <f>'Standard Vorgaben'!E161</f>
        <v>400</v>
      </c>
      <c r="AB43" s="649">
        <f>AA43/$AA$81</f>
        <v>1.2017412548914089E-2</v>
      </c>
      <c r="AC43" s="85" t="s">
        <v>171</v>
      </c>
      <c r="AD43" s="673" t="s">
        <v>405</v>
      </c>
      <c r="AE43" s="674"/>
      <c r="AF43" s="670"/>
      <c r="AG43" s="675"/>
      <c r="AH43" s="83">
        <f>'Standard Vorgaben'!E161</f>
        <v>400</v>
      </c>
      <c r="AI43" s="649">
        <f>AH43/$AH$81</f>
        <v>1.1308656734335096E-2</v>
      </c>
      <c r="AJ43" s="85" t="s">
        <v>171</v>
      </c>
      <c r="AK43" s="673" t="s">
        <v>405</v>
      </c>
      <c r="AL43" s="674"/>
      <c r="AM43" s="670"/>
      <c r="AN43" s="675"/>
      <c r="AO43" s="83">
        <f>'Standard Vorgaben'!E161</f>
        <v>400</v>
      </c>
      <c r="AP43" s="649">
        <f>AO43/$AO$81</f>
        <v>1.0695268508060405E-2</v>
      </c>
      <c r="AQ43" s="85" t="s">
        <v>171</v>
      </c>
      <c r="AR43" s="673" t="s">
        <v>405</v>
      </c>
      <c r="AS43" s="674"/>
      <c r="AT43" s="670"/>
      <c r="AU43" s="675"/>
      <c r="AV43" s="83">
        <f>'Standard Vorgaben'!E161</f>
        <v>400</v>
      </c>
      <c r="AW43" s="649">
        <f>AV43/$AV$81</f>
        <v>1.1257237751738794E-2</v>
      </c>
      <c r="AX43" s="85" t="s">
        <v>171</v>
      </c>
      <c r="AY43" s="673" t="s">
        <v>405</v>
      </c>
      <c r="AZ43" s="674"/>
      <c r="BA43" s="670"/>
      <c r="BB43" s="675"/>
      <c r="BC43" s="83">
        <f>'Standard Vorgaben'!E161</f>
        <v>400</v>
      </c>
      <c r="BD43" s="649">
        <f>BC43/$BC$81</f>
        <v>1.1255402294277458E-2</v>
      </c>
      <c r="BE43" s="85" t="s">
        <v>171</v>
      </c>
      <c r="BF43" s="673" t="s">
        <v>405</v>
      </c>
      <c r="BG43" s="674"/>
      <c r="BH43" s="670"/>
      <c r="BI43" s="675"/>
      <c r="BJ43" s="83">
        <f>'Standard Vorgaben'!E161</f>
        <v>400</v>
      </c>
      <c r="BK43" s="649">
        <f>BJ43/$BJ$81</f>
        <v>1.021507457276772E-2</v>
      </c>
      <c r="BL43" s="85" t="s">
        <v>171</v>
      </c>
      <c r="BM43" s="673" t="s">
        <v>405</v>
      </c>
      <c r="BN43" s="674"/>
      <c r="BO43" s="670"/>
      <c r="BP43" s="675"/>
      <c r="BQ43" s="83">
        <f>'Standard Vorgaben'!E161</f>
        <v>400</v>
      </c>
      <c r="BR43" s="649">
        <f>BQ43/$BQ$81</f>
        <v>1.0067496376636498E-2</v>
      </c>
      <c r="BS43" s="85" t="s">
        <v>171</v>
      </c>
      <c r="BT43" s="673" t="s">
        <v>405</v>
      </c>
      <c r="BU43" s="674"/>
      <c r="BV43" s="670"/>
      <c r="BW43" s="675"/>
      <c r="BX43" s="83">
        <f>'Standard Vorgaben'!E161</f>
        <v>400</v>
      </c>
      <c r="BY43" s="649">
        <f>BX43/$BX$81</f>
        <v>1.0751442636206799E-2</v>
      </c>
      <c r="BZ43" s="85" t="s">
        <v>171</v>
      </c>
      <c r="CA43" s="673" t="s">
        <v>405</v>
      </c>
      <c r="CB43" s="674"/>
      <c r="CC43" s="670"/>
      <c r="CD43" s="675"/>
      <c r="CE43" s="83">
        <f>'Standard Vorgaben'!E161</f>
        <v>400</v>
      </c>
      <c r="CF43" s="649">
        <f>CE43/$CE$81</f>
        <v>1.1329711565727728E-2</v>
      </c>
      <c r="CG43" s="85" t="s">
        <v>171</v>
      </c>
      <c r="CH43" s="673" t="s">
        <v>405</v>
      </c>
      <c r="CI43" s="674"/>
      <c r="CJ43" s="670"/>
      <c r="CK43" s="675"/>
      <c r="CL43" s="83">
        <f>'Standard Vorgaben'!E161</f>
        <v>400</v>
      </c>
      <c r="CM43" s="649">
        <f>CL43/$CL$81</f>
        <v>1.1048363744384332E-2</v>
      </c>
      <c r="CN43" s="85" t="s">
        <v>171</v>
      </c>
      <c r="CO43" s="673" t="s">
        <v>405</v>
      </c>
      <c r="CP43" s="674"/>
      <c r="CQ43" s="670"/>
      <c r="CR43" s="675"/>
      <c r="CS43" s="83">
        <f>'Standard Vorgaben'!E161</f>
        <v>400</v>
      </c>
      <c r="CT43" s="649">
        <f>CS43/$CS$81</f>
        <v>1.1008029512317252E-2</v>
      </c>
      <c r="CU43" s="85" t="s">
        <v>171</v>
      </c>
      <c r="CV43" s="673" t="s">
        <v>405</v>
      </c>
      <c r="CW43" s="674"/>
      <c r="CX43" s="670"/>
      <c r="CY43" s="675"/>
      <c r="CZ43" s="83">
        <f>'Standard Vorgaben'!E161</f>
        <v>400</v>
      </c>
      <c r="DA43" s="649">
        <f>CZ43/$CZ$81</f>
        <v>9.7488541424560933E-3</v>
      </c>
    </row>
    <row r="44" spans="1:105" s="275" customFormat="1" ht="18.75" customHeight="1" x14ac:dyDescent="0.25">
      <c r="A44" s="502" t="s">
        <v>211</v>
      </c>
      <c r="B44" s="503"/>
      <c r="C44" s="542"/>
      <c r="D44" s="542"/>
      <c r="E44" s="543"/>
      <c r="F44" s="506">
        <f>F21+F31+F33+F34+F41+F43</f>
        <v>3742.8</v>
      </c>
      <c r="G44" s="59">
        <f>F44/$F$81</f>
        <v>0.29355532540058993</v>
      </c>
      <c r="H44" s="502" t="s">
        <v>211</v>
      </c>
      <c r="I44" s="503"/>
      <c r="J44" s="542"/>
      <c r="K44" s="542"/>
      <c r="L44" s="543"/>
      <c r="M44" s="506">
        <f>M21+M31+M33+M34+M41+M43</f>
        <v>3904.15</v>
      </c>
      <c r="N44" s="59">
        <f>M44/$M$81</f>
        <v>0.24048779458903122</v>
      </c>
      <c r="O44" s="502" t="s">
        <v>211</v>
      </c>
      <c r="P44" s="503"/>
      <c r="Q44" s="542"/>
      <c r="R44" s="542"/>
      <c r="S44" s="543"/>
      <c r="T44" s="506">
        <f>T21+T31+T33+T34+T41+T43</f>
        <v>8229.0499999999993</v>
      </c>
      <c r="U44" s="59">
        <f>T44/$T$81</f>
        <v>0.27671359676328633</v>
      </c>
      <c r="V44" s="502" t="s">
        <v>211</v>
      </c>
      <c r="W44" s="503"/>
      <c r="X44" s="542"/>
      <c r="Y44" s="542"/>
      <c r="Z44" s="543"/>
      <c r="AA44" s="506">
        <f>AA21+AA31+AA33+AA34+AA41+AA43</f>
        <v>8724.1</v>
      </c>
      <c r="AB44" s="59">
        <f>AA44/$AA$81</f>
        <v>0.26210277204495352</v>
      </c>
      <c r="AC44" s="502" t="s">
        <v>211</v>
      </c>
      <c r="AD44" s="503"/>
      <c r="AE44" s="542"/>
      <c r="AF44" s="542"/>
      <c r="AG44" s="543"/>
      <c r="AH44" s="506">
        <f>AH21+AH31+AH33+AH34+AH41+AH43</f>
        <v>8733.5499999999993</v>
      </c>
      <c r="AI44" s="59">
        <f>AH44/$AH$81</f>
        <v>0.2469117975553807</v>
      </c>
      <c r="AJ44" s="502" t="s">
        <v>211</v>
      </c>
      <c r="AK44" s="503"/>
      <c r="AL44" s="542"/>
      <c r="AM44" s="542"/>
      <c r="AN44" s="543"/>
      <c r="AO44" s="506">
        <f>AO21+AO31+AO33+AO34+AO41+AO43</f>
        <v>8743</v>
      </c>
      <c r="AP44" s="59">
        <f>AO44/$AO$81</f>
        <v>0.23377183141493033</v>
      </c>
      <c r="AQ44" s="502" t="s">
        <v>211</v>
      </c>
      <c r="AR44" s="503"/>
      <c r="AS44" s="542"/>
      <c r="AT44" s="542"/>
      <c r="AU44" s="543"/>
      <c r="AV44" s="506">
        <f>AV21+AV31+AV33+AV34+AV41+AV43</f>
        <v>8734.46875</v>
      </c>
      <c r="AW44" s="59">
        <f>AV44/$AV$81</f>
        <v>0.24581497838470689</v>
      </c>
      <c r="AX44" s="502" t="s">
        <v>211</v>
      </c>
      <c r="AY44" s="503"/>
      <c r="AZ44" s="542"/>
      <c r="BA44" s="542"/>
      <c r="BB44" s="543"/>
      <c r="BC44" s="506">
        <f>BC21+BC31+BC33+BC34+BC41+BC43</f>
        <v>8734.46875</v>
      </c>
      <c r="BD44" s="59">
        <f>BC44/$BC$81</f>
        <v>0.2457748990201119</v>
      </c>
      <c r="BE44" s="502" t="s">
        <v>211</v>
      </c>
      <c r="BF44" s="503"/>
      <c r="BG44" s="542"/>
      <c r="BH44" s="542"/>
      <c r="BI44" s="543"/>
      <c r="BJ44" s="506">
        <f>BJ21+BJ31+BJ33+BJ34+BJ41+BJ43</f>
        <v>8751.4</v>
      </c>
      <c r="BK44" s="59">
        <f>BJ44/$BJ$81</f>
        <v>0.22349050904029857</v>
      </c>
      <c r="BL44" s="502" t="s">
        <v>211</v>
      </c>
      <c r="BM44" s="503"/>
      <c r="BN44" s="542"/>
      <c r="BO44" s="542"/>
      <c r="BP44" s="543"/>
      <c r="BQ44" s="506">
        <f>BQ21+BQ31+BQ33+BQ34+BQ41+BQ43</f>
        <v>8754.5499999999993</v>
      </c>
      <c r="BR44" s="59">
        <f>BQ44/$BQ$81</f>
        <v>0.22034100101020765</v>
      </c>
      <c r="BS44" s="502" t="s">
        <v>211</v>
      </c>
      <c r="BT44" s="503"/>
      <c r="BU44" s="542"/>
      <c r="BV44" s="542"/>
      <c r="BW44" s="543"/>
      <c r="BX44" s="506">
        <f>BX21+BX31+BX33+BX34+BX41+BX43</f>
        <v>8743.2625000000007</v>
      </c>
      <c r="BY44" s="59">
        <f>BX44/$BX$81</f>
        <v>0.23500671305512014</v>
      </c>
      <c r="BZ44" s="502" t="s">
        <v>211</v>
      </c>
      <c r="CA44" s="503"/>
      <c r="CB44" s="542"/>
      <c r="CC44" s="542"/>
      <c r="CD44" s="543"/>
      <c r="CE44" s="506">
        <f>CE21+CE31+CE33+CE34+CE41+CE43</f>
        <v>8734.6</v>
      </c>
      <c r="CF44" s="59">
        <f>CE44/$CE$81</f>
        <v>0.24740124660501353</v>
      </c>
      <c r="CG44" s="502" t="s">
        <v>211</v>
      </c>
      <c r="CH44" s="503"/>
      <c r="CI44" s="542"/>
      <c r="CJ44" s="542"/>
      <c r="CK44" s="543"/>
      <c r="CL44" s="506">
        <f>CL21+CL31+CL33+CL34+CL41+CL43</f>
        <v>8738.7999999999993</v>
      </c>
      <c r="CM44" s="59">
        <f>CL44/$CL$81</f>
        <v>0.24137360272356448</v>
      </c>
      <c r="CN44" s="502" t="s">
        <v>211</v>
      </c>
      <c r="CO44" s="503"/>
      <c r="CP44" s="542"/>
      <c r="CQ44" s="542"/>
      <c r="CR44" s="543"/>
      <c r="CS44" s="506">
        <f>CS21+CS31+CS33+CS34+CS41+CS43</f>
        <v>8739.85</v>
      </c>
      <c r="CT44" s="59">
        <f>CS44/$CS$81</f>
        <v>0.24052131683306485</v>
      </c>
      <c r="CU44" s="502" t="s">
        <v>211</v>
      </c>
      <c r="CV44" s="503"/>
      <c r="CW44" s="542"/>
      <c r="CX44" s="542"/>
      <c r="CY44" s="543"/>
      <c r="CZ44" s="506">
        <f>CZ21+CZ31+CZ33+CZ34+CZ41+CZ43</f>
        <v>8733.5499999999993</v>
      </c>
      <c r="DA44" s="59">
        <f>CZ44/$CZ$81</f>
        <v>0.21285526273961852</v>
      </c>
    </row>
    <row r="45" spans="1:105" s="40" customFormat="1" ht="18.75" customHeight="1" x14ac:dyDescent="0.2">
      <c r="A45" s="40" t="s">
        <v>176</v>
      </c>
      <c r="B45" s="19"/>
      <c r="C45" s="147" t="s">
        <v>59</v>
      </c>
      <c r="D45" s="676">
        <f>'Standard Vorgaben'!$C$157</f>
        <v>10</v>
      </c>
      <c r="E45" s="44">
        <f>'Standard Vorgaben'!$D$157</f>
        <v>15</v>
      </c>
      <c r="F45" s="81">
        <f>D45*E45</f>
        <v>150</v>
      </c>
      <c r="G45" s="649">
        <f>F45/$F$81</f>
        <v>1.1764801434778371E-2</v>
      </c>
      <c r="H45" s="40" t="s">
        <v>176</v>
      </c>
      <c r="I45" s="19"/>
      <c r="J45" s="147" t="s">
        <v>59</v>
      </c>
      <c r="K45" s="676">
        <f>'Standard Vorgaben'!$C$157</f>
        <v>10</v>
      </c>
      <c r="L45" s="44">
        <f>'Standard Vorgaben'!$D$157</f>
        <v>15</v>
      </c>
      <c r="M45" s="81">
        <f>K45*L45</f>
        <v>150</v>
      </c>
      <c r="N45" s="649">
        <f>M45/$M$81</f>
        <v>9.2396985741722733E-3</v>
      </c>
      <c r="O45" s="40" t="s">
        <v>176</v>
      </c>
      <c r="P45" s="19"/>
      <c r="Q45" s="147" t="s">
        <v>59</v>
      </c>
      <c r="R45" s="676">
        <f>'Standard Vorgaben'!$C$157</f>
        <v>10</v>
      </c>
      <c r="S45" s="44">
        <f>'Standard Vorgaben'!$D$157</f>
        <v>15</v>
      </c>
      <c r="T45" s="81">
        <f>R45*S45</f>
        <v>150</v>
      </c>
      <c r="U45" s="649">
        <f>T45/$T$81</f>
        <v>5.0439649187321691E-3</v>
      </c>
      <c r="V45" s="40" t="s">
        <v>176</v>
      </c>
      <c r="W45" s="19"/>
      <c r="X45" s="147" t="s">
        <v>59</v>
      </c>
      <c r="Y45" s="676">
        <f>'Standard Vorgaben'!$C$157</f>
        <v>10</v>
      </c>
      <c r="Z45" s="44">
        <f>'Standard Vorgaben'!$D$157</f>
        <v>15</v>
      </c>
      <c r="AA45" s="81">
        <f>Y45*Z45</f>
        <v>150</v>
      </c>
      <c r="AB45" s="649">
        <f>AA45/$AA$81</f>
        <v>4.506529705842784E-3</v>
      </c>
      <c r="AC45" s="40" t="s">
        <v>176</v>
      </c>
      <c r="AD45" s="19"/>
      <c r="AE45" s="147" t="s">
        <v>59</v>
      </c>
      <c r="AF45" s="676">
        <f>'Standard Vorgaben'!$C$157</f>
        <v>10</v>
      </c>
      <c r="AG45" s="44">
        <f>'Standard Vorgaben'!$D$157</f>
        <v>15</v>
      </c>
      <c r="AH45" s="81">
        <f>AF45*AG45</f>
        <v>150</v>
      </c>
      <c r="AI45" s="649">
        <f>AH45/$AH$81</f>
        <v>4.2407462753756616E-3</v>
      </c>
      <c r="AJ45" s="40" t="s">
        <v>176</v>
      </c>
      <c r="AK45" s="19"/>
      <c r="AL45" s="147" t="s">
        <v>59</v>
      </c>
      <c r="AM45" s="676">
        <f>'Standard Vorgaben'!$C$157</f>
        <v>10</v>
      </c>
      <c r="AN45" s="44">
        <f>'Standard Vorgaben'!$D$157</f>
        <v>15</v>
      </c>
      <c r="AO45" s="81">
        <f>AM45*AN45</f>
        <v>150</v>
      </c>
      <c r="AP45" s="649">
        <f>AO45/$AO$81</f>
        <v>4.0107256905226518E-3</v>
      </c>
      <c r="AQ45" s="40" t="s">
        <v>176</v>
      </c>
      <c r="AR45" s="19"/>
      <c r="AS45" s="147" t="s">
        <v>59</v>
      </c>
      <c r="AT45" s="676">
        <f>'Standard Vorgaben'!$C$157</f>
        <v>10</v>
      </c>
      <c r="AU45" s="44">
        <f>'Standard Vorgaben'!$D$157</f>
        <v>15</v>
      </c>
      <c r="AV45" s="81">
        <f>AT45*AU45</f>
        <v>150</v>
      </c>
      <c r="AW45" s="649">
        <f>AV45/$AV$81</f>
        <v>4.2214641569020481E-3</v>
      </c>
      <c r="AX45" s="40" t="s">
        <v>176</v>
      </c>
      <c r="AY45" s="19"/>
      <c r="AZ45" s="147" t="s">
        <v>59</v>
      </c>
      <c r="BA45" s="676">
        <f>'Standard Vorgaben'!$C$157</f>
        <v>10</v>
      </c>
      <c r="BB45" s="44">
        <f>'Standard Vorgaben'!$D$157</f>
        <v>15</v>
      </c>
      <c r="BC45" s="81">
        <f>BA45*BB45</f>
        <v>150</v>
      </c>
      <c r="BD45" s="649">
        <f>BC45/$BC$81</f>
        <v>4.2207758603540471E-3</v>
      </c>
      <c r="BE45" s="40" t="s">
        <v>176</v>
      </c>
      <c r="BF45" s="19"/>
      <c r="BG45" s="147" t="s">
        <v>59</v>
      </c>
      <c r="BH45" s="676">
        <f>'Standard Vorgaben'!$C$157</f>
        <v>10</v>
      </c>
      <c r="BI45" s="44">
        <f>'Standard Vorgaben'!$D$157</f>
        <v>15</v>
      </c>
      <c r="BJ45" s="81">
        <f>BH45*BI45</f>
        <v>150</v>
      </c>
      <c r="BK45" s="649">
        <f>BJ45/$BJ$81</f>
        <v>3.8306529647878953E-3</v>
      </c>
      <c r="BL45" s="40" t="s">
        <v>176</v>
      </c>
      <c r="BM45" s="19"/>
      <c r="BN45" s="147" t="s">
        <v>59</v>
      </c>
      <c r="BO45" s="676">
        <f>'Standard Vorgaben'!$C$157</f>
        <v>10</v>
      </c>
      <c r="BP45" s="44">
        <f>'Standard Vorgaben'!$D$157</f>
        <v>15</v>
      </c>
      <c r="BQ45" s="81">
        <f>BO45*BP45</f>
        <v>150</v>
      </c>
      <c r="BR45" s="649">
        <f>BQ45/$BQ$81</f>
        <v>3.7753111412386869E-3</v>
      </c>
      <c r="BS45" s="40" t="s">
        <v>176</v>
      </c>
      <c r="BT45" s="19"/>
      <c r="BU45" s="147" t="s">
        <v>59</v>
      </c>
      <c r="BV45" s="676">
        <f>'Standard Vorgaben'!$C$157</f>
        <v>10</v>
      </c>
      <c r="BW45" s="44">
        <f>'Standard Vorgaben'!$D$157</f>
        <v>15</v>
      </c>
      <c r="BX45" s="81">
        <f>BV45*BW45</f>
        <v>150</v>
      </c>
      <c r="BY45" s="649">
        <f>BX45/$BX$81</f>
        <v>4.0317909885775501E-3</v>
      </c>
      <c r="BZ45" s="40" t="s">
        <v>176</v>
      </c>
      <c r="CA45" s="19"/>
      <c r="CB45" s="147" t="s">
        <v>59</v>
      </c>
      <c r="CC45" s="676">
        <f>'Standard Vorgaben'!$C$157</f>
        <v>10</v>
      </c>
      <c r="CD45" s="44">
        <f>'Standard Vorgaben'!$D$157</f>
        <v>15</v>
      </c>
      <c r="CE45" s="81">
        <f>CC45*CD45</f>
        <v>150</v>
      </c>
      <c r="CF45" s="649">
        <f>CE45/$CE$81</f>
        <v>4.2486418371478979E-3</v>
      </c>
      <c r="CG45" s="40" t="s">
        <v>176</v>
      </c>
      <c r="CH45" s="19"/>
      <c r="CI45" s="147" t="s">
        <v>59</v>
      </c>
      <c r="CJ45" s="676">
        <v>10</v>
      </c>
      <c r="CK45" s="44">
        <f>'Standard Vorgaben'!$D$157</f>
        <v>15</v>
      </c>
      <c r="CL45" s="81">
        <f>CJ45*CK45</f>
        <v>150</v>
      </c>
      <c r="CM45" s="649">
        <f>CL45/$CL$81</f>
        <v>4.1431364041441248E-3</v>
      </c>
      <c r="CN45" s="40" t="s">
        <v>176</v>
      </c>
      <c r="CO45" s="19"/>
      <c r="CP45" s="147" t="s">
        <v>59</v>
      </c>
      <c r="CQ45" s="676">
        <f>'Standard Vorgaben'!$C$157</f>
        <v>10</v>
      </c>
      <c r="CR45" s="44">
        <f>'Standard Vorgaben'!$D$157</f>
        <v>15</v>
      </c>
      <c r="CS45" s="81">
        <f>CQ45*CR45</f>
        <v>150</v>
      </c>
      <c r="CT45" s="649">
        <f>CS45/$CS$81</f>
        <v>4.1280110671189692E-3</v>
      </c>
      <c r="CU45" s="40" t="s">
        <v>176</v>
      </c>
      <c r="CV45" s="19"/>
      <c r="CW45" s="147" t="s">
        <v>59</v>
      </c>
      <c r="CX45" s="676">
        <f>'Standard Vorgaben'!$C$157</f>
        <v>10</v>
      </c>
      <c r="CY45" s="44">
        <f>'Standard Vorgaben'!$D$157</f>
        <v>15</v>
      </c>
      <c r="CZ45" s="81">
        <f>CX45*CY45</f>
        <v>150</v>
      </c>
      <c r="DA45" s="649">
        <f>CZ45/$CZ$81</f>
        <v>3.655820303421035E-3</v>
      </c>
    </row>
    <row r="46" spans="1:105" ht="17.45" customHeight="1" x14ac:dyDescent="0.2">
      <c r="A46"/>
      <c r="B46"/>
      <c r="C46" s="38" t="s">
        <v>11</v>
      </c>
      <c r="D46" s="118" t="s">
        <v>20</v>
      </c>
      <c r="E46" s="288" t="s">
        <v>60</v>
      </c>
      <c r="F46" s="289" t="s">
        <v>22</v>
      </c>
      <c r="G46" s="653"/>
      <c r="H46"/>
      <c r="I46"/>
      <c r="J46" s="38" t="s">
        <v>11</v>
      </c>
      <c r="K46" s="118" t="s">
        <v>20</v>
      </c>
      <c r="L46" s="288" t="s">
        <v>60</v>
      </c>
      <c r="M46" s="289" t="s">
        <v>22</v>
      </c>
      <c r="N46" s="653"/>
      <c r="O46"/>
      <c r="Q46" s="38" t="s">
        <v>11</v>
      </c>
      <c r="R46" s="118" t="s">
        <v>20</v>
      </c>
      <c r="S46" s="288" t="s">
        <v>60</v>
      </c>
      <c r="T46" s="289" t="s">
        <v>22</v>
      </c>
      <c r="U46" s="653"/>
      <c r="V46"/>
      <c r="X46" s="38" t="s">
        <v>11</v>
      </c>
      <c r="Y46" s="118" t="s">
        <v>20</v>
      </c>
      <c r="Z46" s="288" t="s">
        <v>60</v>
      </c>
      <c r="AA46" s="289" t="s">
        <v>22</v>
      </c>
      <c r="AB46" s="653"/>
      <c r="AC46"/>
      <c r="AE46" s="38" t="s">
        <v>11</v>
      </c>
      <c r="AF46" s="118" t="s">
        <v>20</v>
      </c>
      <c r="AG46" s="288" t="s">
        <v>60</v>
      </c>
      <c r="AH46" s="289" t="s">
        <v>22</v>
      </c>
      <c r="AI46" s="653"/>
      <c r="AJ46"/>
      <c r="AL46" s="38" t="s">
        <v>11</v>
      </c>
      <c r="AM46" s="118" t="s">
        <v>20</v>
      </c>
      <c r="AN46" s="288" t="s">
        <v>60</v>
      </c>
      <c r="AO46" s="289" t="s">
        <v>22</v>
      </c>
      <c r="AP46" s="653"/>
      <c r="AQ46"/>
      <c r="AS46" s="38" t="s">
        <v>11</v>
      </c>
      <c r="AT46" s="118" t="s">
        <v>20</v>
      </c>
      <c r="AU46" s="288" t="s">
        <v>60</v>
      </c>
      <c r="AV46" s="289" t="s">
        <v>22</v>
      </c>
      <c r="AW46" s="653"/>
      <c r="AX46"/>
      <c r="AZ46" s="38" t="s">
        <v>11</v>
      </c>
      <c r="BA46" s="118" t="s">
        <v>20</v>
      </c>
      <c r="BB46" s="288" t="s">
        <v>60</v>
      </c>
      <c r="BC46" s="289" t="s">
        <v>22</v>
      </c>
      <c r="BD46" s="653"/>
      <c r="BE46"/>
      <c r="BG46" s="38" t="s">
        <v>11</v>
      </c>
      <c r="BH46" s="118" t="s">
        <v>20</v>
      </c>
      <c r="BI46" s="288" t="s">
        <v>60</v>
      </c>
      <c r="BJ46" s="289" t="s">
        <v>22</v>
      </c>
      <c r="BK46" s="653"/>
      <c r="BL46"/>
      <c r="BN46" s="38" t="s">
        <v>11</v>
      </c>
      <c r="BO46" s="118" t="s">
        <v>20</v>
      </c>
      <c r="BP46" s="288" t="s">
        <v>60</v>
      </c>
      <c r="BQ46" s="289" t="s">
        <v>22</v>
      </c>
      <c r="BR46" s="653"/>
      <c r="BS46"/>
      <c r="BU46" s="38" t="s">
        <v>11</v>
      </c>
      <c r="BV46" s="118" t="s">
        <v>20</v>
      </c>
      <c r="BW46" s="288" t="s">
        <v>60</v>
      </c>
      <c r="BX46" s="289" t="s">
        <v>22</v>
      </c>
      <c r="BY46" s="653"/>
      <c r="BZ46"/>
      <c r="CB46" s="38" t="s">
        <v>11</v>
      </c>
      <c r="CC46" s="118" t="s">
        <v>20</v>
      </c>
      <c r="CD46" s="288" t="s">
        <v>60</v>
      </c>
      <c r="CE46" s="289" t="s">
        <v>22</v>
      </c>
      <c r="CF46" s="653"/>
      <c r="CG46"/>
      <c r="CI46" s="38" t="s">
        <v>11</v>
      </c>
      <c r="CJ46" s="118" t="s">
        <v>20</v>
      </c>
      <c r="CK46" s="288" t="s">
        <v>60</v>
      </c>
      <c r="CL46" s="289" t="s">
        <v>22</v>
      </c>
      <c r="CM46" s="653"/>
      <c r="CN46"/>
      <c r="CP46" s="38" t="s">
        <v>11</v>
      </c>
      <c r="CQ46" s="118" t="s">
        <v>20</v>
      </c>
      <c r="CR46" s="288" t="s">
        <v>60</v>
      </c>
      <c r="CS46" s="289" t="s">
        <v>22</v>
      </c>
      <c r="CT46" s="653"/>
      <c r="CU46"/>
      <c r="CW46" s="38" t="s">
        <v>11</v>
      </c>
      <c r="CX46" s="118" t="s">
        <v>20</v>
      </c>
      <c r="CY46" s="288" t="s">
        <v>60</v>
      </c>
      <c r="CZ46" s="289" t="s">
        <v>22</v>
      </c>
      <c r="DA46" s="653"/>
    </row>
    <row r="47" spans="1:105" s="1" customFormat="1" ht="12.75" x14ac:dyDescent="0.2">
      <c r="A47" s="40" t="s">
        <v>98</v>
      </c>
      <c r="B47" s="41" t="str">
        <f>'Standard Vorgaben'!$B$133</f>
        <v>Anbaugebläsepritze 1000 l mit Bordcomputer</v>
      </c>
      <c r="C47" s="1369">
        <v>6</v>
      </c>
      <c r="D47" s="39">
        <f>'Standard Vorgaben'!$C$133</f>
        <v>1</v>
      </c>
      <c r="E47" s="44">
        <f>'Standard Vorgaben'!$D$133</f>
        <v>37</v>
      </c>
      <c r="F47" s="45">
        <f>C47*E47</f>
        <v>222</v>
      </c>
      <c r="G47" s="652">
        <f>F47/$F$81</f>
        <v>1.7411906123471991E-2</v>
      </c>
      <c r="H47" s="40" t="s">
        <v>98</v>
      </c>
      <c r="I47" s="41" t="str">
        <f>'Standard Vorgaben'!$B$133</f>
        <v>Anbaugebläsepritze 1000 l mit Bordcomputer</v>
      </c>
      <c r="J47" s="1369">
        <v>6</v>
      </c>
      <c r="K47" s="39">
        <f>'Standard Vorgaben'!$C$133</f>
        <v>1</v>
      </c>
      <c r="L47" s="44">
        <f>'Standard Vorgaben'!$D$133</f>
        <v>37</v>
      </c>
      <c r="M47" s="45">
        <f>J47*L47</f>
        <v>222</v>
      </c>
      <c r="N47" s="652">
        <f>M47/$M$81</f>
        <v>1.3674753889774965E-2</v>
      </c>
      <c r="O47" s="40" t="s">
        <v>98</v>
      </c>
      <c r="P47" s="41" t="str">
        <f>'Standard Vorgaben'!$B$133</f>
        <v>Anbaugebläsepritze 1000 l mit Bordcomputer</v>
      </c>
      <c r="Q47" s="1369">
        <v>22</v>
      </c>
      <c r="R47" s="39">
        <f>'Standard Vorgaben'!$C$133</f>
        <v>1</v>
      </c>
      <c r="S47" s="44">
        <f>'Standard Vorgaben'!$D$133</f>
        <v>37</v>
      </c>
      <c r="T47" s="45">
        <f>Q47*S47</f>
        <v>814</v>
      </c>
      <c r="U47" s="652">
        <f>T47/$T$81</f>
        <v>2.7371916292319904E-2</v>
      </c>
      <c r="V47" s="40" t="s">
        <v>98</v>
      </c>
      <c r="W47" s="41" t="str">
        <f>'Standard Vorgaben'!$B$133</f>
        <v>Anbaugebläsepritze 1000 l mit Bordcomputer</v>
      </c>
      <c r="X47" s="1369">
        <v>22</v>
      </c>
      <c r="Y47" s="39">
        <f>'Standard Vorgaben'!$C$133</f>
        <v>1</v>
      </c>
      <c r="Z47" s="44">
        <f>'Standard Vorgaben'!$D$133</f>
        <v>37</v>
      </c>
      <c r="AA47" s="45">
        <f>X47*Z47</f>
        <v>814</v>
      </c>
      <c r="AB47" s="652">
        <f>AA47/$AA$81</f>
        <v>2.4455434537040174E-2</v>
      </c>
      <c r="AC47" s="40" t="s">
        <v>98</v>
      </c>
      <c r="AD47" s="41" t="str">
        <f>'Standard Vorgaben'!$B$133</f>
        <v>Anbaugebläsepritze 1000 l mit Bordcomputer</v>
      </c>
      <c r="AE47" s="1369">
        <v>22</v>
      </c>
      <c r="AF47" s="39">
        <f>'Standard Vorgaben'!$C$133</f>
        <v>1</v>
      </c>
      <c r="AG47" s="44">
        <f>'Standard Vorgaben'!$D$133</f>
        <v>37</v>
      </c>
      <c r="AH47" s="45">
        <f>AE47*AG47</f>
        <v>814</v>
      </c>
      <c r="AI47" s="652">
        <f>AH47/$AH$81</f>
        <v>2.3013116454371922E-2</v>
      </c>
      <c r="AJ47" s="40" t="s">
        <v>98</v>
      </c>
      <c r="AK47" s="41" t="str">
        <f>'Standard Vorgaben'!$B$133</f>
        <v>Anbaugebläsepritze 1000 l mit Bordcomputer</v>
      </c>
      <c r="AL47" s="1369">
        <v>22</v>
      </c>
      <c r="AM47" s="39">
        <f>'Standard Vorgaben'!$C$133</f>
        <v>1</v>
      </c>
      <c r="AN47" s="44">
        <f>'Standard Vorgaben'!$D$133</f>
        <v>37</v>
      </c>
      <c r="AO47" s="45">
        <f>AL47*AN47</f>
        <v>814</v>
      </c>
      <c r="AP47" s="652">
        <f>AO47/$AO$81</f>
        <v>2.1764871413902927E-2</v>
      </c>
      <c r="AQ47" s="40" t="s">
        <v>98</v>
      </c>
      <c r="AR47" s="41" t="str">
        <f>'Standard Vorgaben'!$B$133</f>
        <v>Anbaugebläsepritze 1000 l mit Bordcomputer</v>
      </c>
      <c r="AS47" s="1369">
        <v>22</v>
      </c>
      <c r="AT47" s="39">
        <f>'Standard Vorgaben'!$C$133</f>
        <v>1</v>
      </c>
      <c r="AU47" s="44">
        <f>'Standard Vorgaben'!$D$133</f>
        <v>37</v>
      </c>
      <c r="AV47" s="45">
        <f>AS47*AU47</f>
        <v>814</v>
      </c>
      <c r="AW47" s="652">
        <f>AV47/$AV$81</f>
        <v>2.2908478824788445E-2</v>
      </c>
      <c r="AX47" s="40" t="s">
        <v>98</v>
      </c>
      <c r="AY47" s="41" t="str">
        <f>'Standard Vorgaben'!$B$133</f>
        <v>Anbaugebläsepritze 1000 l mit Bordcomputer</v>
      </c>
      <c r="AZ47" s="1369">
        <v>22</v>
      </c>
      <c r="BA47" s="39">
        <f>'Standard Vorgaben'!$C$133</f>
        <v>1</v>
      </c>
      <c r="BB47" s="44">
        <f>'Standard Vorgaben'!$D$133</f>
        <v>37</v>
      </c>
      <c r="BC47" s="45">
        <f>AZ47*BB47</f>
        <v>814</v>
      </c>
      <c r="BD47" s="652">
        <f>BC47/$BC$81</f>
        <v>2.2904743668854626E-2</v>
      </c>
      <c r="BE47" s="40" t="s">
        <v>98</v>
      </c>
      <c r="BF47" s="41" t="str">
        <f>'Standard Vorgaben'!$B$133</f>
        <v>Anbaugebläsepritze 1000 l mit Bordcomputer</v>
      </c>
      <c r="BG47" s="1369">
        <v>22</v>
      </c>
      <c r="BH47" s="39">
        <f>'Standard Vorgaben'!$C$133</f>
        <v>1</v>
      </c>
      <c r="BI47" s="44">
        <f>'Standard Vorgaben'!$D$133</f>
        <v>37</v>
      </c>
      <c r="BJ47" s="45">
        <f>BG47*BI47</f>
        <v>814</v>
      </c>
      <c r="BK47" s="652">
        <f>BJ47/$BJ$81</f>
        <v>2.078767675558231E-2</v>
      </c>
      <c r="BL47" s="40" t="s">
        <v>98</v>
      </c>
      <c r="BM47" s="41" t="str">
        <f>'Standard Vorgaben'!$B$133</f>
        <v>Anbaugebläsepritze 1000 l mit Bordcomputer</v>
      </c>
      <c r="BN47" s="1369">
        <v>22</v>
      </c>
      <c r="BO47" s="39">
        <f>'Standard Vorgaben'!$C$133</f>
        <v>1</v>
      </c>
      <c r="BP47" s="44">
        <f>'Standard Vorgaben'!$D$133</f>
        <v>37</v>
      </c>
      <c r="BQ47" s="45">
        <f>BN47*BP47</f>
        <v>814</v>
      </c>
      <c r="BR47" s="652">
        <f>BQ47/$BQ$81</f>
        <v>2.0487355126455276E-2</v>
      </c>
      <c r="BS47" s="40" t="s">
        <v>98</v>
      </c>
      <c r="BT47" s="41" t="str">
        <f>'Standard Vorgaben'!$B$133</f>
        <v>Anbaugebläsepritze 1000 l mit Bordcomputer</v>
      </c>
      <c r="BU47" s="1369">
        <v>22</v>
      </c>
      <c r="BV47" s="39">
        <f>'Standard Vorgaben'!$C$133</f>
        <v>1</v>
      </c>
      <c r="BW47" s="44">
        <f>'Standard Vorgaben'!$D$133</f>
        <v>37</v>
      </c>
      <c r="BX47" s="45">
        <f>BU47*BW47</f>
        <v>814</v>
      </c>
      <c r="BY47" s="652">
        <f>BX47/$BX$81</f>
        <v>2.1879185764680835E-2</v>
      </c>
      <c r="BZ47" s="40" t="s">
        <v>98</v>
      </c>
      <c r="CA47" s="41" t="str">
        <f>'Standard Vorgaben'!$B$133</f>
        <v>Anbaugebläsepritze 1000 l mit Bordcomputer</v>
      </c>
      <c r="CB47" s="1369">
        <v>22</v>
      </c>
      <c r="CC47" s="39">
        <f>'Standard Vorgaben'!$C$133</f>
        <v>1</v>
      </c>
      <c r="CD47" s="44">
        <f>'Standard Vorgaben'!$D$133</f>
        <v>37</v>
      </c>
      <c r="CE47" s="45">
        <f>CB47*CD47</f>
        <v>814</v>
      </c>
      <c r="CF47" s="652">
        <f>CE47/$CE$81</f>
        <v>2.3055963036255924E-2</v>
      </c>
      <c r="CG47" s="40" t="s">
        <v>98</v>
      </c>
      <c r="CH47" s="41" t="str">
        <f>'Standard Vorgaben'!$B$133</f>
        <v>Anbaugebläsepritze 1000 l mit Bordcomputer</v>
      </c>
      <c r="CI47" s="1369">
        <v>22</v>
      </c>
      <c r="CJ47" s="39">
        <f>'Standard Vorgaben'!$C$133</f>
        <v>1</v>
      </c>
      <c r="CK47" s="44">
        <f>'Standard Vorgaben'!$D$133</f>
        <v>37</v>
      </c>
      <c r="CL47" s="45">
        <f>CI47*CK47</f>
        <v>814</v>
      </c>
      <c r="CM47" s="652">
        <f>CL47/$CL$81</f>
        <v>2.2483420219822116E-2</v>
      </c>
      <c r="CN47" s="40" t="s">
        <v>98</v>
      </c>
      <c r="CO47" s="41" t="str">
        <f>'Standard Vorgaben'!$B$133</f>
        <v>Anbaugebläsepritze 1000 l mit Bordcomputer</v>
      </c>
      <c r="CP47" s="1369">
        <v>22</v>
      </c>
      <c r="CQ47" s="39">
        <f>'Standard Vorgaben'!$C$133</f>
        <v>1</v>
      </c>
      <c r="CR47" s="44">
        <f>'Standard Vorgaben'!$D$133</f>
        <v>37</v>
      </c>
      <c r="CS47" s="45">
        <f>CP47*CR47</f>
        <v>814</v>
      </c>
      <c r="CT47" s="652">
        <f>CS47/$CS$81</f>
        <v>2.2401340057565607E-2</v>
      </c>
      <c r="CU47" s="40" t="s">
        <v>98</v>
      </c>
      <c r="CV47" s="41" t="str">
        <f>'Standard Vorgaben'!$B$133</f>
        <v>Anbaugebläsepritze 1000 l mit Bordcomputer</v>
      </c>
      <c r="CW47" s="1369">
        <v>22</v>
      </c>
      <c r="CX47" s="39">
        <f>'Standard Vorgaben'!$C$133</f>
        <v>1</v>
      </c>
      <c r="CY47" s="44">
        <f>'Standard Vorgaben'!$D$133</f>
        <v>37</v>
      </c>
      <c r="CZ47" s="45">
        <f>CW47*CY47</f>
        <v>814</v>
      </c>
      <c r="DA47" s="652">
        <f>CZ47/$CZ$81</f>
        <v>1.9838918179898149E-2</v>
      </c>
    </row>
    <row r="48" spans="1:105" s="1" customFormat="1" ht="12.75" x14ac:dyDescent="0.2">
      <c r="A48" s="40"/>
      <c r="B48" s="41" t="str">
        <f>'Standard Vorgaben'!$B$134</f>
        <v>Herbizidspritze beideseitig + Herbizidfass</v>
      </c>
      <c r="C48" s="1370">
        <v>2</v>
      </c>
      <c r="D48" s="39">
        <f>'Standard Vorgaben'!$C$134</f>
        <v>1</v>
      </c>
      <c r="E48" s="44">
        <f>'Standard Vorgaben'!$D$134</f>
        <v>69</v>
      </c>
      <c r="F48" s="45">
        <f>C48*E48</f>
        <v>138</v>
      </c>
      <c r="G48" s="652">
        <f>F48/$F$81</f>
        <v>1.0823617319996101E-2</v>
      </c>
      <c r="H48" s="40"/>
      <c r="I48" s="41" t="str">
        <f>'Standard Vorgaben'!$B$134</f>
        <v>Herbizidspritze beideseitig + Herbizidfass</v>
      </c>
      <c r="J48" s="1370">
        <v>2</v>
      </c>
      <c r="K48" s="39">
        <f>'Standard Vorgaben'!$C$134</f>
        <v>1</v>
      </c>
      <c r="L48" s="44">
        <f>'Standard Vorgaben'!$D$134</f>
        <v>69</v>
      </c>
      <c r="M48" s="45">
        <f>J48*L48</f>
        <v>138</v>
      </c>
      <c r="N48" s="652">
        <f>M48/$M$81</f>
        <v>8.5005226882384922E-3</v>
      </c>
      <c r="O48" s="40"/>
      <c r="P48" s="41" t="str">
        <f>'Standard Vorgaben'!$B$134</f>
        <v>Herbizidspritze beideseitig + Herbizidfass</v>
      </c>
      <c r="Q48" s="1370">
        <v>6</v>
      </c>
      <c r="R48" s="39">
        <f>'Standard Vorgaben'!$C$134</f>
        <v>1</v>
      </c>
      <c r="S48" s="44">
        <f>'Standard Vorgaben'!$D$134</f>
        <v>69</v>
      </c>
      <c r="T48" s="45">
        <f>Q48*S48</f>
        <v>414</v>
      </c>
      <c r="U48" s="652">
        <f>T48/$T$81</f>
        <v>1.3921343175700786E-2</v>
      </c>
      <c r="V48" s="40"/>
      <c r="W48" s="41" t="str">
        <f>'Standard Vorgaben'!$B$134</f>
        <v>Herbizidspritze beideseitig + Herbizidfass</v>
      </c>
      <c r="X48" s="1370">
        <v>6</v>
      </c>
      <c r="Y48" s="39">
        <f>'Standard Vorgaben'!$C$134</f>
        <v>1</v>
      </c>
      <c r="Z48" s="44">
        <f>'Standard Vorgaben'!$D$134</f>
        <v>69</v>
      </c>
      <c r="AA48" s="45">
        <f>X48*Z48</f>
        <v>414</v>
      </c>
      <c r="AB48" s="652">
        <f>AA48/$AA$81</f>
        <v>1.2438021988126083E-2</v>
      </c>
      <c r="AC48" s="40"/>
      <c r="AD48" s="41" t="str">
        <f>'Standard Vorgaben'!$B$134</f>
        <v>Herbizidspritze beideseitig + Herbizidfass</v>
      </c>
      <c r="AE48" s="1370">
        <v>6</v>
      </c>
      <c r="AF48" s="39">
        <f>'Standard Vorgaben'!$C$134</f>
        <v>1</v>
      </c>
      <c r="AG48" s="44">
        <f>'Standard Vorgaben'!$D$134</f>
        <v>69</v>
      </c>
      <c r="AH48" s="45">
        <f>AE48*AG48</f>
        <v>414</v>
      </c>
      <c r="AI48" s="652">
        <f>AH48/$AH$81</f>
        <v>1.1704459720036826E-2</v>
      </c>
      <c r="AJ48" s="40"/>
      <c r="AK48" s="41" t="str">
        <f>'Standard Vorgaben'!$B$134</f>
        <v>Herbizidspritze beideseitig + Herbizidfass</v>
      </c>
      <c r="AL48" s="1370">
        <v>6</v>
      </c>
      <c r="AM48" s="39">
        <f>'Standard Vorgaben'!$C$134</f>
        <v>1</v>
      </c>
      <c r="AN48" s="44">
        <f>'Standard Vorgaben'!$D$134</f>
        <v>69</v>
      </c>
      <c r="AO48" s="45">
        <f>AL48*AN48</f>
        <v>414</v>
      </c>
      <c r="AP48" s="652">
        <f>AO48/$AO$81</f>
        <v>1.106960290584252E-2</v>
      </c>
      <c r="AQ48" s="40"/>
      <c r="AR48" s="41" t="str">
        <f>'Standard Vorgaben'!$B$134</f>
        <v>Herbizidspritze beideseitig + Herbizidfass</v>
      </c>
      <c r="AS48" s="1370">
        <v>6</v>
      </c>
      <c r="AT48" s="39">
        <f>'Standard Vorgaben'!$C$134</f>
        <v>1</v>
      </c>
      <c r="AU48" s="44">
        <f>'Standard Vorgaben'!$D$134</f>
        <v>69</v>
      </c>
      <c r="AV48" s="45">
        <f>AS48*AU48</f>
        <v>414</v>
      </c>
      <c r="AW48" s="652">
        <f>AV48/$AV$81</f>
        <v>1.1651241073049651E-2</v>
      </c>
      <c r="AX48" s="40"/>
      <c r="AY48" s="41" t="str">
        <f>'Standard Vorgaben'!$B$134</f>
        <v>Herbizidspritze beideseitig + Herbizidfass</v>
      </c>
      <c r="AZ48" s="1370">
        <v>6</v>
      </c>
      <c r="BA48" s="39">
        <f>'Standard Vorgaben'!$C$134</f>
        <v>1</v>
      </c>
      <c r="BB48" s="44">
        <f>'Standard Vorgaben'!$D$134</f>
        <v>69</v>
      </c>
      <c r="BC48" s="45">
        <f>AZ48*BB48</f>
        <v>414</v>
      </c>
      <c r="BD48" s="652">
        <f>BC48/$BC$81</f>
        <v>1.1649341374577168E-2</v>
      </c>
      <c r="BE48" s="40"/>
      <c r="BF48" s="41" t="str">
        <f>'Standard Vorgaben'!$B$134</f>
        <v>Herbizidspritze beideseitig + Herbizidfass</v>
      </c>
      <c r="BG48" s="1370">
        <v>6</v>
      </c>
      <c r="BH48" s="39">
        <f>'Standard Vorgaben'!$C$134</f>
        <v>1</v>
      </c>
      <c r="BI48" s="44">
        <f>'Standard Vorgaben'!$D$134</f>
        <v>69</v>
      </c>
      <c r="BJ48" s="45">
        <f>BG48*BI48</f>
        <v>414</v>
      </c>
      <c r="BK48" s="652">
        <f>BJ48/$BJ$81</f>
        <v>1.057260218281459E-2</v>
      </c>
      <c r="BL48" s="40"/>
      <c r="BM48" s="41" t="str">
        <f>'Standard Vorgaben'!$B$134</f>
        <v>Herbizidspritze beideseitig + Herbizidfass</v>
      </c>
      <c r="BN48" s="1370">
        <v>6</v>
      </c>
      <c r="BO48" s="39">
        <f>'Standard Vorgaben'!$C$134</f>
        <v>1</v>
      </c>
      <c r="BP48" s="44">
        <f>'Standard Vorgaben'!$D$134</f>
        <v>69</v>
      </c>
      <c r="BQ48" s="45">
        <f>BN48*BP48</f>
        <v>414</v>
      </c>
      <c r="BR48" s="652">
        <f>BQ48/$BQ$81</f>
        <v>1.0419858749818777E-2</v>
      </c>
      <c r="BS48" s="40"/>
      <c r="BT48" s="41" t="str">
        <f>'Standard Vorgaben'!$B$134</f>
        <v>Herbizidspritze beideseitig + Herbizidfass</v>
      </c>
      <c r="BU48" s="1370">
        <v>6</v>
      </c>
      <c r="BV48" s="39">
        <f>'Standard Vorgaben'!$C$134</f>
        <v>1</v>
      </c>
      <c r="BW48" s="44">
        <f>'Standard Vorgaben'!$D$134</f>
        <v>69</v>
      </c>
      <c r="BX48" s="45">
        <f>BU48*BW48</f>
        <v>414</v>
      </c>
      <c r="BY48" s="652">
        <f>BX48/$BX$81</f>
        <v>1.1127743128474038E-2</v>
      </c>
      <c r="BZ48" s="40"/>
      <c r="CA48" s="41" t="str">
        <f>'Standard Vorgaben'!$B$134</f>
        <v>Herbizidspritze beideseitig + Herbizidfass</v>
      </c>
      <c r="CB48" s="1370">
        <v>6</v>
      </c>
      <c r="CC48" s="39">
        <f>'Standard Vorgaben'!$C$134</f>
        <v>1</v>
      </c>
      <c r="CD48" s="44">
        <f>'Standard Vorgaben'!$D$134</f>
        <v>69</v>
      </c>
      <c r="CE48" s="45">
        <f>CB48*CD48</f>
        <v>414</v>
      </c>
      <c r="CF48" s="652">
        <f>CE48/$CE$81</f>
        <v>1.1726251470528198E-2</v>
      </c>
      <c r="CG48" s="40"/>
      <c r="CH48" s="41" t="str">
        <f>'Standard Vorgaben'!$B$134</f>
        <v>Herbizidspritze beideseitig + Herbizidfass</v>
      </c>
      <c r="CI48" s="1370">
        <v>6</v>
      </c>
      <c r="CJ48" s="39">
        <f>'Standard Vorgaben'!$C$134</f>
        <v>1</v>
      </c>
      <c r="CK48" s="44">
        <f>'Standard Vorgaben'!$D$134</f>
        <v>69</v>
      </c>
      <c r="CL48" s="45">
        <f>CI48*CK48</f>
        <v>414</v>
      </c>
      <c r="CM48" s="652">
        <f>CL48/$CL$81</f>
        <v>1.1435056475437784E-2</v>
      </c>
      <c r="CN48" s="40"/>
      <c r="CO48" s="41" t="str">
        <f>'Standard Vorgaben'!$B$134</f>
        <v>Herbizidspritze beideseitig + Herbizidfass</v>
      </c>
      <c r="CP48" s="1370">
        <v>6</v>
      </c>
      <c r="CQ48" s="39">
        <f>'Standard Vorgaben'!$C$134</f>
        <v>1</v>
      </c>
      <c r="CR48" s="44">
        <f>'Standard Vorgaben'!$D$134</f>
        <v>69</v>
      </c>
      <c r="CS48" s="45">
        <f>CP48*CR48</f>
        <v>414</v>
      </c>
      <c r="CT48" s="652">
        <f>CS48/$CS$81</f>
        <v>1.1393310545248355E-2</v>
      </c>
      <c r="CU48" s="40"/>
      <c r="CV48" s="41" t="str">
        <f>'Standard Vorgaben'!$B$134</f>
        <v>Herbizidspritze beideseitig + Herbizidfass</v>
      </c>
      <c r="CW48" s="1370">
        <v>6</v>
      </c>
      <c r="CX48" s="39">
        <f>'Standard Vorgaben'!$C$134</f>
        <v>1</v>
      </c>
      <c r="CY48" s="44">
        <f>'Standard Vorgaben'!$D$134</f>
        <v>69</v>
      </c>
      <c r="CZ48" s="45">
        <f>CW48*CY48</f>
        <v>414</v>
      </c>
      <c r="DA48" s="652">
        <f>CZ48/$CZ$81</f>
        <v>1.0090064037442056E-2</v>
      </c>
    </row>
    <row r="49" spans="1:105" s="1" customFormat="1" ht="12.75" x14ac:dyDescent="0.2">
      <c r="A49" s="40"/>
      <c r="B49" s="41" t="str">
        <f>'Standard Vorgaben'!$B$135</f>
        <v>Düngerstreuer Einkasten 2.5 m</v>
      </c>
      <c r="C49" s="531">
        <f>C21</f>
        <v>0</v>
      </c>
      <c r="D49" s="39">
        <f>'Standard Vorgaben'!$C$135</f>
        <v>1</v>
      </c>
      <c r="E49" s="44">
        <f>'Standard Vorgaben'!$D$135</f>
        <v>18</v>
      </c>
      <c r="F49" s="45">
        <f>C49*E49</f>
        <v>0</v>
      </c>
      <c r="G49" s="652">
        <f>F49/$F$81</f>
        <v>0</v>
      </c>
      <c r="H49" s="40"/>
      <c r="I49" s="41" t="str">
        <f>'Standard Vorgaben'!$B$135</f>
        <v>Düngerstreuer Einkasten 2.5 m</v>
      </c>
      <c r="J49" s="531">
        <f>J21</f>
        <v>1</v>
      </c>
      <c r="K49" s="39">
        <f>'Standard Vorgaben'!$C$135</f>
        <v>1</v>
      </c>
      <c r="L49" s="44">
        <f>'Standard Vorgaben'!$D$135</f>
        <v>18</v>
      </c>
      <c r="M49" s="45">
        <f>J49*L49</f>
        <v>18</v>
      </c>
      <c r="N49" s="652">
        <f>M49/$M$81</f>
        <v>1.1087638289006727E-3</v>
      </c>
      <c r="O49" s="40"/>
      <c r="P49" s="41" t="str">
        <f>'Standard Vorgaben'!$B$135</f>
        <v>Düngerstreuer Einkasten 2.5 m</v>
      </c>
      <c r="Q49" s="531">
        <f>Q21</f>
        <v>2</v>
      </c>
      <c r="R49" s="39">
        <f>'Standard Vorgaben'!$C$135</f>
        <v>1</v>
      </c>
      <c r="S49" s="44">
        <f>'Standard Vorgaben'!$D$135</f>
        <v>18</v>
      </c>
      <c r="T49" s="45">
        <f>Q49*S49</f>
        <v>36</v>
      </c>
      <c r="U49" s="652">
        <f>T49/$T$81</f>
        <v>1.2105515804957205E-3</v>
      </c>
      <c r="V49" s="40"/>
      <c r="W49" s="41" t="str">
        <f>'Standard Vorgaben'!$B$135</f>
        <v>Düngerstreuer Einkasten 2.5 m</v>
      </c>
      <c r="X49" s="531">
        <f>X21</f>
        <v>4</v>
      </c>
      <c r="Y49" s="39">
        <f>'Standard Vorgaben'!$C$135</f>
        <v>1</v>
      </c>
      <c r="Z49" s="44">
        <f>'Standard Vorgaben'!$D$135</f>
        <v>18</v>
      </c>
      <c r="AA49" s="45">
        <f>X49*Z49</f>
        <v>72</v>
      </c>
      <c r="AB49" s="652">
        <f>AA49/$AA$81</f>
        <v>2.1631342588045361E-3</v>
      </c>
      <c r="AC49" s="40"/>
      <c r="AD49" s="41" t="str">
        <f>'Standard Vorgaben'!$B$135</f>
        <v>Düngerstreuer Einkasten 2.5 m</v>
      </c>
      <c r="AE49" s="531">
        <f>AE21</f>
        <v>4</v>
      </c>
      <c r="AF49" s="39">
        <f>'Standard Vorgaben'!$C$135</f>
        <v>1</v>
      </c>
      <c r="AG49" s="44">
        <f>'Standard Vorgaben'!$D$135</f>
        <v>18</v>
      </c>
      <c r="AH49" s="45">
        <f>AE49*AG49</f>
        <v>72</v>
      </c>
      <c r="AI49" s="652">
        <f>AH49/$AH$81</f>
        <v>2.0355582121803174E-3</v>
      </c>
      <c r="AJ49" s="40"/>
      <c r="AK49" s="41" t="str">
        <f>'Standard Vorgaben'!$B$135</f>
        <v>Düngerstreuer Einkasten 2.5 m</v>
      </c>
      <c r="AL49" s="531">
        <f>AL21</f>
        <v>4</v>
      </c>
      <c r="AM49" s="39">
        <f>'Standard Vorgaben'!$C$135</f>
        <v>1</v>
      </c>
      <c r="AN49" s="44">
        <f>'Standard Vorgaben'!$D$135</f>
        <v>18</v>
      </c>
      <c r="AO49" s="45">
        <f>AL49*AN49</f>
        <v>72</v>
      </c>
      <c r="AP49" s="652">
        <f>AO49/$AO$81</f>
        <v>1.925148331450873E-3</v>
      </c>
      <c r="AQ49" s="40"/>
      <c r="AR49" s="41" t="str">
        <f>'Standard Vorgaben'!$B$135</f>
        <v>Düngerstreuer Einkasten 2.5 m</v>
      </c>
      <c r="AS49" s="531">
        <f>AS21</f>
        <v>4</v>
      </c>
      <c r="AT49" s="39">
        <f>'Standard Vorgaben'!$C$135</f>
        <v>1</v>
      </c>
      <c r="AU49" s="44">
        <f>'Standard Vorgaben'!$D$135</f>
        <v>18</v>
      </c>
      <c r="AV49" s="45">
        <f>AS49*AU49</f>
        <v>72</v>
      </c>
      <c r="AW49" s="652">
        <f>AV49/$AV$81</f>
        <v>2.0263027953129828E-3</v>
      </c>
      <c r="AX49" s="40"/>
      <c r="AY49" s="41" t="str">
        <f>'Standard Vorgaben'!$B$135</f>
        <v>Düngerstreuer Einkasten 2.5 m</v>
      </c>
      <c r="AZ49" s="531">
        <f>AZ21</f>
        <v>4</v>
      </c>
      <c r="BA49" s="39">
        <f>'Standard Vorgaben'!$C$135</f>
        <v>1</v>
      </c>
      <c r="BB49" s="44">
        <f>'Standard Vorgaben'!$D$135</f>
        <v>18</v>
      </c>
      <c r="BC49" s="45">
        <f>AZ49*BB49</f>
        <v>72</v>
      </c>
      <c r="BD49" s="652">
        <f>BC49/$BC$81</f>
        <v>2.0259724129699425E-3</v>
      </c>
      <c r="BE49" s="40"/>
      <c r="BF49" s="41" t="str">
        <f>'Standard Vorgaben'!$B$135</f>
        <v>Düngerstreuer Einkasten 2.5 m</v>
      </c>
      <c r="BG49" s="531">
        <f>BG21</f>
        <v>4</v>
      </c>
      <c r="BH49" s="39">
        <f>'Standard Vorgaben'!$C$135</f>
        <v>1</v>
      </c>
      <c r="BI49" s="44">
        <f>'Standard Vorgaben'!$D$135</f>
        <v>18</v>
      </c>
      <c r="BJ49" s="45">
        <f>BG49*BI49</f>
        <v>72</v>
      </c>
      <c r="BK49" s="652">
        <f>BJ49/$BJ$81</f>
        <v>1.8387134230981896E-3</v>
      </c>
      <c r="BL49" s="40"/>
      <c r="BM49" s="41" t="str">
        <f>'Standard Vorgaben'!$B$135</f>
        <v>Düngerstreuer Einkasten 2.5 m</v>
      </c>
      <c r="BN49" s="531">
        <f>BN21</f>
        <v>4</v>
      </c>
      <c r="BO49" s="39">
        <f>'Standard Vorgaben'!$C$135</f>
        <v>1</v>
      </c>
      <c r="BP49" s="44">
        <f>'Standard Vorgaben'!$D$135</f>
        <v>18</v>
      </c>
      <c r="BQ49" s="45">
        <f>BN49*BP49</f>
        <v>72</v>
      </c>
      <c r="BR49" s="652">
        <f>BQ49/$BQ$81</f>
        <v>1.8121493477945699E-3</v>
      </c>
      <c r="BS49" s="40"/>
      <c r="BT49" s="41" t="str">
        <f>'Standard Vorgaben'!$B$135</f>
        <v>Düngerstreuer Einkasten 2.5 m</v>
      </c>
      <c r="BU49" s="531">
        <f>BU21</f>
        <v>4</v>
      </c>
      <c r="BV49" s="39">
        <f>'Standard Vorgaben'!$C$135</f>
        <v>1</v>
      </c>
      <c r="BW49" s="44">
        <f>'Standard Vorgaben'!$D$135</f>
        <v>18</v>
      </c>
      <c r="BX49" s="45">
        <f>BU49*BW49</f>
        <v>72</v>
      </c>
      <c r="BY49" s="652">
        <f>BX49/$BX$81</f>
        <v>1.9352596745172239E-3</v>
      </c>
      <c r="BZ49" s="40"/>
      <c r="CA49" s="41" t="str">
        <f>'Standard Vorgaben'!$B$135</f>
        <v>Düngerstreuer Einkasten 2.5 m</v>
      </c>
      <c r="CB49" s="531">
        <f>CB21</f>
        <v>4</v>
      </c>
      <c r="CC49" s="39">
        <f>'Standard Vorgaben'!$C$135</f>
        <v>1</v>
      </c>
      <c r="CD49" s="44">
        <f>'Standard Vorgaben'!$D$135</f>
        <v>18</v>
      </c>
      <c r="CE49" s="45">
        <f>CB49*CD49</f>
        <v>72</v>
      </c>
      <c r="CF49" s="652">
        <f>CE49/$CE$81</f>
        <v>2.0393480818309911E-3</v>
      </c>
      <c r="CG49" s="40"/>
      <c r="CH49" s="41" t="str">
        <f>'Standard Vorgaben'!$B$135</f>
        <v>Düngerstreuer Einkasten 2.5 m</v>
      </c>
      <c r="CI49" s="531">
        <f>CI21</f>
        <v>4</v>
      </c>
      <c r="CJ49" s="39">
        <f>'Standard Vorgaben'!$C$135</f>
        <v>1</v>
      </c>
      <c r="CK49" s="44">
        <f>'Standard Vorgaben'!$D$135</f>
        <v>18</v>
      </c>
      <c r="CL49" s="45">
        <f>CI49*CK49</f>
        <v>72</v>
      </c>
      <c r="CM49" s="652">
        <f>CL49/$CL$81</f>
        <v>1.9887054739891798E-3</v>
      </c>
      <c r="CN49" s="40"/>
      <c r="CO49" s="41" t="str">
        <f>'Standard Vorgaben'!$B$135</f>
        <v>Düngerstreuer Einkasten 2.5 m</v>
      </c>
      <c r="CP49" s="531">
        <f>CP21</f>
        <v>4</v>
      </c>
      <c r="CQ49" s="39">
        <f>'Standard Vorgaben'!$C$135</f>
        <v>1</v>
      </c>
      <c r="CR49" s="44">
        <f>'Standard Vorgaben'!$D$135</f>
        <v>18</v>
      </c>
      <c r="CS49" s="45">
        <f>CP49*CR49</f>
        <v>72</v>
      </c>
      <c r="CT49" s="652">
        <f>CS49/$CS$81</f>
        <v>1.9814453122171051E-3</v>
      </c>
      <c r="CU49" s="40"/>
      <c r="CV49" s="41" t="str">
        <f>'Standard Vorgaben'!$B$135</f>
        <v>Düngerstreuer Einkasten 2.5 m</v>
      </c>
      <c r="CW49" s="531">
        <f>CW21</f>
        <v>4</v>
      </c>
      <c r="CX49" s="39">
        <f>'Standard Vorgaben'!$C$135</f>
        <v>1</v>
      </c>
      <c r="CY49" s="44">
        <f>'Standard Vorgaben'!$D$135</f>
        <v>18</v>
      </c>
      <c r="CZ49" s="45">
        <f>CW49*CY49</f>
        <v>72</v>
      </c>
      <c r="DA49" s="652">
        <f>CZ49/$CZ$81</f>
        <v>1.7547937456420968E-3</v>
      </c>
    </row>
    <row r="50" spans="1:105" s="67" customFormat="1" ht="12.75" x14ac:dyDescent="0.2">
      <c r="A50" s="142"/>
      <c r="B50" s="41" t="str">
        <f>'Standard Vorgaben'!$B$136</f>
        <v>Erntewagen 4 Grosskisten</v>
      </c>
      <c r="C50" s="1325">
        <f>'Standard Vorgaben'!$C$136</f>
        <v>960</v>
      </c>
      <c r="D50" s="19"/>
      <c r="E50" s="1328">
        <f>'Standard Vorgaben'!$D$136</f>
        <v>9.1999999999999993</v>
      </c>
      <c r="F50" s="45">
        <f>D51*E50</f>
        <v>0</v>
      </c>
      <c r="G50" s="652">
        <f>F50/F81</f>
        <v>0</v>
      </c>
      <c r="H50" s="142"/>
      <c r="I50" s="41" t="str">
        <f>'Standard Vorgaben'!$B$136</f>
        <v>Erntewagen 4 Grosskisten</v>
      </c>
      <c r="J50" s="1325">
        <f>'Standard Vorgaben'!$C$136</f>
        <v>960</v>
      </c>
      <c r="K50" s="19"/>
      <c r="L50" s="1328">
        <f>'Standard Vorgaben'!$D$136</f>
        <v>9.1999999999999993</v>
      </c>
      <c r="M50" s="45">
        <f>K51*L50</f>
        <v>114.71249999999999</v>
      </c>
      <c r="N50" s="652">
        <f>M50/M81</f>
        <v>7.0660594845982456E-3</v>
      </c>
      <c r="O50" s="142"/>
      <c r="P50" s="41" t="str">
        <f>'Standard Vorgaben'!$B$136</f>
        <v>Erntewagen 4 Grosskisten</v>
      </c>
      <c r="Q50" s="1325">
        <f>'Standard Vorgaben'!$C$136</f>
        <v>960</v>
      </c>
      <c r="R50" s="19"/>
      <c r="S50" s="1328">
        <f>'Standard Vorgaben'!$D$136</f>
        <v>9.1999999999999993</v>
      </c>
      <c r="T50" s="45">
        <f>R51*S50</f>
        <v>143.390625</v>
      </c>
      <c r="U50" s="652">
        <f>T50/T81</f>
        <v>4.8217152145005326E-3</v>
      </c>
      <c r="V50" s="142"/>
      <c r="W50" s="41" t="str">
        <f>'Standard Vorgaben'!$B$136</f>
        <v>Erntewagen 4 Grosskisten</v>
      </c>
      <c r="X50" s="1325">
        <f>'Standard Vorgaben'!$C$136</f>
        <v>960</v>
      </c>
      <c r="Y50" s="19"/>
      <c r="Z50" s="1328">
        <f>'Standard Vorgaben'!$D$136</f>
        <v>9.1999999999999993</v>
      </c>
      <c r="AA50" s="45">
        <f>Y51*Z50</f>
        <v>248.54374999999999</v>
      </c>
      <c r="AB50" s="652">
        <f>AA50/AA81</f>
        <v>7.4671319505104153E-3</v>
      </c>
      <c r="AC50" s="142"/>
      <c r="AD50" s="41" t="str">
        <f>'Standard Vorgaben'!$B$136</f>
        <v>Erntewagen 4 Grosskisten</v>
      </c>
      <c r="AE50" s="1325">
        <f>'Standard Vorgaben'!$C$136</f>
        <v>960</v>
      </c>
      <c r="AF50" s="19"/>
      <c r="AG50" s="1328">
        <f>'Standard Vorgaben'!$D$136</f>
        <v>9.1999999999999993</v>
      </c>
      <c r="AH50" s="45">
        <f>AF51*AG50</f>
        <v>334.578125</v>
      </c>
      <c r="AI50" s="652">
        <f>AH50/AH81</f>
        <v>9.4590729161061499E-3</v>
      </c>
      <c r="AJ50" s="142"/>
      <c r="AK50" s="41" t="str">
        <f>'Standard Vorgaben'!$B$136</f>
        <v>Erntewagen 4 Grosskisten</v>
      </c>
      <c r="AL50" s="1325">
        <f>'Standard Vorgaben'!$C$136</f>
        <v>960</v>
      </c>
      <c r="AM50" s="19"/>
      <c r="AN50" s="1328">
        <f>'Standard Vorgaben'!$D$136</f>
        <v>9.1999999999999993</v>
      </c>
      <c r="AO50" s="45">
        <f>AM51*AN50</f>
        <v>420.61249999999995</v>
      </c>
      <c r="AP50" s="652">
        <f>AO50/AO81</f>
        <v>1.1246409063366393E-2</v>
      </c>
      <c r="AQ50" s="142"/>
      <c r="AR50" s="41" t="str">
        <f>'Standard Vorgaben'!$B$136</f>
        <v>Erntewagen 4 Grosskisten</v>
      </c>
      <c r="AS50" s="1325">
        <f>'Standard Vorgaben'!$C$136</f>
        <v>960</v>
      </c>
      <c r="AT50" s="19"/>
      <c r="AU50" s="1328">
        <f>'Standard Vorgaben'!$D$136</f>
        <v>9.1999999999999993</v>
      </c>
      <c r="AV50" s="45">
        <f>AT51*AU50</f>
        <v>342.94257812499995</v>
      </c>
      <c r="AW50" s="652">
        <f>AV50/AV81</f>
        <v>9.6514653428684503E-3</v>
      </c>
      <c r="AX50" s="142"/>
      <c r="AY50" s="41" t="str">
        <f>'Standard Vorgaben'!$B$136</f>
        <v>Erntewagen 4 Grosskisten</v>
      </c>
      <c r="AZ50" s="1325">
        <f>'Standard Vorgaben'!$C$136</f>
        <v>960</v>
      </c>
      <c r="BA50" s="19"/>
      <c r="BB50" s="1328">
        <f>'Standard Vorgaben'!$D$136</f>
        <v>9.1999999999999993</v>
      </c>
      <c r="BC50" s="45">
        <f>BA51*BB50</f>
        <v>342.94257812499995</v>
      </c>
      <c r="BD50" s="652">
        <f>BC50/BC81</f>
        <v>9.6498917015838768E-3</v>
      </c>
      <c r="BE50" s="142"/>
      <c r="BF50" s="41" t="str">
        <f>'Standard Vorgaben'!$B$136</f>
        <v>Erntewagen 4 Grosskisten</v>
      </c>
      <c r="BG50" s="1325">
        <f>'Standard Vorgaben'!$C$136</f>
        <v>960</v>
      </c>
      <c r="BH50" s="19"/>
      <c r="BI50" s="1328">
        <f>'Standard Vorgaben'!$D$136</f>
        <v>9.1999999999999993</v>
      </c>
      <c r="BJ50" s="45">
        <f>BH51*BI50</f>
        <v>497.08749999999998</v>
      </c>
      <c r="BK50" s="652">
        <f>BJ50/BJ81</f>
        <v>1.2694464704226685E-2</v>
      </c>
      <c r="BL50" s="142"/>
      <c r="BM50" s="41" t="str">
        <f>'Standard Vorgaben'!$B$136</f>
        <v>Erntewagen 4 Grosskisten</v>
      </c>
      <c r="BN50" s="1325">
        <f>'Standard Vorgaben'!$C$136</f>
        <v>960</v>
      </c>
      <c r="BO50" s="19"/>
      <c r="BP50" s="1328">
        <f>'Standard Vorgaben'!$D$136</f>
        <v>9.1999999999999993</v>
      </c>
      <c r="BQ50" s="45">
        <f>BO51*BP50</f>
        <v>525.765625</v>
      </c>
      <c r="BR50" s="652">
        <f>BQ50/BQ81</f>
        <v>1.323285881161881E-2</v>
      </c>
      <c r="BS50" s="142"/>
      <c r="BT50" s="41" t="str">
        <f>'Standard Vorgaben'!$B$136</f>
        <v>Erntewagen 4 Grosskisten</v>
      </c>
      <c r="BU50" s="1325">
        <f>'Standard Vorgaben'!$C$136</f>
        <v>960</v>
      </c>
      <c r="BV50" s="19"/>
      <c r="BW50" s="1328">
        <f>'Standard Vorgaben'!$D$136</f>
        <v>9.1999999999999993</v>
      </c>
      <c r="BX50" s="45">
        <f>BV51*BW50</f>
        <v>423.00234374999997</v>
      </c>
      <c r="BY50" s="652">
        <f>BX50/BX81</f>
        <v>1.1369713584522885E-2</v>
      </c>
      <c r="BZ50" s="142"/>
      <c r="CA50" s="41" t="str">
        <f>'Standard Vorgaben'!$B$136</f>
        <v>Erntewagen 4 Grosskisten</v>
      </c>
      <c r="CB50" s="1325">
        <f>'Standard Vorgaben'!$C$136</f>
        <v>960</v>
      </c>
      <c r="CC50" s="19"/>
      <c r="CD50" s="1328">
        <f>'Standard Vorgaben'!$D$136</f>
        <v>9.1999999999999993</v>
      </c>
      <c r="CE50" s="45">
        <f>CC51*CD50</f>
        <v>344.13749999999999</v>
      </c>
      <c r="CF50" s="652">
        <f>CE50/CE81</f>
        <v>9.7474465348765648E-3</v>
      </c>
      <c r="CG50" s="142"/>
      <c r="CH50" s="41" t="str">
        <f>'Standard Vorgaben'!$B$136</f>
        <v>Erntewagen 4 Grosskisten</v>
      </c>
      <c r="CI50" s="1325">
        <f>'Standard Vorgaben'!$C$136</f>
        <v>960</v>
      </c>
      <c r="CJ50" s="19"/>
      <c r="CK50" s="1328">
        <f>'Standard Vorgaben'!$D$136</f>
        <v>9.1999999999999993</v>
      </c>
      <c r="CL50" s="45">
        <f>CJ51*CK50</f>
        <v>382.37499999999994</v>
      </c>
      <c r="CM50" s="652">
        <f>CL50/CL81</f>
        <v>1.0561545216897396E-2</v>
      </c>
      <c r="CN50" s="142"/>
      <c r="CO50" s="41" t="str">
        <f>'Standard Vorgaben'!$B$136</f>
        <v>Erntewagen 4 Grosskisten</v>
      </c>
      <c r="CP50" s="1325">
        <f>'Standard Vorgaben'!$C$136</f>
        <v>960</v>
      </c>
      <c r="CQ50" s="19"/>
      <c r="CR50" s="1328">
        <f>'Standard Vorgaben'!$D$136</f>
        <v>9.1999999999999993</v>
      </c>
      <c r="CS50" s="45">
        <f>CQ51*CR50</f>
        <v>391.93437499999999</v>
      </c>
      <c r="CT50" s="652">
        <f>CS50/CS81</f>
        <v>1.0786062917229042E-2</v>
      </c>
      <c r="CU50" s="142"/>
      <c r="CV50" s="41" t="str">
        <f>'Standard Vorgaben'!$B$136</f>
        <v>Erntewagen 4 Grosskisten</v>
      </c>
      <c r="CW50" s="1325">
        <f>'Standard Vorgaben'!$C$136</f>
        <v>960</v>
      </c>
      <c r="CX50" s="19"/>
      <c r="CY50" s="1328">
        <f>'Standard Vorgaben'!$D$136</f>
        <v>9.1999999999999993</v>
      </c>
      <c r="CZ50" s="45">
        <f>CX51*CY50</f>
        <v>334.578125</v>
      </c>
      <c r="DA50" s="652">
        <f>CZ50/CZ81</f>
        <v>8.1543833497036058E-3</v>
      </c>
    </row>
    <row r="51" spans="1:105" s="67" customFormat="1" ht="12.75" x14ac:dyDescent="0.2">
      <c r="A51" s="142"/>
      <c r="B51" s="282" t="s">
        <v>204</v>
      </c>
      <c r="C51" s="248">
        <f>'Standard Vorgaben'!$E$136</f>
        <v>4</v>
      </c>
      <c r="D51" s="1326">
        <f>((D9+D10)+('Standard Vorgaben'!$D$86*D12))/C50</f>
        <v>0</v>
      </c>
      <c r="E51" s="1327">
        <f>C50/C73/C51</f>
        <v>2</v>
      </c>
      <c r="F51" s="45"/>
      <c r="G51" s="652"/>
      <c r="H51" s="142"/>
      <c r="I51" s="282" t="s">
        <v>204</v>
      </c>
      <c r="J51" s="248">
        <f>'Standard Vorgaben'!$E$136</f>
        <v>4</v>
      </c>
      <c r="K51" s="1326">
        <f>((K9+K10)+('Standard Vorgaben'!$D$86*K12))/J50</f>
        <v>12.46875</v>
      </c>
      <c r="L51" s="1327">
        <f>J50/J73/J51</f>
        <v>2</v>
      </c>
      <c r="M51" s="45"/>
      <c r="N51" s="652"/>
      <c r="O51" s="142"/>
      <c r="P51" s="282" t="s">
        <v>204</v>
      </c>
      <c r="Q51" s="248">
        <f>'Standard Vorgaben'!$E$136</f>
        <v>4</v>
      </c>
      <c r="R51" s="1326">
        <f>((R9+R10)+('Standard Vorgaben'!$D$86*R12))/Q50</f>
        <v>15.5859375</v>
      </c>
      <c r="S51" s="1327">
        <f>Q50/Q73/Q51</f>
        <v>2</v>
      </c>
      <c r="T51" s="45"/>
      <c r="U51" s="652"/>
      <c r="V51" s="142"/>
      <c r="W51" s="282" t="s">
        <v>204</v>
      </c>
      <c r="X51" s="248">
        <f>'Standard Vorgaben'!$E$136</f>
        <v>4</v>
      </c>
      <c r="Y51" s="1326">
        <f>((Y9+Y10)+('Standard Vorgaben'!$D$86*Y12))/X50</f>
        <v>27.015625</v>
      </c>
      <c r="Z51" s="1327">
        <f>X50/X73/X51</f>
        <v>2</v>
      </c>
      <c r="AA51" s="45"/>
      <c r="AB51" s="652"/>
      <c r="AC51" s="142"/>
      <c r="AD51" s="282" t="s">
        <v>204</v>
      </c>
      <c r="AE51" s="248">
        <f>'Standard Vorgaben'!$E$136</f>
        <v>4</v>
      </c>
      <c r="AF51" s="1326">
        <f>((AF9+AF10)+('Standard Vorgaben'!$D$86*AF12))/AE50</f>
        <v>36.3671875</v>
      </c>
      <c r="AG51" s="1327">
        <f>AE50/AE73/AE51</f>
        <v>2</v>
      </c>
      <c r="AH51" s="45"/>
      <c r="AI51" s="652"/>
      <c r="AJ51" s="142"/>
      <c r="AK51" s="282" t="s">
        <v>204</v>
      </c>
      <c r="AL51" s="248">
        <f>'Standard Vorgaben'!$E$136</f>
        <v>4</v>
      </c>
      <c r="AM51" s="1326">
        <f>((AM9+AM10)+('Standard Vorgaben'!$D$86*AM12))/AL50</f>
        <v>45.71875</v>
      </c>
      <c r="AN51" s="1327">
        <f>AL50/AL73/AL51</f>
        <v>2</v>
      </c>
      <c r="AO51" s="45"/>
      <c r="AP51" s="652"/>
      <c r="AQ51" s="142"/>
      <c r="AR51" s="282" t="s">
        <v>204</v>
      </c>
      <c r="AS51" s="248">
        <f>'Standard Vorgaben'!$E$136</f>
        <v>4</v>
      </c>
      <c r="AT51" s="1326">
        <f>((AT9+AT10)+('Standard Vorgaben'!$D$86*AT12))/AS50</f>
        <v>37.2763671875</v>
      </c>
      <c r="AU51" s="1327">
        <f>AS50/AS73/AS51</f>
        <v>2</v>
      </c>
      <c r="AV51" s="45"/>
      <c r="AW51" s="652"/>
      <c r="AX51" s="142"/>
      <c r="AY51" s="282" t="s">
        <v>204</v>
      </c>
      <c r="AZ51" s="248">
        <f>'Standard Vorgaben'!$E$136</f>
        <v>4</v>
      </c>
      <c r="BA51" s="1326">
        <f>((BA9+BA10)+('Standard Vorgaben'!$D$86*BA12))/AZ50</f>
        <v>37.2763671875</v>
      </c>
      <c r="BB51" s="1327">
        <f>AZ50/AZ73/AZ51</f>
        <v>2</v>
      </c>
      <c r="BC51" s="45"/>
      <c r="BD51" s="652"/>
      <c r="BE51" s="142"/>
      <c r="BF51" s="282" t="s">
        <v>204</v>
      </c>
      <c r="BG51" s="248">
        <f>'Standard Vorgaben'!$E$136</f>
        <v>4</v>
      </c>
      <c r="BH51" s="1326">
        <f>((BH9+BH10)+('Standard Vorgaben'!$D$86*BH12))/BG50</f>
        <v>54.03125</v>
      </c>
      <c r="BI51" s="1327">
        <f>BG50/BG73/BG51</f>
        <v>2</v>
      </c>
      <c r="BJ51" s="45"/>
      <c r="BK51" s="652"/>
      <c r="BL51" s="142"/>
      <c r="BM51" s="282" t="s">
        <v>204</v>
      </c>
      <c r="BN51" s="248">
        <f>'Standard Vorgaben'!$E$136</f>
        <v>4</v>
      </c>
      <c r="BO51" s="1326">
        <f>((BO9+BO10)+('Standard Vorgaben'!$D$86*BO12))/BN50</f>
        <v>57.1484375</v>
      </c>
      <c r="BP51" s="1327">
        <f>BN50/BN73/BN51</f>
        <v>2</v>
      </c>
      <c r="BQ51" s="45"/>
      <c r="BR51" s="652"/>
      <c r="BS51" s="142"/>
      <c r="BT51" s="282" t="s">
        <v>204</v>
      </c>
      <c r="BU51" s="248">
        <f>'Standard Vorgaben'!$E$136</f>
        <v>4</v>
      </c>
      <c r="BV51" s="1326">
        <f>((BV9+BV10)+('Standard Vorgaben'!$D$86*BV12))/BU50</f>
        <v>45.978515625</v>
      </c>
      <c r="BW51" s="1327">
        <f>BU50/BU73/BU51</f>
        <v>2</v>
      </c>
      <c r="BX51" s="45"/>
      <c r="BY51" s="652"/>
      <c r="BZ51" s="142"/>
      <c r="CA51" s="282" t="s">
        <v>204</v>
      </c>
      <c r="CB51" s="248">
        <f>'Standard Vorgaben'!$E$136</f>
        <v>4</v>
      </c>
      <c r="CC51" s="1326">
        <f>((CC9+CC10)+('Standard Vorgaben'!$D$86*CC12))/CB50</f>
        <v>37.40625</v>
      </c>
      <c r="CD51" s="1327">
        <f>CB50/CB73/CB51</f>
        <v>2</v>
      </c>
      <c r="CE51" s="45"/>
      <c r="CF51" s="652"/>
      <c r="CG51" s="142"/>
      <c r="CH51" s="282" t="s">
        <v>204</v>
      </c>
      <c r="CI51" s="248">
        <f>'Standard Vorgaben'!$E$136</f>
        <v>4</v>
      </c>
      <c r="CJ51" s="1326">
        <f>((CJ9+CJ10)+('Standard Vorgaben'!$D$86*CJ12))/CI50</f>
        <v>41.5625</v>
      </c>
      <c r="CK51" s="1327">
        <f>CI50/CI73/CI51</f>
        <v>2</v>
      </c>
      <c r="CL51" s="45"/>
      <c r="CM51" s="652"/>
      <c r="CN51" s="142"/>
      <c r="CO51" s="282" t="s">
        <v>204</v>
      </c>
      <c r="CP51" s="248">
        <f>'Standard Vorgaben'!$E$136</f>
        <v>4</v>
      </c>
      <c r="CQ51" s="1326">
        <f>((CQ9+CQ10)+('Standard Vorgaben'!$D$86*CQ12))/CP50</f>
        <v>42.6015625</v>
      </c>
      <c r="CR51" s="1327">
        <f>CP50/CP73/CP51</f>
        <v>2</v>
      </c>
      <c r="CS51" s="45"/>
      <c r="CT51" s="652"/>
      <c r="CU51" s="142"/>
      <c r="CV51" s="282" t="s">
        <v>204</v>
      </c>
      <c r="CW51" s="248">
        <f>'Standard Vorgaben'!$E$136</f>
        <v>4</v>
      </c>
      <c r="CX51" s="1326">
        <f>((CX9+CX10)+('Standard Vorgaben'!$D$86*CX12))/CW50</f>
        <v>36.3671875</v>
      </c>
      <c r="CY51" s="1327">
        <f>CW50/CW73/CW51</f>
        <v>2</v>
      </c>
      <c r="CZ51" s="45"/>
      <c r="DA51" s="652"/>
    </row>
    <row r="52" spans="1:105" s="1" customFormat="1" ht="12.75" x14ac:dyDescent="0.2">
      <c r="A52" s="40"/>
      <c r="B52" s="41" t="str">
        <f>'Standard Vorgaben'!$B$137</f>
        <v>Sichelmulchgerät mit beids. Schwenkarm</v>
      </c>
      <c r="C52" s="43">
        <f>'Standard Vorgaben'!$E$137</f>
        <v>7</v>
      </c>
      <c r="D52" s="39">
        <f>'Standard Vorgaben'!$C$137</f>
        <v>1</v>
      </c>
      <c r="E52" s="44">
        <f>'Standard Vorgaben'!$D$137</f>
        <v>42</v>
      </c>
      <c r="F52" s="45">
        <f>C52*E52</f>
        <v>294</v>
      </c>
      <c r="G52" s="652">
        <f t="shared" ref="G52:G60" si="15">F52/$F$81</f>
        <v>2.3059010812165607E-2</v>
      </c>
      <c r="H52" s="40"/>
      <c r="I52" s="41" t="str">
        <f>'Standard Vorgaben'!$B$137</f>
        <v>Sichelmulchgerät mit beids. Schwenkarm</v>
      </c>
      <c r="J52" s="43">
        <f>'Standard Vorgaben'!$E$137</f>
        <v>7</v>
      </c>
      <c r="K52" s="39">
        <f>'Standard Vorgaben'!$C$137</f>
        <v>1</v>
      </c>
      <c r="L52" s="44">
        <f>'Standard Vorgaben'!$D$137</f>
        <v>42</v>
      </c>
      <c r="M52" s="45">
        <f>J52*L52</f>
        <v>294</v>
      </c>
      <c r="N52" s="652">
        <f t="shared" ref="N52:N60" si="16">M52/$M$81</f>
        <v>1.8109809205377657E-2</v>
      </c>
      <c r="O52" s="40"/>
      <c r="P52" s="41" t="str">
        <f>'Standard Vorgaben'!$B$137</f>
        <v>Sichelmulchgerät mit beids. Schwenkarm</v>
      </c>
      <c r="Q52" s="43">
        <f>'Standard Vorgaben'!$E$137</f>
        <v>7</v>
      </c>
      <c r="R52" s="39">
        <f>'Standard Vorgaben'!$C$137</f>
        <v>1</v>
      </c>
      <c r="S52" s="44">
        <f>'Standard Vorgaben'!$D$137</f>
        <v>42</v>
      </c>
      <c r="T52" s="45">
        <f>Q52*S52</f>
        <v>294</v>
      </c>
      <c r="U52" s="652">
        <f t="shared" ref="U52:U60" si="17">T52/$T$81</f>
        <v>9.8861712407150512E-3</v>
      </c>
      <c r="V52" s="40"/>
      <c r="W52" s="41" t="str">
        <f>'Standard Vorgaben'!$B$137</f>
        <v>Sichelmulchgerät mit beids. Schwenkarm</v>
      </c>
      <c r="X52" s="43">
        <f>'Standard Vorgaben'!$E$137</f>
        <v>7</v>
      </c>
      <c r="Y52" s="39">
        <f>'Standard Vorgaben'!$C$137</f>
        <v>1</v>
      </c>
      <c r="Z52" s="44">
        <f>'Standard Vorgaben'!$D$137</f>
        <v>42</v>
      </c>
      <c r="AA52" s="45">
        <f>X52*Z52</f>
        <v>294</v>
      </c>
      <c r="AB52" s="652">
        <f t="shared" ref="AB52:AB60" si="18">AA52/$AA$81</f>
        <v>8.8327982234518571E-3</v>
      </c>
      <c r="AC52" s="40"/>
      <c r="AD52" s="41" t="str">
        <f>'Standard Vorgaben'!$B$137</f>
        <v>Sichelmulchgerät mit beids. Schwenkarm</v>
      </c>
      <c r="AE52" s="43">
        <f>'Standard Vorgaben'!$E$137</f>
        <v>7</v>
      </c>
      <c r="AF52" s="39">
        <f>'Standard Vorgaben'!$C$137</f>
        <v>1</v>
      </c>
      <c r="AG52" s="44">
        <f>'Standard Vorgaben'!$D$137</f>
        <v>42</v>
      </c>
      <c r="AH52" s="45">
        <f>AE52*AG52</f>
        <v>294</v>
      </c>
      <c r="AI52" s="652">
        <f t="shared" ref="AI52:AI60" si="19">AH52/$AH$81</f>
        <v>8.3118626997362964E-3</v>
      </c>
      <c r="AJ52" s="40"/>
      <c r="AK52" s="41" t="str">
        <f>'Standard Vorgaben'!$B$137</f>
        <v>Sichelmulchgerät mit beids. Schwenkarm</v>
      </c>
      <c r="AL52" s="43">
        <f>'Standard Vorgaben'!$E$137</f>
        <v>7</v>
      </c>
      <c r="AM52" s="39">
        <f>'Standard Vorgaben'!$C$137</f>
        <v>1</v>
      </c>
      <c r="AN52" s="44">
        <f>'Standard Vorgaben'!$D$137</f>
        <v>42</v>
      </c>
      <c r="AO52" s="45">
        <f>AL52*AN52</f>
        <v>294</v>
      </c>
      <c r="AP52" s="652">
        <f>AO52/$AO$81</f>
        <v>7.8610223534243979E-3</v>
      </c>
      <c r="AQ52" s="40"/>
      <c r="AR52" s="41" t="str">
        <f>'Standard Vorgaben'!$B$137</f>
        <v>Sichelmulchgerät mit beids. Schwenkarm</v>
      </c>
      <c r="AS52" s="43">
        <f>'Standard Vorgaben'!$E$137</f>
        <v>7</v>
      </c>
      <c r="AT52" s="39">
        <f>'Standard Vorgaben'!$C$137</f>
        <v>1</v>
      </c>
      <c r="AU52" s="44">
        <f>'Standard Vorgaben'!$D$137</f>
        <v>42</v>
      </c>
      <c r="AV52" s="45">
        <f>AS52*AU52</f>
        <v>294</v>
      </c>
      <c r="AW52" s="652">
        <f>AV52/$AV$81</f>
        <v>8.2740697475280137E-3</v>
      </c>
      <c r="AX52" s="40"/>
      <c r="AY52" s="41" t="str">
        <f>'Standard Vorgaben'!$B$137</f>
        <v>Sichelmulchgerät mit beids. Schwenkarm</v>
      </c>
      <c r="AZ52" s="43">
        <f>'Standard Vorgaben'!$E$137</f>
        <v>7</v>
      </c>
      <c r="BA52" s="39">
        <f>'Standard Vorgaben'!$C$137</f>
        <v>1</v>
      </c>
      <c r="BB52" s="44">
        <f>'Standard Vorgaben'!$D$137</f>
        <v>42</v>
      </c>
      <c r="BC52" s="45">
        <f>AZ52*BB52</f>
        <v>294</v>
      </c>
      <c r="BD52" s="652">
        <f>BC52/$BC$81</f>
        <v>8.2727206862939322E-3</v>
      </c>
      <c r="BE52" s="40"/>
      <c r="BF52" s="41" t="str">
        <f>'Standard Vorgaben'!$B$137</f>
        <v>Sichelmulchgerät mit beids. Schwenkarm</v>
      </c>
      <c r="BG52" s="43">
        <f>'Standard Vorgaben'!$E$137</f>
        <v>7</v>
      </c>
      <c r="BH52" s="39">
        <f>'Standard Vorgaben'!$C$137</f>
        <v>1</v>
      </c>
      <c r="BI52" s="44">
        <f>'Standard Vorgaben'!$D$137</f>
        <v>42</v>
      </c>
      <c r="BJ52" s="45">
        <f>BG52*BI52</f>
        <v>294</v>
      </c>
      <c r="BK52" s="652">
        <f>BJ52/$BJ$81</f>
        <v>7.5080798109842745E-3</v>
      </c>
      <c r="BL52" s="40"/>
      <c r="BM52" s="41" t="str">
        <f>'Standard Vorgaben'!$B$137</f>
        <v>Sichelmulchgerät mit beids. Schwenkarm</v>
      </c>
      <c r="BN52" s="43">
        <f>'Standard Vorgaben'!$E$137</f>
        <v>7</v>
      </c>
      <c r="BO52" s="39">
        <f>'Standard Vorgaben'!$C$137</f>
        <v>1</v>
      </c>
      <c r="BP52" s="44">
        <f>'Standard Vorgaben'!$D$137</f>
        <v>42</v>
      </c>
      <c r="BQ52" s="45">
        <f>BN52*BP52</f>
        <v>294</v>
      </c>
      <c r="BR52" s="652">
        <f>BQ52/$BQ$81</f>
        <v>7.3996098368278264E-3</v>
      </c>
      <c r="BS52" s="40"/>
      <c r="BT52" s="41" t="str">
        <f>'Standard Vorgaben'!$B$137</f>
        <v>Sichelmulchgerät mit beids. Schwenkarm</v>
      </c>
      <c r="BU52" s="43">
        <f>'Standard Vorgaben'!$E$137</f>
        <v>7</v>
      </c>
      <c r="BV52" s="39">
        <f>'Standard Vorgaben'!$C$137</f>
        <v>1</v>
      </c>
      <c r="BW52" s="44">
        <f>'Standard Vorgaben'!$D$137</f>
        <v>42</v>
      </c>
      <c r="BX52" s="45">
        <f>BU52*BW52</f>
        <v>294</v>
      </c>
      <c r="BY52" s="652">
        <f>BX52/$BX$81</f>
        <v>7.9023103376119966E-3</v>
      </c>
      <c r="BZ52" s="40"/>
      <c r="CA52" s="41" t="str">
        <f>'Standard Vorgaben'!$B$137</f>
        <v>Sichelmulchgerät mit beids. Schwenkarm</v>
      </c>
      <c r="CB52" s="43">
        <f>'Standard Vorgaben'!$E$137</f>
        <v>7</v>
      </c>
      <c r="CC52" s="39">
        <f>'Standard Vorgaben'!$C$137</f>
        <v>1</v>
      </c>
      <c r="CD52" s="44">
        <f>'Standard Vorgaben'!$D$137</f>
        <v>42</v>
      </c>
      <c r="CE52" s="45">
        <f>CB52*CD52</f>
        <v>294</v>
      </c>
      <c r="CF52" s="652">
        <f>CE52/$CE$81</f>
        <v>8.32733800080988E-3</v>
      </c>
      <c r="CG52" s="40"/>
      <c r="CH52" s="41" t="str">
        <f>'Standard Vorgaben'!$B$137</f>
        <v>Sichelmulchgerät mit beids. Schwenkarm</v>
      </c>
      <c r="CI52" s="43">
        <f>'Standard Vorgaben'!$E$137</f>
        <v>7</v>
      </c>
      <c r="CJ52" s="39">
        <f>'Standard Vorgaben'!$C$137</f>
        <v>1</v>
      </c>
      <c r="CK52" s="44">
        <f>'Standard Vorgaben'!$D$137</f>
        <v>42</v>
      </c>
      <c r="CL52" s="45">
        <f>CI52*CK52</f>
        <v>294</v>
      </c>
      <c r="CM52" s="652">
        <f>CL52/$CL$81</f>
        <v>8.1205473521224845E-3</v>
      </c>
      <c r="CN52" s="40"/>
      <c r="CO52" s="41" t="str">
        <f>'Standard Vorgaben'!$B$137</f>
        <v>Sichelmulchgerät mit beids. Schwenkarm</v>
      </c>
      <c r="CP52" s="43">
        <f>'Standard Vorgaben'!$E$137</f>
        <v>7</v>
      </c>
      <c r="CQ52" s="39">
        <f>'Standard Vorgaben'!$C$137</f>
        <v>1</v>
      </c>
      <c r="CR52" s="44">
        <f>'Standard Vorgaben'!$D$137</f>
        <v>42</v>
      </c>
      <c r="CS52" s="45">
        <f>CP52*CR52</f>
        <v>294</v>
      </c>
      <c r="CT52" s="652">
        <f>CS52/$CS$81</f>
        <v>8.0909016915531803E-3</v>
      </c>
      <c r="CU52" s="40"/>
      <c r="CV52" s="41" t="str">
        <f>'Standard Vorgaben'!$B$137</f>
        <v>Sichelmulchgerät mit beids. Schwenkarm</v>
      </c>
      <c r="CW52" s="43">
        <f>'Standard Vorgaben'!$E$137</f>
        <v>7</v>
      </c>
      <c r="CX52" s="39">
        <f>'Standard Vorgaben'!$C$137</f>
        <v>1</v>
      </c>
      <c r="CY52" s="44">
        <f>'Standard Vorgaben'!$D$137</f>
        <v>42</v>
      </c>
      <c r="CZ52" s="45">
        <f>CW52*CY52</f>
        <v>294</v>
      </c>
      <c r="DA52" s="652">
        <f>CZ52/$CZ$81</f>
        <v>7.1654077947052282E-3</v>
      </c>
    </row>
    <row r="53" spans="1:105" s="1" customFormat="1" ht="13.5" thickBot="1" x14ac:dyDescent="0.25">
      <c r="A53" s="231"/>
      <c r="B53" s="41" t="str">
        <f>'Standard Vorgaben'!$B$138</f>
        <v>Schnittholzhacker</v>
      </c>
      <c r="C53" s="478">
        <v>0</v>
      </c>
      <c r="D53" s="647">
        <f>'Standard Vorgaben'!$C$138</f>
        <v>2</v>
      </c>
      <c r="E53" s="44">
        <f>'Standard Vorgaben'!$D$138</f>
        <v>68.31</v>
      </c>
      <c r="F53" s="420">
        <f>E53*D53*C53</f>
        <v>0</v>
      </c>
      <c r="G53" s="652">
        <f t="shared" si="15"/>
        <v>0</v>
      </c>
      <c r="H53" s="231"/>
      <c r="I53" s="41" t="str">
        <f>'Standard Vorgaben'!$B$138</f>
        <v>Schnittholzhacker</v>
      </c>
      <c r="J53" s="478">
        <v>0</v>
      </c>
      <c r="K53" s="647">
        <f>'Standard Vorgaben'!$C$138</f>
        <v>2</v>
      </c>
      <c r="L53" s="44">
        <f>'Standard Vorgaben'!$D$138</f>
        <v>68.31</v>
      </c>
      <c r="M53" s="420">
        <f>L53*K53*J53</f>
        <v>0</v>
      </c>
      <c r="N53" s="652">
        <f t="shared" si="16"/>
        <v>0</v>
      </c>
      <c r="O53" s="231"/>
      <c r="P53" s="41" t="str">
        <f>'Standard Vorgaben'!$B$138</f>
        <v>Schnittholzhacker</v>
      </c>
      <c r="Q53" s="478">
        <v>0</v>
      </c>
      <c r="R53" s="647">
        <f>'Standard Vorgaben'!$C$138</f>
        <v>2</v>
      </c>
      <c r="S53" s="44">
        <f>'Standard Vorgaben'!$D$138</f>
        <v>68.31</v>
      </c>
      <c r="T53" s="420">
        <f>S53*R53*Q53</f>
        <v>0</v>
      </c>
      <c r="U53" s="652">
        <f t="shared" si="17"/>
        <v>0</v>
      </c>
      <c r="V53" s="231"/>
      <c r="W53" s="41" t="str">
        <f>'Standard Vorgaben'!$B$138</f>
        <v>Schnittholzhacker</v>
      </c>
      <c r="X53" s="478">
        <f>'Standard Vorgaben'!$E$138</f>
        <v>1</v>
      </c>
      <c r="Y53" s="647">
        <f>'Standard Vorgaben'!$C$138</f>
        <v>2</v>
      </c>
      <c r="Z53" s="44">
        <f>'Standard Vorgaben'!$D$138</f>
        <v>68.31</v>
      </c>
      <c r="AA53" s="420">
        <f>Z53*Y53*X53</f>
        <v>136.62</v>
      </c>
      <c r="AB53" s="652">
        <f t="shared" si="18"/>
        <v>4.1045472560816074E-3</v>
      </c>
      <c r="AC53" s="231"/>
      <c r="AD53" s="41" t="str">
        <f>'Standard Vorgaben'!$B$138</f>
        <v>Schnittholzhacker</v>
      </c>
      <c r="AE53" s="478">
        <f>'Standard Vorgaben'!$E$138</f>
        <v>1</v>
      </c>
      <c r="AF53" s="647">
        <f>'Standard Vorgaben'!$C$138</f>
        <v>2</v>
      </c>
      <c r="AG53" s="44">
        <f>'Standard Vorgaben'!$D$138</f>
        <v>68.31</v>
      </c>
      <c r="AH53" s="420">
        <f>AG53*AF53*AE53</f>
        <v>136.62</v>
      </c>
      <c r="AI53" s="652">
        <f t="shared" si="19"/>
        <v>3.8624717076121526E-3</v>
      </c>
      <c r="AJ53" s="231"/>
      <c r="AK53" s="41" t="str">
        <f>'Standard Vorgaben'!$B$138</f>
        <v>Schnittholzhacker</v>
      </c>
      <c r="AL53" s="478">
        <f>'Standard Vorgaben'!$E$138</f>
        <v>1</v>
      </c>
      <c r="AM53" s="647">
        <f>'Standard Vorgaben'!$C$138</f>
        <v>2</v>
      </c>
      <c r="AN53" s="44">
        <f>'Standard Vorgaben'!$D$138</f>
        <v>68.31</v>
      </c>
      <c r="AO53" s="420">
        <f>AN53*AM53*AL53</f>
        <v>136.62</v>
      </c>
      <c r="AP53" s="652">
        <f>AO53/$AO$81</f>
        <v>3.6529689589280315E-3</v>
      </c>
      <c r="AQ53" s="231"/>
      <c r="AR53" s="41" t="str">
        <f>'Standard Vorgaben'!$B$138</f>
        <v>Schnittholzhacker</v>
      </c>
      <c r="AS53" s="478">
        <f>'Standard Vorgaben'!$E$138</f>
        <v>1</v>
      </c>
      <c r="AT53" s="647">
        <f>'Standard Vorgaben'!$C$138</f>
        <v>2</v>
      </c>
      <c r="AU53" s="44">
        <f>'Standard Vorgaben'!$D$138</f>
        <v>68.31</v>
      </c>
      <c r="AV53" s="420">
        <f>AU53*AT53*AS53</f>
        <v>136.62</v>
      </c>
      <c r="AW53" s="652">
        <f>AV53/$AV$81</f>
        <v>3.8449095541063854E-3</v>
      </c>
      <c r="AX53" s="231"/>
      <c r="AY53" s="41" t="str">
        <f>'Standard Vorgaben'!$B$138</f>
        <v>Schnittholzhacker</v>
      </c>
      <c r="AZ53" s="478">
        <f>'Standard Vorgaben'!$E$138</f>
        <v>1</v>
      </c>
      <c r="BA53" s="647">
        <f>'Standard Vorgaben'!$C$138</f>
        <v>2</v>
      </c>
      <c r="BB53" s="44">
        <f>'Standard Vorgaben'!$D$138</f>
        <v>68.31</v>
      </c>
      <c r="BC53" s="420">
        <f>BB53*BA53*AZ53</f>
        <v>136.62</v>
      </c>
      <c r="BD53" s="652">
        <f>BC53/$BC$81</f>
        <v>3.8442826536104657E-3</v>
      </c>
      <c r="BE53" s="231"/>
      <c r="BF53" s="41" t="str">
        <f>'Standard Vorgaben'!$B$138</f>
        <v>Schnittholzhacker</v>
      </c>
      <c r="BG53" s="478">
        <f>'Standard Vorgaben'!$E$138</f>
        <v>1</v>
      </c>
      <c r="BH53" s="647">
        <f>'Standard Vorgaben'!$C$138</f>
        <v>2</v>
      </c>
      <c r="BI53" s="44">
        <f>'Standard Vorgaben'!$D$138</f>
        <v>68.31</v>
      </c>
      <c r="BJ53" s="420">
        <f>BI53*BH53*BG53</f>
        <v>136.62</v>
      </c>
      <c r="BK53" s="652">
        <f>BJ53/$BJ$81</f>
        <v>3.4889587203288152E-3</v>
      </c>
      <c r="BL53" s="231"/>
      <c r="BM53" s="41" t="str">
        <f>'Standard Vorgaben'!$B$138</f>
        <v>Schnittholzhacker</v>
      </c>
      <c r="BN53" s="478">
        <f>'Standard Vorgaben'!$E$138</f>
        <v>1</v>
      </c>
      <c r="BO53" s="647">
        <f>'Standard Vorgaben'!$C$138</f>
        <v>2</v>
      </c>
      <c r="BP53" s="44">
        <f>'Standard Vorgaben'!$D$138</f>
        <v>68.31</v>
      </c>
      <c r="BQ53" s="420">
        <f>BP53*BO53*BN53</f>
        <v>136.62</v>
      </c>
      <c r="BR53" s="652">
        <f>BQ53/$BQ$81</f>
        <v>3.4385533874401963E-3</v>
      </c>
      <c r="BS53" s="231"/>
      <c r="BT53" s="41" t="str">
        <f>'Standard Vorgaben'!$B$138</f>
        <v>Schnittholzhacker</v>
      </c>
      <c r="BU53" s="478">
        <f>'Standard Vorgaben'!$E$138</f>
        <v>1</v>
      </c>
      <c r="BV53" s="647">
        <f>'Standard Vorgaben'!$C$138</f>
        <v>2</v>
      </c>
      <c r="BW53" s="44">
        <f>'Standard Vorgaben'!$D$138</f>
        <v>68.31</v>
      </c>
      <c r="BX53" s="420">
        <f>BW53*BV53*BU53</f>
        <v>136.62</v>
      </c>
      <c r="BY53" s="652">
        <f>BX53/$BX$81</f>
        <v>3.6721552323964323E-3</v>
      </c>
      <c r="BZ53" s="231"/>
      <c r="CA53" s="41" t="str">
        <f>'Standard Vorgaben'!$B$138</f>
        <v>Schnittholzhacker</v>
      </c>
      <c r="CB53" s="478">
        <f>'Standard Vorgaben'!$E$138</f>
        <v>1</v>
      </c>
      <c r="CC53" s="647">
        <f>'Standard Vorgaben'!$C$138</f>
        <v>2</v>
      </c>
      <c r="CD53" s="44">
        <f>'Standard Vorgaben'!$D$138</f>
        <v>68.31</v>
      </c>
      <c r="CE53" s="420">
        <f>CD53*CC53*CB53</f>
        <v>136.62</v>
      </c>
      <c r="CF53" s="652">
        <f>CE53/$CE$81</f>
        <v>3.8696629852743056E-3</v>
      </c>
      <c r="CG53" s="231"/>
      <c r="CH53" s="41" t="str">
        <f>'Standard Vorgaben'!$B$138</f>
        <v>Schnittholzhacker</v>
      </c>
      <c r="CI53" s="478">
        <f>'Standard Vorgaben'!$E$138</f>
        <v>1</v>
      </c>
      <c r="CJ53" s="647">
        <f>'Standard Vorgaben'!$C$138</f>
        <v>2</v>
      </c>
      <c r="CK53" s="44">
        <f>'Standard Vorgaben'!$D$138</f>
        <v>68.31</v>
      </c>
      <c r="CL53" s="420">
        <f>CK53*CJ53*CI53</f>
        <v>136.62</v>
      </c>
      <c r="CM53" s="652">
        <f>CL53/$CL$81</f>
        <v>3.7735686368944687E-3</v>
      </c>
      <c r="CN53" s="231"/>
      <c r="CO53" s="41" t="str">
        <f>'Standard Vorgaben'!$B$138</f>
        <v>Schnittholzhacker</v>
      </c>
      <c r="CP53" s="478">
        <f>'Standard Vorgaben'!$E$138</f>
        <v>1</v>
      </c>
      <c r="CQ53" s="647">
        <f>'Standard Vorgaben'!$C$138</f>
        <v>2</v>
      </c>
      <c r="CR53" s="44">
        <f>'Standard Vorgaben'!$D$138</f>
        <v>68.31</v>
      </c>
      <c r="CS53" s="420">
        <f>CR53*CP53</f>
        <v>68.31</v>
      </c>
      <c r="CT53" s="652">
        <f>CS53/$CS$81</f>
        <v>1.8798962399659788E-3</v>
      </c>
      <c r="CU53" s="231"/>
      <c r="CV53" s="41" t="str">
        <f>'Standard Vorgaben'!$B$138</f>
        <v>Schnittholzhacker</v>
      </c>
      <c r="CW53" s="478">
        <f>'Standard Vorgaben'!$E$138</f>
        <v>1</v>
      </c>
      <c r="CX53" s="647">
        <f>'Standard Vorgaben'!$C$138</f>
        <v>2</v>
      </c>
      <c r="CY53" s="44">
        <f>'Standard Vorgaben'!$D$138</f>
        <v>68.31</v>
      </c>
      <c r="CZ53" s="420">
        <f>CY53*CX53</f>
        <v>136.62</v>
      </c>
      <c r="DA53" s="652">
        <f>CZ53/$CZ$81</f>
        <v>3.3297211323558788E-3</v>
      </c>
    </row>
    <row r="54" spans="1:105" s="1" customFormat="1" ht="16.5" customHeight="1" x14ac:dyDescent="0.2">
      <c r="A54" s="231"/>
      <c r="B54" s="41" t="s">
        <v>106</v>
      </c>
      <c r="C54" s="43"/>
      <c r="D54" s="533">
        <f>(C47*D47)+(C48*D48)+(C49*D49)+(D51*E51*'Standard Vorgaben'!$H$130)+(C52*D52)+(C53*D53)</f>
        <v>15</v>
      </c>
      <c r="E54" s="44"/>
      <c r="F54" s="83">
        <f>SUM(F47:F53)</f>
        <v>654</v>
      </c>
      <c r="G54" s="652">
        <f t="shared" si="15"/>
        <v>5.1294534255633698E-2</v>
      </c>
      <c r="H54" s="231"/>
      <c r="I54" s="41" t="s">
        <v>106</v>
      </c>
      <c r="J54" s="43"/>
      <c r="K54" s="533">
        <f>(J47*K47)+(J48*K48)+(J49*K49)+(K51*L51*'Standard Vorgaben'!$H$130)+(J52*K52)+(J53*K53)</f>
        <v>22.234375</v>
      </c>
      <c r="L54" s="44"/>
      <c r="M54" s="83">
        <f>SUM(M47:M53)</f>
        <v>786.71249999999998</v>
      </c>
      <c r="N54" s="652">
        <f t="shared" si="16"/>
        <v>4.8459909096890026E-2</v>
      </c>
      <c r="O54" s="231"/>
      <c r="P54" s="41" t="s">
        <v>106</v>
      </c>
      <c r="Q54" s="43"/>
      <c r="R54" s="533">
        <f>(Q47*R47)+(Q48*R48)+(Q49*R49)+(R51*S51*'Standard Vorgaben'!$H$130)+(Q52*R52)+(Q53*R53)</f>
        <v>44.79296875</v>
      </c>
      <c r="S54" s="44"/>
      <c r="T54" s="83">
        <f>SUM(T47:T53)</f>
        <v>1701.390625</v>
      </c>
      <c r="U54" s="652">
        <f t="shared" si="17"/>
        <v>5.7211697503731999E-2</v>
      </c>
      <c r="V54" s="231"/>
      <c r="W54" s="41" t="s">
        <v>106</v>
      </c>
      <c r="X54" s="43"/>
      <c r="Y54" s="533">
        <f>(X47*Y47)+(X48*Y48)+(X49*Y49)+(Y51*Z51*'Standard Vorgaben'!$H$130)+(X52*Y52)+(X53*Y53)</f>
        <v>54.5078125</v>
      </c>
      <c r="Z54" s="44"/>
      <c r="AA54" s="83">
        <f>SUM(AA47:AA53)</f>
        <v>1979.1637500000002</v>
      </c>
      <c r="AB54" s="652">
        <f t="shared" si="18"/>
        <v>5.946106821401468E-2</v>
      </c>
      <c r="AC54" s="231"/>
      <c r="AD54" s="41" t="s">
        <v>106</v>
      </c>
      <c r="AE54" s="43"/>
      <c r="AF54" s="533">
        <f>(AE47*AF47)+(AE48*AF48)+(AE49*AF49)+(AF51*AG51*'Standard Vorgaben'!$H$130)+(AE52*AF52)+(AE53*AF53)</f>
        <v>59.18359375</v>
      </c>
      <c r="AG54" s="44"/>
      <c r="AH54" s="83">
        <f>SUM(AH47:AH53)</f>
        <v>2065.1981249999999</v>
      </c>
      <c r="AI54" s="652">
        <f t="shared" si="19"/>
        <v>5.8386541710043663E-2</v>
      </c>
      <c r="AJ54" s="231"/>
      <c r="AK54" s="41" t="s">
        <v>106</v>
      </c>
      <c r="AL54" s="43"/>
      <c r="AM54" s="533">
        <f>(AL47*AM47)+(AL48*AM48)+(AL49*AM49)+(AM51*AN51*'Standard Vorgaben'!$H$130)+(AL52*AM52)+(AL53*AM53)</f>
        <v>63.859375</v>
      </c>
      <c r="AN54" s="44"/>
      <c r="AO54" s="83">
        <f>SUM(AO47:AO53)</f>
        <v>2151.2325000000001</v>
      </c>
      <c r="AP54" s="652">
        <f>AO54/$AO$81</f>
        <v>5.7520023026915147E-2</v>
      </c>
      <c r="AQ54" s="231"/>
      <c r="AR54" s="41" t="s">
        <v>106</v>
      </c>
      <c r="AS54" s="43"/>
      <c r="AT54" s="533">
        <f>(AS47*AT47)+(AS48*AT48)+(AS49*AT49)+(AT51*AU51*'Standard Vorgaben'!$H$130)+(AS52*AT52)+(AS53*AT53)</f>
        <v>59.63818359375</v>
      </c>
      <c r="AU54" s="44"/>
      <c r="AV54" s="83">
        <f>SUM(AV47:AV53)</f>
        <v>2073.5625781250001</v>
      </c>
      <c r="AW54" s="652">
        <f>AV54/$AV$81</f>
        <v>5.8356467337653935E-2</v>
      </c>
      <c r="AX54" s="231"/>
      <c r="AY54" s="41" t="s">
        <v>106</v>
      </c>
      <c r="AZ54" s="43"/>
      <c r="BA54" s="533">
        <f>(AZ47*BA47)+(AZ48*BA48)+(AZ49*BA49)+(BA51*BB51*'Standard Vorgaben'!$H$130)+(AZ52*BA52)+(AZ53*BA53)</f>
        <v>59.63818359375</v>
      </c>
      <c r="BB54" s="44"/>
      <c r="BC54" s="83">
        <f>SUM(BC47:BC53)</f>
        <v>2073.5625781250001</v>
      </c>
      <c r="BD54" s="652">
        <f>BC54/$BC$81</f>
        <v>5.8346952497890014E-2</v>
      </c>
      <c r="BE54" s="231"/>
      <c r="BF54" s="41" t="s">
        <v>106</v>
      </c>
      <c r="BG54" s="43"/>
      <c r="BH54" s="533">
        <f>(BG47*BH47)+(BG48*BH48)+(BG49*BH49)+(BH51*BI51*'Standard Vorgaben'!$H$130)+(BG52*BH52)+(BG53*BH53)</f>
        <v>68.015625</v>
      </c>
      <c r="BI54" s="44"/>
      <c r="BJ54" s="83">
        <f>SUM(BJ47:BJ53)</f>
        <v>2227.7075</v>
      </c>
      <c r="BK54" s="652">
        <f>BJ54/$BJ$81</f>
        <v>5.6890495597034865E-2</v>
      </c>
      <c r="BL54" s="231"/>
      <c r="BM54" s="41" t="s">
        <v>106</v>
      </c>
      <c r="BN54" s="43"/>
      <c r="BO54" s="533">
        <f>(BN47*BO47)+(BN48*BO48)+(BN49*BO49)+(BO51*BP51*'Standard Vorgaben'!$H$130)+(BN52*BO52)+(BN53*BO53)</f>
        <v>69.57421875</v>
      </c>
      <c r="BP54" s="44"/>
      <c r="BQ54" s="83">
        <f>SUM(BQ47:BQ53)</f>
        <v>2256.3856249999999</v>
      </c>
      <c r="BR54" s="652">
        <f>BQ54/$BQ$81</f>
        <v>5.6790385259955452E-2</v>
      </c>
      <c r="BS54" s="231"/>
      <c r="BT54" s="41" t="s">
        <v>106</v>
      </c>
      <c r="BU54" s="43"/>
      <c r="BV54" s="533">
        <f>(BU47*BV47)+(BU48*BV48)+(BU49*BV49)+(BV51*BW51*'Standard Vorgaben'!$H$130)+(BU52*BV52)+(BU53*BV53)</f>
        <v>63.9892578125</v>
      </c>
      <c r="BW54" s="44"/>
      <c r="BX54" s="83">
        <f>SUM(BX47:BX53)</f>
        <v>2153.6223437499998</v>
      </c>
      <c r="BY54" s="652">
        <f>BX54/$BX$81</f>
        <v>5.7886367722203409E-2</v>
      </c>
      <c r="BZ54" s="231"/>
      <c r="CA54" s="41" t="s">
        <v>106</v>
      </c>
      <c r="CB54" s="43"/>
      <c r="CC54" s="533">
        <f>(CB47*CC47)+(CB48*CC48)+(CB49*CC49)+(CC51*CD51*'Standard Vorgaben'!$H$130)+(CB52*CC52)+(CB53*CC53)</f>
        <v>59.703125</v>
      </c>
      <c r="CD54" s="44"/>
      <c r="CE54" s="83">
        <f>SUM(CE47:CE53)</f>
        <v>2074.7575000000002</v>
      </c>
      <c r="CF54" s="652">
        <f>CE54/$CE$81</f>
        <v>5.876601010957587E-2</v>
      </c>
      <c r="CG54" s="231"/>
      <c r="CH54" s="41" t="s">
        <v>106</v>
      </c>
      <c r="CI54" s="43"/>
      <c r="CJ54" s="533">
        <f>(CI47*CJ47)+(CI48*CJ48)+(CI49*CJ49)+(CJ51*CK51*'Standard Vorgaben'!$H$130)+(CI52*CJ52)+(CI53*CJ53)</f>
        <v>61.78125</v>
      </c>
      <c r="CK54" s="44"/>
      <c r="CL54" s="83">
        <f>SUM(CL47:CL53)</f>
        <v>2112.9949999999999</v>
      </c>
      <c r="CM54" s="652">
        <f>CL54/$CL$81</f>
        <v>5.8362843375163426E-2</v>
      </c>
      <c r="CN54" s="231"/>
      <c r="CO54" s="41" t="s">
        <v>106</v>
      </c>
      <c r="CP54" s="43"/>
      <c r="CQ54" s="533">
        <f>(CP47*CQ47)+(CP48*CQ48)+(CP49*CQ49)+(CQ51*CR51*'Standard Vorgaben'!$H$130)+(CP52*CQ52)+(CP53*CQ53)</f>
        <v>62.30078125</v>
      </c>
      <c r="CR54" s="44"/>
      <c r="CS54" s="83">
        <f>SUM(CS47:CS53)</f>
        <v>2054.2443750000002</v>
      </c>
      <c r="CT54" s="652">
        <f>CS54/$CS$81</f>
        <v>5.6532956763779271E-2</v>
      </c>
      <c r="CU54" s="231"/>
      <c r="CV54" s="41" t="s">
        <v>106</v>
      </c>
      <c r="CW54" s="43"/>
      <c r="CX54" s="533">
        <f>(CW47*CX47)+(CW48*CX48)+(CW49*CX49)+(CX51*CY51*'Standard Vorgaben'!$H$130)+(CW52*CX52)+(CW53*CX53)</f>
        <v>59.18359375</v>
      </c>
      <c r="CY54" s="44"/>
      <c r="CZ54" s="83">
        <f>SUM(CZ47:CZ53)</f>
        <v>2065.1981249999999</v>
      </c>
      <c r="DA54" s="652">
        <f>CZ54/$CZ$81</f>
        <v>5.0333288239747011E-2</v>
      </c>
    </row>
    <row r="55" spans="1:105" s="1" customFormat="1" ht="16.5" customHeight="1" x14ac:dyDescent="0.2">
      <c r="A55" s="231"/>
      <c r="B55" s="41" t="str">
        <f>'Standard Vorgaben'!$B$140</f>
        <v>Hebebühne schwer, selbstfahrend, elektrisch</v>
      </c>
      <c r="C55" s="43">
        <f>'Standard Vorgaben'!$E$140</f>
        <v>1</v>
      </c>
      <c r="D55" s="658">
        <f>'Standard Vorgaben'!$C$140*D51</f>
        <v>0</v>
      </c>
      <c r="E55" s="44">
        <f>'Standard Vorgaben'!$D$140</f>
        <v>17.5</v>
      </c>
      <c r="F55" s="146">
        <f>D55*E55</f>
        <v>0</v>
      </c>
      <c r="G55" s="652">
        <f t="shared" si="15"/>
        <v>0</v>
      </c>
      <c r="H55" s="231"/>
      <c r="I55" s="41" t="str">
        <f>'Standard Vorgaben'!$B$140</f>
        <v>Hebebühne schwer, selbstfahrend, elektrisch</v>
      </c>
      <c r="J55" s="43">
        <f>'Standard Vorgaben'!$E$140</f>
        <v>1</v>
      </c>
      <c r="K55" s="658">
        <f>'Standard Vorgaben'!$C$140*K51</f>
        <v>2.078125</v>
      </c>
      <c r="L55" s="44">
        <f>'Standard Vorgaben'!$D$140</f>
        <v>17.5</v>
      </c>
      <c r="M55" s="146">
        <f>K55*L55</f>
        <v>36.3671875</v>
      </c>
      <c r="N55" s="652">
        <f t="shared" ref="N55:N58" si="20">M55/$CS$81</f>
        <v>1.0008276831999375E-3</v>
      </c>
      <c r="O55" s="231"/>
      <c r="P55" s="41" t="str">
        <f>'Standard Vorgaben'!$B$140</f>
        <v>Hebebühne schwer, selbstfahrend, elektrisch</v>
      </c>
      <c r="Q55" s="43">
        <f>'Standard Vorgaben'!$E$140</f>
        <v>1</v>
      </c>
      <c r="R55" s="658">
        <f>'Standard Vorgaben'!$C$140*R51</f>
        <v>2.59765625</v>
      </c>
      <c r="S55" s="44">
        <f>'Standard Vorgaben'!$D$140</f>
        <v>17.5</v>
      </c>
      <c r="T55" s="146">
        <f>R55*S55</f>
        <v>45.458984375</v>
      </c>
      <c r="U55" s="652">
        <f t="shared" ref="U55:U58" si="21">T55/$CS$81</f>
        <v>1.251034603999922E-3</v>
      </c>
      <c r="V55" s="231"/>
      <c r="W55" s="41" t="str">
        <f>'Standard Vorgaben'!$B$140</f>
        <v>Hebebühne schwer, selbstfahrend, elektrisch</v>
      </c>
      <c r="X55" s="43">
        <f>'Standard Vorgaben'!$E$140</f>
        <v>1</v>
      </c>
      <c r="Y55" s="658">
        <f>'Standard Vorgaben'!$C$140*Y51</f>
        <v>4.5026041666666661</v>
      </c>
      <c r="Z55" s="44">
        <f>'Standard Vorgaben'!$D$140</f>
        <v>17.5</v>
      </c>
      <c r="AA55" s="146">
        <f>Y55*Z55</f>
        <v>78.795572916666657</v>
      </c>
      <c r="AB55" s="652">
        <f t="shared" ref="AB55:AB58" si="22">AA55/$CS$81</f>
        <v>2.1684599802665313E-3</v>
      </c>
      <c r="AC55" s="231"/>
      <c r="AD55" s="41" t="str">
        <f>'Standard Vorgaben'!$B$140</f>
        <v>Hebebühne schwer, selbstfahrend, elektrisch</v>
      </c>
      <c r="AE55" s="43">
        <f>'Standard Vorgaben'!$E$140</f>
        <v>1</v>
      </c>
      <c r="AF55" s="658">
        <f>'Standard Vorgaben'!$C$140*AF51</f>
        <v>6.0611979166666661</v>
      </c>
      <c r="AG55" s="44">
        <f>'Standard Vorgaben'!$D$140</f>
        <v>17.5</v>
      </c>
      <c r="AH55" s="146">
        <f>AF55*AG55</f>
        <v>106.07096354166666</v>
      </c>
      <c r="AI55" s="652">
        <f t="shared" ref="AI55:AI58" si="23">AH55/$CS$81</f>
        <v>2.9190807426664844E-3</v>
      </c>
      <c r="AJ55" s="231"/>
      <c r="AK55" s="41" t="str">
        <f>'Standard Vorgaben'!$B$140</f>
        <v>Hebebühne schwer, selbstfahrend, elektrisch</v>
      </c>
      <c r="AL55" s="43">
        <f>'Standard Vorgaben'!$E$140</f>
        <v>1</v>
      </c>
      <c r="AM55" s="658">
        <f>'Standard Vorgaben'!$C$140*AM51</f>
        <v>7.6197916666666661</v>
      </c>
      <c r="AN55" s="44">
        <f>'Standard Vorgaben'!$D$140</f>
        <v>17.5</v>
      </c>
      <c r="AO55" s="146">
        <f>AM55*AN55</f>
        <v>133.34635416666666</v>
      </c>
      <c r="AP55" s="652">
        <f t="shared" ref="AP55:AP58" si="24">AO55/$CS$81</f>
        <v>3.6697015050664375E-3</v>
      </c>
      <c r="AQ55" s="231"/>
      <c r="AR55" s="41" t="str">
        <f>'Standard Vorgaben'!$B$140</f>
        <v>Hebebühne schwer, selbstfahrend, elektrisch</v>
      </c>
      <c r="AS55" s="43">
        <f>'Standard Vorgaben'!$E$140</f>
        <v>1</v>
      </c>
      <c r="AT55" s="658">
        <f>'Standard Vorgaben'!$C$140*AT51</f>
        <v>6.212727864583333</v>
      </c>
      <c r="AU55" s="44">
        <f>'Standard Vorgaben'!$D$140</f>
        <v>17.5</v>
      </c>
      <c r="AV55" s="146">
        <f>AT55*AU55</f>
        <v>108.72273763020833</v>
      </c>
      <c r="AW55" s="652">
        <f t="shared" ref="AW55:AW58" si="25">AV55/$CS$81</f>
        <v>2.9920577612331466E-3</v>
      </c>
      <c r="AX55" s="231"/>
      <c r="AY55" s="41" t="str">
        <f>'Standard Vorgaben'!$B$140</f>
        <v>Hebebühne schwer, selbstfahrend, elektrisch</v>
      </c>
      <c r="AZ55" s="43">
        <f>'Standard Vorgaben'!$E$140</f>
        <v>1</v>
      </c>
      <c r="BA55" s="658">
        <f>'Standard Vorgaben'!$C$140*BA51</f>
        <v>6.212727864583333</v>
      </c>
      <c r="BB55" s="44">
        <f>'Standard Vorgaben'!$D$140</f>
        <v>17.5</v>
      </c>
      <c r="BC55" s="146">
        <f>BA55*BB55</f>
        <v>108.72273763020833</v>
      </c>
      <c r="BD55" s="652">
        <f t="shared" ref="BD55:BD58" si="26">BC55/$CS$81</f>
        <v>2.9920577612331466E-3</v>
      </c>
      <c r="BE55" s="231"/>
      <c r="BF55" s="41" t="str">
        <f>'Standard Vorgaben'!$B$140</f>
        <v>Hebebühne schwer, selbstfahrend, elektrisch</v>
      </c>
      <c r="BG55" s="43">
        <f>'Standard Vorgaben'!$E$140</f>
        <v>1</v>
      </c>
      <c r="BH55" s="658">
        <f>'Standard Vorgaben'!$C$140*BH51</f>
        <v>9.0052083333333321</v>
      </c>
      <c r="BI55" s="44">
        <f>'Standard Vorgaben'!$D$140</f>
        <v>17.5</v>
      </c>
      <c r="BJ55" s="146">
        <f>BH55*BI55</f>
        <v>157.59114583333331</v>
      </c>
      <c r="BK55" s="652">
        <f t="shared" ref="BK55:BK58" si="27">BJ55/$CS$81</f>
        <v>4.3369199605330627E-3</v>
      </c>
      <c r="BL55" s="231"/>
      <c r="BM55" s="41" t="str">
        <f>'Standard Vorgaben'!$B$140</f>
        <v>Hebebühne schwer, selbstfahrend, elektrisch</v>
      </c>
      <c r="BN55" s="43">
        <f>'Standard Vorgaben'!$E$140</f>
        <v>1</v>
      </c>
      <c r="BO55" s="658">
        <f>'Standard Vorgaben'!$C$140*BO51</f>
        <v>9.5247395833333321</v>
      </c>
      <c r="BP55" s="44">
        <f>'Standard Vorgaben'!$D$140</f>
        <v>17.5</v>
      </c>
      <c r="BQ55" s="146">
        <f>BO55*BP55</f>
        <v>166.68294270833331</v>
      </c>
      <c r="BR55" s="652">
        <f t="shared" ref="BR55:BR58" si="28">BQ55/$CS$81</f>
        <v>4.5871268813330469E-3</v>
      </c>
      <c r="BS55" s="231"/>
      <c r="BT55" s="41" t="str">
        <f>'Standard Vorgaben'!$B$140</f>
        <v>Hebebühne schwer, selbstfahrend, elektrisch</v>
      </c>
      <c r="BU55" s="43">
        <f>'Standard Vorgaben'!$E$140</f>
        <v>1</v>
      </c>
      <c r="BV55" s="658">
        <f>'Standard Vorgaben'!$C$140*BV51</f>
        <v>7.6630859375</v>
      </c>
      <c r="BW55" s="44">
        <f>'Standard Vorgaben'!$D$140</f>
        <v>17.5</v>
      </c>
      <c r="BX55" s="146">
        <f>BV55*BW55</f>
        <v>134.10400390625</v>
      </c>
      <c r="BY55" s="652">
        <f t="shared" ref="BY55:BY58" si="29">BX55/$CS$81</f>
        <v>3.6905520817997698E-3</v>
      </c>
      <c r="BZ55" s="231"/>
      <c r="CA55" s="41" t="str">
        <f>'Standard Vorgaben'!$B$140</f>
        <v>Hebebühne schwer, selbstfahrend, elektrisch</v>
      </c>
      <c r="CB55" s="43">
        <f>'Standard Vorgaben'!$E$140</f>
        <v>1</v>
      </c>
      <c r="CC55" s="658">
        <f>'Standard Vorgaben'!$C$140*CC51</f>
        <v>6.234375</v>
      </c>
      <c r="CD55" s="44">
        <f>'Standard Vorgaben'!$D$140</f>
        <v>17.5</v>
      </c>
      <c r="CE55" s="146">
        <f>CC55*CD55</f>
        <v>109.1015625</v>
      </c>
      <c r="CF55" s="652">
        <f t="shared" ref="CF55:CF58" si="30">CE55/$CS$81</f>
        <v>3.0024830495998128E-3</v>
      </c>
      <c r="CG55" s="231"/>
      <c r="CH55" s="41" t="str">
        <f>'Standard Vorgaben'!$B$140</f>
        <v>Hebebühne schwer, selbstfahrend, elektrisch</v>
      </c>
      <c r="CI55" s="43">
        <f>'Standard Vorgaben'!$E$140</f>
        <v>1</v>
      </c>
      <c r="CJ55" s="658">
        <f>'Standard Vorgaben'!$C$140*CJ51</f>
        <v>6.927083333333333</v>
      </c>
      <c r="CK55" s="44">
        <f>'Standard Vorgaben'!$D$140</f>
        <v>17.5</v>
      </c>
      <c r="CL55" s="146">
        <f>CJ55*CK55</f>
        <v>121.22395833333333</v>
      </c>
      <c r="CM55" s="652">
        <f t="shared" ref="CM55:CM58" si="31">CL55/$CS$81</f>
        <v>3.3360922773331254E-3</v>
      </c>
      <c r="CN55" s="231"/>
      <c r="CO55" s="41" t="str">
        <f>'Standard Vorgaben'!$B$140</f>
        <v>Hebebühne schwer, selbstfahrend, elektrisch</v>
      </c>
      <c r="CP55" s="43">
        <f>'Standard Vorgaben'!$E$140</f>
        <v>1</v>
      </c>
      <c r="CQ55" s="658">
        <f>'Standard Vorgaben'!$C$140*CQ51</f>
        <v>7.1002604166666661</v>
      </c>
      <c r="CR55" s="44">
        <f>'Standard Vorgaben'!$D$140</f>
        <v>17.5</v>
      </c>
      <c r="CS55" s="146">
        <f>CQ55*CR55</f>
        <v>124.25455729166666</v>
      </c>
      <c r="CT55" s="652">
        <f t="shared" ref="CT55:CT58" si="32">CS55/$CS$81</f>
        <v>3.4194945842664533E-3</v>
      </c>
      <c r="CU55" s="231"/>
      <c r="CV55" s="41" t="str">
        <f>'Standard Vorgaben'!$B$140</f>
        <v>Hebebühne schwer, selbstfahrend, elektrisch</v>
      </c>
      <c r="CW55" s="43">
        <f>'Standard Vorgaben'!$E$140</f>
        <v>1</v>
      </c>
      <c r="CX55" s="658">
        <f>'Standard Vorgaben'!$C$140*CX51</f>
        <v>6.0611979166666661</v>
      </c>
      <c r="CY55" s="44">
        <f>'Standard Vorgaben'!$D$140</f>
        <v>17.5</v>
      </c>
      <c r="CZ55" s="146">
        <f>CX55*CY55</f>
        <v>106.07096354166666</v>
      </c>
      <c r="DA55" s="652"/>
    </row>
    <row r="56" spans="1:105" s="1" customFormat="1" ht="12.75" x14ac:dyDescent="0.2">
      <c r="A56" s="534"/>
      <c r="B56" s="85" t="str">
        <f>'Standard Vorgaben'!$B$130</f>
        <v>Obstbautraktor 4-Rad</v>
      </c>
      <c r="C56" s="43"/>
      <c r="D56" s="533">
        <f>D54</f>
        <v>15</v>
      </c>
      <c r="E56" s="44">
        <f>'Standard Vorgaben'!$D$130</f>
        <v>41</v>
      </c>
      <c r="F56" s="146">
        <f>D56*E56</f>
        <v>615</v>
      </c>
      <c r="G56" s="652">
        <f t="shared" si="15"/>
        <v>4.823568588259132E-2</v>
      </c>
      <c r="H56" s="534"/>
      <c r="I56" s="85" t="str">
        <f>'Standard Vorgaben'!$B$130</f>
        <v>Obstbautraktor 4-Rad</v>
      </c>
      <c r="J56" s="43"/>
      <c r="K56" s="533">
        <f>K54</f>
        <v>22.234375</v>
      </c>
      <c r="L56" s="44">
        <f>'Standard Vorgaben'!$D$130</f>
        <v>41</v>
      </c>
      <c r="M56" s="146">
        <f>K56*L56</f>
        <v>911.609375</v>
      </c>
      <c r="N56" s="652">
        <f t="shared" si="20"/>
        <v>2.5087557259262712E-2</v>
      </c>
      <c r="O56" s="534"/>
      <c r="P56" s="85" t="str">
        <f>'Standard Vorgaben'!$B$130</f>
        <v>Obstbautraktor 4-Rad</v>
      </c>
      <c r="Q56" s="43"/>
      <c r="R56" s="533">
        <f>R54</f>
        <v>44.79296875</v>
      </c>
      <c r="S56" s="44">
        <f>'Standard Vorgaben'!$D$130</f>
        <v>41</v>
      </c>
      <c r="T56" s="146">
        <f>R56*S56</f>
        <v>1836.51171875</v>
      </c>
      <c r="U56" s="652">
        <f t="shared" si="21"/>
        <v>5.0540937999291199E-2</v>
      </c>
      <c r="V56" s="534"/>
      <c r="W56" s="85" t="str">
        <f>'Standard Vorgaben'!$B$130</f>
        <v>Obstbautraktor 4-Rad</v>
      </c>
      <c r="X56" s="43"/>
      <c r="Y56" s="533">
        <f>Y54</f>
        <v>54.5078125</v>
      </c>
      <c r="Z56" s="44">
        <f>'Standard Vorgaben'!$D$130</f>
        <v>41</v>
      </c>
      <c r="AA56" s="146">
        <f>Y56*Z56</f>
        <v>2234.8203125</v>
      </c>
      <c r="AB56" s="652">
        <f t="shared" si="22"/>
        <v>6.1502419886815159E-2</v>
      </c>
      <c r="AC56" s="534"/>
      <c r="AD56" s="85" t="str">
        <f>'Standard Vorgaben'!$B$130</f>
        <v>Obstbautraktor 4-Rad</v>
      </c>
      <c r="AE56" s="43"/>
      <c r="AF56" s="533">
        <f>AF54</f>
        <v>59.18359375</v>
      </c>
      <c r="AG56" s="44">
        <f>'Standard Vorgaben'!$D$130</f>
        <v>41</v>
      </c>
      <c r="AH56" s="146">
        <f>AF56*AG56</f>
        <v>2426.52734375</v>
      </c>
      <c r="AI56" s="652">
        <f t="shared" si="23"/>
        <v>6.6778211531111978E-2</v>
      </c>
      <c r="AJ56" s="534"/>
      <c r="AK56" s="85" t="str">
        <f>'Standard Vorgaben'!$B$130</f>
        <v>Obstbautraktor 4-Rad</v>
      </c>
      <c r="AL56" s="43"/>
      <c r="AM56" s="533">
        <f>AM54</f>
        <v>63.859375</v>
      </c>
      <c r="AN56" s="44">
        <f>'Standard Vorgaben'!$D$130</f>
        <v>41</v>
      </c>
      <c r="AO56" s="146">
        <f>AM56*AN56</f>
        <v>2618.234375</v>
      </c>
      <c r="AP56" s="652">
        <f t="shared" si="24"/>
        <v>7.205400317540879E-2</v>
      </c>
      <c r="AQ56" s="534"/>
      <c r="AR56" s="85" t="str">
        <f>'Standard Vorgaben'!$B$130</f>
        <v>Obstbautraktor 4-Rad</v>
      </c>
      <c r="AS56" s="43"/>
      <c r="AT56" s="533">
        <f>AT54</f>
        <v>59.63818359375</v>
      </c>
      <c r="AU56" s="44">
        <f>'Standard Vorgaben'!$D$130</f>
        <v>41</v>
      </c>
      <c r="AV56" s="146">
        <f>AT56*AU56</f>
        <v>2445.16552734375</v>
      </c>
      <c r="AW56" s="652">
        <f t="shared" si="25"/>
        <v>6.7291135718751935E-2</v>
      </c>
      <c r="AX56" s="534"/>
      <c r="AY56" s="85" t="str">
        <f>'Standard Vorgaben'!$B$130</f>
        <v>Obstbautraktor 4-Rad</v>
      </c>
      <c r="AZ56" s="43"/>
      <c r="BA56" s="533">
        <f>BA54</f>
        <v>59.63818359375</v>
      </c>
      <c r="BB56" s="44">
        <f>'Standard Vorgaben'!$D$130</f>
        <v>41</v>
      </c>
      <c r="BC56" s="146">
        <f>BA56*BB56</f>
        <v>2445.16552734375</v>
      </c>
      <c r="BD56" s="652">
        <f t="shared" si="26"/>
        <v>6.7291135718751935E-2</v>
      </c>
      <c r="BE56" s="534"/>
      <c r="BF56" s="85" t="str">
        <f>'Standard Vorgaben'!$B$130</f>
        <v>Obstbautraktor 4-Rad</v>
      </c>
      <c r="BG56" s="43"/>
      <c r="BH56" s="533">
        <f>BH54</f>
        <v>68.015625</v>
      </c>
      <c r="BI56" s="44">
        <f>'Standard Vorgaben'!$D$130</f>
        <v>41</v>
      </c>
      <c r="BJ56" s="146">
        <f>BH56*BI56</f>
        <v>2788.640625</v>
      </c>
      <c r="BK56" s="652">
        <f t="shared" si="27"/>
        <v>7.6743595748117066E-2</v>
      </c>
      <c r="BL56" s="534"/>
      <c r="BM56" s="85" t="str">
        <f>'Standard Vorgaben'!$B$130</f>
        <v>Obstbautraktor 4-Rad</v>
      </c>
      <c r="BN56" s="43"/>
      <c r="BO56" s="533">
        <f>BO54</f>
        <v>69.57421875</v>
      </c>
      <c r="BP56" s="44">
        <f>'Standard Vorgaben'!$D$130</f>
        <v>41</v>
      </c>
      <c r="BQ56" s="146">
        <f>BO56*BP56</f>
        <v>2852.54296875</v>
      </c>
      <c r="BR56" s="652">
        <f t="shared" si="28"/>
        <v>7.8502192962882675E-2</v>
      </c>
      <c r="BS56" s="534"/>
      <c r="BT56" s="85" t="str">
        <f>'Standard Vorgaben'!$B$130</f>
        <v>Obstbautraktor 4-Rad</v>
      </c>
      <c r="BU56" s="43"/>
      <c r="BV56" s="533">
        <f>BV54</f>
        <v>63.9892578125</v>
      </c>
      <c r="BW56" s="44">
        <f>'Standard Vorgaben'!$D$130</f>
        <v>41</v>
      </c>
      <c r="BX56" s="146">
        <f>BV56*BW56</f>
        <v>2623.5595703125</v>
      </c>
      <c r="BY56" s="652">
        <f t="shared" si="29"/>
        <v>7.2200552943305921E-2</v>
      </c>
      <c r="BZ56" s="534"/>
      <c r="CA56" s="85" t="str">
        <f>'Standard Vorgaben'!$B$130</f>
        <v>Obstbautraktor 4-Rad</v>
      </c>
      <c r="CB56" s="43"/>
      <c r="CC56" s="533">
        <f>CC54</f>
        <v>59.703125</v>
      </c>
      <c r="CD56" s="44">
        <f>'Standard Vorgaben'!$D$130</f>
        <v>41</v>
      </c>
      <c r="CE56" s="146">
        <f>CC56*CD56</f>
        <v>2447.828125</v>
      </c>
      <c r="CF56" s="652">
        <f t="shared" si="30"/>
        <v>6.73644106027005E-2</v>
      </c>
      <c r="CG56" s="534"/>
      <c r="CH56" s="85" t="str">
        <f>'Standard Vorgaben'!$B$130</f>
        <v>Obstbautraktor 4-Rad</v>
      </c>
      <c r="CI56" s="43"/>
      <c r="CJ56" s="533">
        <f>CJ54</f>
        <v>61.78125</v>
      </c>
      <c r="CK56" s="44">
        <f>'Standard Vorgaben'!$D$130</f>
        <v>41</v>
      </c>
      <c r="CL56" s="146">
        <f>CJ56*CK56</f>
        <v>2533.03125</v>
      </c>
      <c r="CM56" s="652">
        <f t="shared" si="31"/>
        <v>6.9709206889054645E-2</v>
      </c>
      <c r="CN56" s="534"/>
      <c r="CO56" s="85" t="str">
        <f>'Standard Vorgaben'!$B$130</f>
        <v>Obstbautraktor 4-Rad</v>
      </c>
      <c r="CP56" s="43"/>
      <c r="CQ56" s="533">
        <f>CQ54</f>
        <v>62.30078125</v>
      </c>
      <c r="CR56" s="44">
        <f>'Standard Vorgaben'!$D$130</f>
        <v>41</v>
      </c>
      <c r="CS56" s="146">
        <f>CQ56*CR56</f>
        <v>2554.33203125</v>
      </c>
      <c r="CT56" s="652">
        <f t="shared" si="32"/>
        <v>7.0295405960643181E-2</v>
      </c>
      <c r="CU56" s="534"/>
      <c r="CV56" s="85" t="str">
        <f>'Standard Vorgaben'!$B$130</f>
        <v>Obstbautraktor 4-Rad</v>
      </c>
      <c r="CW56" s="43"/>
      <c r="CX56" s="533">
        <f>CX54</f>
        <v>59.18359375</v>
      </c>
      <c r="CY56" s="44">
        <f>'Standard Vorgaben'!$D$130</f>
        <v>41</v>
      </c>
      <c r="CZ56" s="146">
        <f>CX56*CY56</f>
        <v>2426.52734375</v>
      </c>
      <c r="DA56" s="652">
        <f>CZ56/$CZ$81</f>
        <v>5.9139652867250418E-2</v>
      </c>
    </row>
    <row r="57" spans="1:105" s="1" customFormat="1" ht="12.75" x14ac:dyDescent="0.2">
      <c r="A57" s="1431" t="s">
        <v>408</v>
      </c>
      <c r="B57" s="142" t="str">
        <f>'Standard Vorgaben'!$B$130</f>
        <v>Obstbautraktor 4-Rad</v>
      </c>
      <c r="C57" s="46">
        <f>'Standard Vorgaben'!$C$180</f>
        <v>1</v>
      </c>
      <c r="D57" s="478">
        <v>10</v>
      </c>
      <c r="E57" s="44">
        <f>'Standard Vorgaben'!$D$130</f>
        <v>41</v>
      </c>
      <c r="F57" s="146">
        <f>E57*D57</f>
        <v>410</v>
      </c>
      <c r="G57" s="652">
        <f t="shared" si="15"/>
        <v>3.2157123921727551E-2</v>
      </c>
      <c r="H57" s="1431" t="s">
        <v>408</v>
      </c>
      <c r="I57" s="142" t="str">
        <f>'Standard Vorgaben'!$B$130</f>
        <v>Obstbautraktor 4-Rad</v>
      </c>
      <c r="J57" s="46">
        <f>'Standard Vorgaben'!$C$180</f>
        <v>1</v>
      </c>
      <c r="K57" s="478">
        <v>10</v>
      </c>
      <c r="L57" s="44">
        <f>'Standard Vorgaben'!$D$130</f>
        <v>41</v>
      </c>
      <c r="M57" s="146">
        <f>L57*K57</f>
        <v>410</v>
      </c>
      <c r="N57" s="652">
        <f t="shared" si="20"/>
        <v>1.1283230250125183E-2</v>
      </c>
      <c r="O57" s="1431" t="s">
        <v>408</v>
      </c>
      <c r="P57" s="142" t="str">
        <f>'Standard Vorgaben'!$B$130</f>
        <v>Obstbautraktor 4-Rad</v>
      </c>
      <c r="Q57" s="46">
        <f>'Standard Vorgaben'!$C$180</f>
        <v>1</v>
      </c>
      <c r="R57" s="478">
        <v>10</v>
      </c>
      <c r="S57" s="44">
        <f>'Standard Vorgaben'!$D$130</f>
        <v>41</v>
      </c>
      <c r="T57" s="146">
        <f>S57*R57</f>
        <v>410</v>
      </c>
      <c r="U57" s="652">
        <f t="shared" si="21"/>
        <v>1.1283230250125183E-2</v>
      </c>
      <c r="V57" s="1431" t="s">
        <v>408</v>
      </c>
      <c r="W57" s="142" t="str">
        <f>'Standard Vorgaben'!$B$130</f>
        <v>Obstbautraktor 4-Rad</v>
      </c>
      <c r="X57" s="46">
        <f>'Standard Vorgaben'!$C$180</f>
        <v>1</v>
      </c>
      <c r="Y57" s="478">
        <v>10</v>
      </c>
      <c r="Z57" s="44">
        <f>'Standard Vorgaben'!$D$130</f>
        <v>41</v>
      </c>
      <c r="AA57" s="146">
        <f>Z57*Y57</f>
        <v>410</v>
      </c>
      <c r="AB57" s="652">
        <f t="shared" si="22"/>
        <v>1.1283230250125183E-2</v>
      </c>
      <c r="AC57" s="1431" t="s">
        <v>408</v>
      </c>
      <c r="AD57" s="142" t="str">
        <f>'Standard Vorgaben'!$B$130</f>
        <v>Obstbautraktor 4-Rad</v>
      </c>
      <c r="AE57" s="46">
        <f>'Standard Vorgaben'!$C$180</f>
        <v>1</v>
      </c>
      <c r="AF57" s="478">
        <v>10</v>
      </c>
      <c r="AG57" s="44">
        <f>'Standard Vorgaben'!$D$130</f>
        <v>41</v>
      </c>
      <c r="AH57" s="146">
        <f>AG57*AF57</f>
        <v>410</v>
      </c>
      <c r="AI57" s="652">
        <f t="shared" si="23"/>
        <v>1.1283230250125183E-2</v>
      </c>
      <c r="AJ57" s="1431" t="s">
        <v>408</v>
      </c>
      <c r="AK57" s="142" t="str">
        <f>'Standard Vorgaben'!$B$130</f>
        <v>Obstbautraktor 4-Rad</v>
      </c>
      <c r="AL57" s="46">
        <f>'Standard Vorgaben'!$C$180</f>
        <v>1</v>
      </c>
      <c r="AM57" s="478">
        <v>10</v>
      </c>
      <c r="AN57" s="44">
        <f>'Standard Vorgaben'!$D$130</f>
        <v>41</v>
      </c>
      <c r="AO57" s="146">
        <f>AN57*AM57</f>
        <v>410</v>
      </c>
      <c r="AP57" s="652">
        <f t="shared" si="24"/>
        <v>1.1283230250125183E-2</v>
      </c>
      <c r="AQ57" s="1431" t="s">
        <v>408</v>
      </c>
      <c r="AR57" s="142" t="str">
        <f>'Standard Vorgaben'!$B$130</f>
        <v>Obstbautraktor 4-Rad</v>
      </c>
      <c r="AS57" s="46">
        <f>'Standard Vorgaben'!$C$180</f>
        <v>1</v>
      </c>
      <c r="AT57" s="478">
        <v>10</v>
      </c>
      <c r="AU57" s="44">
        <f>'Standard Vorgaben'!$D$130</f>
        <v>41</v>
      </c>
      <c r="AV57" s="146">
        <f>AU57*AT57</f>
        <v>410</v>
      </c>
      <c r="AW57" s="652">
        <f t="shared" si="25"/>
        <v>1.1283230250125183E-2</v>
      </c>
      <c r="AX57" s="1431" t="s">
        <v>408</v>
      </c>
      <c r="AY57" s="142" t="str">
        <f>'Standard Vorgaben'!$B$130</f>
        <v>Obstbautraktor 4-Rad</v>
      </c>
      <c r="AZ57" s="46">
        <f>'Standard Vorgaben'!$C$180</f>
        <v>1</v>
      </c>
      <c r="BA57" s="478">
        <v>10</v>
      </c>
      <c r="BB57" s="44">
        <f>'Standard Vorgaben'!$D$130</f>
        <v>41</v>
      </c>
      <c r="BC57" s="146">
        <f>BB57*BA57</f>
        <v>410</v>
      </c>
      <c r="BD57" s="652">
        <f t="shared" si="26"/>
        <v>1.1283230250125183E-2</v>
      </c>
      <c r="BE57" s="1431" t="s">
        <v>408</v>
      </c>
      <c r="BF57" s="142" t="str">
        <f>'Standard Vorgaben'!$B$130</f>
        <v>Obstbautraktor 4-Rad</v>
      </c>
      <c r="BG57" s="46">
        <f>'Standard Vorgaben'!$C$180</f>
        <v>1</v>
      </c>
      <c r="BH57" s="478">
        <v>10</v>
      </c>
      <c r="BI57" s="44">
        <f>'Standard Vorgaben'!$D$130</f>
        <v>41</v>
      </c>
      <c r="BJ57" s="146">
        <f>BI57*BH57*BG57</f>
        <v>410</v>
      </c>
      <c r="BK57" s="652">
        <f t="shared" si="27"/>
        <v>1.1283230250125183E-2</v>
      </c>
      <c r="BL57" s="1431" t="s">
        <v>408</v>
      </c>
      <c r="BM57" s="142" t="str">
        <f>'Standard Vorgaben'!$B$130</f>
        <v>Obstbautraktor 4-Rad</v>
      </c>
      <c r="BN57" s="46">
        <f>'Standard Vorgaben'!$C$180</f>
        <v>1</v>
      </c>
      <c r="BO57" s="478">
        <v>10</v>
      </c>
      <c r="BP57" s="44">
        <f>'Standard Vorgaben'!$D$130</f>
        <v>41</v>
      </c>
      <c r="BQ57" s="146">
        <f>BP57*BO57</f>
        <v>410</v>
      </c>
      <c r="BR57" s="652">
        <f t="shared" si="28"/>
        <v>1.1283230250125183E-2</v>
      </c>
      <c r="BS57" s="1431" t="s">
        <v>408</v>
      </c>
      <c r="BT57" s="142" t="str">
        <f>'Standard Vorgaben'!$B$130</f>
        <v>Obstbautraktor 4-Rad</v>
      </c>
      <c r="BU57" s="46">
        <f>'Standard Vorgaben'!$C$180</f>
        <v>1</v>
      </c>
      <c r="BV57" s="478">
        <v>10</v>
      </c>
      <c r="BW57" s="44">
        <f>'Standard Vorgaben'!$D$130</f>
        <v>41</v>
      </c>
      <c r="BX57" s="146">
        <f>BW57*BV57</f>
        <v>410</v>
      </c>
      <c r="BY57" s="652">
        <f t="shared" si="29"/>
        <v>1.1283230250125183E-2</v>
      </c>
      <c r="BZ57" s="1431" t="s">
        <v>408</v>
      </c>
      <c r="CA57" s="142" t="str">
        <f>'Standard Vorgaben'!$B$130</f>
        <v>Obstbautraktor 4-Rad</v>
      </c>
      <c r="CB57" s="46">
        <f>'Standard Vorgaben'!$C$180</f>
        <v>1</v>
      </c>
      <c r="CC57" s="478">
        <v>10</v>
      </c>
      <c r="CD57" s="44">
        <f>'Standard Vorgaben'!$D$130</f>
        <v>41</v>
      </c>
      <c r="CE57" s="146">
        <f>CD57*CC57</f>
        <v>410</v>
      </c>
      <c r="CF57" s="652">
        <f t="shared" si="30"/>
        <v>1.1283230250125183E-2</v>
      </c>
      <c r="CG57" s="1431" t="s">
        <v>408</v>
      </c>
      <c r="CH57" s="142" t="str">
        <f>'Standard Vorgaben'!$B$130</f>
        <v>Obstbautraktor 4-Rad</v>
      </c>
      <c r="CI57" s="46">
        <f>'Standard Vorgaben'!$C$180</f>
        <v>1</v>
      </c>
      <c r="CJ57" s="478">
        <v>10</v>
      </c>
      <c r="CK57" s="44">
        <f>'Standard Vorgaben'!$D$130</f>
        <v>41</v>
      </c>
      <c r="CL57" s="146">
        <f>CK57*CJ57</f>
        <v>410</v>
      </c>
      <c r="CM57" s="652">
        <f t="shared" si="31"/>
        <v>1.1283230250125183E-2</v>
      </c>
      <c r="CN57" s="1431" t="s">
        <v>408</v>
      </c>
      <c r="CO57" s="142" t="str">
        <f>'Standard Vorgaben'!$B$130</f>
        <v>Obstbautraktor 4-Rad</v>
      </c>
      <c r="CP57" s="46">
        <f>'Standard Vorgaben'!$C$180</f>
        <v>1</v>
      </c>
      <c r="CQ57" s="478">
        <v>10</v>
      </c>
      <c r="CR57" s="44">
        <f>'Standard Vorgaben'!$D$130</f>
        <v>41</v>
      </c>
      <c r="CS57" s="146">
        <f>CR57*CQ57</f>
        <v>410</v>
      </c>
      <c r="CT57" s="652">
        <f t="shared" si="32"/>
        <v>1.1283230250125183E-2</v>
      </c>
      <c r="CU57" s="1431" t="s">
        <v>408</v>
      </c>
      <c r="CV57" s="142" t="str">
        <f>'Standard Vorgaben'!$B$130</f>
        <v>Obstbautraktor 4-Rad</v>
      </c>
      <c r="CW57" s="46">
        <f>'Standard Vorgaben'!$C$180</f>
        <v>1</v>
      </c>
      <c r="CX57" s="478">
        <v>10</v>
      </c>
      <c r="CY57" s="44">
        <f>'Standard Vorgaben'!$D$130</f>
        <v>41</v>
      </c>
      <c r="CZ57" s="146">
        <f>CY57*CX57</f>
        <v>410</v>
      </c>
      <c r="DA57" s="652">
        <f t="shared" ref="DA57:DA58" si="33">CZ57/$CZ$81</f>
        <v>9.9925754960174962E-3</v>
      </c>
    </row>
    <row r="58" spans="1:105" s="1" customFormat="1" ht="12.75" x14ac:dyDescent="0.2">
      <c r="A58" s="1431"/>
      <c r="B58" s="41" t="str">
        <f>'Standard Vorgaben'!$B$140</f>
        <v>Hebebühne schwer, selbstfahrend, elektrisch</v>
      </c>
      <c r="C58" s="46">
        <f>'Standard Vorgaben'!$C$180</f>
        <v>1</v>
      </c>
      <c r="D58" s="478">
        <v>10</v>
      </c>
      <c r="E58" s="44">
        <f>'Standard Vorgaben'!$D$150</f>
        <v>17.5</v>
      </c>
      <c r="F58" s="146">
        <f>E58*D58</f>
        <v>175</v>
      </c>
      <c r="G58" s="652">
        <f t="shared" si="15"/>
        <v>1.37256016739081E-2</v>
      </c>
      <c r="H58" s="1431"/>
      <c r="I58" s="41" t="str">
        <f>'Standard Vorgaben'!$B$140</f>
        <v>Hebebühne schwer, selbstfahrend, elektrisch</v>
      </c>
      <c r="J58" s="46">
        <f>'Standard Vorgaben'!$C$180</f>
        <v>1</v>
      </c>
      <c r="K58" s="478">
        <v>10</v>
      </c>
      <c r="L58" s="44">
        <f>'Standard Vorgaben'!$D$150</f>
        <v>17.5</v>
      </c>
      <c r="M58" s="146">
        <f>L58*K58</f>
        <v>175</v>
      </c>
      <c r="N58" s="652">
        <f t="shared" si="20"/>
        <v>4.8160129116387972E-3</v>
      </c>
      <c r="O58" s="1431"/>
      <c r="P58" s="41" t="str">
        <f>'Standard Vorgaben'!$B$140</f>
        <v>Hebebühne schwer, selbstfahrend, elektrisch</v>
      </c>
      <c r="Q58" s="46">
        <f>'Standard Vorgaben'!$C$180</f>
        <v>1</v>
      </c>
      <c r="R58" s="478">
        <v>10</v>
      </c>
      <c r="S58" s="44">
        <f>'Standard Vorgaben'!$D$150</f>
        <v>17.5</v>
      </c>
      <c r="T58" s="146">
        <f>S58*R58</f>
        <v>175</v>
      </c>
      <c r="U58" s="652">
        <f t="shared" si="21"/>
        <v>4.8160129116387972E-3</v>
      </c>
      <c r="V58" s="1431"/>
      <c r="W58" s="41" t="str">
        <f>'Standard Vorgaben'!$B$140</f>
        <v>Hebebühne schwer, selbstfahrend, elektrisch</v>
      </c>
      <c r="X58" s="46">
        <f>'Standard Vorgaben'!$C$180</f>
        <v>1</v>
      </c>
      <c r="Y58" s="478">
        <v>10</v>
      </c>
      <c r="Z58" s="44">
        <f>'Standard Vorgaben'!$D$150</f>
        <v>17.5</v>
      </c>
      <c r="AA58" s="146">
        <f>Z58*Y58</f>
        <v>175</v>
      </c>
      <c r="AB58" s="652">
        <f t="shared" si="22"/>
        <v>4.8160129116387972E-3</v>
      </c>
      <c r="AC58" s="1431"/>
      <c r="AD58" s="41" t="str">
        <f>'Standard Vorgaben'!$B$140</f>
        <v>Hebebühne schwer, selbstfahrend, elektrisch</v>
      </c>
      <c r="AE58" s="46">
        <f>'Standard Vorgaben'!$C$180</f>
        <v>1</v>
      </c>
      <c r="AF58" s="478">
        <v>10</v>
      </c>
      <c r="AG58" s="44">
        <f>'Standard Vorgaben'!$D$150</f>
        <v>17.5</v>
      </c>
      <c r="AH58" s="146">
        <f>AG58*AF58</f>
        <v>175</v>
      </c>
      <c r="AI58" s="652">
        <f t="shared" si="23"/>
        <v>4.8160129116387972E-3</v>
      </c>
      <c r="AJ58" s="1431"/>
      <c r="AK58" s="41" t="str">
        <f>'Standard Vorgaben'!$B$140</f>
        <v>Hebebühne schwer, selbstfahrend, elektrisch</v>
      </c>
      <c r="AL58" s="46">
        <f>'Standard Vorgaben'!$C$180</f>
        <v>1</v>
      </c>
      <c r="AM58" s="478">
        <v>10</v>
      </c>
      <c r="AN58" s="44">
        <f>'Standard Vorgaben'!$D$150</f>
        <v>17.5</v>
      </c>
      <c r="AO58" s="146">
        <f>AN58*AM58</f>
        <v>175</v>
      </c>
      <c r="AP58" s="652">
        <f t="shared" si="24"/>
        <v>4.8160129116387972E-3</v>
      </c>
      <c r="AQ58" s="1431"/>
      <c r="AR58" s="41" t="str">
        <f>'Standard Vorgaben'!$B$140</f>
        <v>Hebebühne schwer, selbstfahrend, elektrisch</v>
      </c>
      <c r="AS58" s="46">
        <f>'Standard Vorgaben'!$C$180</f>
        <v>1</v>
      </c>
      <c r="AT58" s="478">
        <v>10</v>
      </c>
      <c r="AU58" s="44">
        <f>'Standard Vorgaben'!$D$150</f>
        <v>17.5</v>
      </c>
      <c r="AV58" s="146">
        <f>AU58*AT58</f>
        <v>175</v>
      </c>
      <c r="AW58" s="652">
        <f t="shared" si="25"/>
        <v>4.8160129116387972E-3</v>
      </c>
      <c r="AX58" s="1431"/>
      <c r="AY58" s="41" t="str">
        <f>'Standard Vorgaben'!$B$140</f>
        <v>Hebebühne schwer, selbstfahrend, elektrisch</v>
      </c>
      <c r="AZ58" s="46">
        <f>'Standard Vorgaben'!$C$180</f>
        <v>1</v>
      </c>
      <c r="BA58" s="478">
        <v>10</v>
      </c>
      <c r="BB58" s="44">
        <f>'Standard Vorgaben'!$D$150</f>
        <v>17.5</v>
      </c>
      <c r="BC58" s="146">
        <f>BB58*BA58</f>
        <v>175</v>
      </c>
      <c r="BD58" s="652">
        <f t="shared" si="26"/>
        <v>4.8160129116387972E-3</v>
      </c>
      <c r="BE58" s="1431"/>
      <c r="BF58" s="41" t="str">
        <f>'Standard Vorgaben'!$B$140</f>
        <v>Hebebühne schwer, selbstfahrend, elektrisch</v>
      </c>
      <c r="BG58" s="46">
        <f>'Standard Vorgaben'!$C$180</f>
        <v>1</v>
      </c>
      <c r="BH58" s="478">
        <v>10</v>
      </c>
      <c r="BI58" s="44">
        <f>'Standard Vorgaben'!$D$150</f>
        <v>17.5</v>
      </c>
      <c r="BJ58" s="146">
        <f>BI58*BH58*BG58</f>
        <v>175</v>
      </c>
      <c r="BK58" s="652">
        <f t="shared" si="27"/>
        <v>4.8160129116387972E-3</v>
      </c>
      <c r="BL58" s="1431"/>
      <c r="BM58" s="41" t="str">
        <f>'Standard Vorgaben'!$B$140</f>
        <v>Hebebühne schwer, selbstfahrend, elektrisch</v>
      </c>
      <c r="BN58" s="46">
        <f>'Standard Vorgaben'!$C$180</f>
        <v>1</v>
      </c>
      <c r="BO58" s="478">
        <v>10</v>
      </c>
      <c r="BP58" s="44">
        <f>'Standard Vorgaben'!$D$150</f>
        <v>17.5</v>
      </c>
      <c r="BQ58" s="146">
        <f>BP58*BO58</f>
        <v>175</v>
      </c>
      <c r="BR58" s="652">
        <f t="shared" si="28"/>
        <v>4.8160129116387972E-3</v>
      </c>
      <c r="BS58" s="1431"/>
      <c r="BT58" s="41" t="str">
        <f>'Standard Vorgaben'!$B$140</f>
        <v>Hebebühne schwer, selbstfahrend, elektrisch</v>
      </c>
      <c r="BU58" s="46">
        <f>'Standard Vorgaben'!$C$180</f>
        <v>1</v>
      </c>
      <c r="BV58" s="478">
        <v>10</v>
      </c>
      <c r="BW58" s="44">
        <f>'Standard Vorgaben'!$D$150</f>
        <v>17.5</v>
      </c>
      <c r="BX58" s="146">
        <f>BW58*BV58</f>
        <v>175</v>
      </c>
      <c r="BY58" s="652">
        <f t="shared" si="29"/>
        <v>4.8160129116387972E-3</v>
      </c>
      <c r="BZ58" s="1431"/>
      <c r="CA58" s="41" t="str">
        <f>'Standard Vorgaben'!$B$140</f>
        <v>Hebebühne schwer, selbstfahrend, elektrisch</v>
      </c>
      <c r="CB58" s="46">
        <f>'Standard Vorgaben'!$C$180</f>
        <v>1</v>
      </c>
      <c r="CC58" s="478">
        <v>10</v>
      </c>
      <c r="CD58" s="44">
        <f>'Standard Vorgaben'!$D$150</f>
        <v>17.5</v>
      </c>
      <c r="CE58" s="146">
        <f>CD58*CC58</f>
        <v>175</v>
      </c>
      <c r="CF58" s="652">
        <f t="shared" si="30"/>
        <v>4.8160129116387972E-3</v>
      </c>
      <c r="CG58" s="1431"/>
      <c r="CH58" s="41" t="str">
        <f>'Standard Vorgaben'!$B$140</f>
        <v>Hebebühne schwer, selbstfahrend, elektrisch</v>
      </c>
      <c r="CI58" s="46">
        <f>'Standard Vorgaben'!$C$180</f>
        <v>1</v>
      </c>
      <c r="CJ58" s="478">
        <v>10</v>
      </c>
      <c r="CK58" s="44">
        <f>'Standard Vorgaben'!$D$150</f>
        <v>17.5</v>
      </c>
      <c r="CL58" s="146">
        <f>CK58*CJ58</f>
        <v>175</v>
      </c>
      <c r="CM58" s="652">
        <f t="shared" si="31"/>
        <v>4.8160129116387972E-3</v>
      </c>
      <c r="CN58" s="1431"/>
      <c r="CO58" s="41" t="str">
        <f>'Standard Vorgaben'!$B$140</f>
        <v>Hebebühne schwer, selbstfahrend, elektrisch</v>
      </c>
      <c r="CP58" s="46">
        <f>'Standard Vorgaben'!$C$180</f>
        <v>1</v>
      </c>
      <c r="CQ58" s="478">
        <v>10</v>
      </c>
      <c r="CR58" s="44">
        <f>'Standard Vorgaben'!$D$150</f>
        <v>17.5</v>
      </c>
      <c r="CS58" s="146">
        <f>CR58*CQ58</f>
        <v>175</v>
      </c>
      <c r="CT58" s="652">
        <f t="shared" si="32"/>
        <v>4.8160129116387972E-3</v>
      </c>
      <c r="CU58" s="1431"/>
      <c r="CV58" s="41" t="str">
        <f>'Standard Vorgaben'!$B$140</f>
        <v>Hebebühne schwer, selbstfahrend, elektrisch</v>
      </c>
      <c r="CW58" s="46">
        <f>'Standard Vorgaben'!$C$180</f>
        <v>1</v>
      </c>
      <c r="CX58" s="478">
        <v>10</v>
      </c>
      <c r="CY58" s="44">
        <f>'Standard Vorgaben'!$D$150</f>
        <v>17.5</v>
      </c>
      <c r="CZ58" s="146">
        <f>CY58*CX58</f>
        <v>175</v>
      </c>
      <c r="DA58" s="652">
        <f t="shared" si="33"/>
        <v>4.265123687324541E-3</v>
      </c>
    </row>
    <row r="59" spans="1:105" s="1" customFormat="1" ht="13.5" thickBot="1" x14ac:dyDescent="0.25">
      <c r="A59" s="671"/>
      <c r="B59" s="41" t="str">
        <f>'Standard Vorgaben'!$B$139</f>
        <v>Diverse Kleingeräte</v>
      </c>
      <c r="C59" s="43"/>
      <c r="D59" s="43"/>
      <c r="E59" s="44"/>
      <c r="F59" s="501">
        <f>'Standard Vorgaben'!D139</f>
        <v>500</v>
      </c>
      <c r="G59" s="652">
        <f t="shared" si="15"/>
        <v>3.9216004782594571E-2</v>
      </c>
      <c r="H59" s="671"/>
      <c r="I59" s="41" t="str">
        <f>'Standard Vorgaben'!$B$139</f>
        <v>Diverse Kleingeräte</v>
      </c>
      <c r="J59" s="43"/>
      <c r="K59" s="43"/>
      <c r="L59" s="44"/>
      <c r="M59" s="501">
        <f>'Standard Vorgaben'!D139</f>
        <v>500</v>
      </c>
      <c r="N59" s="652">
        <f t="shared" si="16"/>
        <v>3.0798995247240911E-2</v>
      </c>
      <c r="O59" s="671"/>
      <c r="P59" s="41" t="str">
        <f>'Standard Vorgaben'!$B$139</f>
        <v>Diverse Kleingeräte</v>
      </c>
      <c r="Q59" s="43"/>
      <c r="R59" s="43"/>
      <c r="S59" s="44"/>
      <c r="T59" s="501">
        <f>'Standard Vorgaben'!D139</f>
        <v>500</v>
      </c>
      <c r="U59" s="652">
        <f t="shared" si="17"/>
        <v>1.6813216395773899E-2</v>
      </c>
      <c r="V59" s="671"/>
      <c r="W59" s="41" t="str">
        <f>'Standard Vorgaben'!$B$139</f>
        <v>Diverse Kleingeräte</v>
      </c>
      <c r="X59" s="43"/>
      <c r="Y59" s="43"/>
      <c r="Z59" s="44"/>
      <c r="AA59" s="501">
        <f>'Standard Vorgaben'!D139</f>
        <v>500</v>
      </c>
      <c r="AB59" s="652">
        <f t="shared" si="18"/>
        <v>1.5021765686142613E-2</v>
      </c>
      <c r="AC59" s="671"/>
      <c r="AD59" s="41" t="str">
        <f>'Standard Vorgaben'!$B$139</f>
        <v>Diverse Kleingeräte</v>
      </c>
      <c r="AE59" s="43"/>
      <c r="AF59" s="43"/>
      <c r="AG59" s="44"/>
      <c r="AH59" s="501">
        <f>'Standard Vorgaben'!D139</f>
        <v>500</v>
      </c>
      <c r="AI59" s="652">
        <f t="shared" si="19"/>
        <v>1.4135820917918871E-2</v>
      </c>
      <c r="AJ59" s="671"/>
      <c r="AK59" s="41" t="str">
        <f>'Standard Vorgaben'!$B$139</f>
        <v>Diverse Kleingeräte</v>
      </c>
      <c r="AL59" s="43"/>
      <c r="AM59" s="43"/>
      <c r="AN59" s="44"/>
      <c r="AO59" s="501">
        <f>'Standard Vorgaben'!D139</f>
        <v>500</v>
      </c>
      <c r="AP59" s="652">
        <f>AO59/$AO$81</f>
        <v>1.3369085635075507E-2</v>
      </c>
      <c r="AQ59" s="671"/>
      <c r="AR59" s="41" t="str">
        <f>'Standard Vorgaben'!$B$139</f>
        <v>Diverse Kleingeräte</v>
      </c>
      <c r="AS59" s="43"/>
      <c r="AT59" s="43"/>
      <c r="AU59" s="44"/>
      <c r="AV59" s="501">
        <f>'Standard Vorgaben'!D139</f>
        <v>500</v>
      </c>
      <c r="AW59" s="652">
        <f>AV59/$AV$81</f>
        <v>1.4071547189673492E-2</v>
      </c>
      <c r="AX59" s="671"/>
      <c r="AY59" s="41" t="str">
        <f>'Standard Vorgaben'!$B$139</f>
        <v>Diverse Kleingeräte</v>
      </c>
      <c r="AZ59" s="43"/>
      <c r="BA59" s="43"/>
      <c r="BB59" s="44"/>
      <c r="BC59" s="501">
        <f>'Standard Vorgaben'!D139</f>
        <v>500</v>
      </c>
      <c r="BD59" s="652">
        <f>BC59/$BC$81</f>
        <v>1.4069252867846823E-2</v>
      </c>
      <c r="BE59" s="671"/>
      <c r="BF59" s="41" t="str">
        <f>'Standard Vorgaben'!$B$139</f>
        <v>Diverse Kleingeräte</v>
      </c>
      <c r="BG59" s="43"/>
      <c r="BH59" s="43"/>
      <c r="BI59" s="44"/>
      <c r="BJ59" s="501">
        <f>'Standard Vorgaben'!D139</f>
        <v>500</v>
      </c>
      <c r="BK59" s="652">
        <f>BJ59/$BJ$81</f>
        <v>1.276884321595965E-2</v>
      </c>
      <c r="BL59" s="671"/>
      <c r="BM59" s="41" t="str">
        <f>'Standard Vorgaben'!$B$139</f>
        <v>Diverse Kleingeräte</v>
      </c>
      <c r="BN59" s="43"/>
      <c r="BO59" s="43"/>
      <c r="BP59" s="44"/>
      <c r="BQ59" s="501">
        <f>'Standard Vorgaben'!D139</f>
        <v>500</v>
      </c>
      <c r="BR59" s="652">
        <f>BQ59/$BQ$81</f>
        <v>1.2584370470795624E-2</v>
      </c>
      <c r="BS59" s="671"/>
      <c r="BT59" s="41" t="str">
        <f>'Standard Vorgaben'!$B$139</f>
        <v>Diverse Kleingeräte</v>
      </c>
      <c r="BU59" s="43"/>
      <c r="BV59" s="43"/>
      <c r="BW59" s="44"/>
      <c r="BX59" s="501">
        <f>'Standard Vorgaben'!D139</f>
        <v>500</v>
      </c>
      <c r="BY59" s="652">
        <f>BX59/$BX$81</f>
        <v>1.34393032952585E-2</v>
      </c>
      <c r="BZ59" s="671"/>
      <c r="CA59" s="41" t="str">
        <f>'Standard Vorgaben'!$B$139</f>
        <v>Diverse Kleingeräte</v>
      </c>
      <c r="CB59" s="43"/>
      <c r="CC59" s="43"/>
      <c r="CD59" s="44"/>
      <c r="CE59" s="501">
        <f>'Standard Vorgaben'!D139</f>
        <v>500</v>
      </c>
      <c r="CF59" s="652">
        <f>CE59/$CE$81</f>
        <v>1.416213945715966E-2</v>
      </c>
      <c r="CG59" s="671"/>
      <c r="CH59" s="41" t="str">
        <f>'Standard Vorgaben'!$B$139</f>
        <v>Diverse Kleingeräte</v>
      </c>
      <c r="CI59" s="43"/>
      <c r="CJ59" s="43"/>
      <c r="CK59" s="44"/>
      <c r="CL59" s="501">
        <f>'Standard Vorgaben'!D139</f>
        <v>500</v>
      </c>
      <c r="CM59" s="652">
        <f>CL59/$CL$81</f>
        <v>1.3810454680480415E-2</v>
      </c>
      <c r="CN59" s="671"/>
      <c r="CO59" s="41" t="str">
        <f>'Standard Vorgaben'!$B$139</f>
        <v>Diverse Kleingeräte</v>
      </c>
      <c r="CP59" s="43"/>
      <c r="CQ59" s="43"/>
      <c r="CR59" s="44"/>
      <c r="CS59" s="501">
        <f>'Standard Vorgaben'!D139</f>
        <v>500</v>
      </c>
      <c r="CT59" s="652">
        <f>CS59/$CS$81</f>
        <v>1.3760036890396565E-2</v>
      </c>
      <c r="CU59" s="671"/>
      <c r="CV59" s="41" t="str">
        <f>'Standard Vorgaben'!$B$139</f>
        <v>Diverse Kleingeräte</v>
      </c>
      <c r="CW59" s="43"/>
      <c r="CX59" s="43"/>
      <c r="CY59" s="44"/>
      <c r="CZ59" s="501">
        <f>'Standard Vorgaben'!D139</f>
        <v>500</v>
      </c>
      <c r="DA59" s="652">
        <f>CZ59/$CZ$81</f>
        <v>1.2186067678070116E-2</v>
      </c>
    </row>
    <row r="60" spans="1:105" s="1" customFormat="1" ht="12.75" x14ac:dyDescent="0.2">
      <c r="A60" s="535"/>
      <c r="B60" s="4"/>
      <c r="C60" s="35"/>
      <c r="D60" s="35"/>
      <c r="E60" s="47"/>
      <c r="F60" s="53">
        <f>SUM(F54:F59)</f>
        <v>2354</v>
      </c>
      <c r="G60" s="649">
        <f t="shared" si="15"/>
        <v>0.18462895051645525</v>
      </c>
      <c r="H60" s="535"/>
      <c r="I60" s="4"/>
      <c r="J60" s="35"/>
      <c r="K60" s="35"/>
      <c r="L60" s="47"/>
      <c r="M60" s="53">
        <f>SUM(M54:M59)</f>
        <v>2819.6890625000001</v>
      </c>
      <c r="N60" s="649">
        <f t="shared" si="16"/>
        <v>0.17368718006926936</v>
      </c>
      <c r="O60" s="535"/>
      <c r="P60" s="4"/>
      <c r="Q60" s="35"/>
      <c r="R60" s="35"/>
      <c r="S60" s="47"/>
      <c r="T60" s="53">
        <f>SUM(T54:T59)</f>
        <v>4668.361328125</v>
      </c>
      <c r="U60" s="649">
        <f t="shared" si="17"/>
        <v>0.1569803384468561</v>
      </c>
      <c r="V60" s="535"/>
      <c r="W60" s="4"/>
      <c r="X60" s="35"/>
      <c r="Y60" s="35"/>
      <c r="Z60" s="47"/>
      <c r="AA60" s="53">
        <f>SUM(AA54:AA59)</f>
        <v>5377.7796354166667</v>
      </c>
      <c r="AB60" s="649">
        <f t="shared" si="18"/>
        <v>0.16156749118987723</v>
      </c>
      <c r="AC60" s="535"/>
      <c r="AD60" s="4"/>
      <c r="AE60" s="35"/>
      <c r="AF60" s="35"/>
      <c r="AG60" s="47"/>
      <c r="AH60" s="53">
        <f>SUM(AH54:AH59)</f>
        <v>5682.7964322916669</v>
      </c>
      <c r="AI60" s="649">
        <f t="shared" si="19"/>
        <v>0.16066198535972656</v>
      </c>
      <c r="AJ60" s="535"/>
      <c r="AK60" s="4"/>
      <c r="AL60" s="35"/>
      <c r="AM60" s="35"/>
      <c r="AN60" s="47"/>
      <c r="AO60" s="53">
        <f>SUM(AO54:AO59)</f>
        <v>5987.8132291666661</v>
      </c>
      <c r="AP60" s="649">
        <f>AO60/$AO$81</f>
        <v>0.16010317565513432</v>
      </c>
      <c r="AQ60" s="535"/>
      <c r="AR60" s="4"/>
      <c r="AS60" s="35"/>
      <c r="AT60" s="35"/>
      <c r="AU60" s="47"/>
      <c r="AV60" s="53">
        <f>SUM(AV54:AV59)</f>
        <v>5712.450843098959</v>
      </c>
      <c r="AW60" s="649">
        <f>AV60/$AV$81</f>
        <v>0.16076604321471427</v>
      </c>
      <c r="AX60" s="535"/>
      <c r="AY60" s="4"/>
      <c r="AZ60" s="35"/>
      <c r="BA60" s="35"/>
      <c r="BB60" s="47"/>
      <c r="BC60" s="53">
        <f>SUM(BC54:BC59)</f>
        <v>5712.450843098959</v>
      </c>
      <c r="BD60" s="649">
        <f>BC60/$BC$81</f>
        <v>0.16073983081340806</v>
      </c>
      <c r="BE60" s="535"/>
      <c r="BF60" s="4"/>
      <c r="BG60" s="35"/>
      <c r="BH60" s="35"/>
      <c r="BI60" s="47"/>
      <c r="BJ60" s="53">
        <f>SUM(BJ54:BJ59)</f>
        <v>6258.9392708333335</v>
      </c>
      <c r="BK60" s="649">
        <f>BJ60/$BJ$81</f>
        <v>0.15983882849496731</v>
      </c>
      <c r="BL60" s="535"/>
      <c r="BM60" s="4"/>
      <c r="BN60" s="35"/>
      <c r="BO60" s="35"/>
      <c r="BP60" s="47"/>
      <c r="BQ60" s="53">
        <f>SUM(BQ54:BQ59)</f>
        <v>6360.6115364583329</v>
      </c>
      <c r="BR60" s="649">
        <f>BQ60/$BQ$81</f>
        <v>0.16008858399121645</v>
      </c>
      <c r="BS60" s="535"/>
      <c r="BT60" s="4"/>
      <c r="BU60" s="35"/>
      <c r="BV60" s="35"/>
      <c r="BW60" s="47"/>
      <c r="BX60" s="53">
        <f>SUM(BX54:BX59)</f>
        <v>5996.2859179687493</v>
      </c>
      <c r="BY60" s="649">
        <f>BX60/$BX$81</f>
        <v>0.16117181019333909</v>
      </c>
      <c r="BZ60" s="535"/>
      <c r="CA60" s="4"/>
      <c r="CB60" s="35"/>
      <c r="CC60" s="35"/>
      <c r="CD60" s="47"/>
      <c r="CE60" s="53">
        <f>SUM(CE54:CE59)</f>
        <v>5716.6871874999997</v>
      </c>
      <c r="CF60" s="649">
        <f>CE60/$CE$81</f>
        <v>0.16192104236466565</v>
      </c>
      <c r="CG60" s="535"/>
      <c r="CH60" s="4"/>
      <c r="CI60" s="35"/>
      <c r="CJ60" s="35"/>
      <c r="CK60" s="47"/>
      <c r="CL60" s="53">
        <f>SUM(CL54:CL59)</f>
        <v>5852.2502083333329</v>
      </c>
      <c r="CM60" s="649">
        <f>CL60/$CL$81</f>
        <v>0.16164447256203912</v>
      </c>
      <c r="CN60" s="535"/>
      <c r="CO60" s="4"/>
      <c r="CP60" s="35"/>
      <c r="CQ60" s="35"/>
      <c r="CR60" s="47"/>
      <c r="CS60" s="53">
        <f>SUM(CS54:CS59)</f>
        <v>5817.8309635416663</v>
      </c>
      <c r="CT60" s="649">
        <f>CS60/$CS$81</f>
        <v>0.16010713736084944</v>
      </c>
      <c r="CU60" s="535"/>
      <c r="CV60" s="4"/>
      <c r="CW60" s="35"/>
      <c r="CX60" s="35"/>
      <c r="CY60" s="47"/>
      <c r="CZ60" s="53">
        <f>SUM(CZ54:CZ59)</f>
        <v>5682.7964322916669</v>
      </c>
      <c r="DA60" s="649">
        <f>CZ60/$CZ$81</f>
        <v>0.13850188384920331</v>
      </c>
    </row>
    <row r="61" spans="1:105" s="13" customFormat="1" ht="19.5" customHeight="1" x14ac:dyDescent="0.2">
      <c r="B61" s="29"/>
      <c r="C61" s="43"/>
      <c r="D61" s="118" t="s">
        <v>27</v>
      </c>
      <c r="E61" s="291" t="s">
        <v>21</v>
      </c>
      <c r="F61" s="289" t="s">
        <v>22</v>
      </c>
      <c r="G61" s="653"/>
      <c r="I61" s="29"/>
      <c r="J61" s="43"/>
      <c r="K61" s="118" t="s">
        <v>27</v>
      </c>
      <c r="L61" s="291" t="s">
        <v>21</v>
      </c>
      <c r="M61" s="289" t="s">
        <v>22</v>
      </c>
      <c r="N61" s="653"/>
      <c r="P61" s="29"/>
      <c r="Q61" s="43"/>
      <c r="R61" s="118" t="s">
        <v>27</v>
      </c>
      <c r="S61" s="291" t="s">
        <v>21</v>
      </c>
      <c r="T61" s="289" t="s">
        <v>22</v>
      </c>
      <c r="U61" s="653"/>
      <c r="W61" s="29"/>
      <c r="X61" s="43"/>
      <c r="Y61" s="118" t="s">
        <v>27</v>
      </c>
      <c r="Z61" s="291" t="s">
        <v>21</v>
      </c>
      <c r="AA61" s="289" t="s">
        <v>22</v>
      </c>
      <c r="AB61" s="653"/>
      <c r="AD61" s="29"/>
      <c r="AE61" s="43"/>
      <c r="AF61" s="118" t="s">
        <v>27</v>
      </c>
      <c r="AG61" s="291" t="s">
        <v>21</v>
      </c>
      <c r="AH61" s="289" t="s">
        <v>22</v>
      </c>
      <c r="AI61" s="653"/>
      <c r="AK61" s="29"/>
      <c r="AL61" s="43"/>
      <c r="AM61" s="118" t="s">
        <v>27</v>
      </c>
      <c r="AN61" s="291" t="s">
        <v>21</v>
      </c>
      <c r="AO61" s="289" t="s">
        <v>22</v>
      </c>
      <c r="AP61" s="653"/>
      <c r="AR61" s="29"/>
      <c r="AS61" s="43"/>
      <c r="AT61" s="118" t="s">
        <v>27</v>
      </c>
      <c r="AU61" s="291" t="s">
        <v>21</v>
      </c>
      <c r="AV61" s="289" t="s">
        <v>22</v>
      </c>
      <c r="AW61" s="653"/>
      <c r="AY61" s="29"/>
      <c r="AZ61" s="43"/>
      <c r="BA61" s="118" t="s">
        <v>27</v>
      </c>
      <c r="BB61" s="291" t="s">
        <v>21</v>
      </c>
      <c r="BC61" s="289" t="s">
        <v>22</v>
      </c>
      <c r="BD61" s="653"/>
      <c r="BF61" s="29"/>
      <c r="BG61" s="43"/>
      <c r="BH61" s="118" t="s">
        <v>27</v>
      </c>
      <c r="BI61" s="291" t="s">
        <v>21</v>
      </c>
      <c r="BJ61" s="289" t="s">
        <v>22</v>
      </c>
      <c r="BK61" s="653"/>
      <c r="BM61" s="29"/>
      <c r="BN61" s="43"/>
      <c r="BO61" s="118" t="s">
        <v>27</v>
      </c>
      <c r="BP61" s="291" t="s">
        <v>21</v>
      </c>
      <c r="BQ61" s="289" t="s">
        <v>22</v>
      </c>
      <c r="BR61" s="653"/>
      <c r="BT61" s="29"/>
      <c r="BU61" s="43"/>
      <c r="BV61" s="118" t="s">
        <v>27</v>
      </c>
      <c r="BW61" s="291" t="s">
        <v>21</v>
      </c>
      <c r="BX61" s="289" t="s">
        <v>22</v>
      </c>
      <c r="BY61" s="653"/>
      <c r="CA61" s="29"/>
      <c r="CB61" s="43"/>
      <c r="CC61" s="118" t="s">
        <v>27</v>
      </c>
      <c r="CD61" s="291" t="s">
        <v>21</v>
      </c>
      <c r="CE61" s="289" t="s">
        <v>22</v>
      </c>
      <c r="CF61" s="653"/>
      <c r="CH61" s="29"/>
      <c r="CI61" s="43"/>
      <c r="CJ61" s="118" t="s">
        <v>27</v>
      </c>
      <c r="CK61" s="291" t="s">
        <v>21</v>
      </c>
      <c r="CL61" s="289" t="s">
        <v>22</v>
      </c>
      <c r="CM61" s="653"/>
      <c r="CO61" s="29"/>
      <c r="CP61" s="43"/>
      <c r="CQ61" s="118" t="s">
        <v>27</v>
      </c>
      <c r="CR61" s="291" t="s">
        <v>21</v>
      </c>
      <c r="CS61" s="289" t="s">
        <v>22</v>
      </c>
      <c r="CT61" s="653"/>
      <c r="CV61" s="29"/>
      <c r="CW61" s="43"/>
      <c r="CX61" s="118" t="s">
        <v>27</v>
      </c>
      <c r="CY61" s="291" t="s">
        <v>21</v>
      </c>
      <c r="CZ61" s="289" t="s">
        <v>22</v>
      </c>
      <c r="DA61" s="653"/>
    </row>
    <row r="62" spans="1:105" s="19" customFormat="1" ht="15.75" customHeight="1" x14ac:dyDescent="0.2">
      <c r="A62" s="40" t="s">
        <v>62</v>
      </c>
      <c r="B62" s="41" t="s">
        <v>29</v>
      </c>
      <c r="C62" s="43"/>
      <c r="D62" s="349">
        <f>C49*D49</f>
        <v>0</v>
      </c>
      <c r="E62" s="44">
        <f>'Standard Vorgaben'!$C$36</f>
        <v>32.700000000000003</v>
      </c>
      <c r="F62" s="45">
        <f>D62*E62</f>
        <v>0</v>
      </c>
      <c r="G62" s="652">
        <f t="shared" ref="G62:G73" si="34">F62/$F$81</f>
        <v>0</v>
      </c>
      <c r="H62" s="40" t="s">
        <v>62</v>
      </c>
      <c r="I62" s="41" t="s">
        <v>29</v>
      </c>
      <c r="J62" s="43"/>
      <c r="K62" s="349">
        <f>J49*K49</f>
        <v>1</v>
      </c>
      <c r="L62" s="44">
        <f>'Standard Vorgaben'!$C$36</f>
        <v>32.700000000000003</v>
      </c>
      <c r="M62" s="45">
        <f>K62*L62</f>
        <v>32.700000000000003</v>
      </c>
      <c r="N62" s="652">
        <f>M62/$M$81</f>
        <v>2.0142542891695555E-3</v>
      </c>
      <c r="O62" s="40" t="s">
        <v>62</v>
      </c>
      <c r="P62" s="41" t="s">
        <v>29</v>
      </c>
      <c r="Q62" s="43"/>
      <c r="R62" s="349">
        <f>Q49*R49</f>
        <v>2</v>
      </c>
      <c r="S62" s="44">
        <f>'Standard Vorgaben'!$C$36</f>
        <v>32.700000000000003</v>
      </c>
      <c r="T62" s="45">
        <f>R62*S62</f>
        <v>65.400000000000006</v>
      </c>
      <c r="U62" s="652">
        <f>T62/$T$81</f>
        <v>2.1991687045672258E-3</v>
      </c>
      <c r="V62" s="40" t="s">
        <v>62</v>
      </c>
      <c r="W62" s="41" t="s">
        <v>29</v>
      </c>
      <c r="X62" s="43"/>
      <c r="Y62" s="349">
        <f>X49*Y49</f>
        <v>4</v>
      </c>
      <c r="Z62" s="44">
        <f>'Standard Vorgaben'!$C$36</f>
        <v>32.700000000000003</v>
      </c>
      <c r="AA62" s="45">
        <f t="shared" ref="AA62:AA74" si="35">Y62*Z62</f>
        <v>130.80000000000001</v>
      </c>
      <c r="AB62" s="652">
        <f>AA62/$AA$81</f>
        <v>3.929693903494908E-3</v>
      </c>
      <c r="AC62" s="40" t="s">
        <v>62</v>
      </c>
      <c r="AD62" s="41" t="s">
        <v>29</v>
      </c>
      <c r="AE62" s="43"/>
      <c r="AF62" s="349">
        <f>AE49*AF49</f>
        <v>4</v>
      </c>
      <c r="AG62" s="44">
        <f>'Standard Vorgaben'!$C$36</f>
        <v>32.700000000000003</v>
      </c>
      <c r="AH62" s="45">
        <f t="shared" ref="AH62:AH74" si="36">AF62*AG62</f>
        <v>130.80000000000001</v>
      </c>
      <c r="AI62" s="652">
        <f>AH62/$AH$81</f>
        <v>3.6979307521275771E-3</v>
      </c>
      <c r="AJ62" s="40" t="s">
        <v>62</v>
      </c>
      <c r="AK62" s="41" t="s">
        <v>29</v>
      </c>
      <c r="AL62" s="43"/>
      <c r="AM62" s="349">
        <f>AL49*AM49</f>
        <v>4</v>
      </c>
      <c r="AN62" s="44">
        <f>'Standard Vorgaben'!$C$36</f>
        <v>32.700000000000003</v>
      </c>
      <c r="AO62" s="45">
        <f t="shared" ref="AO62:AO74" si="37">AM62*AN62</f>
        <v>130.80000000000001</v>
      </c>
      <c r="AP62" s="652">
        <f>AO62/$AO$81</f>
        <v>3.4973528021357528E-3</v>
      </c>
      <c r="AQ62" s="40" t="s">
        <v>62</v>
      </c>
      <c r="AR62" s="41" t="s">
        <v>29</v>
      </c>
      <c r="AS62" s="43"/>
      <c r="AT62" s="349">
        <f>AS49*AT49</f>
        <v>4</v>
      </c>
      <c r="AU62" s="44">
        <f>'Standard Vorgaben'!$C$36</f>
        <v>32.700000000000003</v>
      </c>
      <c r="AV62" s="45">
        <f t="shared" ref="AV62:AV74" si="38">AT62*AU62</f>
        <v>130.80000000000001</v>
      </c>
      <c r="AW62" s="652">
        <f>AV62/$AV$81</f>
        <v>3.681116744818586E-3</v>
      </c>
      <c r="AX62" s="40" t="s">
        <v>62</v>
      </c>
      <c r="AY62" s="41" t="s">
        <v>29</v>
      </c>
      <c r="AZ62" s="43"/>
      <c r="BA62" s="349">
        <f>AZ49*BA49</f>
        <v>4</v>
      </c>
      <c r="BB62" s="44">
        <f>'Standard Vorgaben'!$C$36</f>
        <v>32.700000000000003</v>
      </c>
      <c r="BC62" s="45">
        <f t="shared" ref="BC62:BC74" si="39">BA62*BB62</f>
        <v>130.80000000000001</v>
      </c>
      <c r="BD62" s="652">
        <f>BC62/$BC$81</f>
        <v>3.6805165502287289E-3</v>
      </c>
      <c r="BE62" s="40" t="s">
        <v>62</v>
      </c>
      <c r="BF62" s="41" t="s">
        <v>29</v>
      </c>
      <c r="BG62" s="43"/>
      <c r="BH62" s="349">
        <f>BG49*BH49</f>
        <v>4</v>
      </c>
      <c r="BI62" s="44">
        <f>'Standard Vorgaben'!$C$36</f>
        <v>32.700000000000003</v>
      </c>
      <c r="BJ62" s="45">
        <f t="shared" ref="BJ62:BJ74" si="40">BH62*BI62</f>
        <v>130.80000000000001</v>
      </c>
      <c r="BK62" s="652">
        <f>BJ62/$BJ$81</f>
        <v>3.340329385295045E-3</v>
      </c>
      <c r="BL62" s="40" t="s">
        <v>62</v>
      </c>
      <c r="BM62" s="41" t="s">
        <v>29</v>
      </c>
      <c r="BN62" s="43"/>
      <c r="BO62" s="349">
        <f>BN49*BO49</f>
        <v>4</v>
      </c>
      <c r="BP62" s="44">
        <f>'Standard Vorgaben'!$C$36</f>
        <v>32.700000000000003</v>
      </c>
      <c r="BQ62" s="45">
        <f t="shared" ref="BQ62:BQ74" si="41">BO62*BP62</f>
        <v>130.80000000000001</v>
      </c>
      <c r="BR62" s="652">
        <f>BQ62/$BQ$81</f>
        <v>3.2920713151601355E-3</v>
      </c>
      <c r="BS62" s="40" t="s">
        <v>62</v>
      </c>
      <c r="BT62" s="41" t="s">
        <v>29</v>
      </c>
      <c r="BU62" s="43"/>
      <c r="BV62" s="349">
        <f>BU49*BV49</f>
        <v>4</v>
      </c>
      <c r="BW62" s="44">
        <f>'Standard Vorgaben'!$C$36</f>
        <v>32.700000000000003</v>
      </c>
      <c r="BX62" s="45">
        <f t="shared" ref="BX62:BX74" si="42">BV62*BW62</f>
        <v>130.80000000000001</v>
      </c>
      <c r="BY62" s="652">
        <f t="shared" ref="BY62:BY75" si="43">BX62/$BX$81</f>
        <v>3.5157217420396236E-3</v>
      </c>
      <c r="BZ62" s="40" t="s">
        <v>62</v>
      </c>
      <c r="CA62" s="41" t="s">
        <v>29</v>
      </c>
      <c r="CB62" s="43"/>
      <c r="CC62" s="349">
        <f>CB49*CC49</f>
        <v>4</v>
      </c>
      <c r="CD62" s="44">
        <f>'Standard Vorgaben'!$C$36</f>
        <v>32.700000000000003</v>
      </c>
      <c r="CE62" s="45">
        <f t="shared" ref="CE62:CE74" si="44">CC62*CD62</f>
        <v>130.80000000000001</v>
      </c>
      <c r="CF62" s="652">
        <f>CE62/$CE$81</f>
        <v>3.7048156819929671E-3</v>
      </c>
      <c r="CG62" s="40" t="s">
        <v>62</v>
      </c>
      <c r="CH62" s="41" t="s">
        <v>29</v>
      </c>
      <c r="CI62" s="43"/>
      <c r="CJ62" s="349">
        <f>CI49*CJ49</f>
        <v>4</v>
      </c>
      <c r="CK62" s="44">
        <f>'Standard Vorgaben'!$C$36</f>
        <v>32.700000000000003</v>
      </c>
      <c r="CL62" s="45">
        <f t="shared" ref="CL62:CL74" si="45">CJ62*CK62</f>
        <v>130.80000000000001</v>
      </c>
      <c r="CM62" s="652">
        <f>CL62/$CL$81</f>
        <v>3.6128149444136768E-3</v>
      </c>
      <c r="CN62" s="40" t="s">
        <v>62</v>
      </c>
      <c r="CO62" s="41" t="s">
        <v>29</v>
      </c>
      <c r="CP62" s="43"/>
      <c r="CQ62" s="349">
        <f>CP49*CQ49</f>
        <v>4</v>
      </c>
      <c r="CR62" s="44">
        <f>'Standard Vorgaben'!$C$36</f>
        <v>32.700000000000003</v>
      </c>
      <c r="CS62" s="45">
        <f t="shared" ref="CS62:CS74" si="46">CQ62*CR62</f>
        <v>130.80000000000001</v>
      </c>
      <c r="CT62" s="652">
        <f>CS62/$CS$81</f>
        <v>3.5996256505277414E-3</v>
      </c>
      <c r="CU62" s="40" t="s">
        <v>62</v>
      </c>
      <c r="CV62" s="41" t="s">
        <v>29</v>
      </c>
      <c r="CW62" s="43"/>
      <c r="CX62" s="349">
        <f>CW49*CX49</f>
        <v>4</v>
      </c>
      <c r="CY62" s="44">
        <f>'Standard Vorgaben'!$C$36</f>
        <v>32.700000000000003</v>
      </c>
      <c r="CZ62" s="45">
        <f t="shared" ref="CZ62:CZ74" si="47">CX62*CY62</f>
        <v>130.80000000000001</v>
      </c>
      <c r="DA62" s="652">
        <f t="shared" ref="DA62:DA75" si="48">CZ62/$CZ$81</f>
        <v>3.1878753045831427E-3</v>
      </c>
    </row>
    <row r="63" spans="1:105" s="1" customFormat="1" ht="12.75" x14ac:dyDescent="0.2">
      <c r="A63" s="231"/>
      <c r="B63" s="41" t="s">
        <v>147</v>
      </c>
      <c r="C63" s="19"/>
      <c r="D63" s="39">
        <f>((C47*D47)+(C48*D48))+'Standard Vorgaben'!$B$93+'Standard Vorgaben'!$C$93</f>
        <v>28</v>
      </c>
      <c r="E63" s="44">
        <f>'Standard Vorgaben'!$C$36</f>
        <v>32.700000000000003</v>
      </c>
      <c r="F63" s="45">
        <f t="shared" ref="F63:F74" si="49">D63*E63</f>
        <v>915.60000000000014</v>
      </c>
      <c r="G63" s="652">
        <f t="shared" si="34"/>
        <v>7.1812347957887185E-2</v>
      </c>
      <c r="H63" s="231"/>
      <c r="I63" s="41" t="s">
        <v>147</v>
      </c>
      <c r="J63" s="19"/>
      <c r="K63" s="39">
        <f>((J47*K47)+(J48*K48))+'Standard Vorgaben'!$B$93+'Standard Vorgaben'!$C$93</f>
        <v>28</v>
      </c>
      <c r="L63" s="44">
        <f>'Standard Vorgaben'!$C$36</f>
        <v>32.700000000000003</v>
      </c>
      <c r="M63" s="45">
        <f t="shared" ref="M63:M74" si="50">K63*L63</f>
        <v>915.60000000000014</v>
      </c>
      <c r="N63" s="652">
        <f>M63/$M$81</f>
        <v>5.6399120096747565E-2</v>
      </c>
      <c r="O63" s="231"/>
      <c r="P63" s="41" t="s">
        <v>147</v>
      </c>
      <c r="Q63" s="19"/>
      <c r="R63" s="39">
        <f>((Q47*R47)+(Q48*R48))+'Standard Vorgaben'!$B$93+'Standard Vorgaben'!$C$93</f>
        <v>48</v>
      </c>
      <c r="S63" s="44">
        <f>'Standard Vorgaben'!$C$36</f>
        <v>32.700000000000003</v>
      </c>
      <c r="T63" s="45">
        <f t="shared" ref="T63:T74" si="51">R63*S63</f>
        <v>1569.6000000000001</v>
      </c>
      <c r="U63" s="652">
        <f>T63/$T$81</f>
        <v>5.2780048909613422E-2</v>
      </c>
      <c r="V63" s="231"/>
      <c r="W63" s="41" t="s">
        <v>147</v>
      </c>
      <c r="X63" s="19"/>
      <c r="Y63" s="39">
        <f>((X47*Y47)+(X48*Y48))+'Standard Vorgaben'!$B$93+'Standard Vorgaben'!$C$93</f>
        <v>48</v>
      </c>
      <c r="Z63" s="44">
        <f>'Standard Vorgaben'!$C$36</f>
        <v>32.700000000000003</v>
      </c>
      <c r="AA63" s="45">
        <f t="shared" si="35"/>
        <v>1569.6000000000001</v>
      </c>
      <c r="AB63" s="652">
        <f>AA63/$AA$81</f>
        <v>4.7156326841938892E-2</v>
      </c>
      <c r="AC63" s="231"/>
      <c r="AD63" s="41" t="s">
        <v>147</v>
      </c>
      <c r="AE63" s="19"/>
      <c r="AF63" s="39">
        <f>((AE47*AF47)+(AE48*AF48))+'Standard Vorgaben'!$B$93+'Standard Vorgaben'!$C$93</f>
        <v>48</v>
      </c>
      <c r="AG63" s="44">
        <f>'Standard Vorgaben'!$C$36</f>
        <v>32.700000000000003</v>
      </c>
      <c r="AH63" s="45">
        <f t="shared" si="36"/>
        <v>1569.6000000000001</v>
      </c>
      <c r="AI63" s="652">
        <f>AH63/$AH$81</f>
        <v>4.4375169025530924E-2</v>
      </c>
      <c r="AJ63" s="231"/>
      <c r="AK63" s="41" t="s">
        <v>147</v>
      </c>
      <c r="AL63" s="19"/>
      <c r="AM63" s="39">
        <f>((AL47*AM47)+(AL48*AM48))+'Standard Vorgaben'!$B$93+'Standard Vorgaben'!$C$93</f>
        <v>48</v>
      </c>
      <c r="AN63" s="44">
        <f>'Standard Vorgaben'!$C$36</f>
        <v>32.700000000000003</v>
      </c>
      <c r="AO63" s="45">
        <f t="shared" si="37"/>
        <v>1569.6000000000001</v>
      </c>
      <c r="AP63" s="652">
        <f>AO63/$AO$81</f>
        <v>4.1968233625629035E-2</v>
      </c>
      <c r="AQ63" s="231"/>
      <c r="AR63" s="41" t="s">
        <v>147</v>
      </c>
      <c r="AS63" s="19"/>
      <c r="AT63" s="39">
        <f>((AS47*AT47)+(AS48*AT48))+'Standard Vorgaben'!$B$93+'Standard Vorgaben'!$C$93</f>
        <v>48</v>
      </c>
      <c r="AU63" s="44">
        <f>'Standard Vorgaben'!$C$36</f>
        <v>32.700000000000003</v>
      </c>
      <c r="AV63" s="45">
        <f t="shared" si="38"/>
        <v>1569.6000000000001</v>
      </c>
      <c r="AW63" s="652">
        <f>AV63/$AV$81</f>
        <v>4.4173400937823029E-2</v>
      </c>
      <c r="AX63" s="231"/>
      <c r="AY63" s="41" t="s">
        <v>147</v>
      </c>
      <c r="AZ63" s="19"/>
      <c r="BA63" s="39">
        <f>((AZ47*BA47)+(AZ48*BA48))+'Standard Vorgaben'!$B$93+'Standard Vorgaben'!$C$93</f>
        <v>48</v>
      </c>
      <c r="BB63" s="44">
        <f>'Standard Vorgaben'!$C$36</f>
        <v>32.700000000000003</v>
      </c>
      <c r="BC63" s="45">
        <f t="shared" si="39"/>
        <v>1569.6000000000001</v>
      </c>
      <c r="BD63" s="652">
        <f>BC63/$BC$81</f>
        <v>4.4166198602744747E-2</v>
      </c>
      <c r="BE63" s="231"/>
      <c r="BF63" s="41" t="s">
        <v>147</v>
      </c>
      <c r="BG63" s="19"/>
      <c r="BH63" s="39">
        <f>((BG47*BH47)+(BG48*BH48))+'Standard Vorgaben'!$B$93+'Standard Vorgaben'!$C$93</f>
        <v>48</v>
      </c>
      <c r="BI63" s="44">
        <f>'Standard Vorgaben'!$C$36</f>
        <v>32.700000000000003</v>
      </c>
      <c r="BJ63" s="45">
        <f t="shared" si="40"/>
        <v>1569.6000000000001</v>
      </c>
      <c r="BK63" s="652">
        <f>BJ63/$BJ$81</f>
        <v>4.0083952623540538E-2</v>
      </c>
      <c r="BL63" s="231"/>
      <c r="BM63" s="41" t="s">
        <v>147</v>
      </c>
      <c r="BN63" s="19"/>
      <c r="BO63" s="39">
        <f>((BN47*BO47)+(BN48*BO48))+'Standard Vorgaben'!$B$93+'Standard Vorgaben'!$C$93</f>
        <v>48</v>
      </c>
      <c r="BP63" s="44">
        <f>'Standard Vorgaben'!$C$36</f>
        <v>32.700000000000003</v>
      </c>
      <c r="BQ63" s="45">
        <f t="shared" si="41"/>
        <v>1569.6000000000001</v>
      </c>
      <c r="BR63" s="652">
        <f>BQ63/$BQ$81</f>
        <v>3.9504855781921623E-2</v>
      </c>
      <c r="BS63" s="231"/>
      <c r="BT63" s="41" t="s">
        <v>147</v>
      </c>
      <c r="BU63" s="19"/>
      <c r="BV63" s="39">
        <f>((BU47*BV47)+(BU48*BV48))+'Standard Vorgaben'!$B$93+'Standard Vorgaben'!$C$93</f>
        <v>48</v>
      </c>
      <c r="BW63" s="44">
        <f>'Standard Vorgaben'!$C$36</f>
        <v>32.700000000000003</v>
      </c>
      <c r="BX63" s="45">
        <f t="shared" si="42"/>
        <v>1569.6000000000001</v>
      </c>
      <c r="BY63" s="652">
        <f t="shared" si="43"/>
        <v>4.2188660904475483E-2</v>
      </c>
      <c r="BZ63" s="231"/>
      <c r="CA63" s="41" t="s">
        <v>147</v>
      </c>
      <c r="CB63" s="19"/>
      <c r="CC63" s="39">
        <f>((CB47*CC47)+(CB48*CC48))+'Standard Vorgaben'!$B$93+'Standard Vorgaben'!$C$93</f>
        <v>48</v>
      </c>
      <c r="CD63" s="44">
        <f>'Standard Vorgaben'!$C$36</f>
        <v>32.700000000000003</v>
      </c>
      <c r="CE63" s="45">
        <f t="shared" si="44"/>
        <v>1569.6000000000001</v>
      </c>
      <c r="CF63" s="652">
        <f>CE63/$CE$81</f>
        <v>4.4457788183915603E-2</v>
      </c>
      <c r="CG63" s="231"/>
      <c r="CH63" s="41" t="s">
        <v>147</v>
      </c>
      <c r="CI63" s="19"/>
      <c r="CJ63" s="39">
        <f>((CI47*CJ47)+(CI48*CJ48))+'Standard Vorgaben'!$B$93+'Standard Vorgaben'!$C$93</f>
        <v>48</v>
      </c>
      <c r="CK63" s="44">
        <f>'Standard Vorgaben'!$C$36</f>
        <v>32.700000000000003</v>
      </c>
      <c r="CL63" s="45">
        <f t="shared" si="45"/>
        <v>1569.6000000000001</v>
      </c>
      <c r="CM63" s="652">
        <f>CL63/$CL$81</f>
        <v>4.3353779332964124E-2</v>
      </c>
      <c r="CN63" s="231"/>
      <c r="CO63" s="41" t="s">
        <v>147</v>
      </c>
      <c r="CP63" s="19"/>
      <c r="CQ63" s="39">
        <f>((CP47*CQ47)+(CP48*CQ48))+'Standard Vorgaben'!$B$93+'Standard Vorgaben'!$C$93</f>
        <v>48</v>
      </c>
      <c r="CR63" s="44">
        <f>'Standard Vorgaben'!$C$36</f>
        <v>32.700000000000003</v>
      </c>
      <c r="CS63" s="45">
        <f t="shared" si="46"/>
        <v>1569.6000000000001</v>
      </c>
      <c r="CT63" s="652">
        <f>CS63/$CS$81</f>
        <v>4.3195507806332897E-2</v>
      </c>
      <c r="CU63" s="231"/>
      <c r="CV63" s="41" t="s">
        <v>147</v>
      </c>
      <c r="CW63" s="19"/>
      <c r="CX63" s="39">
        <f>((CW47*CX47)+(CW48*CX48))+'Standard Vorgaben'!$B$93+'Standard Vorgaben'!$C$93</f>
        <v>48</v>
      </c>
      <c r="CY63" s="44">
        <f>'Standard Vorgaben'!$C$36</f>
        <v>32.700000000000003</v>
      </c>
      <c r="CZ63" s="45">
        <f t="shared" si="47"/>
        <v>1569.6000000000001</v>
      </c>
      <c r="DA63" s="652">
        <f t="shared" si="48"/>
        <v>3.8254503654997711E-2</v>
      </c>
    </row>
    <row r="64" spans="1:105" s="1" customFormat="1" ht="12.75" x14ac:dyDescent="0.2">
      <c r="A64" s="231"/>
      <c r="B64" s="41" t="str">
        <f>'Standard Vorgaben'!$D$90</f>
        <v>Baumerziehung 
(Sommer+Winter)</v>
      </c>
      <c r="C64" s="43"/>
      <c r="D64" s="39">
        <f>'Standard Vorgaben'!D94</f>
        <v>50</v>
      </c>
      <c r="E64" s="44">
        <f>'Standard Vorgaben'!$C$36</f>
        <v>32.700000000000003</v>
      </c>
      <c r="F64" s="45">
        <f t="shared" si="49"/>
        <v>1635.0000000000002</v>
      </c>
      <c r="G64" s="652">
        <f t="shared" si="34"/>
        <v>0.12823633563908426</v>
      </c>
      <c r="H64" s="231"/>
      <c r="I64" s="41" t="str">
        <f>'Standard Vorgaben'!$D$90</f>
        <v>Baumerziehung 
(Sommer+Winter)</v>
      </c>
      <c r="J64" s="43"/>
      <c r="K64" s="39">
        <f>'Standard Vorgaben'!D95</f>
        <v>50</v>
      </c>
      <c r="L64" s="44">
        <f>'Standard Vorgaben'!$C$36</f>
        <v>32.700000000000003</v>
      </c>
      <c r="M64" s="45">
        <f t="shared" si="50"/>
        <v>1635.0000000000002</v>
      </c>
      <c r="N64" s="652">
        <f>M64/$M$81</f>
        <v>0.10071271445847779</v>
      </c>
      <c r="O64" s="231"/>
      <c r="P64" s="41" t="str">
        <f>'Standard Vorgaben'!$D$90</f>
        <v>Baumerziehung 
(Sommer+Winter)</v>
      </c>
      <c r="Q64" s="43"/>
      <c r="R64" s="39">
        <f>'Standard Vorgaben'!D93</f>
        <v>120</v>
      </c>
      <c r="S64" s="44">
        <f>'Standard Vorgaben'!$C$36</f>
        <v>32.700000000000003</v>
      </c>
      <c r="T64" s="45">
        <f t="shared" si="51"/>
        <v>3924.0000000000005</v>
      </c>
      <c r="U64" s="652">
        <f>T64/$T$81</f>
        <v>0.13195012227403355</v>
      </c>
      <c r="V64" s="231"/>
      <c r="W64" s="41" t="str">
        <f>'Standard Vorgaben'!$D$90</f>
        <v>Baumerziehung 
(Sommer+Winter)</v>
      </c>
      <c r="X64" s="43"/>
      <c r="Y64" s="39">
        <f>'Standard Vorgaben'!$D$93</f>
        <v>120</v>
      </c>
      <c r="Z64" s="44">
        <f>'Standard Vorgaben'!$C$36</f>
        <v>32.700000000000003</v>
      </c>
      <c r="AA64" s="45">
        <f t="shared" si="35"/>
        <v>3924.0000000000005</v>
      </c>
      <c r="AB64" s="652">
        <f>AA64/$AA$81</f>
        <v>0.11789081710484724</v>
      </c>
      <c r="AC64" s="231"/>
      <c r="AD64" s="41" t="str">
        <f>'Standard Vorgaben'!$D$90</f>
        <v>Baumerziehung 
(Sommer+Winter)</v>
      </c>
      <c r="AE64" s="43"/>
      <c r="AF64" s="39">
        <f>'Standard Vorgaben'!$D$93</f>
        <v>120</v>
      </c>
      <c r="AG64" s="44">
        <f>'Standard Vorgaben'!$C$36</f>
        <v>32.700000000000003</v>
      </c>
      <c r="AH64" s="45">
        <f t="shared" si="36"/>
        <v>3924.0000000000005</v>
      </c>
      <c r="AI64" s="652">
        <f>AH64/$AH$81</f>
        <v>0.11093792256382731</v>
      </c>
      <c r="AJ64" s="231"/>
      <c r="AK64" s="41" t="str">
        <f>'Standard Vorgaben'!$D$90</f>
        <v>Baumerziehung 
(Sommer+Winter)</v>
      </c>
      <c r="AL64" s="43"/>
      <c r="AM64" s="39">
        <f>'Standard Vorgaben'!$D$93</f>
        <v>120</v>
      </c>
      <c r="AN64" s="44">
        <f>'Standard Vorgaben'!$C$36</f>
        <v>32.700000000000003</v>
      </c>
      <c r="AO64" s="45">
        <f t="shared" si="37"/>
        <v>3924.0000000000005</v>
      </c>
      <c r="AP64" s="652">
        <f>AO64/$AO$81</f>
        <v>0.10492058406407259</v>
      </c>
      <c r="AQ64" s="231"/>
      <c r="AR64" s="41" t="str">
        <f>'Standard Vorgaben'!$D$90</f>
        <v>Baumerziehung 
(Sommer+Winter)</v>
      </c>
      <c r="AS64" s="43"/>
      <c r="AT64" s="39">
        <f>'Standard Vorgaben'!$D$93</f>
        <v>120</v>
      </c>
      <c r="AU64" s="44">
        <f>'Standard Vorgaben'!$C$36</f>
        <v>32.700000000000003</v>
      </c>
      <c r="AV64" s="45">
        <f t="shared" si="38"/>
        <v>3924.0000000000005</v>
      </c>
      <c r="AW64" s="652">
        <f>AV64/$AV$81</f>
        <v>0.11043350234455758</v>
      </c>
      <c r="AX64" s="231"/>
      <c r="AY64" s="41" t="str">
        <f>'Standard Vorgaben'!$D$90</f>
        <v>Baumerziehung 
(Sommer+Winter)</v>
      </c>
      <c r="AZ64" s="43"/>
      <c r="BA64" s="39">
        <f>'Standard Vorgaben'!$D$93</f>
        <v>120</v>
      </c>
      <c r="BB64" s="44">
        <f>'Standard Vorgaben'!$C$36</f>
        <v>32.700000000000003</v>
      </c>
      <c r="BC64" s="45">
        <f t="shared" si="39"/>
        <v>3924.0000000000005</v>
      </c>
      <c r="BD64" s="652">
        <f>BC64/$BC$81</f>
        <v>0.11041549650686187</v>
      </c>
      <c r="BE64" s="231"/>
      <c r="BF64" s="41" t="str">
        <f>'Standard Vorgaben'!$D$90</f>
        <v>Baumerziehung 
(Sommer+Winter)</v>
      </c>
      <c r="BG64" s="43"/>
      <c r="BH64" s="39">
        <f>'Standard Vorgaben'!$D$93</f>
        <v>120</v>
      </c>
      <c r="BI64" s="44">
        <f>'Standard Vorgaben'!$C$36</f>
        <v>32.700000000000003</v>
      </c>
      <c r="BJ64" s="45">
        <f t="shared" si="40"/>
        <v>3924.0000000000005</v>
      </c>
      <c r="BK64" s="652">
        <f>BJ64/$BJ$81</f>
        <v>0.10020988155885135</v>
      </c>
      <c r="BL64" s="231"/>
      <c r="BM64" s="41" t="str">
        <f>'Standard Vorgaben'!$D$90</f>
        <v>Baumerziehung 
(Sommer+Winter)</v>
      </c>
      <c r="BN64" s="43"/>
      <c r="BO64" s="39">
        <f>'Standard Vorgaben'!$D$93</f>
        <v>120</v>
      </c>
      <c r="BP64" s="44">
        <f>'Standard Vorgaben'!$C$36</f>
        <v>32.700000000000003</v>
      </c>
      <c r="BQ64" s="45">
        <f t="shared" si="41"/>
        <v>3924.0000000000005</v>
      </c>
      <c r="BR64" s="652">
        <f>BQ64/$BQ$81</f>
        <v>9.8762139454804068E-2</v>
      </c>
      <c r="BS64" s="231"/>
      <c r="BT64" s="41" t="str">
        <f>'Standard Vorgaben'!$D$90</f>
        <v>Baumerziehung 
(Sommer+Winter)</v>
      </c>
      <c r="BU64" s="43"/>
      <c r="BV64" s="39">
        <f>'Standard Vorgaben'!$D$93</f>
        <v>120</v>
      </c>
      <c r="BW64" s="44">
        <f>'Standard Vorgaben'!$C$36</f>
        <v>32.700000000000003</v>
      </c>
      <c r="BX64" s="45">
        <f t="shared" si="42"/>
        <v>3924.0000000000005</v>
      </c>
      <c r="BY64" s="652">
        <f t="shared" si="43"/>
        <v>0.10547165226118871</v>
      </c>
      <c r="BZ64" s="231"/>
      <c r="CA64" s="41" t="str">
        <f>'Standard Vorgaben'!$D$90</f>
        <v>Baumerziehung 
(Sommer+Winter)</v>
      </c>
      <c r="CB64" s="43"/>
      <c r="CC64" s="39">
        <f>'Standard Vorgaben'!$D$93</f>
        <v>120</v>
      </c>
      <c r="CD64" s="44">
        <f>'Standard Vorgaben'!$C$36</f>
        <v>32.700000000000003</v>
      </c>
      <c r="CE64" s="45">
        <f t="shared" si="44"/>
        <v>3924.0000000000005</v>
      </c>
      <c r="CF64" s="652">
        <f>CE64/$CE$81</f>
        <v>0.11114447045978902</v>
      </c>
      <c r="CG64" s="231"/>
      <c r="CH64" s="41" t="str">
        <f>'Standard Vorgaben'!$D$90</f>
        <v>Baumerziehung 
(Sommer+Winter)</v>
      </c>
      <c r="CI64" s="43"/>
      <c r="CJ64" s="39">
        <f>'Standard Vorgaben'!$D$93</f>
        <v>120</v>
      </c>
      <c r="CK64" s="44">
        <f>'Standard Vorgaben'!$C$36</f>
        <v>32.700000000000003</v>
      </c>
      <c r="CL64" s="45">
        <f t="shared" si="45"/>
        <v>3924.0000000000005</v>
      </c>
      <c r="CM64" s="652">
        <f>CL64/$CL$81</f>
        <v>0.10838444833241032</v>
      </c>
      <c r="CN64" s="231"/>
      <c r="CO64" s="41" t="str">
        <f>'Standard Vorgaben'!$D$90</f>
        <v>Baumerziehung 
(Sommer+Winter)</v>
      </c>
      <c r="CP64" s="43"/>
      <c r="CQ64" s="39">
        <f>'Standard Vorgaben'!$D$93</f>
        <v>120</v>
      </c>
      <c r="CR64" s="44">
        <f>'Standard Vorgaben'!$C$36</f>
        <v>32.700000000000003</v>
      </c>
      <c r="CS64" s="45">
        <f t="shared" si="46"/>
        <v>3924.0000000000005</v>
      </c>
      <c r="CT64" s="652">
        <f>CS64/$CS$81</f>
        <v>0.10798876951583225</v>
      </c>
      <c r="CU64" s="231"/>
      <c r="CV64" s="41" t="str">
        <f>'Standard Vorgaben'!$D$90</f>
        <v>Baumerziehung 
(Sommer+Winter)</v>
      </c>
      <c r="CW64" s="43"/>
      <c r="CX64" s="39">
        <f>'Standard Vorgaben'!$D$93</f>
        <v>120</v>
      </c>
      <c r="CY64" s="44">
        <f>'Standard Vorgaben'!$C$36</f>
        <v>32.700000000000003</v>
      </c>
      <c r="CZ64" s="45">
        <f t="shared" si="47"/>
        <v>3924.0000000000005</v>
      </c>
      <c r="DA64" s="652">
        <f t="shared" si="48"/>
        <v>9.5636259137494281E-2</v>
      </c>
    </row>
    <row r="65" spans="1:105" s="1" customFormat="1" ht="12.75" x14ac:dyDescent="0.2">
      <c r="A65" s="40"/>
      <c r="B65" s="41" t="s">
        <v>96</v>
      </c>
      <c r="C65" s="43"/>
      <c r="D65" s="349">
        <f>(C52*D52)+(C53*D53)</f>
        <v>7</v>
      </c>
      <c r="E65" s="44">
        <f>'Standard Vorgaben'!$C$36</f>
        <v>32.700000000000003</v>
      </c>
      <c r="F65" s="45">
        <f t="shared" si="49"/>
        <v>228.90000000000003</v>
      </c>
      <c r="G65" s="652">
        <f t="shared" si="34"/>
        <v>1.7953086989471796E-2</v>
      </c>
      <c r="H65" s="40"/>
      <c r="I65" s="41" t="s">
        <v>96</v>
      </c>
      <c r="J65" s="43"/>
      <c r="K65" s="349">
        <f>(J52*K52)+(J53*K53)</f>
        <v>7</v>
      </c>
      <c r="L65" s="44">
        <f>'Standard Vorgaben'!$C$36</f>
        <v>32.700000000000003</v>
      </c>
      <c r="M65" s="45">
        <f t="shared" si="50"/>
        <v>228.90000000000003</v>
      </c>
      <c r="N65" s="652">
        <f>M65/$M$81</f>
        <v>1.4099780024186891E-2</v>
      </c>
      <c r="O65" s="40"/>
      <c r="P65" s="41" t="s">
        <v>96</v>
      </c>
      <c r="Q65" s="43"/>
      <c r="R65" s="349">
        <f>(Q52*R52)+(Q53*R53)</f>
        <v>7</v>
      </c>
      <c r="S65" s="44">
        <f>'Standard Vorgaben'!$C$36</f>
        <v>32.700000000000003</v>
      </c>
      <c r="T65" s="45">
        <f t="shared" si="51"/>
        <v>228.90000000000003</v>
      </c>
      <c r="U65" s="652">
        <f>T65/$T$81</f>
        <v>7.6970904659852913E-3</v>
      </c>
      <c r="V65" s="40"/>
      <c r="W65" s="41" t="s">
        <v>96</v>
      </c>
      <c r="X65" s="43"/>
      <c r="Y65" s="349">
        <f>(X52*Y52)+(X53*Y53)</f>
        <v>9</v>
      </c>
      <c r="Z65" s="44">
        <f>'Standard Vorgaben'!$C$36</f>
        <v>32.700000000000003</v>
      </c>
      <c r="AA65" s="45">
        <f t="shared" si="35"/>
        <v>294.3</v>
      </c>
      <c r="AB65" s="652">
        <f>AA65/$AA$81</f>
        <v>8.8418112828635414E-3</v>
      </c>
      <c r="AC65" s="40"/>
      <c r="AD65" s="41" t="s">
        <v>96</v>
      </c>
      <c r="AE65" s="43"/>
      <c r="AF65" s="349">
        <f>(AE52*AF52)+(AE53*AF53)</f>
        <v>9</v>
      </c>
      <c r="AG65" s="44">
        <f>'Standard Vorgaben'!$C$36</f>
        <v>32.700000000000003</v>
      </c>
      <c r="AH65" s="45">
        <f t="shared" si="36"/>
        <v>294.3</v>
      </c>
      <c r="AI65" s="652">
        <f>AH65/$AH$81</f>
        <v>8.3203441922870477E-3</v>
      </c>
      <c r="AJ65" s="40"/>
      <c r="AK65" s="41" t="s">
        <v>96</v>
      </c>
      <c r="AL65" s="43"/>
      <c r="AM65" s="349">
        <f>(AL52*AM52)+(AL53*AM53)</f>
        <v>9</v>
      </c>
      <c r="AN65" s="44">
        <f>'Standard Vorgaben'!$C$36</f>
        <v>32.700000000000003</v>
      </c>
      <c r="AO65" s="45">
        <f t="shared" si="37"/>
        <v>294.3</v>
      </c>
      <c r="AP65" s="652">
        <f>AO65/$AO$81</f>
        <v>7.8690438048054437E-3</v>
      </c>
      <c r="AQ65" s="40"/>
      <c r="AR65" s="41" t="s">
        <v>96</v>
      </c>
      <c r="AS65" s="43"/>
      <c r="AT65" s="349">
        <f>(AS52*AT52)+(AS53*AT53)</f>
        <v>9</v>
      </c>
      <c r="AU65" s="44">
        <f>'Standard Vorgaben'!$C$36</f>
        <v>32.700000000000003</v>
      </c>
      <c r="AV65" s="45">
        <f t="shared" si="38"/>
        <v>294.3</v>
      </c>
      <c r="AW65" s="652">
        <f>AV65/$AV$81</f>
        <v>8.2825126758418188E-3</v>
      </c>
      <c r="AX65" s="40"/>
      <c r="AY65" s="41" t="s">
        <v>96</v>
      </c>
      <c r="AZ65" s="43"/>
      <c r="BA65" s="349">
        <f>(AZ52*BA52)+(AZ53*BA53)</f>
        <v>9</v>
      </c>
      <c r="BB65" s="44">
        <f>'Standard Vorgaben'!$C$36</f>
        <v>32.700000000000003</v>
      </c>
      <c r="BC65" s="45">
        <f t="shared" si="39"/>
        <v>294.3</v>
      </c>
      <c r="BD65" s="652">
        <f>BC65/$BC$81</f>
        <v>8.2811622380146391E-3</v>
      </c>
      <c r="BE65" s="40"/>
      <c r="BF65" s="41" t="s">
        <v>96</v>
      </c>
      <c r="BG65" s="43"/>
      <c r="BH65" s="349">
        <f>(BG52*BH52)+(BG53*BH53)</f>
        <v>9</v>
      </c>
      <c r="BI65" s="44">
        <f>'Standard Vorgaben'!$C$36</f>
        <v>32.700000000000003</v>
      </c>
      <c r="BJ65" s="45">
        <f t="shared" si="40"/>
        <v>294.3</v>
      </c>
      <c r="BK65" s="652">
        <f>BJ65/$BJ$81</f>
        <v>7.5157411169138504E-3</v>
      </c>
      <c r="BL65" s="40"/>
      <c r="BM65" s="41" t="s">
        <v>96</v>
      </c>
      <c r="BN65" s="43"/>
      <c r="BO65" s="349">
        <f>(BN52*BO52)+(BN53*BO53)</f>
        <v>9</v>
      </c>
      <c r="BP65" s="44">
        <f>'Standard Vorgaben'!$C$36</f>
        <v>32.700000000000003</v>
      </c>
      <c r="BQ65" s="45">
        <f t="shared" si="41"/>
        <v>294.3</v>
      </c>
      <c r="BR65" s="652">
        <f>BQ65/$BQ$81</f>
        <v>7.4071604591103048E-3</v>
      </c>
      <c r="BS65" s="40"/>
      <c r="BT65" s="41" t="s">
        <v>96</v>
      </c>
      <c r="BU65" s="43"/>
      <c r="BV65" s="349">
        <f>(BU52*BV52)+(BU53*BV53)</f>
        <v>9</v>
      </c>
      <c r="BW65" s="44">
        <f>'Standard Vorgaben'!$C$36</f>
        <v>32.700000000000003</v>
      </c>
      <c r="BX65" s="45">
        <f t="shared" si="42"/>
        <v>294.3</v>
      </c>
      <c r="BY65" s="652">
        <f t="shared" si="43"/>
        <v>7.9103739195891531E-3</v>
      </c>
      <c r="BZ65" s="40"/>
      <c r="CA65" s="41" t="s">
        <v>96</v>
      </c>
      <c r="CB65" s="43"/>
      <c r="CC65" s="349">
        <f>(CB52*CC52)+(CB53*CC53)</f>
        <v>9</v>
      </c>
      <c r="CD65" s="44">
        <f>'Standard Vorgaben'!$C$36</f>
        <v>32.700000000000003</v>
      </c>
      <c r="CE65" s="45">
        <f t="shared" si="44"/>
        <v>294.3</v>
      </c>
      <c r="CF65" s="652">
        <f>CE65/$CE$81</f>
        <v>8.3358352844841756E-3</v>
      </c>
      <c r="CG65" s="40"/>
      <c r="CH65" s="41" t="s">
        <v>96</v>
      </c>
      <c r="CI65" s="43"/>
      <c r="CJ65" s="349">
        <f>(CI52*CJ52)+(CI53*CJ53)</f>
        <v>9</v>
      </c>
      <c r="CK65" s="44">
        <f>'Standard Vorgaben'!$C$36</f>
        <v>32.700000000000003</v>
      </c>
      <c r="CL65" s="45">
        <f t="shared" si="45"/>
        <v>294.3</v>
      </c>
      <c r="CM65" s="652">
        <f>CL65/$CL$81</f>
        <v>8.1288336249307723E-3</v>
      </c>
      <c r="CN65" s="40"/>
      <c r="CO65" s="41" t="s">
        <v>96</v>
      </c>
      <c r="CP65" s="43"/>
      <c r="CQ65" s="349">
        <f>(CP52*CQ52)+(CP53*CQ53)</f>
        <v>9</v>
      </c>
      <c r="CR65" s="44">
        <f>'Standard Vorgaben'!$C$36</f>
        <v>32.700000000000003</v>
      </c>
      <c r="CS65" s="45">
        <f t="shared" si="46"/>
        <v>294.3</v>
      </c>
      <c r="CT65" s="652">
        <f>CS65/$CS$81</f>
        <v>8.0991577136874174E-3</v>
      </c>
      <c r="CU65" s="40"/>
      <c r="CV65" s="41" t="s">
        <v>96</v>
      </c>
      <c r="CW65" s="43"/>
      <c r="CX65" s="349">
        <f>(CW52*CX52)+(CW53*CX53)</f>
        <v>9</v>
      </c>
      <c r="CY65" s="44">
        <f>'Standard Vorgaben'!$C$36</f>
        <v>32.700000000000003</v>
      </c>
      <c r="CZ65" s="45">
        <f t="shared" si="47"/>
        <v>294.3</v>
      </c>
      <c r="DA65" s="652">
        <f t="shared" si="48"/>
        <v>7.1727194353120713E-3</v>
      </c>
    </row>
    <row r="66" spans="1:105" s="1" customFormat="1" ht="12.75" x14ac:dyDescent="0.2">
      <c r="A66" s="40"/>
      <c r="B66" s="304" t="str">
        <f>'Standard Vorgaben'!$E$90</f>
        <v>Behangsregulierung (von Hand)</v>
      </c>
      <c r="C66" s="19"/>
      <c r="D66" s="39">
        <f>'Standard Vorgaben'!E94</f>
        <v>0</v>
      </c>
      <c r="E66" s="44">
        <f>'Standard Vorgaben'!$C$37</f>
        <v>22.5</v>
      </c>
      <c r="F66" s="45">
        <f t="shared" si="49"/>
        <v>0</v>
      </c>
      <c r="G66" s="652">
        <f t="shared" si="34"/>
        <v>0</v>
      </c>
      <c r="H66" s="40"/>
      <c r="I66" s="304" t="str">
        <f>'Standard Vorgaben'!$E$90</f>
        <v>Behangsregulierung (von Hand)</v>
      </c>
      <c r="J66" s="19"/>
      <c r="K66" s="39">
        <f>'Standard Vorgaben'!E95</f>
        <v>20</v>
      </c>
      <c r="L66" s="44">
        <f>'Standard Vorgaben'!$C$37</f>
        <v>22.5</v>
      </c>
      <c r="M66" s="45">
        <f t="shared" si="50"/>
        <v>450</v>
      </c>
      <c r="N66" s="652">
        <f>M66/$M$81</f>
        <v>2.771909572251682E-2</v>
      </c>
      <c r="O66" s="40"/>
      <c r="P66" s="304" t="str">
        <f>'Standard Vorgaben'!$E$90</f>
        <v>Behangsregulierung (von Hand)</v>
      </c>
      <c r="Q66" s="19"/>
      <c r="R66" s="39">
        <f>'Standard Vorgaben'!$E$93</f>
        <v>150</v>
      </c>
      <c r="S66" s="44">
        <f>'Standard Vorgaben'!$C$37</f>
        <v>22.5</v>
      </c>
      <c r="T66" s="45">
        <f t="shared" si="51"/>
        <v>3375</v>
      </c>
      <c r="U66" s="652">
        <f>T66/$T$81</f>
        <v>0.1134892106714738</v>
      </c>
      <c r="V66" s="40"/>
      <c r="W66" s="304" t="str">
        <f>'Standard Vorgaben'!$E$90</f>
        <v>Behangsregulierung (von Hand)</v>
      </c>
      <c r="X66" s="19"/>
      <c r="Y66" s="39">
        <f>'Standard Vorgaben'!$E$93</f>
        <v>150</v>
      </c>
      <c r="Z66" s="44">
        <f>'Standard Vorgaben'!$C$37</f>
        <v>22.5</v>
      </c>
      <c r="AA66" s="45">
        <f t="shared" si="35"/>
        <v>3375</v>
      </c>
      <c r="AB66" s="652">
        <f>AA66/$AA$81</f>
        <v>0.10139691838146264</v>
      </c>
      <c r="AC66" s="40"/>
      <c r="AD66" s="304" t="str">
        <f>'Standard Vorgaben'!$E$90</f>
        <v>Behangsregulierung (von Hand)</v>
      </c>
      <c r="AE66" s="19"/>
      <c r="AF66" s="39">
        <f>'Standard Vorgaben'!$E$93</f>
        <v>150</v>
      </c>
      <c r="AG66" s="44">
        <f>'Standard Vorgaben'!$C$37</f>
        <v>22.5</v>
      </c>
      <c r="AH66" s="45">
        <f t="shared" si="36"/>
        <v>3375</v>
      </c>
      <c r="AI66" s="652">
        <f>AH66/$AH$81</f>
        <v>9.541679119595238E-2</v>
      </c>
      <c r="AJ66" s="40"/>
      <c r="AK66" s="304" t="str">
        <f>'Standard Vorgaben'!$E$90</f>
        <v>Behangsregulierung (von Hand)</v>
      </c>
      <c r="AL66" s="19"/>
      <c r="AM66" s="39">
        <f>'Standard Vorgaben'!$E$93</f>
        <v>150</v>
      </c>
      <c r="AN66" s="44">
        <f>'Standard Vorgaben'!$C$37</f>
        <v>22.5</v>
      </c>
      <c r="AO66" s="45">
        <f t="shared" si="37"/>
        <v>3375</v>
      </c>
      <c r="AP66" s="652">
        <f>AO66/$AO$81</f>
        <v>9.0241328036759674E-2</v>
      </c>
      <c r="AQ66" s="40"/>
      <c r="AR66" s="304" t="str">
        <f>'Standard Vorgaben'!$E$90</f>
        <v>Behangsregulierung (von Hand)</v>
      </c>
      <c r="AS66" s="19"/>
      <c r="AT66" s="39">
        <f>'Standard Vorgaben'!$E$93</f>
        <v>150</v>
      </c>
      <c r="AU66" s="44">
        <f>'Standard Vorgaben'!$C$37</f>
        <v>22.5</v>
      </c>
      <c r="AV66" s="45">
        <f t="shared" si="38"/>
        <v>3375</v>
      </c>
      <c r="AW66" s="652">
        <f>AV66/$AV$81</f>
        <v>9.4982943530296071E-2</v>
      </c>
      <c r="AX66" s="40"/>
      <c r="AY66" s="304" t="str">
        <f>'Standard Vorgaben'!$E$90</f>
        <v>Behangsregulierung (von Hand)</v>
      </c>
      <c r="AZ66" s="19"/>
      <c r="BA66" s="39">
        <f>'Standard Vorgaben'!$E$93</f>
        <v>150</v>
      </c>
      <c r="BB66" s="44">
        <f>'Standard Vorgaben'!$C$37</f>
        <v>22.5</v>
      </c>
      <c r="BC66" s="45">
        <f t="shared" si="39"/>
        <v>3375</v>
      </c>
      <c r="BD66" s="652">
        <f>BC66/$BC$81</f>
        <v>9.4967456857966051E-2</v>
      </c>
      <c r="BE66" s="40"/>
      <c r="BF66" s="304" t="str">
        <f>'Standard Vorgaben'!$E$90</f>
        <v>Behangsregulierung (von Hand)</v>
      </c>
      <c r="BG66" s="19"/>
      <c r="BH66" s="39">
        <f>'Standard Vorgaben'!$E$93</f>
        <v>150</v>
      </c>
      <c r="BI66" s="44">
        <f>'Standard Vorgaben'!$C$37</f>
        <v>22.5</v>
      </c>
      <c r="BJ66" s="45">
        <f t="shared" si="40"/>
        <v>3375</v>
      </c>
      <c r="BK66" s="652">
        <f>BJ66/$BJ$81</f>
        <v>8.6189691707727639E-2</v>
      </c>
      <c r="BL66" s="40"/>
      <c r="BM66" s="304" t="str">
        <f>'Standard Vorgaben'!$E$90</f>
        <v>Behangsregulierung (von Hand)</v>
      </c>
      <c r="BN66" s="19"/>
      <c r="BO66" s="39">
        <f>'Standard Vorgaben'!$E$93</f>
        <v>150</v>
      </c>
      <c r="BP66" s="44">
        <f>'Standard Vorgaben'!$C$37</f>
        <v>22.5</v>
      </c>
      <c r="BQ66" s="45">
        <f t="shared" si="41"/>
        <v>3375</v>
      </c>
      <c r="BR66" s="652">
        <f>BQ66/$BQ$81</f>
        <v>8.494450067787046E-2</v>
      </c>
      <c r="BS66" s="40"/>
      <c r="BT66" s="304" t="str">
        <f>'Standard Vorgaben'!$E$90</f>
        <v>Behangsregulierung (von Hand)</v>
      </c>
      <c r="BU66" s="19"/>
      <c r="BV66" s="39">
        <f>'Standard Vorgaben'!$E$93</f>
        <v>150</v>
      </c>
      <c r="BW66" s="44">
        <f>'Standard Vorgaben'!$C$37</f>
        <v>22.5</v>
      </c>
      <c r="BX66" s="45">
        <f t="shared" si="42"/>
        <v>3375</v>
      </c>
      <c r="BY66" s="652">
        <f t="shared" si="43"/>
        <v>9.0715297242994861E-2</v>
      </c>
      <c r="BZ66" s="40"/>
      <c r="CA66" s="304" t="str">
        <f>'Standard Vorgaben'!$E$90</f>
        <v>Behangsregulierung (von Hand)</v>
      </c>
      <c r="CB66" s="19"/>
      <c r="CC66" s="39">
        <f>'Standard Vorgaben'!$E$93</f>
        <v>150</v>
      </c>
      <c r="CD66" s="44">
        <f>'Standard Vorgaben'!$C$37</f>
        <v>22.5</v>
      </c>
      <c r="CE66" s="45">
        <f t="shared" si="44"/>
        <v>3375</v>
      </c>
      <c r="CF66" s="652">
        <f>CE66/$CE$81</f>
        <v>9.5594441335827701E-2</v>
      </c>
      <c r="CG66" s="40"/>
      <c r="CH66" s="304" t="str">
        <f>'Standard Vorgaben'!$E$90</f>
        <v>Behangsregulierung (von Hand)</v>
      </c>
      <c r="CI66" s="19"/>
      <c r="CJ66" s="39">
        <f>'Standard Vorgaben'!$E$93</f>
        <v>150</v>
      </c>
      <c r="CK66" s="44">
        <f>'Standard Vorgaben'!$C$37</f>
        <v>22.5</v>
      </c>
      <c r="CL66" s="45">
        <f t="shared" si="45"/>
        <v>3375</v>
      </c>
      <c r="CM66" s="652">
        <f>CL66/$CL$81</f>
        <v>9.3220569093242805E-2</v>
      </c>
      <c r="CN66" s="40"/>
      <c r="CO66" s="304" t="str">
        <f>'Standard Vorgaben'!$E$90</f>
        <v>Behangsregulierung (von Hand)</v>
      </c>
      <c r="CP66" s="19"/>
      <c r="CQ66" s="39">
        <f>'Standard Vorgaben'!$E$93</f>
        <v>150</v>
      </c>
      <c r="CR66" s="44">
        <f>'Standard Vorgaben'!$C$37</f>
        <v>22.5</v>
      </c>
      <c r="CS66" s="45">
        <f t="shared" si="46"/>
        <v>3375</v>
      </c>
      <c r="CT66" s="652">
        <f>CS66/$CS$81</f>
        <v>9.2880249010176816E-2</v>
      </c>
      <c r="CU66" s="40"/>
      <c r="CV66" s="304" t="str">
        <f>'Standard Vorgaben'!$E$90</f>
        <v>Behangsregulierung (von Hand)</v>
      </c>
      <c r="CW66" s="19"/>
      <c r="CX66" s="39">
        <f>'Standard Vorgaben'!$E$93</f>
        <v>150</v>
      </c>
      <c r="CY66" s="44">
        <f>'Standard Vorgaben'!$C$37</f>
        <v>22.5</v>
      </c>
      <c r="CZ66" s="45">
        <f t="shared" si="47"/>
        <v>3375</v>
      </c>
      <c r="DA66" s="652">
        <f t="shared" si="48"/>
        <v>8.2255956826973287E-2</v>
      </c>
    </row>
    <row r="67" spans="1:105" s="1" customFormat="1" ht="12.75" x14ac:dyDescent="0.2">
      <c r="A67" s="40"/>
      <c r="B67" s="304" t="s">
        <v>409</v>
      </c>
      <c r="C67" s="46">
        <f>'Standard Vorgaben'!$C$180</f>
        <v>1</v>
      </c>
      <c r="D67" s="838">
        <v>15</v>
      </c>
      <c r="E67" s="44">
        <f>'Standard Vorgaben'!$C$37</f>
        <v>22.5</v>
      </c>
      <c r="F67" s="45">
        <f>C67*D67*E67</f>
        <v>337.5</v>
      </c>
      <c r="G67" s="653">
        <f t="shared" si="34"/>
        <v>2.6470803228251336E-2</v>
      </c>
      <c r="H67" s="40"/>
      <c r="I67" s="304" t="s">
        <v>409</v>
      </c>
      <c r="J67" s="46">
        <f>'Standard Vorgaben'!$C$180</f>
        <v>1</v>
      </c>
      <c r="K67" s="838">
        <v>15</v>
      </c>
      <c r="L67" s="44">
        <f>'Standard Vorgaben'!$C$37</f>
        <v>22.5</v>
      </c>
      <c r="M67" s="45">
        <f>J67*K67*L67</f>
        <v>337.5</v>
      </c>
      <c r="N67" s="652">
        <f t="shared" ref="N67:N72" si="52">M67/$M$81</f>
        <v>2.0789321791887614E-2</v>
      </c>
      <c r="O67" s="40"/>
      <c r="P67" s="304" t="s">
        <v>409</v>
      </c>
      <c r="Q67" s="46">
        <f>'Standard Vorgaben'!$C$180</f>
        <v>1</v>
      </c>
      <c r="R67" s="838">
        <v>15</v>
      </c>
      <c r="S67" s="44">
        <f>'Standard Vorgaben'!$C$37</f>
        <v>22.5</v>
      </c>
      <c r="T67" s="45">
        <f>Q67*R67*S67</f>
        <v>337.5</v>
      </c>
      <c r="U67" s="652">
        <f t="shared" ref="U67:U72" si="53">T67/$T$81</f>
        <v>1.1348921067147381E-2</v>
      </c>
      <c r="V67" s="40"/>
      <c r="W67" s="304" t="s">
        <v>409</v>
      </c>
      <c r="X67" s="46">
        <f>'Standard Vorgaben'!$C$180</f>
        <v>1</v>
      </c>
      <c r="Y67" s="838">
        <v>15</v>
      </c>
      <c r="Z67" s="44">
        <f>'Standard Vorgaben'!$C$37</f>
        <v>22.5</v>
      </c>
      <c r="AA67" s="45">
        <f>X67*Y67*Z67</f>
        <v>337.5</v>
      </c>
      <c r="AB67" s="652">
        <f t="shared" ref="AB67:AB72" si="54">AA67/$AA$81</f>
        <v>1.0139691838146263E-2</v>
      </c>
      <c r="AC67" s="40"/>
      <c r="AD67" s="304" t="s">
        <v>409</v>
      </c>
      <c r="AE67" s="46">
        <f>'Standard Vorgaben'!$C$180</f>
        <v>1</v>
      </c>
      <c r="AF67" s="838">
        <v>15</v>
      </c>
      <c r="AG67" s="44">
        <f>'Standard Vorgaben'!$C$37</f>
        <v>22.5</v>
      </c>
      <c r="AH67" s="45">
        <f>AE67*AF67*AG67</f>
        <v>337.5</v>
      </c>
      <c r="AI67" s="652">
        <f t="shared" ref="AI67:AI72" si="55">AH67/$AH$81</f>
        <v>9.5416791195952373E-3</v>
      </c>
      <c r="AJ67" s="40"/>
      <c r="AK67" s="304" t="s">
        <v>409</v>
      </c>
      <c r="AL67" s="46">
        <f>'Standard Vorgaben'!$C$180</f>
        <v>1</v>
      </c>
      <c r="AM67" s="838">
        <v>15</v>
      </c>
      <c r="AN67" s="44">
        <f>'Standard Vorgaben'!$C$37</f>
        <v>22.5</v>
      </c>
      <c r="AO67" s="45">
        <f>AL67*AM67*AN67</f>
        <v>337.5</v>
      </c>
      <c r="AP67" s="652">
        <f t="shared" ref="AP67:AP72" si="56">AO67/$AO$81</f>
        <v>9.0241328036759667E-3</v>
      </c>
      <c r="AQ67" s="40"/>
      <c r="AR67" s="304" t="s">
        <v>409</v>
      </c>
      <c r="AS67" s="46">
        <f>'Standard Vorgaben'!$C$180</f>
        <v>1</v>
      </c>
      <c r="AT67" s="838">
        <v>15</v>
      </c>
      <c r="AU67" s="44">
        <f>'Standard Vorgaben'!$C$37</f>
        <v>22.5</v>
      </c>
      <c r="AV67" s="45">
        <f>AS67*AT67*AU67</f>
        <v>337.5</v>
      </c>
      <c r="AW67" s="652">
        <f t="shared" ref="AW67:AW72" si="57">AV67/$AV$81</f>
        <v>9.4982943530296082E-3</v>
      </c>
      <c r="AX67" s="40"/>
      <c r="AY67" s="304" t="s">
        <v>409</v>
      </c>
      <c r="AZ67" s="46">
        <f>'Standard Vorgaben'!$C$180</f>
        <v>1</v>
      </c>
      <c r="BA67" s="838">
        <v>15</v>
      </c>
      <c r="BB67" s="44">
        <f>'Standard Vorgaben'!$C$37</f>
        <v>22.5</v>
      </c>
      <c r="BC67" s="45">
        <f>AZ67*BA67*BB67</f>
        <v>337.5</v>
      </c>
      <c r="BD67" s="652">
        <f t="shared" ref="BD67:BD72" si="58">BC67/$BC$81</f>
        <v>9.4967456857966044E-3</v>
      </c>
      <c r="BE67" s="40"/>
      <c r="BF67" s="304" t="s">
        <v>409</v>
      </c>
      <c r="BG67" s="46">
        <f>'Standard Vorgaben'!$C$180</f>
        <v>1</v>
      </c>
      <c r="BH67" s="838">
        <v>15</v>
      </c>
      <c r="BI67" s="44">
        <f>'Standard Vorgaben'!$C$37</f>
        <v>22.5</v>
      </c>
      <c r="BJ67" s="45">
        <f>BG67*BH67*BI67</f>
        <v>337.5</v>
      </c>
      <c r="BK67" s="652">
        <f t="shared" ref="BK67:BK72" si="59">BJ67/$BJ$81</f>
        <v>8.6189691707727646E-3</v>
      </c>
      <c r="BL67" s="40"/>
      <c r="BM67" s="304" t="s">
        <v>409</v>
      </c>
      <c r="BN67" s="46">
        <f>'Standard Vorgaben'!$C$180</f>
        <v>1</v>
      </c>
      <c r="BO67" s="838">
        <v>15</v>
      </c>
      <c r="BP67" s="44">
        <f>'Standard Vorgaben'!$C$37</f>
        <v>22.5</v>
      </c>
      <c r="BQ67" s="45">
        <f>BN67*BO67*BP67</f>
        <v>337.5</v>
      </c>
      <c r="BR67" s="652">
        <f t="shared" ref="BR67:BR72" si="60">BQ67/$BQ$81</f>
        <v>8.4944500677870457E-3</v>
      </c>
      <c r="BS67" s="40"/>
      <c r="BT67" s="304" t="s">
        <v>409</v>
      </c>
      <c r="BU67" s="46">
        <f>'Standard Vorgaben'!$C$180</f>
        <v>1</v>
      </c>
      <c r="BV67" s="838">
        <v>15</v>
      </c>
      <c r="BW67" s="44">
        <f>'Standard Vorgaben'!$C$37</f>
        <v>22.5</v>
      </c>
      <c r="BX67" s="45">
        <f>BU67*BV67*BW67</f>
        <v>337.5</v>
      </c>
      <c r="BY67" s="652">
        <f t="shared" si="43"/>
        <v>9.0715297242994868E-3</v>
      </c>
      <c r="BZ67" s="40"/>
      <c r="CA67" s="304" t="s">
        <v>409</v>
      </c>
      <c r="CB67" s="46">
        <f>'Standard Vorgaben'!$C$180</f>
        <v>1</v>
      </c>
      <c r="CC67" s="838">
        <v>15</v>
      </c>
      <c r="CD67" s="44">
        <f>'Standard Vorgaben'!$C$37</f>
        <v>22.5</v>
      </c>
      <c r="CE67" s="45">
        <f>CB67*CC67*CD67</f>
        <v>337.5</v>
      </c>
      <c r="CF67" s="652">
        <f t="shared" ref="CF67:CF73" si="61">CE67/$CE$81</f>
        <v>9.5594441335827701E-3</v>
      </c>
      <c r="CG67" s="40"/>
      <c r="CH67" s="304" t="s">
        <v>409</v>
      </c>
      <c r="CI67" s="46">
        <f>'Standard Vorgaben'!$C$180</f>
        <v>1</v>
      </c>
      <c r="CJ67" s="838">
        <v>15</v>
      </c>
      <c r="CK67" s="44">
        <f>'Standard Vorgaben'!$C$37</f>
        <v>22.5</v>
      </c>
      <c r="CL67" s="45">
        <f>CI67*CJ67*CK67</f>
        <v>337.5</v>
      </c>
      <c r="CM67" s="652">
        <f t="shared" ref="CM67:CM73" si="62">CL67/$CL$81</f>
        <v>9.3220569093242812E-3</v>
      </c>
      <c r="CN67" s="40"/>
      <c r="CO67" s="304" t="s">
        <v>409</v>
      </c>
      <c r="CP67" s="46">
        <f>'Standard Vorgaben'!$C$180</f>
        <v>1</v>
      </c>
      <c r="CQ67" s="838">
        <v>15</v>
      </c>
      <c r="CR67" s="44">
        <f>'Standard Vorgaben'!$C$37</f>
        <v>22.5</v>
      </c>
      <c r="CS67" s="45">
        <f>CP67*CQ67*CR67</f>
        <v>337.5</v>
      </c>
      <c r="CT67" s="652">
        <f t="shared" ref="CT67:CT73" si="63">CS67/$CS$81</f>
        <v>9.2880249010176812E-3</v>
      </c>
      <c r="CU67" s="40"/>
      <c r="CV67" s="304" t="s">
        <v>409</v>
      </c>
      <c r="CW67" s="46">
        <f>'Standard Vorgaben'!$C$180</f>
        <v>1</v>
      </c>
      <c r="CX67" s="838">
        <v>15</v>
      </c>
      <c r="CY67" s="44">
        <f>'Standard Vorgaben'!$C$37</f>
        <v>22.5</v>
      </c>
      <c r="CZ67" s="45">
        <f>CW67*CX67*CY67</f>
        <v>337.5</v>
      </c>
      <c r="DA67" s="652">
        <f t="shared" si="48"/>
        <v>8.225595682697328E-3</v>
      </c>
    </row>
    <row r="68" spans="1:105" s="1" customFormat="1" ht="12.75" x14ac:dyDescent="0.2">
      <c r="A68" s="40"/>
      <c r="B68" s="304" t="s">
        <v>410</v>
      </c>
      <c r="C68" s="46">
        <f>'Standard Vorgaben'!$C$180</f>
        <v>1</v>
      </c>
      <c r="D68" s="838">
        <v>10</v>
      </c>
      <c r="E68" s="44">
        <f>'Standard Vorgaben'!$C$37</f>
        <v>22.5</v>
      </c>
      <c r="F68" s="45">
        <f>C68*D68*E68</f>
        <v>225</v>
      </c>
      <c r="G68" s="653">
        <f t="shared" si="34"/>
        <v>1.7647202152167557E-2</v>
      </c>
      <c r="H68" s="40"/>
      <c r="I68" s="304" t="s">
        <v>410</v>
      </c>
      <c r="J68" s="46">
        <f>'Standard Vorgaben'!$C$180</f>
        <v>1</v>
      </c>
      <c r="K68" s="838">
        <v>10</v>
      </c>
      <c r="L68" s="44">
        <f>'Standard Vorgaben'!$C$37</f>
        <v>22.5</v>
      </c>
      <c r="M68" s="45">
        <f>J68*K68*L68</f>
        <v>225</v>
      </c>
      <c r="N68" s="652">
        <f t="shared" si="52"/>
        <v>1.385954786125841E-2</v>
      </c>
      <c r="O68" s="40"/>
      <c r="P68" s="304" t="s">
        <v>410</v>
      </c>
      <c r="Q68" s="46">
        <f>'Standard Vorgaben'!$C$180</f>
        <v>1</v>
      </c>
      <c r="R68" s="838">
        <v>10</v>
      </c>
      <c r="S68" s="44">
        <f>'Standard Vorgaben'!$C$37</f>
        <v>22.5</v>
      </c>
      <c r="T68" s="45">
        <f>Q68*R68*S68</f>
        <v>225</v>
      </c>
      <c r="U68" s="652">
        <f t="shared" si="53"/>
        <v>7.565947378098254E-3</v>
      </c>
      <c r="V68" s="40"/>
      <c r="W68" s="304" t="s">
        <v>410</v>
      </c>
      <c r="X68" s="46">
        <f>'Standard Vorgaben'!$C$180</f>
        <v>1</v>
      </c>
      <c r="Y68" s="838">
        <v>10</v>
      </c>
      <c r="Z68" s="44">
        <f>'Standard Vorgaben'!$C$37</f>
        <v>22.5</v>
      </c>
      <c r="AA68" s="45">
        <f>X68*Y68*Z68</f>
        <v>225</v>
      </c>
      <c r="AB68" s="652">
        <f t="shared" si="54"/>
        <v>6.7597945587641759E-3</v>
      </c>
      <c r="AC68" s="40"/>
      <c r="AD68" s="304" t="s">
        <v>410</v>
      </c>
      <c r="AE68" s="46">
        <f>'Standard Vorgaben'!$C$180</f>
        <v>1</v>
      </c>
      <c r="AF68" s="838">
        <v>10</v>
      </c>
      <c r="AG68" s="44">
        <f>'Standard Vorgaben'!$C$37</f>
        <v>22.5</v>
      </c>
      <c r="AH68" s="45">
        <f>AE68*AF68*AG68</f>
        <v>225</v>
      </c>
      <c r="AI68" s="652">
        <f t="shared" si="55"/>
        <v>6.3611194130634924E-3</v>
      </c>
      <c r="AJ68" s="40"/>
      <c r="AK68" s="304" t="s">
        <v>410</v>
      </c>
      <c r="AL68" s="46">
        <f>'Standard Vorgaben'!$C$180</f>
        <v>1</v>
      </c>
      <c r="AM68" s="838">
        <v>10</v>
      </c>
      <c r="AN68" s="44">
        <f>'Standard Vorgaben'!$C$37</f>
        <v>22.5</v>
      </c>
      <c r="AO68" s="45">
        <f>AL68*AM68*AN68</f>
        <v>225</v>
      </c>
      <c r="AP68" s="652">
        <f t="shared" si="56"/>
        <v>6.0160885357839781E-3</v>
      </c>
      <c r="AQ68" s="40"/>
      <c r="AR68" s="304" t="s">
        <v>410</v>
      </c>
      <c r="AS68" s="46">
        <f>'Standard Vorgaben'!$C$180</f>
        <v>1</v>
      </c>
      <c r="AT68" s="838">
        <v>10</v>
      </c>
      <c r="AU68" s="44">
        <f>'Standard Vorgaben'!$C$37</f>
        <v>22.5</v>
      </c>
      <c r="AV68" s="45">
        <f>AS68*AT68*AU68</f>
        <v>225</v>
      </c>
      <c r="AW68" s="652">
        <f t="shared" si="57"/>
        <v>6.3321962353530721E-3</v>
      </c>
      <c r="AX68" s="40"/>
      <c r="AY68" s="304" t="s">
        <v>410</v>
      </c>
      <c r="AZ68" s="46">
        <f>'Standard Vorgaben'!$C$180</f>
        <v>1</v>
      </c>
      <c r="BA68" s="838">
        <v>10</v>
      </c>
      <c r="BB68" s="44">
        <f>'Standard Vorgaben'!$C$37</f>
        <v>22.5</v>
      </c>
      <c r="BC68" s="45">
        <f>AZ68*BA68*BB68</f>
        <v>225</v>
      </c>
      <c r="BD68" s="652">
        <f t="shared" si="58"/>
        <v>6.3311637905310702E-3</v>
      </c>
      <c r="BE68" s="40"/>
      <c r="BF68" s="304" t="s">
        <v>410</v>
      </c>
      <c r="BG68" s="46">
        <f>'Standard Vorgaben'!$C$180</f>
        <v>1</v>
      </c>
      <c r="BH68" s="838">
        <v>10</v>
      </c>
      <c r="BI68" s="44">
        <f>'Standard Vorgaben'!$C$37</f>
        <v>22.5</v>
      </c>
      <c r="BJ68" s="45">
        <f>BG68*BH68*BI68</f>
        <v>225</v>
      </c>
      <c r="BK68" s="652">
        <f t="shared" si="59"/>
        <v>5.7459794471818428E-3</v>
      </c>
      <c r="BL68" s="40"/>
      <c r="BM68" s="304" t="s">
        <v>410</v>
      </c>
      <c r="BN68" s="46">
        <f>'Standard Vorgaben'!$C$180</f>
        <v>1</v>
      </c>
      <c r="BO68" s="838">
        <v>10</v>
      </c>
      <c r="BP68" s="44">
        <f>'Standard Vorgaben'!$C$37</f>
        <v>22.5</v>
      </c>
      <c r="BQ68" s="45">
        <f>BN68*BO68*BP68</f>
        <v>225</v>
      </c>
      <c r="BR68" s="652">
        <f t="shared" si="60"/>
        <v>5.662966711858031E-3</v>
      </c>
      <c r="BS68" s="40"/>
      <c r="BT68" s="304" t="s">
        <v>410</v>
      </c>
      <c r="BU68" s="46">
        <f>'Standard Vorgaben'!$C$180</f>
        <v>1</v>
      </c>
      <c r="BV68" s="838">
        <v>10</v>
      </c>
      <c r="BW68" s="44">
        <f>'Standard Vorgaben'!$C$37</f>
        <v>22.5</v>
      </c>
      <c r="BX68" s="45">
        <f>BU68*BV68*BW68</f>
        <v>225</v>
      </c>
      <c r="BY68" s="652">
        <f t="shared" si="43"/>
        <v>6.0476864828663242E-3</v>
      </c>
      <c r="BZ68" s="40"/>
      <c r="CA68" s="304" t="s">
        <v>410</v>
      </c>
      <c r="CB68" s="46">
        <f>'Standard Vorgaben'!$C$180</f>
        <v>1</v>
      </c>
      <c r="CC68" s="838">
        <v>10</v>
      </c>
      <c r="CD68" s="44">
        <f>'Standard Vorgaben'!$C$37</f>
        <v>22.5</v>
      </c>
      <c r="CE68" s="45">
        <f>CB68*CC68*CD68</f>
        <v>225</v>
      </c>
      <c r="CF68" s="652">
        <f t="shared" si="61"/>
        <v>6.3729627557218465E-3</v>
      </c>
      <c r="CG68" s="40"/>
      <c r="CH68" s="304" t="s">
        <v>410</v>
      </c>
      <c r="CI68" s="46">
        <f>'Standard Vorgaben'!$C$180</f>
        <v>1</v>
      </c>
      <c r="CJ68" s="838">
        <v>10</v>
      </c>
      <c r="CK68" s="44">
        <f>'Standard Vorgaben'!$C$37</f>
        <v>22.5</v>
      </c>
      <c r="CL68" s="45">
        <f>CI68*CJ68*CK68</f>
        <v>225</v>
      </c>
      <c r="CM68" s="652">
        <f t="shared" si="62"/>
        <v>6.2147046062161872E-3</v>
      </c>
      <c r="CN68" s="40"/>
      <c r="CO68" s="304" t="s">
        <v>410</v>
      </c>
      <c r="CP68" s="46">
        <f>'Standard Vorgaben'!$C$180</f>
        <v>1</v>
      </c>
      <c r="CQ68" s="838">
        <v>10</v>
      </c>
      <c r="CR68" s="44">
        <f>'Standard Vorgaben'!$C$37</f>
        <v>22.5</v>
      </c>
      <c r="CS68" s="45">
        <f>CP68*CQ68*CR68</f>
        <v>225</v>
      </c>
      <c r="CT68" s="652">
        <f t="shared" si="63"/>
        <v>6.1920166006784539E-3</v>
      </c>
      <c r="CU68" s="40"/>
      <c r="CV68" s="304" t="s">
        <v>410</v>
      </c>
      <c r="CW68" s="46">
        <f>'Standard Vorgaben'!$C$180</f>
        <v>1</v>
      </c>
      <c r="CX68" s="838">
        <v>10</v>
      </c>
      <c r="CY68" s="44">
        <f>'Standard Vorgaben'!$C$37</f>
        <v>22.5</v>
      </c>
      <c r="CZ68" s="45">
        <f>CW68*CX68*CY68</f>
        <v>225</v>
      </c>
      <c r="DA68" s="652">
        <f t="shared" si="48"/>
        <v>5.4837304551315523E-3</v>
      </c>
    </row>
    <row r="69" spans="1:105" s="1" customFormat="1" ht="12.75" x14ac:dyDescent="0.2">
      <c r="A69" s="40"/>
      <c r="B69" t="s">
        <v>483</v>
      </c>
      <c r="C69" s="982">
        <f>'Standard Vorgaben'!$C$188</f>
        <v>1</v>
      </c>
      <c r="D69" s="35">
        <f>'Standard Bewässerung'!$E$111</f>
        <v>10</v>
      </c>
      <c r="E69" s="44">
        <f>'Standard Vorgaben'!$C$36</f>
        <v>32.700000000000003</v>
      </c>
      <c r="F69" s="45">
        <f>C69*D69*E69</f>
        <v>327</v>
      </c>
      <c r="G69" s="653">
        <f t="shared" si="34"/>
        <v>2.5647267127816849E-2</v>
      </c>
      <c r="H69" s="40"/>
      <c r="I69" t="s">
        <v>483</v>
      </c>
      <c r="J69" s="982">
        <f>'Standard Vorgaben'!$C$188</f>
        <v>1</v>
      </c>
      <c r="K69" s="35">
        <f>'Standard Bewässerung'!$E$111</f>
        <v>10</v>
      </c>
      <c r="L69" s="44">
        <f>'Standard Vorgaben'!$C$36</f>
        <v>32.700000000000003</v>
      </c>
      <c r="M69" s="45">
        <f>J69*K69*L69</f>
        <v>327</v>
      </c>
      <c r="N69" s="652">
        <f t="shared" si="52"/>
        <v>2.0142542891695557E-2</v>
      </c>
      <c r="O69" s="40"/>
      <c r="P69" t="s">
        <v>483</v>
      </c>
      <c r="Q69" s="982">
        <f>'Standard Vorgaben'!$C$188</f>
        <v>1</v>
      </c>
      <c r="R69" s="35">
        <f>'Standard Bewässerung'!$E$111</f>
        <v>10</v>
      </c>
      <c r="S69" s="44">
        <f>'Standard Vorgaben'!$C$36</f>
        <v>32.700000000000003</v>
      </c>
      <c r="T69" s="45">
        <f>Q69*R69*S69</f>
        <v>327</v>
      </c>
      <c r="U69" s="652">
        <f t="shared" si="53"/>
        <v>1.0995843522836128E-2</v>
      </c>
      <c r="V69" s="40"/>
      <c r="W69" t="s">
        <v>483</v>
      </c>
      <c r="X69" s="982">
        <f>'Standard Vorgaben'!$C$188</f>
        <v>1</v>
      </c>
      <c r="Y69" s="35">
        <f>'Standard Bewässerung'!$E$111</f>
        <v>10</v>
      </c>
      <c r="Z69" s="44">
        <f>'Standard Vorgaben'!$C$36</f>
        <v>32.700000000000003</v>
      </c>
      <c r="AA69" s="45">
        <f>X69*Y69*Z69</f>
        <v>327</v>
      </c>
      <c r="AB69" s="652">
        <f t="shared" si="54"/>
        <v>9.8242347587372686E-3</v>
      </c>
      <c r="AC69" s="40"/>
      <c r="AD69" t="s">
        <v>483</v>
      </c>
      <c r="AE69" s="982">
        <f>'Standard Vorgaben'!$C$188</f>
        <v>1</v>
      </c>
      <c r="AF69" s="35">
        <f>'Standard Bewässerung'!$E$111</f>
        <v>10</v>
      </c>
      <c r="AG69" s="44">
        <f>'Standard Vorgaben'!$C$36</f>
        <v>32.700000000000003</v>
      </c>
      <c r="AH69" s="45">
        <f>AE69*AF69*AG69</f>
        <v>327</v>
      </c>
      <c r="AI69" s="652">
        <f t="shared" si="55"/>
        <v>9.2448268803189421E-3</v>
      </c>
      <c r="AJ69" s="40"/>
      <c r="AK69" t="s">
        <v>483</v>
      </c>
      <c r="AL69" s="982">
        <f>'Standard Vorgaben'!$C$188</f>
        <v>1</v>
      </c>
      <c r="AM69" s="35">
        <f>'Standard Bewässerung'!$E$111</f>
        <v>10</v>
      </c>
      <c r="AN69" s="44">
        <f>'Standard Vorgaben'!$C$36</f>
        <v>32.700000000000003</v>
      </c>
      <c r="AO69" s="45">
        <f>AL69*AM69*AN69</f>
        <v>327</v>
      </c>
      <c r="AP69" s="652">
        <f t="shared" si="56"/>
        <v>8.7433820053393809E-3</v>
      </c>
      <c r="AQ69" s="40"/>
      <c r="AR69" t="s">
        <v>483</v>
      </c>
      <c r="AS69" s="982">
        <f>'Standard Vorgaben'!$C$188</f>
        <v>1</v>
      </c>
      <c r="AT69" s="35">
        <f>'Standard Bewässerung'!$E$111</f>
        <v>10</v>
      </c>
      <c r="AU69" s="44">
        <f>'Standard Vorgaben'!$C$36</f>
        <v>32.700000000000003</v>
      </c>
      <c r="AV69" s="45">
        <f>AS69*AT69*AU69</f>
        <v>327</v>
      </c>
      <c r="AW69" s="652">
        <f t="shared" si="57"/>
        <v>9.2027918620464638E-3</v>
      </c>
      <c r="AX69" s="40"/>
      <c r="AY69" t="s">
        <v>483</v>
      </c>
      <c r="AZ69" s="982">
        <f>'Standard Vorgaben'!$C$188</f>
        <v>1</v>
      </c>
      <c r="BA69" s="35">
        <f>'Standard Bewässerung'!$E$111</f>
        <v>10</v>
      </c>
      <c r="BB69" s="44">
        <f>'Standard Vorgaben'!$C$36</f>
        <v>32.700000000000003</v>
      </c>
      <c r="BC69" s="45">
        <f>AZ69*BA69*BB69</f>
        <v>327</v>
      </c>
      <c r="BD69" s="652">
        <f t="shared" si="58"/>
        <v>9.2012913755718222E-3</v>
      </c>
      <c r="BE69" s="40"/>
      <c r="BF69" t="s">
        <v>483</v>
      </c>
      <c r="BG69" s="982">
        <f>'Standard Vorgaben'!$C$188</f>
        <v>1</v>
      </c>
      <c r="BH69" s="35">
        <f>'Standard Bewässerung'!$E$111</f>
        <v>10</v>
      </c>
      <c r="BI69" s="44">
        <f>'Standard Vorgaben'!$C$36</f>
        <v>32.700000000000003</v>
      </c>
      <c r="BJ69" s="45">
        <f>BG69*BH69*BI69</f>
        <v>327</v>
      </c>
      <c r="BK69" s="652">
        <f t="shared" si="59"/>
        <v>8.3508234632376117E-3</v>
      </c>
      <c r="BL69" s="40"/>
      <c r="BM69" t="s">
        <v>483</v>
      </c>
      <c r="BN69" s="982">
        <f>'Standard Vorgaben'!$C$188</f>
        <v>1</v>
      </c>
      <c r="BO69" s="35">
        <f>'Standard Bewässerung'!$E$111</f>
        <v>10</v>
      </c>
      <c r="BP69" s="44">
        <f>'Standard Vorgaben'!$C$36</f>
        <v>32.700000000000003</v>
      </c>
      <c r="BQ69" s="45">
        <f>BN69*BO69*BP69</f>
        <v>327</v>
      </c>
      <c r="BR69" s="652">
        <f t="shared" si="60"/>
        <v>8.2301782879003384E-3</v>
      </c>
      <c r="BS69" s="40"/>
      <c r="BT69" t="s">
        <v>483</v>
      </c>
      <c r="BU69" s="982">
        <f>'Standard Vorgaben'!$C$188</f>
        <v>1</v>
      </c>
      <c r="BV69" s="35">
        <f>'Standard Bewässerung'!$E$111</f>
        <v>10</v>
      </c>
      <c r="BW69" s="44">
        <f>'Standard Vorgaben'!$C$36</f>
        <v>32.700000000000003</v>
      </c>
      <c r="BX69" s="45">
        <f>BU69*BV69*BW69</f>
        <v>327</v>
      </c>
      <c r="BY69" s="652">
        <f t="shared" si="43"/>
        <v>8.7893043550990591E-3</v>
      </c>
      <c r="BZ69" s="40"/>
      <c r="CA69" t="s">
        <v>483</v>
      </c>
      <c r="CB69" s="982">
        <f>'Standard Vorgaben'!$C$188</f>
        <v>1</v>
      </c>
      <c r="CC69" s="35">
        <f>'Standard Bewässerung'!$E$111</f>
        <v>10</v>
      </c>
      <c r="CD69" s="44">
        <f>'Standard Vorgaben'!$C$36</f>
        <v>32.700000000000003</v>
      </c>
      <c r="CE69" s="45">
        <f>CB69*CC69*CD69</f>
        <v>327</v>
      </c>
      <c r="CF69" s="652">
        <f t="shared" si="61"/>
        <v>9.2620392049824179E-3</v>
      </c>
      <c r="CG69" s="40"/>
      <c r="CH69" t="s">
        <v>483</v>
      </c>
      <c r="CI69" s="982">
        <f>'Standard Vorgaben'!$C$188</f>
        <v>1</v>
      </c>
      <c r="CJ69" s="35">
        <f>'Standard Bewässerung'!$E$111</f>
        <v>10</v>
      </c>
      <c r="CK69" s="44">
        <f>'Standard Vorgaben'!$C$36</f>
        <v>32.700000000000003</v>
      </c>
      <c r="CL69" s="45">
        <f>CI69*CJ69*CK69</f>
        <v>327</v>
      </c>
      <c r="CM69" s="652">
        <f t="shared" si="62"/>
        <v>9.0320373610341918E-3</v>
      </c>
      <c r="CN69" s="40"/>
      <c r="CO69" t="s">
        <v>483</v>
      </c>
      <c r="CP69" s="982">
        <f>'Standard Vorgaben'!$C$188</f>
        <v>1</v>
      </c>
      <c r="CQ69" s="35">
        <f>'Standard Bewässerung'!$E$111</f>
        <v>10</v>
      </c>
      <c r="CR69" s="44">
        <f>'Standard Vorgaben'!$C$36</f>
        <v>32.700000000000003</v>
      </c>
      <c r="CS69" s="45">
        <f>CP69*CQ69*CR69</f>
        <v>327</v>
      </c>
      <c r="CT69" s="652">
        <f t="shared" si="63"/>
        <v>8.9990641263193536E-3</v>
      </c>
      <c r="CU69" s="40"/>
      <c r="CV69" t="s">
        <v>483</v>
      </c>
      <c r="CW69" s="982">
        <f>'Standard Vorgaben'!$C$188</f>
        <v>1</v>
      </c>
      <c r="CX69" s="35">
        <f>'Standard Bewässerung'!$E$111</f>
        <v>10</v>
      </c>
      <c r="CY69" s="44">
        <f>'Standard Vorgaben'!$C$36</f>
        <v>32.700000000000003</v>
      </c>
      <c r="CZ69" s="45">
        <f>CW69*CX69*CY69</f>
        <v>327</v>
      </c>
      <c r="DA69" s="652">
        <f t="shared" si="48"/>
        <v>7.9696882614578562E-3</v>
      </c>
    </row>
    <row r="70" spans="1:105" s="1" customFormat="1" ht="12.75" x14ac:dyDescent="0.2">
      <c r="A70" s="40"/>
      <c r="B70" t="s">
        <v>609</v>
      </c>
      <c r="C70" s="982">
        <f>'Standard Vorgaben'!$C$188</f>
        <v>1</v>
      </c>
      <c r="D70" s="35">
        <f>'Standard Bewässerung'!$E$110</f>
        <v>4</v>
      </c>
      <c r="E70" s="44">
        <f>'Standard Vorgaben'!$C$36</f>
        <v>32.700000000000003</v>
      </c>
      <c r="F70" s="45">
        <f>C70*D70*E70</f>
        <v>130.80000000000001</v>
      </c>
      <c r="G70" s="653">
        <f t="shared" si="34"/>
        <v>1.025890685112674E-2</v>
      </c>
      <c r="H70" s="40"/>
      <c r="I70" t="s">
        <v>609</v>
      </c>
      <c r="J70" s="982">
        <f>'Standard Vorgaben'!$C$188</f>
        <v>1</v>
      </c>
      <c r="K70" s="35">
        <f>'Standard Bewässerung'!$E$110</f>
        <v>4</v>
      </c>
      <c r="L70" s="44">
        <f>'Standard Vorgaben'!$C$36</f>
        <v>32.700000000000003</v>
      </c>
      <c r="M70" s="45">
        <f>J70*K70*L70</f>
        <v>130.80000000000001</v>
      </c>
      <c r="N70" s="652">
        <f t="shared" si="52"/>
        <v>8.0570171566782221E-3</v>
      </c>
      <c r="O70" s="40"/>
      <c r="P70" t="s">
        <v>609</v>
      </c>
      <c r="Q70" s="982">
        <f>'Standard Vorgaben'!$C$188</f>
        <v>1</v>
      </c>
      <c r="R70" s="35">
        <f>'Standard Bewässerung'!$E$110</f>
        <v>4</v>
      </c>
      <c r="S70" s="44">
        <f>'Standard Vorgaben'!$C$36</f>
        <v>32.700000000000003</v>
      </c>
      <c r="T70" s="45">
        <f>Q70*R70*S70</f>
        <v>130.80000000000001</v>
      </c>
      <c r="U70" s="652">
        <f t="shared" si="53"/>
        <v>4.3983374091344516E-3</v>
      </c>
      <c r="V70" s="40"/>
      <c r="W70" t="s">
        <v>609</v>
      </c>
      <c r="X70" s="982">
        <f>'Standard Vorgaben'!$C$188</f>
        <v>1</v>
      </c>
      <c r="Y70" s="35">
        <f>'Standard Bewässerung'!$E$110</f>
        <v>4</v>
      </c>
      <c r="Z70" s="44">
        <f>'Standard Vorgaben'!$C$36</f>
        <v>32.700000000000003</v>
      </c>
      <c r="AA70" s="45">
        <f>X70*Y70*Z70</f>
        <v>130.80000000000001</v>
      </c>
      <c r="AB70" s="652">
        <f t="shared" si="54"/>
        <v>3.929693903494908E-3</v>
      </c>
      <c r="AC70" s="40"/>
      <c r="AD70" t="s">
        <v>609</v>
      </c>
      <c r="AE70" s="982">
        <f>'Standard Vorgaben'!$C$188</f>
        <v>1</v>
      </c>
      <c r="AF70" s="35">
        <f>'Standard Bewässerung'!$E$110</f>
        <v>4</v>
      </c>
      <c r="AG70" s="44">
        <f>'Standard Vorgaben'!$C$36</f>
        <v>32.700000000000003</v>
      </c>
      <c r="AH70" s="45">
        <f>AE70*AF70*AG70</f>
        <v>130.80000000000001</v>
      </c>
      <c r="AI70" s="652">
        <f t="shared" si="55"/>
        <v>3.6979307521275771E-3</v>
      </c>
      <c r="AJ70" s="40"/>
      <c r="AK70" t="s">
        <v>609</v>
      </c>
      <c r="AL70" s="982">
        <f>'Standard Vorgaben'!$C$188</f>
        <v>1</v>
      </c>
      <c r="AM70" s="35">
        <f>'Standard Bewässerung'!$E$110</f>
        <v>4</v>
      </c>
      <c r="AN70" s="44">
        <f>'Standard Vorgaben'!$C$36</f>
        <v>32.700000000000003</v>
      </c>
      <c r="AO70" s="45">
        <f>AL70*AM70*AN70</f>
        <v>130.80000000000001</v>
      </c>
      <c r="AP70" s="652">
        <f t="shared" si="56"/>
        <v>3.4973528021357528E-3</v>
      </c>
      <c r="AQ70" s="40"/>
      <c r="AR70" t="s">
        <v>609</v>
      </c>
      <c r="AS70" s="982">
        <f>'Standard Vorgaben'!$C$188</f>
        <v>1</v>
      </c>
      <c r="AT70" s="35">
        <f>'Standard Bewässerung'!$E$110</f>
        <v>4</v>
      </c>
      <c r="AU70" s="44">
        <f>'Standard Vorgaben'!$C$36</f>
        <v>32.700000000000003</v>
      </c>
      <c r="AV70" s="45">
        <f>AS70*AT70*AU70</f>
        <v>130.80000000000001</v>
      </c>
      <c r="AW70" s="652">
        <f t="shared" si="57"/>
        <v>3.681116744818586E-3</v>
      </c>
      <c r="AX70" s="40"/>
      <c r="AY70" t="s">
        <v>609</v>
      </c>
      <c r="AZ70" s="982">
        <f>'Standard Vorgaben'!$C$188</f>
        <v>1</v>
      </c>
      <c r="BA70" s="35">
        <f>'Standard Bewässerung'!$E$110</f>
        <v>4</v>
      </c>
      <c r="BB70" s="44">
        <f>'Standard Vorgaben'!$C$36</f>
        <v>32.700000000000003</v>
      </c>
      <c r="BC70" s="45">
        <f>AZ70*BA70*BB70</f>
        <v>130.80000000000001</v>
      </c>
      <c r="BD70" s="652">
        <f t="shared" si="58"/>
        <v>3.6805165502287289E-3</v>
      </c>
      <c r="BE70" s="40"/>
      <c r="BF70" t="s">
        <v>609</v>
      </c>
      <c r="BG70" s="982">
        <f>'Standard Vorgaben'!$C$188</f>
        <v>1</v>
      </c>
      <c r="BH70" s="35">
        <f>'Standard Bewässerung'!$E$110</f>
        <v>4</v>
      </c>
      <c r="BI70" s="44">
        <f>'Standard Vorgaben'!$C$36</f>
        <v>32.700000000000003</v>
      </c>
      <c r="BJ70" s="45">
        <f>BG70*BH70*BI70</f>
        <v>130.80000000000001</v>
      </c>
      <c r="BK70" s="652">
        <f t="shared" si="59"/>
        <v>3.340329385295045E-3</v>
      </c>
      <c r="BL70" s="40"/>
      <c r="BM70" t="s">
        <v>609</v>
      </c>
      <c r="BN70" s="982">
        <f>'Standard Vorgaben'!$C$188</f>
        <v>1</v>
      </c>
      <c r="BO70" s="35">
        <f>'Standard Bewässerung'!$E$110</f>
        <v>4</v>
      </c>
      <c r="BP70" s="44">
        <f>'Standard Vorgaben'!$C$36</f>
        <v>32.700000000000003</v>
      </c>
      <c r="BQ70" s="45">
        <f>BN70*BO70*BP70</f>
        <v>130.80000000000001</v>
      </c>
      <c r="BR70" s="652">
        <f t="shared" si="60"/>
        <v>3.2920713151601355E-3</v>
      </c>
      <c r="BS70" s="40"/>
      <c r="BT70" t="s">
        <v>609</v>
      </c>
      <c r="BU70" s="982">
        <f>'Standard Vorgaben'!$C$188</f>
        <v>1</v>
      </c>
      <c r="BV70" s="35">
        <f>'Standard Bewässerung'!$E$110</f>
        <v>4</v>
      </c>
      <c r="BW70" s="44">
        <f>'Standard Vorgaben'!$C$36</f>
        <v>32.700000000000003</v>
      </c>
      <c r="BX70" s="45">
        <f>BU70*BV70*BW70</f>
        <v>130.80000000000001</v>
      </c>
      <c r="BY70" s="652">
        <f t="shared" si="43"/>
        <v>3.5157217420396236E-3</v>
      </c>
      <c r="BZ70" s="40"/>
      <c r="CA70" t="s">
        <v>609</v>
      </c>
      <c r="CB70" s="982">
        <f>'Standard Vorgaben'!$C$188</f>
        <v>1</v>
      </c>
      <c r="CC70" s="35">
        <f>'Standard Bewässerung'!$E$110</f>
        <v>4</v>
      </c>
      <c r="CD70" s="44">
        <f>'Standard Vorgaben'!$C$36</f>
        <v>32.700000000000003</v>
      </c>
      <c r="CE70" s="45">
        <f>CB70*CC70*CD70</f>
        <v>130.80000000000001</v>
      </c>
      <c r="CF70" s="652">
        <f t="shared" si="61"/>
        <v>3.7048156819929671E-3</v>
      </c>
      <c r="CG70" s="40"/>
      <c r="CH70" t="s">
        <v>609</v>
      </c>
      <c r="CI70" s="982">
        <f>'Standard Vorgaben'!$C$188</f>
        <v>1</v>
      </c>
      <c r="CJ70" s="35">
        <f>'Standard Bewässerung'!$E$110</f>
        <v>4</v>
      </c>
      <c r="CK70" s="44">
        <f>'Standard Vorgaben'!$C$36</f>
        <v>32.700000000000003</v>
      </c>
      <c r="CL70" s="45">
        <f>CI70*CJ70*CK70</f>
        <v>130.80000000000001</v>
      </c>
      <c r="CM70" s="652">
        <f t="shared" si="62"/>
        <v>3.6128149444136768E-3</v>
      </c>
      <c r="CN70" s="40"/>
      <c r="CO70" t="s">
        <v>609</v>
      </c>
      <c r="CP70" s="982">
        <f>'Standard Vorgaben'!$C$188</f>
        <v>1</v>
      </c>
      <c r="CQ70" s="35">
        <f>'Standard Bewässerung'!$E$110</f>
        <v>4</v>
      </c>
      <c r="CR70" s="44">
        <f>'Standard Vorgaben'!$C$36</f>
        <v>32.700000000000003</v>
      </c>
      <c r="CS70" s="45">
        <f>CP70*CQ70*CR70</f>
        <v>130.80000000000001</v>
      </c>
      <c r="CT70" s="652">
        <f t="shared" si="63"/>
        <v>3.5996256505277414E-3</v>
      </c>
      <c r="CU70" s="40"/>
      <c r="CV70" t="s">
        <v>609</v>
      </c>
      <c r="CW70" s="982">
        <f>'Standard Vorgaben'!$C$188</f>
        <v>1</v>
      </c>
      <c r="CX70" s="35">
        <f>'Standard Bewässerung'!$E$110</f>
        <v>4</v>
      </c>
      <c r="CY70" s="44">
        <f>'Standard Vorgaben'!$C$36</f>
        <v>32.700000000000003</v>
      </c>
      <c r="CZ70" s="45">
        <f>CW70*CX70*CY70</f>
        <v>130.80000000000001</v>
      </c>
      <c r="DA70" s="652">
        <f t="shared" si="48"/>
        <v>3.1878753045831427E-3</v>
      </c>
    </row>
    <row r="71" spans="1:105" s="1" customFormat="1" ht="13.5" thickBot="1" x14ac:dyDescent="0.25">
      <c r="A71" s="40"/>
      <c r="B71" t="s">
        <v>484</v>
      </c>
      <c r="C71" s="982">
        <f>'Standard Vorgaben'!$C$188</f>
        <v>1</v>
      </c>
      <c r="D71" s="35">
        <f>'Standard Bewässerung'!$E$111</f>
        <v>10</v>
      </c>
      <c r="E71" s="44">
        <f>'Standard Vorgaben'!$C$36</f>
        <v>32.700000000000003</v>
      </c>
      <c r="F71" s="420">
        <f>C71*D71*E71</f>
        <v>327</v>
      </c>
      <c r="G71" s="653">
        <f t="shared" si="34"/>
        <v>2.5647267127816849E-2</v>
      </c>
      <c r="H71" s="40"/>
      <c r="I71" t="s">
        <v>484</v>
      </c>
      <c r="J71" s="982">
        <f>'Standard Vorgaben'!$C$188</f>
        <v>1</v>
      </c>
      <c r="K71" s="35">
        <f>'Standard Bewässerung'!$E$111</f>
        <v>10</v>
      </c>
      <c r="L71" s="44">
        <f>'Standard Vorgaben'!$C$36</f>
        <v>32.700000000000003</v>
      </c>
      <c r="M71" s="420">
        <f>J71*K71*L71</f>
        <v>327</v>
      </c>
      <c r="N71" s="652">
        <f t="shared" si="52"/>
        <v>2.0142542891695557E-2</v>
      </c>
      <c r="O71" s="40"/>
      <c r="P71" t="s">
        <v>484</v>
      </c>
      <c r="Q71" s="982">
        <f>'Standard Vorgaben'!$C$188</f>
        <v>1</v>
      </c>
      <c r="R71" s="35">
        <f>'Standard Bewässerung'!$E$111</f>
        <v>10</v>
      </c>
      <c r="S71" s="44">
        <f>'Standard Vorgaben'!$C$36</f>
        <v>32.700000000000003</v>
      </c>
      <c r="T71" s="420">
        <f>Q71*R71*S71</f>
        <v>327</v>
      </c>
      <c r="U71" s="652">
        <f t="shared" si="53"/>
        <v>1.0995843522836128E-2</v>
      </c>
      <c r="V71" s="40"/>
      <c r="W71" t="s">
        <v>484</v>
      </c>
      <c r="X71" s="982">
        <f>'Standard Vorgaben'!$C$188</f>
        <v>1</v>
      </c>
      <c r="Y71" s="35">
        <f>'Standard Bewässerung'!$E$111</f>
        <v>10</v>
      </c>
      <c r="Z71" s="44">
        <f>'Standard Vorgaben'!$C$36</f>
        <v>32.700000000000003</v>
      </c>
      <c r="AA71" s="420">
        <f>X71*Y71*Z71</f>
        <v>327</v>
      </c>
      <c r="AB71" s="652">
        <f t="shared" si="54"/>
        <v>9.8242347587372686E-3</v>
      </c>
      <c r="AC71" s="40"/>
      <c r="AD71" t="s">
        <v>484</v>
      </c>
      <c r="AE71" s="982">
        <f>'Standard Vorgaben'!$C$188</f>
        <v>1</v>
      </c>
      <c r="AF71" s="35">
        <f>'Standard Bewässerung'!$E$111</f>
        <v>10</v>
      </c>
      <c r="AG71" s="44">
        <f>'Standard Vorgaben'!$C$36</f>
        <v>32.700000000000003</v>
      </c>
      <c r="AH71" s="420">
        <f>AE71*AF71*AG71</f>
        <v>327</v>
      </c>
      <c r="AI71" s="652">
        <f t="shared" si="55"/>
        <v>9.2448268803189421E-3</v>
      </c>
      <c r="AJ71" s="40"/>
      <c r="AK71" t="s">
        <v>484</v>
      </c>
      <c r="AL71" s="982">
        <f>'Standard Vorgaben'!$C$188</f>
        <v>1</v>
      </c>
      <c r="AM71" s="35">
        <f>'Standard Bewässerung'!$E$111</f>
        <v>10</v>
      </c>
      <c r="AN71" s="44">
        <f>'Standard Vorgaben'!$C$36</f>
        <v>32.700000000000003</v>
      </c>
      <c r="AO71" s="420">
        <f>AL71*AM71*AN71</f>
        <v>327</v>
      </c>
      <c r="AP71" s="652">
        <f t="shared" si="56"/>
        <v>8.7433820053393809E-3</v>
      </c>
      <c r="AQ71" s="40"/>
      <c r="AR71" t="s">
        <v>484</v>
      </c>
      <c r="AS71" s="982">
        <f>'Standard Vorgaben'!$C$188</f>
        <v>1</v>
      </c>
      <c r="AT71" s="35">
        <f>'Standard Bewässerung'!$E$111</f>
        <v>10</v>
      </c>
      <c r="AU71" s="44">
        <f>'Standard Vorgaben'!$C$36</f>
        <v>32.700000000000003</v>
      </c>
      <c r="AV71" s="420">
        <f>AS71*AT71*AU71</f>
        <v>327</v>
      </c>
      <c r="AW71" s="652">
        <f t="shared" si="57"/>
        <v>9.2027918620464638E-3</v>
      </c>
      <c r="AX71" s="40"/>
      <c r="AY71" t="s">
        <v>484</v>
      </c>
      <c r="AZ71" s="982">
        <f>'Standard Vorgaben'!$C$188</f>
        <v>1</v>
      </c>
      <c r="BA71" s="35">
        <f>'Standard Bewässerung'!$E$111</f>
        <v>10</v>
      </c>
      <c r="BB71" s="44">
        <f>'Standard Vorgaben'!$C$36</f>
        <v>32.700000000000003</v>
      </c>
      <c r="BC71" s="420">
        <f>AZ71*BA71*BB71</f>
        <v>327</v>
      </c>
      <c r="BD71" s="652">
        <f t="shared" si="58"/>
        <v>9.2012913755718222E-3</v>
      </c>
      <c r="BE71" s="40"/>
      <c r="BF71" t="s">
        <v>484</v>
      </c>
      <c r="BG71" s="982">
        <f>'Standard Vorgaben'!$C$188</f>
        <v>1</v>
      </c>
      <c r="BH71" s="35">
        <f>'Standard Bewässerung'!$E$111</f>
        <v>10</v>
      </c>
      <c r="BI71" s="44">
        <f>'Standard Vorgaben'!$C$36</f>
        <v>32.700000000000003</v>
      </c>
      <c r="BJ71" s="420">
        <f>BG71*BH71*BI71</f>
        <v>327</v>
      </c>
      <c r="BK71" s="652">
        <f t="shared" si="59"/>
        <v>8.3508234632376117E-3</v>
      </c>
      <c r="BL71" s="40"/>
      <c r="BM71" t="s">
        <v>484</v>
      </c>
      <c r="BN71" s="982">
        <f>'Standard Vorgaben'!$C$188</f>
        <v>1</v>
      </c>
      <c r="BO71" s="35">
        <f>'Standard Bewässerung'!$E$111</f>
        <v>10</v>
      </c>
      <c r="BP71" s="44">
        <f>'Standard Vorgaben'!$C$36</f>
        <v>32.700000000000003</v>
      </c>
      <c r="BQ71" s="420">
        <f>BN71*BO71*BP71</f>
        <v>327</v>
      </c>
      <c r="BR71" s="652">
        <f t="shared" si="60"/>
        <v>8.2301782879003384E-3</v>
      </c>
      <c r="BS71" s="40"/>
      <c r="BT71" t="s">
        <v>484</v>
      </c>
      <c r="BU71" s="982">
        <f>'Standard Vorgaben'!$C$188</f>
        <v>1</v>
      </c>
      <c r="BV71" s="35">
        <f>'Standard Bewässerung'!$E$111</f>
        <v>10</v>
      </c>
      <c r="BW71" s="44">
        <f>'Standard Vorgaben'!$C$36</f>
        <v>32.700000000000003</v>
      </c>
      <c r="BX71" s="420">
        <f>BU71*BV71*BW71</f>
        <v>327</v>
      </c>
      <c r="BY71" s="652">
        <f t="shared" si="43"/>
        <v>8.7893043550990591E-3</v>
      </c>
      <c r="BZ71" s="40"/>
      <c r="CA71" t="s">
        <v>484</v>
      </c>
      <c r="CB71" s="982">
        <f>'Standard Vorgaben'!$C$188</f>
        <v>1</v>
      </c>
      <c r="CC71" s="35">
        <f>'Standard Bewässerung'!$E$111</f>
        <v>10</v>
      </c>
      <c r="CD71" s="44">
        <f>'Standard Vorgaben'!$C$36</f>
        <v>32.700000000000003</v>
      </c>
      <c r="CE71" s="420">
        <f>CB71*CC71*CD71</f>
        <v>327</v>
      </c>
      <c r="CF71" s="652">
        <f t="shared" si="61"/>
        <v>9.2620392049824179E-3</v>
      </c>
      <c r="CG71" s="40"/>
      <c r="CH71" t="s">
        <v>484</v>
      </c>
      <c r="CI71" s="982">
        <f>'Standard Vorgaben'!$C$188</f>
        <v>1</v>
      </c>
      <c r="CJ71" s="35">
        <f>'Standard Bewässerung'!$E$111</f>
        <v>10</v>
      </c>
      <c r="CK71" s="44">
        <f>'Standard Vorgaben'!$C$36</f>
        <v>32.700000000000003</v>
      </c>
      <c r="CL71" s="420">
        <f>CI71*CJ71*CK71</f>
        <v>327</v>
      </c>
      <c r="CM71" s="652">
        <f t="shared" si="62"/>
        <v>9.0320373610341918E-3</v>
      </c>
      <c r="CN71" s="40"/>
      <c r="CO71" t="s">
        <v>484</v>
      </c>
      <c r="CP71" s="982">
        <f>'Standard Vorgaben'!$C$188</f>
        <v>1</v>
      </c>
      <c r="CQ71" s="35">
        <f>'Standard Bewässerung'!$E$111</f>
        <v>10</v>
      </c>
      <c r="CR71" s="44">
        <f>'Standard Vorgaben'!$C$36</f>
        <v>32.700000000000003</v>
      </c>
      <c r="CS71" s="420">
        <f>CP71*CQ71*CR71</f>
        <v>327</v>
      </c>
      <c r="CT71" s="652">
        <f t="shared" si="63"/>
        <v>8.9990641263193536E-3</v>
      </c>
      <c r="CU71" s="40"/>
      <c r="CV71" t="s">
        <v>484</v>
      </c>
      <c r="CW71" s="982">
        <f>'Standard Vorgaben'!$C$188</f>
        <v>1</v>
      </c>
      <c r="CX71" s="35">
        <f>'Standard Bewässerung'!$E$111</f>
        <v>10</v>
      </c>
      <c r="CY71" s="44">
        <f>'Standard Vorgaben'!$C$36</f>
        <v>32.700000000000003</v>
      </c>
      <c r="CZ71" s="420">
        <f>CW71*CX71*CY71</f>
        <v>327</v>
      </c>
      <c r="DA71" s="652">
        <f t="shared" si="48"/>
        <v>7.9696882614578562E-3</v>
      </c>
    </row>
    <row r="72" spans="1:105" s="1" customFormat="1" ht="12.75" x14ac:dyDescent="0.2">
      <c r="A72" s="3"/>
      <c r="B72" s="283"/>
      <c r="F72" s="53">
        <f>SUM(F62:F71)</f>
        <v>4126.8000000000011</v>
      </c>
      <c r="G72" s="653">
        <f t="shared" si="34"/>
        <v>0.32367321707362262</v>
      </c>
      <c r="H72" s="3"/>
      <c r="I72" s="283"/>
      <c r="K72" s="36"/>
      <c r="L72" s="47"/>
      <c r="M72" s="131">
        <f>SUM(M62:M71)</f>
        <v>4609.5000000000009</v>
      </c>
      <c r="N72" s="652">
        <f t="shared" si="52"/>
        <v>0.28393593718431404</v>
      </c>
      <c r="O72" s="3"/>
      <c r="P72" s="283"/>
      <c r="R72" s="36"/>
      <c r="S72" s="47"/>
      <c r="T72" s="131">
        <f>SUM(T62:T71)</f>
        <v>10510.2</v>
      </c>
      <c r="U72" s="652">
        <f t="shared" si="53"/>
        <v>0.35342053392572564</v>
      </c>
      <c r="V72" s="3"/>
      <c r="W72" s="283"/>
      <c r="Y72" s="36"/>
      <c r="Z72" s="47"/>
      <c r="AA72" s="131">
        <f>SUM(AA62:AA71)</f>
        <v>10641</v>
      </c>
      <c r="AB72" s="652">
        <f t="shared" si="54"/>
        <v>0.31969321733248707</v>
      </c>
      <c r="AC72" s="3"/>
      <c r="AD72" s="283"/>
      <c r="AF72" s="36"/>
      <c r="AG72" s="47"/>
      <c r="AH72" s="131">
        <f>SUM(AH62:AH71)</f>
        <v>10641</v>
      </c>
      <c r="AI72" s="652">
        <f t="shared" si="55"/>
        <v>0.30083854077514943</v>
      </c>
      <c r="AJ72" s="3"/>
      <c r="AK72" s="283"/>
      <c r="AM72" s="36"/>
      <c r="AN72" s="47"/>
      <c r="AO72" s="53">
        <f>SUM(AO62:AO71)</f>
        <v>10641</v>
      </c>
      <c r="AP72" s="652">
        <f t="shared" si="56"/>
        <v>0.28452088048567692</v>
      </c>
      <c r="AQ72" s="3"/>
      <c r="AR72" s="283"/>
      <c r="AT72" s="36"/>
      <c r="AU72" s="47"/>
      <c r="AV72" s="131">
        <f>SUM(AV62:AV71)</f>
        <v>10641</v>
      </c>
      <c r="AW72" s="652">
        <f t="shared" si="57"/>
        <v>0.29947066729063127</v>
      </c>
      <c r="AX72" s="3"/>
      <c r="AY72" s="283"/>
      <c r="BA72" s="36"/>
      <c r="BB72" s="47"/>
      <c r="BC72" s="131">
        <f>SUM(BC62:BC71)</f>
        <v>10641</v>
      </c>
      <c r="BD72" s="652">
        <f t="shared" si="58"/>
        <v>0.29942183953351609</v>
      </c>
      <c r="BE72" s="3"/>
      <c r="BF72" s="283"/>
      <c r="BH72" s="36"/>
      <c r="BI72" s="47"/>
      <c r="BJ72" s="131">
        <f>SUM(BJ62:BJ71)</f>
        <v>10641</v>
      </c>
      <c r="BK72" s="652">
        <f t="shared" si="59"/>
        <v>0.27174652132205329</v>
      </c>
      <c r="BL72" s="3"/>
      <c r="BM72" s="283"/>
      <c r="BO72" s="36"/>
      <c r="BP72" s="47"/>
      <c r="BQ72" s="131">
        <f>SUM(BQ62:BQ71)</f>
        <v>10641</v>
      </c>
      <c r="BR72" s="652">
        <f t="shared" si="60"/>
        <v>0.26782057235947249</v>
      </c>
      <c r="BS72" s="3"/>
      <c r="BT72" s="283"/>
      <c r="BV72" s="36"/>
      <c r="BW72" s="47"/>
      <c r="BX72" s="131">
        <f>SUM(BX62:BX71)</f>
        <v>10641</v>
      </c>
      <c r="BY72" s="652">
        <f t="shared" si="43"/>
        <v>0.28601525272969136</v>
      </c>
      <c r="BZ72" s="3"/>
      <c r="CA72" s="283"/>
      <c r="CC72" s="36"/>
      <c r="CD72" s="47"/>
      <c r="CE72" s="131">
        <f>SUM(CE62:CE71)</f>
        <v>10641</v>
      </c>
      <c r="CF72" s="652">
        <f t="shared" si="61"/>
        <v>0.30139865192727189</v>
      </c>
      <c r="CG72" s="3"/>
      <c r="CH72" s="283"/>
      <c r="CJ72" s="36"/>
      <c r="CK72" s="47"/>
      <c r="CL72" s="131">
        <f>SUM(CL62:CL71)</f>
        <v>10641</v>
      </c>
      <c r="CM72" s="652">
        <f t="shared" si="62"/>
        <v>0.29391409650998418</v>
      </c>
      <c r="CN72" s="3"/>
      <c r="CO72" s="283"/>
      <c r="CQ72" s="36"/>
      <c r="CR72" s="47"/>
      <c r="CS72" s="131">
        <f>SUM(CS62:CS71)</f>
        <v>10641</v>
      </c>
      <c r="CT72" s="652">
        <f t="shared" si="63"/>
        <v>0.2928411051014197</v>
      </c>
      <c r="CU72" s="3"/>
      <c r="CV72" s="283"/>
      <c r="CX72" s="36"/>
      <c r="CY72" s="47"/>
      <c r="CZ72" s="131">
        <f>SUM(CZ62:CZ71)</f>
        <v>10641</v>
      </c>
      <c r="DA72" s="652">
        <f t="shared" si="48"/>
        <v>0.25934389232468824</v>
      </c>
    </row>
    <row r="73" spans="1:105" s="1" customFormat="1" ht="12.75" x14ac:dyDescent="0.2">
      <c r="A73" s="40" t="s">
        <v>342</v>
      </c>
      <c r="B73" s="670" t="str">
        <f>'Standard Vorgaben'!G70</f>
        <v>baumfallend</v>
      </c>
      <c r="C73" s="678">
        <f>'Standard Vorgaben'!$G$86</f>
        <v>120</v>
      </c>
      <c r="D73" s="46">
        <f>(D9+D10+('Standard Vorgaben'!$D$86*D12))/C73</f>
        <v>0</v>
      </c>
      <c r="E73" s="44">
        <f>'Standard Vorgaben'!$C$35</f>
        <v>22.754999999999999</v>
      </c>
      <c r="F73" s="45">
        <f t="shared" si="49"/>
        <v>0</v>
      </c>
      <c r="G73" s="653">
        <f t="shared" si="34"/>
        <v>0</v>
      </c>
      <c r="H73" s="40" t="s">
        <v>342</v>
      </c>
      <c r="I73" s="670" t="s">
        <v>343</v>
      </c>
      <c r="J73" s="678">
        <f>'Standard Vorgaben'!$G$86</f>
        <v>120</v>
      </c>
      <c r="K73" s="46">
        <f>(K9+K10+('Standard Vorgaben'!$D$86*K12))/J73</f>
        <v>99.75</v>
      </c>
      <c r="L73" s="44">
        <f>'Standard Vorgaben'!$C$35</f>
        <v>22.754999999999999</v>
      </c>
      <c r="M73" s="45">
        <f t="shared" si="50"/>
        <v>2269.8112499999997</v>
      </c>
      <c r="N73" s="652">
        <f>M73/$M$81</f>
        <v>0.13981581180176789</v>
      </c>
      <c r="O73" s="40" t="s">
        <v>342</v>
      </c>
      <c r="P73" s="670" t="s">
        <v>343</v>
      </c>
      <c r="Q73" s="678">
        <f>'Standard Vorgaben'!$G$86</f>
        <v>120</v>
      </c>
      <c r="R73" s="46">
        <f>(R9+R10+('Standard Vorgaben'!$D$86*R12))/Q73</f>
        <v>124.6875</v>
      </c>
      <c r="S73" s="44">
        <f>'Standard Vorgaben'!$C$35</f>
        <v>22.754999999999999</v>
      </c>
      <c r="T73" s="45">
        <f t="shared" si="51"/>
        <v>2837.2640624999999</v>
      </c>
      <c r="U73" s="652">
        <f>T73/$T$81</f>
        <v>9.5407069309530107E-2</v>
      </c>
      <c r="V73" s="40" t="s">
        <v>342</v>
      </c>
      <c r="W73" s="670" t="s">
        <v>343</v>
      </c>
      <c r="X73" s="678">
        <f>'Standard Vorgaben'!$G$86</f>
        <v>120</v>
      </c>
      <c r="Y73" s="46">
        <f>(Y9+Y10+('Standard Vorgaben'!$D$86*Y12))/X73</f>
        <v>216.125</v>
      </c>
      <c r="Z73" s="44">
        <f>'Standard Vorgaben'!$C$35</f>
        <v>22.754999999999999</v>
      </c>
      <c r="AA73" s="45">
        <f t="shared" si="35"/>
        <v>4917.9243749999996</v>
      </c>
      <c r="AB73" s="652">
        <f>AA73/$AA$81</f>
        <v>0.1477518152468387</v>
      </c>
      <c r="AC73" s="40" t="s">
        <v>342</v>
      </c>
      <c r="AD73" s="670" t="s">
        <v>343</v>
      </c>
      <c r="AE73" s="678">
        <f>'Standard Vorgaben'!$G$86</f>
        <v>120</v>
      </c>
      <c r="AF73" s="46">
        <f>(AF9+AF10+('Standard Vorgaben'!$D$86*AF12))/AE73</f>
        <v>290.9375</v>
      </c>
      <c r="AG73" s="44">
        <f>'Standard Vorgaben'!$C$35</f>
        <v>22.754999999999999</v>
      </c>
      <c r="AH73" s="45">
        <f t="shared" si="36"/>
        <v>6620.2828124999996</v>
      </c>
      <c r="AI73" s="652">
        <f>AH73/$AH$81</f>
        <v>0.18716626452695254</v>
      </c>
      <c r="AJ73" s="40" t="s">
        <v>342</v>
      </c>
      <c r="AK73" s="670" t="s">
        <v>343</v>
      </c>
      <c r="AL73" s="678">
        <f>'Standard Vorgaben'!$G$86</f>
        <v>120</v>
      </c>
      <c r="AM73" s="46">
        <f>(AM9+AM10+('Standard Vorgaben'!$D$86*AM12))/AL73</f>
        <v>365.75</v>
      </c>
      <c r="AN73" s="44">
        <f>'Standard Vorgaben'!$C$35</f>
        <v>22.754999999999999</v>
      </c>
      <c r="AO73" s="45">
        <f t="shared" si="37"/>
        <v>8322.6412499999988</v>
      </c>
      <c r="AP73" s="652">
        <f>AO73/$AO$81</f>
        <v>0.2225322071625237</v>
      </c>
      <c r="AQ73" s="40" t="s">
        <v>342</v>
      </c>
      <c r="AR73" s="670" t="s">
        <v>343</v>
      </c>
      <c r="AS73" s="678">
        <f>'Standard Vorgaben'!$G$86</f>
        <v>120</v>
      </c>
      <c r="AT73" s="46">
        <f>(AT9+AT10+('Standard Vorgaben'!$D$86*AT12))/AS73</f>
        <v>298.2109375</v>
      </c>
      <c r="AU73" s="44">
        <f>'Standard Vorgaben'!$C$35</f>
        <v>22.754999999999999</v>
      </c>
      <c r="AV73" s="45">
        <f t="shared" si="38"/>
        <v>6785.7898828124999</v>
      </c>
      <c r="AW73" s="652">
        <f>AV73/$AV$81</f>
        <v>0.19097312511041009</v>
      </c>
      <c r="AX73" s="40" t="s">
        <v>342</v>
      </c>
      <c r="AY73" s="670" t="s">
        <v>343</v>
      </c>
      <c r="AZ73" s="678">
        <f>'Standard Vorgaben'!$G$86</f>
        <v>120</v>
      </c>
      <c r="BA73" s="46">
        <f>(BA9+BA10+('Standard Vorgaben'!$D$86*BA12))/AZ73</f>
        <v>298.2109375</v>
      </c>
      <c r="BB73" s="44">
        <f>'Standard Vorgaben'!$C$35</f>
        <v>22.754999999999999</v>
      </c>
      <c r="BC73" s="45">
        <f t="shared" si="39"/>
        <v>6785.7898828124999</v>
      </c>
      <c r="BD73" s="652">
        <f>BC73/$BC$81</f>
        <v>0.19094198753873143</v>
      </c>
      <c r="BE73" s="40" t="s">
        <v>342</v>
      </c>
      <c r="BF73" s="670" t="s">
        <v>343</v>
      </c>
      <c r="BG73" s="678">
        <f>'Standard Vorgaben'!$G$86</f>
        <v>120</v>
      </c>
      <c r="BH73" s="46">
        <f>(BH9+BH10+('Standard Vorgaben'!$D$86*BH12))/BG73</f>
        <v>432.25</v>
      </c>
      <c r="BI73" s="44">
        <f>'Standard Vorgaben'!$C$35</f>
        <v>22.754999999999999</v>
      </c>
      <c r="BJ73" s="45">
        <f t="shared" si="40"/>
        <v>9835.8487499999992</v>
      </c>
      <c r="BK73" s="652">
        <f>BJ73/$BJ$81</f>
        <v>0.25118482116928542</v>
      </c>
      <c r="BL73" s="40" t="s">
        <v>342</v>
      </c>
      <c r="BM73" s="670" t="s">
        <v>343</v>
      </c>
      <c r="BN73" s="678">
        <f>'Standard Vorgaben'!$G$86</f>
        <v>120</v>
      </c>
      <c r="BO73" s="46">
        <f>(BO9+BO10+('Standard Vorgaben'!$D$86*BO12))/BN73</f>
        <v>457.1875</v>
      </c>
      <c r="BP73" s="44">
        <f>'Standard Vorgaben'!$C$35</f>
        <v>22.754999999999999</v>
      </c>
      <c r="BQ73" s="45">
        <f t="shared" si="41"/>
        <v>10403.301562499999</v>
      </c>
      <c r="BR73" s="652">
        <f>BQ73/$BQ$81</f>
        <v>0.2618380019638139</v>
      </c>
      <c r="BS73" s="40" t="s">
        <v>342</v>
      </c>
      <c r="BT73" s="670" t="s">
        <v>343</v>
      </c>
      <c r="BU73" s="678">
        <f>'Standard Vorgaben'!$G$86</f>
        <v>120</v>
      </c>
      <c r="BV73" s="46">
        <f>(BV9+BV10+('Standard Vorgaben'!$D$86*BV12))/BU73</f>
        <v>367.828125</v>
      </c>
      <c r="BW73" s="44">
        <f>'Standard Vorgaben'!$C$35</f>
        <v>22.754999999999999</v>
      </c>
      <c r="BX73" s="45">
        <f t="shared" si="42"/>
        <v>8369.9289843749993</v>
      </c>
      <c r="BY73" s="652">
        <f t="shared" si="43"/>
        <v>0.22497202836158109</v>
      </c>
      <c r="BZ73" s="40" t="s">
        <v>342</v>
      </c>
      <c r="CA73" s="670" t="s">
        <v>343</v>
      </c>
      <c r="CB73" s="678">
        <f>'Standard Vorgaben'!$G$86</f>
        <v>120</v>
      </c>
      <c r="CC73" s="46">
        <f>(CC9+CC10+('Standard Vorgaben'!$D$86*CC12))/CB73</f>
        <v>299.25</v>
      </c>
      <c r="CD73" s="44">
        <f>'Standard Vorgaben'!$C$35</f>
        <v>22.754999999999999</v>
      </c>
      <c r="CE73" s="45">
        <f t="shared" si="44"/>
        <v>6809.4337500000001</v>
      </c>
      <c r="CF73" s="652">
        <f t="shared" si="61"/>
        <v>0.19287230078357934</v>
      </c>
      <c r="CG73" s="40" t="s">
        <v>342</v>
      </c>
      <c r="CH73" s="670" t="s">
        <v>343</v>
      </c>
      <c r="CI73" s="678">
        <f>'Standard Vorgaben'!$G$86</f>
        <v>120</v>
      </c>
      <c r="CJ73" s="46">
        <f>(CJ9+CJ10+('Standard Vorgaben'!$D$86*CJ12))/CI73</f>
        <v>332.5</v>
      </c>
      <c r="CK73" s="44">
        <f>'Standard Vorgaben'!$C$35</f>
        <v>22.754999999999999</v>
      </c>
      <c r="CL73" s="45">
        <f t="shared" si="45"/>
        <v>7566.0374999999995</v>
      </c>
      <c r="CM73" s="652">
        <f t="shared" si="62"/>
        <v>0.20898083600913067</v>
      </c>
      <c r="CN73" s="40" t="s">
        <v>342</v>
      </c>
      <c r="CO73" s="670" t="s">
        <v>343</v>
      </c>
      <c r="CP73" s="678">
        <f>'Standard Vorgaben'!$G$86</f>
        <v>120</v>
      </c>
      <c r="CQ73" s="46">
        <f>(CQ9+CQ10+('Standard Vorgaben'!$D$86*CQ12))/CP73</f>
        <v>340.8125</v>
      </c>
      <c r="CR73" s="44">
        <f>'Standard Vorgaben'!$C$35</f>
        <v>22.754999999999999</v>
      </c>
      <c r="CS73" s="45">
        <f t="shared" si="46"/>
        <v>7755.1884375</v>
      </c>
      <c r="CT73" s="652">
        <f t="shared" si="63"/>
        <v>0.21342335798395379</v>
      </c>
      <c r="CU73" s="40" t="s">
        <v>342</v>
      </c>
      <c r="CV73" s="670" t="s">
        <v>343</v>
      </c>
      <c r="CW73" s="678">
        <f>'Standard Vorgaben'!$G$86</f>
        <v>120</v>
      </c>
      <c r="CX73" s="46">
        <f>(CX9+CX10+('Standard Vorgaben'!$D$86*CX12))/CW73</f>
        <v>290.9375</v>
      </c>
      <c r="CY73" s="44">
        <f>'Standard Vorgaben'!$C$35</f>
        <v>22.754999999999999</v>
      </c>
      <c r="CZ73" s="45">
        <f t="shared" si="47"/>
        <v>6620.2828124999996</v>
      </c>
      <c r="DA73" s="652">
        <f t="shared" si="48"/>
        <v>0.16135042880217873</v>
      </c>
    </row>
    <row r="74" spans="1:105" s="1" customFormat="1" ht="13.5" thickBot="1" x14ac:dyDescent="0.25">
      <c r="A74" s="40"/>
      <c r="B74" s="41" t="s">
        <v>95</v>
      </c>
      <c r="C74" s="43"/>
      <c r="D74" s="647">
        <f>'Standard Vorgaben'!F94+'Standard Vorgaben'!G94</f>
        <v>20</v>
      </c>
      <c r="E74" s="44">
        <f>'Standard Vorgaben'!$C$32</f>
        <v>41.4</v>
      </c>
      <c r="F74" s="420">
        <f t="shared" si="49"/>
        <v>828</v>
      </c>
      <c r="G74" s="652">
        <f>F74/$F$81</f>
        <v>6.4941703919976612E-2</v>
      </c>
      <c r="H74" s="40"/>
      <c r="I74" s="41" t="s">
        <v>95</v>
      </c>
      <c r="J74" s="43"/>
      <c r="K74" s="647">
        <f>'Standard Vorgaben'!F95+'Standard Vorgaben'!G95</f>
        <v>20</v>
      </c>
      <c r="L74" s="44">
        <f>'Standard Vorgaben'!$C$32</f>
        <v>41.4</v>
      </c>
      <c r="M74" s="420">
        <f t="shared" si="50"/>
        <v>828</v>
      </c>
      <c r="N74" s="652">
        <f>M74/$M$81</f>
        <v>5.100313612943095E-2</v>
      </c>
      <c r="O74" s="40"/>
      <c r="P74" s="41" t="s">
        <v>95</v>
      </c>
      <c r="Q74" s="43"/>
      <c r="R74" s="647">
        <f>'Standard Vorgaben'!$F$93+'Standard Vorgaben'!$G$93</f>
        <v>40</v>
      </c>
      <c r="S74" s="44">
        <f>'Standard Vorgaben'!$C$32</f>
        <v>41.4</v>
      </c>
      <c r="T74" s="420">
        <f t="shared" si="51"/>
        <v>1656</v>
      </c>
      <c r="U74" s="652">
        <f>T74/$T$81</f>
        <v>5.5685372702803146E-2</v>
      </c>
      <c r="V74" s="40"/>
      <c r="W74" s="41" t="s">
        <v>95</v>
      </c>
      <c r="X74" s="43"/>
      <c r="Y74" s="647">
        <f>'Standard Vorgaben'!$F$93+'Standard Vorgaben'!$G$93</f>
        <v>40</v>
      </c>
      <c r="Z74" s="44">
        <f>'Standard Vorgaben'!$C$32</f>
        <v>41.4</v>
      </c>
      <c r="AA74" s="420">
        <f t="shared" si="35"/>
        <v>1656</v>
      </c>
      <c r="AB74" s="652">
        <f>AA74/$AA$81</f>
        <v>4.9752087952504333E-2</v>
      </c>
      <c r="AC74" s="40"/>
      <c r="AD74" s="41" t="s">
        <v>95</v>
      </c>
      <c r="AE74" s="43"/>
      <c r="AF74" s="647">
        <f>'Standard Vorgaben'!$F$93+'Standard Vorgaben'!$G$93</f>
        <v>40</v>
      </c>
      <c r="AG74" s="44">
        <f>'Standard Vorgaben'!$C$32</f>
        <v>41.4</v>
      </c>
      <c r="AH74" s="420">
        <f t="shared" si="36"/>
        <v>1656</v>
      </c>
      <c r="AI74" s="652">
        <f>AH74/$AH$81</f>
        <v>4.6817838880147303E-2</v>
      </c>
      <c r="AJ74" s="40"/>
      <c r="AK74" s="41" t="s">
        <v>95</v>
      </c>
      <c r="AL74" s="43"/>
      <c r="AM74" s="647">
        <f>'Standard Vorgaben'!$F$93+'Standard Vorgaben'!$G$93</f>
        <v>40</v>
      </c>
      <c r="AN74" s="44">
        <f>'Standard Vorgaben'!$C$32</f>
        <v>41.4</v>
      </c>
      <c r="AO74" s="420">
        <f t="shared" si="37"/>
        <v>1656</v>
      </c>
      <c r="AP74" s="652">
        <f>AO74/$AO$81</f>
        <v>4.4278411623370081E-2</v>
      </c>
      <c r="AQ74" s="40"/>
      <c r="AR74" s="41" t="s">
        <v>95</v>
      </c>
      <c r="AS74" s="43"/>
      <c r="AT74" s="647">
        <f>'Standard Vorgaben'!$F$93+'Standard Vorgaben'!$G$93</f>
        <v>40</v>
      </c>
      <c r="AU74" s="44">
        <f>'Standard Vorgaben'!$C$32</f>
        <v>41.4</v>
      </c>
      <c r="AV74" s="420">
        <f t="shared" si="38"/>
        <v>1656</v>
      </c>
      <c r="AW74" s="652">
        <f>AV74/$AV$81</f>
        <v>4.6604964292198604E-2</v>
      </c>
      <c r="AX74" s="40"/>
      <c r="AY74" s="41" t="s">
        <v>95</v>
      </c>
      <c r="AZ74" s="43"/>
      <c r="BA74" s="647">
        <f>'Standard Vorgaben'!$F$93+'Standard Vorgaben'!$G$93</f>
        <v>40</v>
      </c>
      <c r="BB74" s="44">
        <f>'Standard Vorgaben'!$C$32</f>
        <v>41.4</v>
      </c>
      <c r="BC74" s="420">
        <f t="shared" si="39"/>
        <v>1656</v>
      </c>
      <c r="BD74" s="652">
        <f>BC74/$BC$81</f>
        <v>4.6597365498308674E-2</v>
      </c>
      <c r="BE74" s="40"/>
      <c r="BF74" s="41" t="s">
        <v>95</v>
      </c>
      <c r="BG74" s="43"/>
      <c r="BH74" s="647">
        <f>'Standard Vorgaben'!$F$93+'Standard Vorgaben'!$G$93</f>
        <v>40</v>
      </c>
      <c r="BI74" s="44">
        <f>'Standard Vorgaben'!$C$32</f>
        <v>41.4</v>
      </c>
      <c r="BJ74" s="420">
        <f t="shared" si="40"/>
        <v>1656</v>
      </c>
      <c r="BK74" s="652">
        <f>BJ74/$BJ$81</f>
        <v>4.2290408731258361E-2</v>
      </c>
      <c r="BL74" s="40"/>
      <c r="BM74" s="41" t="s">
        <v>95</v>
      </c>
      <c r="BN74" s="43"/>
      <c r="BO74" s="647">
        <f>'Standard Vorgaben'!$F$93+'Standard Vorgaben'!$G$93</f>
        <v>40</v>
      </c>
      <c r="BP74" s="44">
        <f>'Standard Vorgaben'!$C$32</f>
        <v>41.4</v>
      </c>
      <c r="BQ74" s="420">
        <f t="shared" si="41"/>
        <v>1656</v>
      </c>
      <c r="BR74" s="652">
        <f>BQ74/$BQ$81</f>
        <v>4.1679434999275108E-2</v>
      </c>
      <c r="BS74" s="40"/>
      <c r="BT74" s="41" t="s">
        <v>95</v>
      </c>
      <c r="BU74" s="43"/>
      <c r="BV74" s="647">
        <f>'Standard Vorgaben'!$F$93+'Standard Vorgaben'!$G$93</f>
        <v>40</v>
      </c>
      <c r="BW74" s="44">
        <f>'Standard Vorgaben'!$C$32</f>
        <v>41.4</v>
      </c>
      <c r="BX74" s="420">
        <f t="shared" si="42"/>
        <v>1656</v>
      </c>
      <c r="BY74" s="652">
        <f t="shared" si="43"/>
        <v>4.4510972513896151E-2</v>
      </c>
      <c r="BZ74" s="40"/>
      <c r="CA74" s="41" t="s">
        <v>95</v>
      </c>
      <c r="CB74" s="43"/>
      <c r="CC74" s="647">
        <f>'Standard Vorgaben'!$F$93+'Standard Vorgaben'!$G$93</f>
        <v>40</v>
      </c>
      <c r="CD74" s="44">
        <f>'Standard Vorgaben'!$C$32</f>
        <v>41.4</v>
      </c>
      <c r="CE74" s="420">
        <f t="shared" si="44"/>
        <v>1656</v>
      </c>
      <c r="CF74" s="652">
        <f>CE74/$CE$81</f>
        <v>4.6905005882112792E-2</v>
      </c>
      <c r="CG74" s="40"/>
      <c r="CH74" s="41" t="s">
        <v>95</v>
      </c>
      <c r="CI74" s="43"/>
      <c r="CJ74" s="647">
        <f>'Standard Vorgaben'!$F$93+'Standard Vorgaben'!$G$93</f>
        <v>40</v>
      </c>
      <c r="CK74" s="44">
        <f>'Standard Vorgaben'!$C$32</f>
        <v>41.4</v>
      </c>
      <c r="CL74" s="420">
        <f t="shared" si="45"/>
        <v>1656</v>
      </c>
      <c r="CM74" s="652">
        <f>CL74/$CL$81</f>
        <v>4.5740225901751135E-2</v>
      </c>
      <c r="CN74" s="40"/>
      <c r="CO74" s="41" t="s">
        <v>95</v>
      </c>
      <c r="CP74" s="43"/>
      <c r="CQ74" s="647">
        <f>'Standard Vorgaben'!$F$93+'Standard Vorgaben'!$G$93</f>
        <v>40</v>
      </c>
      <c r="CR74" s="44">
        <f>'Standard Vorgaben'!$C$32</f>
        <v>41.4</v>
      </c>
      <c r="CS74" s="420">
        <f t="shared" si="46"/>
        <v>1656</v>
      </c>
      <c r="CT74" s="652">
        <f>CS74/$CS$81</f>
        <v>4.5573242180993422E-2</v>
      </c>
      <c r="CU74" s="40"/>
      <c r="CV74" s="41" t="s">
        <v>95</v>
      </c>
      <c r="CW74" s="43"/>
      <c r="CX74" s="647">
        <f>'Standard Vorgaben'!$F$93+'Standard Vorgaben'!$G$93</f>
        <v>40</v>
      </c>
      <c r="CY74" s="44">
        <f>'Standard Vorgaben'!$C$32</f>
        <v>41.4</v>
      </c>
      <c r="CZ74" s="420">
        <f t="shared" si="47"/>
        <v>1656</v>
      </c>
      <c r="DA74" s="652">
        <f t="shared" si="48"/>
        <v>4.0360256149768223E-2</v>
      </c>
    </row>
    <row r="75" spans="1:105" s="1" customFormat="1" ht="12.75" x14ac:dyDescent="0.2">
      <c r="A75" s="109" t="s">
        <v>84</v>
      </c>
      <c r="B75" s="284">
        <f>('Standard Vorgaben'!$F$34*D66)+('Standard Vorgaben'!$F$34*D73)</f>
        <v>0</v>
      </c>
      <c r="C75" s="109" t="s">
        <v>82</v>
      </c>
      <c r="D75" s="285">
        <f>SUM(D62:D74)</f>
        <v>154</v>
      </c>
      <c r="E75" s="47"/>
      <c r="F75" s="53">
        <f>SUM(F73:F74)</f>
        <v>828</v>
      </c>
      <c r="G75" s="649">
        <f>F75/$F$81</f>
        <v>6.4941703919976612E-2</v>
      </c>
      <c r="H75" s="109" t="s">
        <v>84</v>
      </c>
      <c r="I75" s="284">
        <f>('Standard Vorgaben'!$F$34*K66)+('Standard Vorgaben'!$F$34*K73)</f>
        <v>101.78749999999999</v>
      </c>
      <c r="J75" s="109" t="s">
        <v>82</v>
      </c>
      <c r="K75" s="285">
        <f>SUM(K62:K74)</f>
        <v>274.75</v>
      </c>
      <c r="L75" s="47"/>
      <c r="M75" s="53">
        <f>SUM(M73:M74)</f>
        <v>3097.8112499999997</v>
      </c>
      <c r="N75" s="649">
        <f>M75/$M$81</f>
        <v>0.19081894793119883</v>
      </c>
      <c r="O75" s="109" t="s">
        <v>84</v>
      </c>
      <c r="P75" s="284">
        <f>('Standard Vorgaben'!$F$34*R66)+('Standard Vorgaben'!$F$34*R73)</f>
        <v>233.484375</v>
      </c>
      <c r="Q75" s="109" t="s">
        <v>82</v>
      </c>
      <c r="R75" s="285">
        <f>SUM(R62:R74)</f>
        <v>540.6875</v>
      </c>
      <c r="S75" s="47"/>
      <c r="T75" s="53">
        <f>SUM(T73:T74)</f>
        <v>4493.2640625000004</v>
      </c>
      <c r="U75" s="649">
        <f>T75/$T$81</f>
        <v>0.15109244201233327</v>
      </c>
      <c r="V75" s="109" t="s">
        <v>84</v>
      </c>
      <c r="W75" s="284">
        <f>('Standard Vorgaben'!$F$34*Y66)+('Standard Vorgaben'!$F$34*Y73)</f>
        <v>311.20624999999995</v>
      </c>
      <c r="X75" s="109" t="s">
        <v>82</v>
      </c>
      <c r="Y75" s="285">
        <f>SUM(Y62:Y74)</f>
        <v>636.125</v>
      </c>
      <c r="Z75" s="47"/>
      <c r="AA75" s="53">
        <f>SUM(AA73:AA74)</f>
        <v>6573.9243749999996</v>
      </c>
      <c r="AB75" s="649">
        <f>AA75/$AA$81</f>
        <v>0.19750390319934302</v>
      </c>
      <c r="AC75" s="109" t="s">
        <v>84</v>
      </c>
      <c r="AD75" s="284">
        <f>('Standard Vorgaben'!$F$34*AF66)+('Standard Vorgaben'!$F$34*AF73)</f>
        <v>374.796875</v>
      </c>
      <c r="AE75" s="109" t="s">
        <v>82</v>
      </c>
      <c r="AF75" s="285">
        <f>SUM(AF62:AF74)</f>
        <v>710.9375</v>
      </c>
      <c r="AG75" s="47"/>
      <c r="AH75" s="53">
        <f>SUM(AH73:AH74)</f>
        <v>8276.2828124999996</v>
      </c>
      <c r="AI75" s="649">
        <f>AH75/$AH$81</f>
        <v>0.23398410340709985</v>
      </c>
      <c r="AJ75" s="109" t="s">
        <v>84</v>
      </c>
      <c r="AK75" s="284">
        <f>('Standard Vorgaben'!$F$34*AM66)+('Standard Vorgaben'!$F$34*AM73)</f>
        <v>438.38749999999999</v>
      </c>
      <c r="AL75" s="109" t="s">
        <v>82</v>
      </c>
      <c r="AM75" s="285">
        <f>SUM(AM62:AM74)</f>
        <v>785.75</v>
      </c>
      <c r="AN75" s="47"/>
      <c r="AO75" s="53">
        <f>SUM(AO73:AO74)</f>
        <v>9978.6412499999988</v>
      </c>
      <c r="AP75" s="649">
        <f>AO75/$AO$81</f>
        <v>0.26681061878589379</v>
      </c>
      <c r="AQ75" s="109" t="s">
        <v>84</v>
      </c>
      <c r="AR75" s="284">
        <f>('Standard Vorgaben'!$F$34*AT66)+('Standard Vorgaben'!$F$34*AT73)</f>
        <v>380.97929687499999</v>
      </c>
      <c r="AS75" s="109" t="s">
        <v>82</v>
      </c>
      <c r="AT75" s="285">
        <f>SUM(AT62:AT74)</f>
        <v>718.2109375</v>
      </c>
      <c r="AU75" s="47"/>
      <c r="AV75" s="53">
        <f>SUM(AV73:AV74)</f>
        <v>8441.7898828124999</v>
      </c>
      <c r="AW75" s="649">
        <f>AV75/$AV$81</f>
        <v>0.23757808940260872</v>
      </c>
      <c r="AX75" s="109" t="s">
        <v>84</v>
      </c>
      <c r="AY75" s="284">
        <f>('Standard Vorgaben'!$F$34*BA66)+('Standard Vorgaben'!$F$34*BA73)</f>
        <v>380.97929687499999</v>
      </c>
      <c r="AZ75" s="109" t="s">
        <v>82</v>
      </c>
      <c r="BA75" s="285">
        <f>SUM(BA62:BA74)</f>
        <v>718.2109375</v>
      </c>
      <c r="BB75" s="47"/>
      <c r="BC75" s="53">
        <f>SUM(BC73:BC74)</f>
        <v>8441.7898828124999</v>
      </c>
      <c r="BD75" s="649">
        <f>BC75/$BC$81</f>
        <v>0.2375393530370401</v>
      </c>
      <c r="BE75" s="109" t="s">
        <v>84</v>
      </c>
      <c r="BF75" s="284">
        <f>('Standard Vorgaben'!$F$34*BH66)+('Standard Vorgaben'!$F$34*BH73)</f>
        <v>494.91249999999997</v>
      </c>
      <c r="BG75" s="109" t="s">
        <v>82</v>
      </c>
      <c r="BH75" s="285">
        <f>SUM(BH62:BH74)</f>
        <v>852.25</v>
      </c>
      <c r="BI75" s="47"/>
      <c r="BJ75" s="53">
        <f>SUM(BJ73:BJ74)</f>
        <v>11491.848749999999</v>
      </c>
      <c r="BK75" s="649">
        <f>BJ75/$BJ$81</f>
        <v>0.29347522990054375</v>
      </c>
      <c r="BL75" s="109" t="s">
        <v>84</v>
      </c>
      <c r="BM75" s="284">
        <f>('Standard Vorgaben'!$F$34*BO66)+('Standard Vorgaben'!$F$34*BO73)</f>
        <v>516.109375</v>
      </c>
      <c r="BN75" s="109" t="s">
        <v>82</v>
      </c>
      <c r="BO75" s="285">
        <f>SUM(BO62:BO74)</f>
        <v>877.1875</v>
      </c>
      <c r="BP75" s="47"/>
      <c r="BQ75" s="53">
        <f>SUM(BQ73:BQ74)</f>
        <v>12059.301562499999</v>
      </c>
      <c r="BR75" s="649">
        <f>BQ75/$BQ$81</f>
        <v>0.30351743696308903</v>
      </c>
      <c r="BS75" s="109" t="s">
        <v>84</v>
      </c>
      <c r="BT75" s="284">
        <f>('Standard Vorgaben'!$F$34*BV66)+('Standard Vorgaben'!$F$34*BV73)</f>
        <v>440.15390624999998</v>
      </c>
      <c r="BU75" s="109" t="s">
        <v>82</v>
      </c>
      <c r="BV75" s="285">
        <f>SUM(BV62:BV74)</f>
        <v>787.828125</v>
      </c>
      <c r="BW75" s="47"/>
      <c r="BX75" s="53">
        <f>SUM(BX73:BX74)</f>
        <v>10025.928984374999</v>
      </c>
      <c r="BY75" s="649">
        <f t="shared" si="43"/>
        <v>0.26948300087547722</v>
      </c>
      <c r="BZ75" s="109" t="s">
        <v>84</v>
      </c>
      <c r="CA75" s="284">
        <f>('Standard Vorgaben'!$F$34*CC66)+('Standard Vorgaben'!$F$34*CC73)</f>
        <v>381.86249999999995</v>
      </c>
      <c r="CB75" s="109" t="s">
        <v>82</v>
      </c>
      <c r="CC75" s="285">
        <f>SUM(CC62:CC74)</f>
        <v>719.25</v>
      </c>
      <c r="CD75" s="47"/>
      <c r="CE75" s="53">
        <f>SUM(CE73:CE74)</f>
        <v>8465.4337500000001</v>
      </c>
      <c r="CF75" s="649">
        <f>CE75/$CE$81</f>
        <v>0.23977730666569214</v>
      </c>
      <c r="CG75" s="109" t="s">
        <v>84</v>
      </c>
      <c r="CH75" s="284">
        <f>('Standard Vorgaben'!$F$34*CJ66)+('Standard Vorgaben'!$F$34*CJ73)</f>
        <v>410.125</v>
      </c>
      <c r="CI75" s="109" t="s">
        <v>82</v>
      </c>
      <c r="CJ75" s="285">
        <f>SUM(CJ62:CJ74)</f>
        <v>752.5</v>
      </c>
      <c r="CK75" s="47"/>
      <c r="CL75" s="53">
        <f>SUM(CL73:CL74)</f>
        <v>9222.0374999999985</v>
      </c>
      <c r="CM75" s="649">
        <f>CL75/$CL$81</f>
        <v>0.25472106191088179</v>
      </c>
      <c r="CN75" s="109" t="s">
        <v>84</v>
      </c>
      <c r="CO75" s="284">
        <f>('Standard Vorgaben'!$F$34*CQ66)+('Standard Vorgaben'!$F$34*CQ73)</f>
        <v>417.19062500000001</v>
      </c>
      <c r="CP75" s="109" t="s">
        <v>82</v>
      </c>
      <c r="CQ75" s="285">
        <f>SUM(CQ62:CQ74)</f>
        <v>760.8125</v>
      </c>
      <c r="CR75" s="47"/>
      <c r="CS75" s="53">
        <f>SUM(CS73:CS74)</f>
        <v>9411.1884375000009</v>
      </c>
      <c r="CT75" s="649">
        <f>CS75/$CS$81</f>
        <v>0.25899660016494724</v>
      </c>
      <c r="CU75" s="109" t="s">
        <v>84</v>
      </c>
      <c r="CV75" s="284">
        <f>('Standard Vorgaben'!$F$34*CX66)+('Standard Vorgaben'!$F$34*CX73)</f>
        <v>374.796875</v>
      </c>
      <c r="CW75" s="109" t="s">
        <v>82</v>
      </c>
      <c r="CX75" s="285">
        <f>SUM(CX62:CX74)</f>
        <v>710.9375</v>
      </c>
      <c r="CY75" s="47"/>
      <c r="CZ75" s="53">
        <f>SUM(CZ73:CZ74)</f>
        <v>8276.2828124999996</v>
      </c>
      <c r="DA75" s="649">
        <f t="shared" si="48"/>
        <v>0.20171068495194697</v>
      </c>
    </row>
    <row r="76" spans="1:105" s="1" customFormat="1" ht="12.75" x14ac:dyDescent="0.2">
      <c r="A76" s="670"/>
      <c r="B76" s="679"/>
      <c r="C76" s="670"/>
      <c r="D76" s="680"/>
      <c r="E76" s="44"/>
      <c r="F76" s="81"/>
      <c r="G76" s="652"/>
      <c r="H76" s="670"/>
      <c r="I76" s="679"/>
      <c r="J76" s="670"/>
      <c r="K76" s="680"/>
      <c r="L76" s="44"/>
      <c r="M76" s="81"/>
      <c r="N76" s="652"/>
      <c r="O76" s="670"/>
      <c r="P76" s="679"/>
      <c r="Q76" s="670"/>
      <c r="R76" s="680"/>
      <c r="S76" s="44"/>
      <c r="T76" s="81"/>
      <c r="U76" s="652"/>
      <c r="V76" s="670"/>
      <c r="W76" s="679"/>
      <c r="X76" s="670"/>
      <c r="Y76" s="680"/>
      <c r="Z76" s="44"/>
      <c r="AA76" s="81"/>
      <c r="AB76" s="652"/>
      <c r="AC76" s="670"/>
      <c r="AD76" s="679"/>
      <c r="AE76" s="670"/>
      <c r="AF76" s="680"/>
      <c r="AG76" s="44"/>
      <c r="AH76" s="81"/>
      <c r="AI76" s="652"/>
      <c r="AJ76" s="670"/>
      <c r="AK76" s="679"/>
      <c r="AL76" s="670"/>
      <c r="AM76" s="680"/>
      <c r="AN76" s="44"/>
      <c r="AO76" s="81"/>
      <c r="AP76" s="652"/>
      <c r="AQ76" s="670"/>
      <c r="AR76" s="679"/>
      <c r="AS76" s="670"/>
      <c r="AT76" s="680"/>
      <c r="AU76" s="44"/>
      <c r="AV76" s="81"/>
      <c r="AW76" s="652"/>
      <c r="AX76" s="670"/>
      <c r="AY76" s="679"/>
      <c r="AZ76" s="670"/>
      <c r="BA76" s="680"/>
      <c r="BB76" s="44"/>
      <c r="BC76" s="81"/>
      <c r="BD76" s="652"/>
      <c r="BE76" s="670"/>
      <c r="BF76" s="679"/>
      <c r="BG76" s="670"/>
      <c r="BH76" s="680"/>
      <c r="BI76" s="44"/>
      <c r="BJ76" s="81"/>
      <c r="BK76" s="652"/>
      <c r="BL76" s="670"/>
      <c r="BM76" s="679"/>
      <c r="BN76" s="670"/>
      <c r="BO76" s="680"/>
      <c r="BP76" s="44"/>
      <c r="BQ76" s="81"/>
      <c r="BR76" s="652"/>
      <c r="BS76" s="670"/>
      <c r="BT76" s="679"/>
      <c r="BU76" s="670"/>
      <c r="BV76" s="680"/>
      <c r="BW76" s="44"/>
      <c r="BX76" s="81"/>
      <c r="BY76" s="652"/>
      <c r="BZ76" s="670"/>
      <c r="CA76" s="679"/>
      <c r="CB76" s="670"/>
      <c r="CC76" s="680"/>
      <c r="CD76" s="44"/>
      <c r="CE76" s="81"/>
      <c r="CF76" s="652"/>
      <c r="CG76" s="670"/>
      <c r="CH76" s="679"/>
      <c r="CI76" s="670"/>
      <c r="CJ76" s="680"/>
      <c r="CK76" s="44"/>
      <c r="CL76" s="81"/>
      <c r="CM76" s="652"/>
      <c r="CN76" s="670"/>
      <c r="CO76" s="679"/>
      <c r="CP76" s="670"/>
      <c r="CQ76" s="680"/>
      <c r="CR76" s="44"/>
      <c r="CS76" s="81"/>
      <c r="CT76" s="652"/>
      <c r="CU76" s="670"/>
      <c r="CV76" s="679"/>
      <c r="CW76" s="670"/>
      <c r="CX76" s="680"/>
      <c r="CY76" s="44"/>
      <c r="CZ76" s="81"/>
      <c r="DA76" s="652"/>
    </row>
    <row r="77" spans="1:105" s="1" customFormat="1" ht="18" customHeight="1" x14ac:dyDescent="0.2">
      <c r="A77" s="40" t="s">
        <v>65</v>
      </c>
      <c r="B77" s="41" t="s">
        <v>63</v>
      </c>
      <c r="C77" s="43"/>
      <c r="D77" s="43"/>
      <c r="E77" s="44"/>
      <c r="F77" s="45">
        <f>'Standard Vorgaben'!$C$42</f>
        <v>660</v>
      </c>
      <c r="G77" s="652">
        <f>F77/$F$81</f>
        <v>5.1765126313024837E-2</v>
      </c>
      <c r="H77" s="40" t="s">
        <v>65</v>
      </c>
      <c r="I77" s="41" t="s">
        <v>63</v>
      </c>
      <c r="J77" s="43"/>
      <c r="K77" s="43"/>
      <c r="L77" s="44"/>
      <c r="M77" s="45">
        <f>'Standard Vorgaben'!$C$42</f>
        <v>660</v>
      </c>
      <c r="N77" s="652">
        <f>M77/$M$81</f>
        <v>4.0654673726358004E-2</v>
      </c>
      <c r="O77" s="40" t="s">
        <v>65</v>
      </c>
      <c r="P77" s="41" t="s">
        <v>63</v>
      </c>
      <c r="Q77" s="43"/>
      <c r="R77" s="43"/>
      <c r="S77" s="44"/>
      <c r="T77" s="45">
        <f>'Standard Vorgaben'!$C$42</f>
        <v>660</v>
      </c>
      <c r="U77" s="652">
        <f>T77/$T$81</f>
        <v>2.2193445642421546E-2</v>
      </c>
      <c r="V77" s="40" t="s">
        <v>65</v>
      </c>
      <c r="W77" s="41" t="s">
        <v>63</v>
      </c>
      <c r="X77" s="43"/>
      <c r="Y77" s="43"/>
      <c r="Z77" s="44"/>
      <c r="AA77" s="45">
        <f>'Standard Vorgaben'!$C$42</f>
        <v>660</v>
      </c>
      <c r="AB77" s="652">
        <f>AA77/$AA$81</f>
        <v>1.9828730705708248E-2</v>
      </c>
      <c r="AC77" s="40" t="s">
        <v>65</v>
      </c>
      <c r="AD77" s="41" t="s">
        <v>63</v>
      </c>
      <c r="AE77" s="43"/>
      <c r="AF77" s="43"/>
      <c r="AG77" s="44"/>
      <c r="AH77" s="45">
        <f>'Standard Vorgaben'!$C$42</f>
        <v>660</v>
      </c>
      <c r="AI77" s="652">
        <f>AH77/$AH$81</f>
        <v>1.8659283611652911E-2</v>
      </c>
      <c r="AJ77" s="40" t="s">
        <v>65</v>
      </c>
      <c r="AK77" s="41" t="s">
        <v>63</v>
      </c>
      <c r="AL77" s="43"/>
      <c r="AM77" s="43"/>
      <c r="AN77" s="44"/>
      <c r="AO77" s="45">
        <f>'Standard Vorgaben'!$C$42</f>
        <v>660</v>
      </c>
      <c r="AP77" s="652">
        <f>AO77/$AO$81</f>
        <v>1.7647193038299671E-2</v>
      </c>
      <c r="AQ77" s="40" t="s">
        <v>65</v>
      </c>
      <c r="AR77" s="41" t="s">
        <v>63</v>
      </c>
      <c r="AS77" s="43"/>
      <c r="AT77" s="43"/>
      <c r="AU77" s="44"/>
      <c r="AV77" s="45">
        <f>'Standard Vorgaben'!$C$42</f>
        <v>660</v>
      </c>
      <c r="AW77" s="652">
        <f>AV77/$AV$81</f>
        <v>1.857444229036901E-2</v>
      </c>
      <c r="AX77" s="40" t="s">
        <v>65</v>
      </c>
      <c r="AY77" s="41" t="s">
        <v>63</v>
      </c>
      <c r="AZ77" s="43"/>
      <c r="BA77" s="43"/>
      <c r="BB77" s="44"/>
      <c r="BC77" s="45">
        <f>'Standard Vorgaben'!$C$42</f>
        <v>660</v>
      </c>
      <c r="BD77" s="652">
        <f>BC77/$BC$81</f>
        <v>1.8571413785557805E-2</v>
      </c>
      <c r="BE77" s="40" t="s">
        <v>65</v>
      </c>
      <c r="BF77" s="41" t="s">
        <v>63</v>
      </c>
      <c r="BG77" s="43"/>
      <c r="BH77" s="43"/>
      <c r="BI77" s="44"/>
      <c r="BJ77" s="45">
        <f>'Standard Vorgaben'!$C$42</f>
        <v>660</v>
      </c>
      <c r="BK77" s="652">
        <f>BJ77/$BJ$81</f>
        <v>1.6854873045066738E-2</v>
      </c>
      <c r="BL77" s="40" t="s">
        <v>65</v>
      </c>
      <c r="BM77" s="41" t="s">
        <v>63</v>
      </c>
      <c r="BN77" s="43"/>
      <c r="BO77" s="43"/>
      <c r="BP77" s="44"/>
      <c r="BQ77" s="45">
        <f>'Standard Vorgaben'!$C$42</f>
        <v>660</v>
      </c>
      <c r="BR77" s="652">
        <f>BQ77/$BQ$81</f>
        <v>1.6611369021450224E-2</v>
      </c>
      <c r="BS77" s="40" t="s">
        <v>65</v>
      </c>
      <c r="BT77" s="41" t="s">
        <v>63</v>
      </c>
      <c r="BU77" s="43"/>
      <c r="BV77" s="43"/>
      <c r="BW77" s="44"/>
      <c r="BX77" s="45">
        <f>'Standard Vorgaben'!$C$42</f>
        <v>660</v>
      </c>
      <c r="BY77" s="652">
        <f>BX77/$BX$81</f>
        <v>1.7739880349741218E-2</v>
      </c>
      <c r="BZ77" s="40" t="s">
        <v>65</v>
      </c>
      <c r="CA77" s="41" t="s">
        <v>63</v>
      </c>
      <c r="CB77" s="43"/>
      <c r="CC77" s="43"/>
      <c r="CD77" s="44"/>
      <c r="CE77" s="45">
        <f>'Standard Vorgaben'!$C$42</f>
        <v>660</v>
      </c>
      <c r="CF77" s="652">
        <f>CE77/$CE$81</f>
        <v>1.869402408345075E-2</v>
      </c>
      <c r="CG77" s="40" t="s">
        <v>65</v>
      </c>
      <c r="CH77" s="41" t="s">
        <v>63</v>
      </c>
      <c r="CI77" s="43"/>
      <c r="CJ77" s="43"/>
      <c r="CK77" s="44"/>
      <c r="CL77" s="45">
        <f>'Standard Vorgaben'!$C$42</f>
        <v>660</v>
      </c>
      <c r="CM77" s="652">
        <f>CL77/$CL$81</f>
        <v>1.8229800178234147E-2</v>
      </c>
      <c r="CN77" s="40" t="s">
        <v>65</v>
      </c>
      <c r="CO77" s="41" t="s">
        <v>63</v>
      </c>
      <c r="CP77" s="43"/>
      <c r="CQ77" s="43"/>
      <c r="CR77" s="44"/>
      <c r="CS77" s="45">
        <f>'Standard Vorgaben'!$C$42</f>
        <v>660</v>
      </c>
      <c r="CT77" s="652">
        <f>CS77/$CS$81</f>
        <v>1.8163248695323465E-2</v>
      </c>
      <c r="CU77" s="40" t="s">
        <v>65</v>
      </c>
      <c r="CV77" s="41" t="s">
        <v>63</v>
      </c>
      <c r="CW77" s="43"/>
      <c r="CX77" s="43"/>
      <c r="CY77" s="44"/>
      <c r="CZ77" s="45">
        <f>'Standard Vorgaben'!$C$42</f>
        <v>660</v>
      </c>
      <c r="DA77" s="652">
        <f>CZ77/$CZ$81</f>
        <v>1.6085609335052552E-2</v>
      </c>
    </row>
    <row r="78" spans="1:105" s="1" customFormat="1" ht="13.5" thickBot="1" x14ac:dyDescent="0.25">
      <c r="A78" s="19"/>
      <c r="B78" s="19" t="s">
        <v>150</v>
      </c>
      <c r="C78" s="681">
        <f>'Standard Vorgaben'!$C$41</f>
        <v>0.6</v>
      </c>
      <c r="D78" s="682">
        <f>'Standard Vorgaben'!$C$40</f>
        <v>1.4999999999999999E-2</v>
      </c>
      <c r="E78" s="146">
        <f>(F84)*(-1)</f>
        <v>98699.605099999986</v>
      </c>
      <c r="F78" s="501">
        <f>D78*E78*C78</f>
        <v>888.29644589999975</v>
      </c>
      <c r="G78" s="652">
        <f>F78/$F$81</f>
        <v>6.9670875341552307E-2</v>
      </c>
      <c r="H78" s="19"/>
      <c r="I78" s="19" t="s">
        <v>150</v>
      </c>
      <c r="J78" s="681">
        <f>'Standard Vorgaben'!$C$41</f>
        <v>0.6</v>
      </c>
      <c r="K78" s="682">
        <f>'Standard Vorgaben'!$C$40</f>
        <v>1.4999999999999999E-2</v>
      </c>
      <c r="L78" s="146">
        <f>(M84)*(-1)</f>
        <v>110349.50154589998</v>
      </c>
      <c r="M78" s="501">
        <f>K78*L78*J78</f>
        <v>993.14551391309976</v>
      </c>
      <c r="N78" s="652">
        <f>M78/$M$81</f>
        <v>6.1175767925656384E-2</v>
      </c>
      <c r="O78" s="19"/>
      <c r="P78" s="19" t="s">
        <v>150</v>
      </c>
      <c r="Q78" s="681">
        <f>'Standard Vorgaben'!$C$41</f>
        <v>0.6</v>
      </c>
      <c r="R78" s="682">
        <f>'Standard Vorgaben'!$C$40</f>
        <v>1.4999999999999999E-2</v>
      </c>
      <c r="S78" s="146">
        <f>(T84)*(-1)</f>
        <v>114181.59737231309</v>
      </c>
      <c r="T78" s="501">
        <f>R78*S78*Q78</f>
        <v>1027.6343763508178</v>
      </c>
      <c r="U78" s="652">
        <f>T78/$T$81</f>
        <v>3.4555678290644903E-2</v>
      </c>
      <c r="V78" s="19"/>
      <c r="W78" s="19" t="s">
        <v>150</v>
      </c>
      <c r="X78" s="681">
        <f>'Standard Vorgaben'!$C$41</f>
        <v>0.6</v>
      </c>
      <c r="Y78" s="682">
        <f>'Standard Vorgaben'!$C$40</f>
        <v>1.4999999999999999E-2</v>
      </c>
      <c r="Z78" s="146">
        <f>(AA84)*(-1)</f>
        <v>128692.35713928891</v>
      </c>
      <c r="AA78" s="501">
        <f>Y78*Z78*X78</f>
        <v>1158.2312142536002</v>
      </c>
      <c r="AB78" s="652">
        <f>AA78/$AA$81</f>
        <v>3.4797355821788049E-2</v>
      </c>
      <c r="AC78" s="19"/>
      <c r="AD78" s="19" t="s">
        <v>150</v>
      </c>
      <c r="AE78" s="681">
        <f>'Standard Vorgaben'!$C$41</f>
        <v>0.6</v>
      </c>
      <c r="AF78" s="682">
        <f>'Standard Vorgaben'!$C$40</f>
        <v>1.4999999999999999E-2</v>
      </c>
      <c r="AG78" s="146">
        <f>(AH84)*(-1)</f>
        <v>136389.29236395916</v>
      </c>
      <c r="AH78" s="501">
        <f>AF78*AG78*AE78</f>
        <v>1227.5036312756324</v>
      </c>
      <c r="AI78" s="652">
        <f>AH78/$AH$81</f>
        <v>3.4703543015614916E-2</v>
      </c>
      <c r="AJ78" s="19"/>
      <c r="AK78" s="19" t="s">
        <v>150</v>
      </c>
      <c r="AL78" s="681">
        <f>'Standard Vorgaben'!$C$41</f>
        <v>0.6</v>
      </c>
      <c r="AM78" s="682">
        <f>'Standard Vorgaben'!$C$40</f>
        <v>1.4999999999999999E-2</v>
      </c>
      <c r="AN78" s="146">
        <f>(AO84)*(-1)</f>
        <v>137695.67524002647</v>
      </c>
      <c r="AO78" s="501">
        <f>AM78*AN78*AL78</f>
        <v>1239.2610771602383</v>
      </c>
      <c r="AP78" s="652">
        <f>AO78/$AO$81</f>
        <v>3.3135574929542284E-2</v>
      </c>
      <c r="AQ78" s="19"/>
      <c r="AR78" s="19" t="s">
        <v>150</v>
      </c>
      <c r="AS78" s="681">
        <f>'Standard Vorgaben'!$C$41</f>
        <v>0.6</v>
      </c>
      <c r="AT78" s="682">
        <f>'Standard Vorgaben'!$C$40</f>
        <v>1.4999999999999999E-2</v>
      </c>
      <c r="AU78" s="146">
        <f>(AV84)*(-1)</f>
        <v>132553.99079635338</v>
      </c>
      <c r="AV78" s="501">
        <f>AT78*AU78*AS78</f>
        <v>1192.9859171671803</v>
      </c>
      <c r="AW78" s="652">
        <f>AV78/$AV$81</f>
        <v>3.357431526006778E-2</v>
      </c>
      <c r="AX78" s="19"/>
      <c r="AY78" s="19" t="s">
        <v>150</v>
      </c>
      <c r="AZ78" s="681">
        <f>'Standard Vorgaben'!$C$41</f>
        <v>0.6</v>
      </c>
      <c r="BA78" s="682">
        <f>'Standard Vorgaben'!$C$40</f>
        <v>1.4999999999999999E-2</v>
      </c>
      <c r="BB78" s="146">
        <f>(BC84)*(-1)</f>
        <v>133197.81743943202</v>
      </c>
      <c r="BC78" s="501">
        <f>BA78*BB78*AZ78</f>
        <v>1198.7803569548882</v>
      </c>
      <c r="BD78" s="652">
        <f>BC78/$BC$81</f>
        <v>3.3731887950011995E-2</v>
      </c>
      <c r="BE78" s="19"/>
      <c r="BF78" s="19" t="s">
        <v>150</v>
      </c>
      <c r="BG78" s="681">
        <f>'Standard Vorgaben'!$C$41</f>
        <v>0.6</v>
      </c>
      <c r="BH78" s="682">
        <f>'Standard Vorgaben'!$C$40</f>
        <v>1.4999999999999999E-2</v>
      </c>
      <c r="BI78" s="146">
        <f>(BJ84)*(-1)</f>
        <v>133847.43852229838</v>
      </c>
      <c r="BJ78" s="501">
        <f>BH78*BI78*BG78</f>
        <v>1204.6269467006855</v>
      </c>
      <c r="BK78" s="652">
        <f>BJ78/$BJ$81</f>
        <v>3.0763385232282472E-2</v>
      </c>
      <c r="BL78" s="19"/>
      <c r="BM78" s="19" t="s">
        <v>150</v>
      </c>
      <c r="BN78" s="681">
        <f>'Standard Vorgaben'!$C$41</f>
        <v>0.6</v>
      </c>
      <c r="BO78" s="682">
        <f>'Standard Vorgaben'!$C$40</f>
        <v>1.4999999999999999E-2</v>
      </c>
      <c r="BP78" s="146">
        <f>(BQ84)*(-1)</f>
        <v>122929.05348983238</v>
      </c>
      <c r="BQ78" s="501">
        <f>BO78*BP78*BN78</f>
        <v>1106.3614814084913</v>
      </c>
      <c r="BR78" s="652">
        <f>BQ78/$BQ$81</f>
        <v>2.7845725513325439E-2</v>
      </c>
      <c r="BS78" s="19"/>
      <c r="BT78" s="19" t="s">
        <v>150</v>
      </c>
      <c r="BU78" s="681">
        <f>'Standard Vorgaben'!$C$41</f>
        <v>0.6</v>
      </c>
      <c r="BV78" s="682">
        <f>'Standard Vorgaben'!$C$40</f>
        <v>1.4999999999999999E-2</v>
      </c>
      <c r="BW78" s="146">
        <f>(BX84)*(-1)</f>
        <v>109759.12807019922</v>
      </c>
      <c r="BX78" s="501">
        <f>BV78*BW78*BU78</f>
        <v>987.83215263179295</v>
      </c>
      <c r="BY78" s="652">
        <f>BX78/$BX$81</f>
        <v>2.6551551808053502E-2</v>
      </c>
      <c r="BZ78" s="19"/>
      <c r="CA78" s="19" t="s">
        <v>150</v>
      </c>
      <c r="CB78" s="681">
        <f>'Standard Vorgaben'!$C$41</f>
        <v>0.6</v>
      </c>
      <c r="CC78" s="682">
        <f>'Standard Vorgaben'!$C$40</f>
        <v>1.4999999999999999E-2</v>
      </c>
      <c r="CD78" s="146">
        <f>(CE84)*(-1)</f>
        <v>104186.57512517477</v>
      </c>
      <c r="CE78" s="501">
        <f>CC78*CD78*CB78</f>
        <v>937.67917612657288</v>
      </c>
      <c r="CF78" s="652">
        <f>CE78/$CE$81</f>
        <v>2.6559086516758198E-2</v>
      </c>
      <c r="CG78" s="19"/>
      <c r="CH78" s="19" t="s">
        <v>150</v>
      </c>
      <c r="CI78" s="681">
        <f>'Standard Vorgaben'!$C$41</f>
        <v>0.6</v>
      </c>
      <c r="CJ78" s="682">
        <f>'Standard Vorgaben'!$C$40</f>
        <v>1.4999999999999999E-2</v>
      </c>
      <c r="CK78" s="146">
        <f>(CL84)*(-1)</f>
        <v>104485.37523880132</v>
      </c>
      <c r="CL78" s="501">
        <f>CJ78*CK78*CI78</f>
        <v>940.36837714921182</v>
      </c>
      <c r="CM78" s="652">
        <f>CL78/$CL$81</f>
        <v>2.597382971115221E-2</v>
      </c>
      <c r="CN78" s="19"/>
      <c r="CO78" s="19" t="s">
        <v>150</v>
      </c>
      <c r="CP78" s="681">
        <f>'Standard Vorgaben'!$C$41</f>
        <v>0.6</v>
      </c>
      <c r="CQ78" s="682">
        <f>'Standard Vorgaben'!$C$40</f>
        <v>1.4999999999999999E-2</v>
      </c>
      <c r="CR78" s="146">
        <f>(CS84)*(-1)</f>
        <v>101915.83132428385</v>
      </c>
      <c r="CS78" s="501">
        <f>CQ78*CR78*CP78</f>
        <v>917.24248191855463</v>
      </c>
      <c r="CT78" s="652">
        <f>CS78/$CS$81</f>
        <v>2.5242580777276431E-2</v>
      </c>
      <c r="CU78" s="19"/>
      <c r="CV78" s="19" t="s">
        <v>150</v>
      </c>
      <c r="CW78" s="681">
        <f>'Standard Vorgaben'!$C$41</f>
        <v>0.6</v>
      </c>
      <c r="CX78" s="682">
        <f>'Standard Vorgaben'!$C$40</f>
        <v>1.4999999999999999E-2</v>
      </c>
      <c r="CY78" s="146">
        <f>(CZ84)*(-1)</f>
        <v>98537.093207244063</v>
      </c>
      <c r="CZ78" s="501">
        <f>CX78*CY78*CW78</f>
        <v>886.83383886519653</v>
      </c>
      <c r="DA78" s="652">
        <f>CZ78/$CZ$81</f>
        <v>2.1614034359228027E-2</v>
      </c>
    </row>
    <row r="79" spans="1:105" s="1" customFormat="1" ht="12.75" x14ac:dyDescent="0.2">
      <c r="A79" s="19"/>
      <c r="B79" s="19"/>
      <c r="C79" s="681"/>
      <c r="D79" s="682"/>
      <c r="E79" s="279"/>
      <c r="F79" s="83">
        <f>SUM(F77:F78)</f>
        <v>1548.2964458999998</v>
      </c>
      <c r="G79" s="649">
        <f>F79/$F$81</f>
        <v>0.12143600165457713</v>
      </c>
      <c r="H79" s="19"/>
      <c r="I79" s="19"/>
      <c r="J79" s="681"/>
      <c r="K79" s="682"/>
      <c r="L79" s="279"/>
      <c r="M79" s="83">
        <f>SUM(M77:M78)</f>
        <v>1653.1455139130999</v>
      </c>
      <c r="N79" s="649">
        <f>M79/$M$81</f>
        <v>0.10183044165201439</v>
      </c>
      <c r="O79" s="19"/>
      <c r="P79" s="19"/>
      <c r="Q79" s="681"/>
      <c r="R79" s="682"/>
      <c r="S79" s="279"/>
      <c r="T79" s="83">
        <f>SUM(T77:T78)</f>
        <v>1687.6343763508178</v>
      </c>
      <c r="U79" s="649">
        <f>T79/$T$81</f>
        <v>5.6749123933066449E-2</v>
      </c>
      <c r="V79" s="19"/>
      <c r="W79" s="19"/>
      <c r="X79" s="681"/>
      <c r="Y79" s="682"/>
      <c r="Z79" s="279"/>
      <c r="AA79" s="83">
        <f>SUM(AA77:AA78)</f>
        <v>1818.2312142536002</v>
      </c>
      <c r="AB79" s="649">
        <f>AA79/$AA$81</f>
        <v>5.4626086527496301E-2</v>
      </c>
      <c r="AC79" s="19"/>
      <c r="AD79" s="19"/>
      <c r="AE79" s="681"/>
      <c r="AF79" s="682"/>
      <c r="AG79" s="279"/>
      <c r="AH79" s="83">
        <f>SUM(AH77:AH78)</f>
        <v>1887.5036312756324</v>
      </c>
      <c r="AI79" s="649">
        <f>AH79/$AH$81</f>
        <v>5.3362826627267823E-2</v>
      </c>
      <c r="AJ79" s="19"/>
      <c r="AK79" s="19"/>
      <c r="AL79" s="681"/>
      <c r="AM79" s="682"/>
      <c r="AN79" s="279"/>
      <c r="AO79" s="83">
        <f>SUM(AO77:AO78)</f>
        <v>1899.2610771602383</v>
      </c>
      <c r="AP79" s="649">
        <f>AO79/$AO$81</f>
        <v>5.0782767967841952E-2</v>
      </c>
      <c r="AQ79" s="19"/>
      <c r="AR79" s="19"/>
      <c r="AS79" s="681"/>
      <c r="AT79" s="682"/>
      <c r="AU79" s="279"/>
      <c r="AV79" s="83">
        <f>SUM(AV77:AV78)</f>
        <v>1852.9859171671803</v>
      </c>
      <c r="AW79" s="649">
        <f>AV79/$AV$81</f>
        <v>5.214875755043679E-2</v>
      </c>
      <c r="AX79" s="19"/>
      <c r="AY79" s="19"/>
      <c r="AZ79" s="681"/>
      <c r="BA79" s="682"/>
      <c r="BB79" s="279"/>
      <c r="BC79" s="83">
        <f>SUM(BC77:BC78)</f>
        <v>1858.7803569548882</v>
      </c>
      <c r="BD79" s="649">
        <f>BC79/$BC$81</f>
        <v>5.2303301735569803E-2</v>
      </c>
      <c r="BE79" s="19"/>
      <c r="BF79" s="19"/>
      <c r="BG79" s="681"/>
      <c r="BH79" s="682"/>
      <c r="BI79" s="279"/>
      <c r="BJ79" s="83">
        <f>SUM(BJ77:BJ78)</f>
        <v>1864.6269467006855</v>
      </c>
      <c r="BK79" s="649">
        <f>BJ79/$BJ$81</f>
        <v>4.761825827734921E-2</v>
      </c>
      <c r="BL79" s="19"/>
      <c r="BM79" s="19"/>
      <c r="BN79" s="681"/>
      <c r="BO79" s="682"/>
      <c r="BP79" s="279"/>
      <c r="BQ79" s="83">
        <f>SUM(BQ77:BQ78)</f>
        <v>1766.3614814084913</v>
      </c>
      <c r="BR79" s="649">
        <f>BQ79/$BQ$81</f>
        <v>4.4457094534775664E-2</v>
      </c>
      <c r="BS79" s="19"/>
      <c r="BT79" s="19"/>
      <c r="BU79" s="681"/>
      <c r="BV79" s="682"/>
      <c r="BW79" s="279"/>
      <c r="BX79" s="83">
        <f>SUM(BX77:BX78)</f>
        <v>1647.832152631793</v>
      </c>
      <c r="BY79" s="649">
        <f>BX79/$BX$81</f>
        <v>4.429143215779472E-2</v>
      </c>
      <c r="BZ79" s="19"/>
      <c r="CA79" s="19"/>
      <c r="CB79" s="681"/>
      <c r="CC79" s="682"/>
      <c r="CD79" s="279"/>
      <c r="CE79" s="83">
        <f>SUM(CE77:CE78)</f>
        <v>1597.6791761265729</v>
      </c>
      <c r="CF79" s="649">
        <f>CE79/$CE$81</f>
        <v>4.5253110600208951E-2</v>
      </c>
      <c r="CG79" s="19"/>
      <c r="CH79" s="19"/>
      <c r="CI79" s="681"/>
      <c r="CJ79" s="682"/>
      <c r="CK79" s="279"/>
      <c r="CL79" s="83">
        <f>SUM(CL77:CL78)</f>
        <v>1600.3683771492119</v>
      </c>
      <c r="CM79" s="649">
        <f>CL79/$CL$81</f>
        <v>4.4203629889386364E-2</v>
      </c>
      <c r="CN79" s="19"/>
      <c r="CO79" s="19"/>
      <c r="CP79" s="681"/>
      <c r="CQ79" s="682"/>
      <c r="CR79" s="279"/>
      <c r="CS79" s="83">
        <f>SUM(CS77:CS78)</f>
        <v>1577.2424819185546</v>
      </c>
      <c r="CT79" s="649">
        <f>CS79/$CS$81</f>
        <v>4.3405829472599897E-2</v>
      </c>
      <c r="CU79" s="19"/>
      <c r="CV79" s="19"/>
      <c r="CW79" s="681"/>
      <c r="CX79" s="682"/>
      <c r="CY79" s="279"/>
      <c r="CZ79" s="83">
        <f>SUM(CZ77:CZ78)</f>
        <v>1546.8338388651964</v>
      </c>
      <c r="DA79" s="649">
        <f>CZ79/$CZ$81</f>
        <v>3.7699643694280575E-2</v>
      </c>
    </row>
    <row r="80" spans="1:105" s="16" customFormat="1" ht="15.75" x14ac:dyDescent="0.25">
      <c r="A80" s="514" t="s">
        <v>35</v>
      </c>
      <c r="B80" s="520"/>
      <c r="C80" s="536"/>
      <c r="D80" s="521"/>
      <c r="E80" s="522"/>
      <c r="F80" s="598">
        <f>F45+F60+F72+F75+F79</f>
        <v>9007.0964459000006</v>
      </c>
      <c r="G80" s="654">
        <f>F80/$F$81</f>
        <v>0.70644467459940996</v>
      </c>
      <c r="H80" s="514" t="s">
        <v>35</v>
      </c>
      <c r="I80" s="520"/>
      <c r="J80" s="536"/>
      <c r="K80" s="521"/>
      <c r="L80" s="522"/>
      <c r="M80" s="598">
        <f>M79+M75+M60+M45+M72</f>
        <v>12330.1458264131</v>
      </c>
      <c r="N80" s="654">
        <f>M80/$M$81</f>
        <v>0.75951220541096887</v>
      </c>
      <c r="O80" s="514" t="s">
        <v>35</v>
      </c>
      <c r="P80" s="520"/>
      <c r="Q80" s="536"/>
      <c r="R80" s="521"/>
      <c r="S80" s="522"/>
      <c r="T80" s="598">
        <f>T79+T75+T60+T45+T72</f>
        <v>21509.459766975819</v>
      </c>
      <c r="U80" s="654">
        <f>T80/$T$81</f>
        <v>0.72328640323671367</v>
      </c>
      <c r="V80" s="514" t="s">
        <v>35</v>
      </c>
      <c r="W80" s="520"/>
      <c r="X80" s="536"/>
      <c r="Y80" s="521"/>
      <c r="Z80" s="522"/>
      <c r="AA80" s="598">
        <f>AA79+AA75+AA60+AA45+AA72</f>
        <v>24560.935224670266</v>
      </c>
      <c r="AB80" s="654">
        <f>AA80/$AA$81</f>
        <v>0.73789722795504642</v>
      </c>
      <c r="AC80" s="514" t="s">
        <v>35</v>
      </c>
      <c r="AD80" s="520"/>
      <c r="AE80" s="536"/>
      <c r="AF80" s="521"/>
      <c r="AG80" s="522"/>
      <c r="AH80" s="598">
        <f>AH79+AH75+AH60+AH45+AH72</f>
        <v>26637.582876067299</v>
      </c>
      <c r="AI80" s="654">
        <f>AH80/$AH$81</f>
        <v>0.75308820244461927</v>
      </c>
      <c r="AJ80" s="514" t="s">
        <v>35</v>
      </c>
      <c r="AK80" s="520"/>
      <c r="AL80" s="536"/>
      <c r="AM80" s="521"/>
      <c r="AN80" s="522"/>
      <c r="AO80" s="598">
        <f>AO79+AO75+AO60+AO45+AO72</f>
        <v>28656.715556326904</v>
      </c>
      <c r="AP80" s="654">
        <f>AO80/$AO$81</f>
        <v>0.7662281685850697</v>
      </c>
      <c r="AQ80" s="514" t="s">
        <v>35</v>
      </c>
      <c r="AR80" s="520"/>
      <c r="AS80" s="536"/>
      <c r="AT80" s="521"/>
      <c r="AU80" s="522"/>
      <c r="AV80" s="598">
        <f>AV79+AV75+AV60+AV45+AV72</f>
        <v>26798.22664307864</v>
      </c>
      <c r="AW80" s="654">
        <f>AV80/$AV$81</f>
        <v>0.75418502161529311</v>
      </c>
      <c r="AX80" s="514" t="s">
        <v>35</v>
      </c>
      <c r="AY80" s="520"/>
      <c r="AZ80" s="536"/>
      <c r="BA80" s="521"/>
      <c r="BB80" s="522"/>
      <c r="BC80" s="598">
        <f>BC79+BC75+BC60+BC45+BC72</f>
        <v>26804.021082866348</v>
      </c>
      <c r="BD80" s="654">
        <f>BC80/$BC$81</f>
        <v>0.75422510097988815</v>
      </c>
      <c r="BE80" s="514" t="s">
        <v>35</v>
      </c>
      <c r="BF80" s="520"/>
      <c r="BG80" s="536"/>
      <c r="BH80" s="521"/>
      <c r="BI80" s="522"/>
      <c r="BJ80" s="598">
        <f>BJ79+BJ75+BJ60+BJ45+BJ72</f>
        <v>30406.41496753402</v>
      </c>
      <c r="BK80" s="654">
        <f>BJ80/$BJ$81</f>
        <v>0.77650949095970145</v>
      </c>
      <c r="BL80" s="514" t="s">
        <v>35</v>
      </c>
      <c r="BM80" s="520"/>
      <c r="BN80" s="536"/>
      <c r="BO80" s="521"/>
      <c r="BP80" s="522"/>
      <c r="BQ80" s="598">
        <f>BQ79+BQ75+BQ60+BQ45+BQ72</f>
        <v>30977.274580366822</v>
      </c>
      <c r="BR80" s="654">
        <f>BQ80/$BQ$81</f>
        <v>0.7796589989897923</v>
      </c>
      <c r="BS80" s="514" t="s">
        <v>35</v>
      </c>
      <c r="BT80" s="520"/>
      <c r="BU80" s="536"/>
      <c r="BV80" s="521"/>
      <c r="BW80" s="522"/>
      <c r="BX80" s="598">
        <f>BX79+BX75+BX60+BX45+BX72</f>
        <v>28461.047054975541</v>
      </c>
      <c r="BY80" s="654">
        <f>BX80/$BX$81</f>
        <v>0.76499328694488</v>
      </c>
      <c r="BZ80" s="514" t="s">
        <v>35</v>
      </c>
      <c r="CA80" s="520"/>
      <c r="CB80" s="536"/>
      <c r="CC80" s="521"/>
      <c r="CD80" s="522"/>
      <c r="CE80" s="598">
        <f>CE79+CE75+CE60+CE45+CE72</f>
        <v>26570.800113626574</v>
      </c>
      <c r="CF80" s="654">
        <f>CE80/$CE$81</f>
        <v>0.7525987533949865</v>
      </c>
      <c r="CG80" s="514" t="s">
        <v>35</v>
      </c>
      <c r="CH80" s="520"/>
      <c r="CI80" s="536"/>
      <c r="CJ80" s="521"/>
      <c r="CK80" s="522"/>
      <c r="CL80" s="598">
        <f>CL79+CL75+CL60+CL45+CL72</f>
        <v>27465.656085482544</v>
      </c>
      <c r="CM80" s="654">
        <f>CL80/$CL$81</f>
        <v>0.75862639727643566</v>
      </c>
      <c r="CN80" s="514" t="s">
        <v>35</v>
      </c>
      <c r="CO80" s="520"/>
      <c r="CP80" s="536"/>
      <c r="CQ80" s="521"/>
      <c r="CR80" s="522"/>
      <c r="CS80" s="598">
        <f>CS79+CS75+CS60+CS45+CS72</f>
        <v>27597.261882960222</v>
      </c>
      <c r="CT80" s="654">
        <f>CS80/$CS$81</f>
        <v>0.75947868316693523</v>
      </c>
      <c r="CU80" s="514" t="s">
        <v>35</v>
      </c>
      <c r="CV80" s="520"/>
      <c r="CW80" s="536"/>
      <c r="CX80" s="521"/>
      <c r="CY80" s="522"/>
      <c r="CZ80" s="598">
        <f>CZ79+CZ75+CZ60+CZ45+CZ72</f>
        <v>26296.913083656862</v>
      </c>
      <c r="DA80" s="654">
        <f>CZ80/$CZ$81</f>
        <v>0.64091192512354012</v>
      </c>
    </row>
    <row r="81" spans="1:115" s="292" customFormat="1" ht="20.25" x14ac:dyDescent="0.3">
      <c r="A81" s="508" t="s">
        <v>248</v>
      </c>
      <c r="B81" s="537"/>
      <c r="C81" s="538"/>
      <c r="D81" s="539"/>
      <c r="E81" s="540"/>
      <c r="F81" s="512">
        <f>F80+F44</f>
        <v>12749.896445900002</v>
      </c>
      <c r="G81" s="311">
        <f>F81/$F$81</f>
        <v>1</v>
      </c>
      <c r="H81" s="508" t="s">
        <v>234</v>
      </c>
      <c r="I81" s="537"/>
      <c r="J81" s="538"/>
      <c r="K81" s="539"/>
      <c r="L81" s="540"/>
      <c r="M81" s="512">
        <f>M80+M44</f>
        <v>16234.295826413099</v>
      </c>
      <c r="N81" s="311">
        <f>M81/$M$81</f>
        <v>1</v>
      </c>
      <c r="O81" s="508" t="s">
        <v>235</v>
      </c>
      <c r="P81" s="537"/>
      <c r="Q81" s="538"/>
      <c r="R81" s="539"/>
      <c r="S81" s="540"/>
      <c r="T81" s="512">
        <f>T80+T44</f>
        <v>29738.509766975818</v>
      </c>
      <c r="U81" s="311">
        <f>T81/$T$81</f>
        <v>1</v>
      </c>
      <c r="V81" s="508" t="s">
        <v>236</v>
      </c>
      <c r="W81" s="537"/>
      <c r="X81" s="538"/>
      <c r="Y81" s="539"/>
      <c r="Z81" s="540"/>
      <c r="AA81" s="512">
        <f>AA80+AA44</f>
        <v>33285.035224670268</v>
      </c>
      <c r="AB81" s="311">
        <f>AA81/$AA$81</f>
        <v>1</v>
      </c>
      <c r="AC81" s="508" t="s">
        <v>237</v>
      </c>
      <c r="AD81" s="537"/>
      <c r="AE81" s="538"/>
      <c r="AF81" s="539"/>
      <c r="AG81" s="540"/>
      <c r="AH81" s="512">
        <f>AH80+AH44</f>
        <v>35371.132876067299</v>
      </c>
      <c r="AI81" s="311">
        <f>AH81/$AH$81</f>
        <v>1</v>
      </c>
      <c r="AJ81" s="508" t="s">
        <v>238</v>
      </c>
      <c r="AK81" s="537"/>
      <c r="AL81" s="538"/>
      <c r="AM81" s="539"/>
      <c r="AN81" s="540"/>
      <c r="AO81" s="512">
        <f>AO80+AO44</f>
        <v>37399.715556326904</v>
      </c>
      <c r="AP81" s="311">
        <f>AO81/$AO$81</f>
        <v>1</v>
      </c>
      <c r="AQ81" s="508" t="s">
        <v>239</v>
      </c>
      <c r="AR81" s="537"/>
      <c r="AS81" s="538"/>
      <c r="AT81" s="539"/>
      <c r="AU81" s="540"/>
      <c r="AV81" s="512">
        <f>AV80+AV44</f>
        <v>35532.69539307864</v>
      </c>
      <c r="AW81" s="311">
        <f>AV81/$AV$81</f>
        <v>1</v>
      </c>
      <c r="AX81" s="508" t="s">
        <v>240</v>
      </c>
      <c r="AY81" s="537"/>
      <c r="AZ81" s="538"/>
      <c r="BA81" s="539"/>
      <c r="BB81" s="540"/>
      <c r="BC81" s="512">
        <f>BC80+BC44</f>
        <v>35538.489832866348</v>
      </c>
      <c r="BD81" s="311">
        <f>BC81/$BC$81</f>
        <v>1</v>
      </c>
      <c r="BE81" s="508" t="s">
        <v>241</v>
      </c>
      <c r="BF81" s="537"/>
      <c r="BG81" s="538"/>
      <c r="BH81" s="539"/>
      <c r="BI81" s="540"/>
      <c r="BJ81" s="512">
        <f>BJ80+BJ44</f>
        <v>39157.814967534017</v>
      </c>
      <c r="BK81" s="311">
        <f>BJ81/$BJ$81</f>
        <v>1</v>
      </c>
      <c r="BL81" s="508" t="s">
        <v>242</v>
      </c>
      <c r="BM81" s="537"/>
      <c r="BN81" s="538"/>
      <c r="BO81" s="539"/>
      <c r="BP81" s="540"/>
      <c r="BQ81" s="512">
        <f>BQ80+BQ44</f>
        <v>39731.824580366825</v>
      </c>
      <c r="BR81" s="311">
        <f>BQ81/$BQ$81</f>
        <v>1</v>
      </c>
      <c r="BS81" s="508" t="s">
        <v>243</v>
      </c>
      <c r="BT81" s="537"/>
      <c r="BU81" s="538"/>
      <c r="BV81" s="539"/>
      <c r="BW81" s="540"/>
      <c r="BX81" s="512">
        <f>BX80+BX44</f>
        <v>37204.309554975538</v>
      </c>
      <c r="BY81" s="311">
        <f>BX81/$BX$81</f>
        <v>1</v>
      </c>
      <c r="BZ81" s="508" t="s">
        <v>244</v>
      </c>
      <c r="CA81" s="537"/>
      <c r="CB81" s="538"/>
      <c r="CC81" s="539"/>
      <c r="CD81" s="540"/>
      <c r="CE81" s="512">
        <f>CE80+CE44</f>
        <v>35305.400113626572</v>
      </c>
      <c r="CF81" s="311">
        <f>CE81/$CE$81</f>
        <v>1</v>
      </c>
      <c r="CG81" s="508" t="s">
        <v>245</v>
      </c>
      <c r="CH81" s="537"/>
      <c r="CI81" s="538"/>
      <c r="CJ81" s="539"/>
      <c r="CK81" s="540"/>
      <c r="CL81" s="512">
        <f>CL80+CL44</f>
        <v>36204.456085482539</v>
      </c>
      <c r="CM81" s="311">
        <f>CL81/$CL$81</f>
        <v>1</v>
      </c>
      <c r="CN81" s="508" t="s">
        <v>246</v>
      </c>
      <c r="CO81" s="537"/>
      <c r="CP81" s="538"/>
      <c r="CQ81" s="539"/>
      <c r="CR81" s="540"/>
      <c r="CS81" s="512">
        <f>CS80+CS44</f>
        <v>36337.11188296022</v>
      </c>
      <c r="CT81" s="311">
        <f>CS81/$CS$81</f>
        <v>1</v>
      </c>
      <c r="CU81" s="508" t="s">
        <v>247</v>
      </c>
      <c r="CV81" s="537"/>
      <c r="CW81" s="538"/>
      <c r="CX81" s="539"/>
      <c r="CY81" s="540"/>
      <c r="CZ81" s="512">
        <f>CZ80+CZ44+CV87</f>
        <v>41030.463083656861</v>
      </c>
      <c r="DA81" s="311">
        <f>CZ81/$CZ$81</f>
        <v>1</v>
      </c>
    </row>
    <row r="82" spans="1:115" s="16" customFormat="1" ht="15.75" x14ac:dyDescent="0.25">
      <c r="A82" s="293" t="s">
        <v>212</v>
      </c>
      <c r="F82" s="294">
        <f>F15</f>
        <v>1100</v>
      </c>
      <c r="G82" s="295"/>
      <c r="H82" s="293" t="s">
        <v>212</v>
      </c>
      <c r="M82" s="294">
        <f>M15</f>
        <v>12402.2</v>
      </c>
      <c r="N82" s="295"/>
      <c r="O82" s="293" t="s">
        <v>212</v>
      </c>
      <c r="T82" s="294">
        <f>T15</f>
        <v>15227.750000000002</v>
      </c>
      <c r="U82" s="295"/>
      <c r="V82" s="293" t="s">
        <v>212</v>
      </c>
      <c r="AA82" s="294">
        <f>AA15</f>
        <v>25588.100000000002</v>
      </c>
      <c r="AB82" s="295"/>
      <c r="AC82" s="293" t="s">
        <v>212</v>
      </c>
      <c r="AH82" s="294">
        <f>AH15</f>
        <v>34064.75</v>
      </c>
      <c r="AI82" s="295"/>
      <c r="AJ82" s="293" t="s">
        <v>212</v>
      </c>
      <c r="AO82" s="294">
        <f>AO15</f>
        <v>42541.4</v>
      </c>
      <c r="AP82" s="295"/>
      <c r="AQ82" s="293" t="s">
        <v>212</v>
      </c>
      <c r="AV82" s="294">
        <f>AV15</f>
        <v>34888.868750000001</v>
      </c>
      <c r="AW82" s="295"/>
      <c r="AX82" s="293" t="s">
        <v>212</v>
      </c>
      <c r="BC82" s="294">
        <f>BC15</f>
        <v>34888.868750000001</v>
      </c>
      <c r="BD82" s="295"/>
      <c r="BE82" s="293" t="s">
        <v>212</v>
      </c>
      <c r="BJ82" s="294">
        <f>BJ15</f>
        <v>50076.200000000004</v>
      </c>
      <c r="BK82" s="295"/>
      <c r="BL82" s="293" t="s">
        <v>212</v>
      </c>
      <c r="BQ82" s="294">
        <f>BQ15</f>
        <v>52901.750000000007</v>
      </c>
      <c r="BR82" s="295"/>
      <c r="BS82" s="293" t="s">
        <v>212</v>
      </c>
      <c r="BX82" s="294">
        <f>BX15</f>
        <v>42776.862499999996</v>
      </c>
      <c r="BY82" s="295"/>
      <c r="BZ82" s="293" t="s">
        <v>212</v>
      </c>
      <c r="CE82" s="294">
        <f>CE15</f>
        <v>35006.600000000006</v>
      </c>
      <c r="CF82" s="295"/>
      <c r="CG82" s="293" t="s">
        <v>212</v>
      </c>
      <c r="CL82" s="294">
        <f>CL15</f>
        <v>38774</v>
      </c>
      <c r="CM82" s="295"/>
      <c r="CN82" s="293" t="s">
        <v>212</v>
      </c>
      <c r="CS82" s="294">
        <f>CS15</f>
        <v>39715.85</v>
      </c>
      <c r="CT82" s="295"/>
      <c r="CU82" s="293" t="s">
        <v>212</v>
      </c>
      <c r="CZ82" s="294">
        <f>CZ15</f>
        <v>34064.75</v>
      </c>
      <c r="DA82" s="295"/>
    </row>
    <row r="83" spans="1:115" s="16" customFormat="1" ht="15.75" x14ac:dyDescent="0.25">
      <c r="A83" s="293" t="s">
        <v>218</v>
      </c>
      <c r="F83" s="294">
        <f>F82-F81</f>
        <v>-11649.896445900002</v>
      </c>
      <c r="G83" s="295"/>
      <c r="H83" s="293" t="s">
        <v>218</v>
      </c>
      <c r="M83" s="294">
        <f>M82-M81</f>
        <v>-3832.0958264130986</v>
      </c>
      <c r="N83" s="295"/>
      <c r="O83" s="293" t="s">
        <v>218</v>
      </c>
      <c r="T83" s="294">
        <f>T82-T81</f>
        <v>-14510.759766975816</v>
      </c>
      <c r="U83" s="295"/>
      <c r="V83" s="293" t="s">
        <v>218</v>
      </c>
      <c r="AA83" s="294">
        <f>AA82-AA81</f>
        <v>-7696.9352246702656</v>
      </c>
      <c r="AB83" s="295"/>
      <c r="AC83" s="293" t="s">
        <v>218</v>
      </c>
      <c r="AH83" s="294">
        <f>AH82-AH81</f>
        <v>-1306.3828760672986</v>
      </c>
      <c r="AI83" s="295"/>
      <c r="AJ83" s="293" t="s">
        <v>218</v>
      </c>
      <c r="AO83" s="294">
        <f>AO82-AO81</f>
        <v>5141.6844436730971</v>
      </c>
      <c r="AP83" s="295"/>
      <c r="AQ83" s="293" t="s">
        <v>218</v>
      </c>
      <c r="AV83" s="294">
        <f>AV82-AV81</f>
        <v>-643.82664307863888</v>
      </c>
      <c r="AW83" s="295"/>
      <c r="AX83" s="293" t="s">
        <v>218</v>
      </c>
      <c r="BC83" s="294">
        <f>BC82-BC81</f>
        <v>-649.62108286634611</v>
      </c>
      <c r="BD83" s="295"/>
      <c r="BE83" s="293" t="s">
        <v>218</v>
      </c>
      <c r="BJ83" s="294">
        <f>BJ82-BJ81</f>
        <v>10918.385032465987</v>
      </c>
      <c r="BK83" s="295"/>
      <c r="BL83" s="293" t="s">
        <v>218</v>
      </c>
      <c r="BQ83" s="294">
        <f>BQ82-BQ81</f>
        <v>13169.925419633182</v>
      </c>
      <c r="BR83" s="295"/>
      <c r="BS83" s="293" t="s">
        <v>218</v>
      </c>
      <c r="BX83" s="294">
        <f>BX82-BX81</f>
        <v>5572.5529450244576</v>
      </c>
      <c r="BY83" s="295"/>
      <c r="BZ83" s="293" t="s">
        <v>218</v>
      </c>
      <c r="CE83" s="294">
        <f>CE82-CE81</f>
        <v>-298.8001136265666</v>
      </c>
      <c r="CF83" s="295"/>
      <c r="CG83" s="293" t="s">
        <v>218</v>
      </c>
      <c r="CL83" s="294">
        <f>CL82-CL81</f>
        <v>2569.5439145174605</v>
      </c>
      <c r="CM83" s="295"/>
      <c r="CN83" s="293" t="s">
        <v>218</v>
      </c>
      <c r="CS83" s="294">
        <f>CS82-CS81</f>
        <v>3378.7381170397784</v>
      </c>
      <c r="CT83" s="295"/>
      <c r="CU83" s="293" t="s">
        <v>218</v>
      </c>
      <c r="CZ83" s="294">
        <f>CZ82-CZ81</f>
        <v>-6965.7130836568613</v>
      </c>
      <c r="DA83" s="295"/>
    </row>
    <row r="84" spans="1:115" s="102" customFormat="1" ht="18.75" thickBot="1" x14ac:dyDescent="0.3">
      <c r="A84" s="275" t="s">
        <v>407</v>
      </c>
      <c r="C84" s="242"/>
      <c r="D84" s="242"/>
      <c r="E84" s="341"/>
      <c r="F84" s="683">
        <f>'Standard Erstellung'!E138*(-1)</f>
        <v>-98699.605099999986</v>
      </c>
      <c r="G84" s="316"/>
      <c r="H84" s="275" t="s">
        <v>219</v>
      </c>
      <c r="J84" s="242"/>
      <c r="K84" s="242"/>
      <c r="L84" s="341"/>
      <c r="M84" s="683">
        <f>F85</f>
        <v>-110349.50154589998</v>
      </c>
      <c r="N84" s="316"/>
      <c r="O84" s="275" t="s">
        <v>220</v>
      </c>
      <c r="Q84" s="242"/>
      <c r="R84" s="242"/>
      <c r="S84" s="341"/>
      <c r="T84" s="683">
        <f>M85</f>
        <v>-114181.59737231309</v>
      </c>
      <c r="U84" s="316"/>
      <c r="V84" s="275" t="s">
        <v>221</v>
      </c>
      <c r="X84" s="242"/>
      <c r="Y84" s="242"/>
      <c r="Z84" s="341"/>
      <c r="AA84" s="683">
        <f>T85</f>
        <v>-128692.35713928891</v>
      </c>
      <c r="AB84" s="316"/>
      <c r="AC84" s="275" t="s">
        <v>222</v>
      </c>
      <c r="AE84" s="242"/>
      <c r="AF84" s="242"/>
      <c r="AG84" s="341"/>
      <c r="AH84" s="683">
        <f>AA85</f>
        <v>-136389.29236395916</v>
      </c>
      <c r="AI84" s="316"/>
      <c r="AJ84" s="275" t="s">
        <v>223</v>
      </c>
      <c r="AL84" s="242"/>
      <c r="AM84" s="242"/>
      <c r="AN84" s="341"/>
      <c r="AO84" s="683">
        <f>AH85</f>
        <v>-137695.67524002647</v>
      </c>
      <c r="AP84" s="316"/>
      <c r="AQ84" s="275" t="s">
        <v>224</v>
      </c>
      <c r="AS84" s="242"/>
      <c r="AT84" s="242"/>
      <c r="AU84" s="341"/>
      <c r="AV84" s="683">
        <f>AO85</f>
        <v>-132553.99079635338</v>
      </c>
      <c r="AW84" s="316"/>
      <c r="AX84" s="275" t="s">
        <v>225</v>
      </c>
      <c r="AZ84" s="242"/>
      <c r="BA84" s="242"/>
      <c r="BB84" s="341"/>
      <c r="BC84" s="683">
        <f>AV85</f>
        <v>-133197.81743943202</v>
      </c>
      <c r="BD84" s="316"/>
      <c r="BE84" s="275" t="s">
        <v>226</v>
      </c>
      <c r="BG84" s="242"/>
      <c r="BH84" s="242"/>
      <c r="BI84" s="341"/>
      <c r="BJ84" s="683">
        <f>BC85</f>
        <v>-133847.43852229838</v>
      </c>
      <c r="BK84" s="316"/>
      <c r="BL84" s="275" t="s">
        <v>227</v>
      </c>
      <c r="BN84" s="242"/>
      <c r="BO84" s="242"/>
      <c r="BP84" s="341"/>
      <c r="BQ84" s="683">
        <f>BJ85</f>
        <v>-122929.05348983238</v>
      </c>
      <c r="BR84" s="316"/>
      <c r="BS84" s="275" t="s">
        <v>228</v>
      </c>
      <c r="BU84" s="242"/>
      <c r="BV84" s="242"/>
      <c r="BW84" s="341"/>
      <c r="BX84" s="683">
        <f>BQ85</f>
        <v>-109759.12807019922</v>
      </c>
      <c r="BY84" s="316"/>
      <c r="BZ84" s="275" t="s">
        <v>229</v>
      </c>
      <c r="CB84" s="242"/>
      <c r="CC84" s="242"/>
      <c r="CD84" s="341"/>
      <c r="CE84" s="683">
        <f>BX85</f>
        <v>-104186.57512517477</v>
      </c>
      <c r="CF84" s="316"/>
      <c r="CG84" s="275" t="s">
        <v>230</v>
      </c>
      <c r="CI84" s="242"/>
      <c r="CJ84" s="242"/>
      <c r="CK84" s="341"/>
      <c r="CL84" s="683">
        <f>CE85</f>
        <v>-104485.37523880132</v>
      </c>
      <c r="CM84" s="316"/>
      <c r="CN84" s="275" t="s">
        <v>231</v>
      </c>
      <c r="CP84" s="242"/>
      <c r="CQ84" s="242"/>
      <c r="CR84" s="341"/>
      <c r="CS84" s="683">
        <f>CL85</f>
        <v>-101915.83132428385</v>
      </c>
      <c r="CT84" s="316"/>
      <c r="CU84" s="275" t="s">
        <v>232</v>
      </c>
      <c r="CW84" s="242"/>
      <c r="CX84" s="242"/>
      <c r="CY84" s="341"/>
      <c r="CZ84" s="683">
        <f>CS85</f>
        <v>-98537.093207244063</v>
      </c>
      <c r="DA84" s="316"/>
    </row>
    <row r="85" spans="1:115" s="306" customFormat="1" ht="24" customHeight="1" x14ac:dyDescent="0.3">
      <c r="A85" s="305" t="s">
        <v>219</v>
      </c>
      <c r="F85" s="307">
        <f>F84-F81+F82</f>
        <v>-110349.50154589998</v>
      </c>
      <c r="G85" s="312"/>
      <c r="H85" s="305" t="s">
        <v>220</v>
      </c>
      <c r="M85" s="307">
        <f>((M81)*(-1))+M84+M82</f>
        <v>-114181.59737231309</v>
      </c>
      <c r="N85" s="312"/>
      <c r="O85" s="305" t="s">
        <v>221</v>
      </c>
      <c r="T85" s="307">
        <f>((T81)*(-1))+T84+T82</f>
        <v>-128692.35713928891</v>
      </c>
      <c r="U85" s="312"/>
      <c r="V85" s="305" t="s">
        <v>222</v>
      </c>
      <c r="AA85" s="307">
        <f>((AA81)*(-1))+AA84+AA82</f>
        <v>-136389.29236395916</v>
      </c>
      <c r="AB85" s="312"/>
      <c r="AC85" s="305" t="s">
        <v>223</v>
      </c>
      <c r="AH85" s="307">
        <f>((AH81)*(-1))+AH84+AH82</f>
        <v>-137695.67524002647</v>
      </c>
      <c r="AI85" s="312"/>
      <c r="AJ85" s="305" t="s">
        <v>224</v>
      </c>
      <c r="AO85" s="307">
        <f>((AO81)*(-1))+AO84+AO82</f>
        <v>-132553.99079635338</v>
      </c>
      <c r="AP85" s="312"/>
      <c r="AQ85" s="305" t="s">
        <v>225</v>
      </c>
      <c r="AV85" s="307">
        <f>((AV81)*(-1))+AV84+AV82</f>
        <v>-133197.81743943202</v>
      </c>
      <c r="AW85" s="312"/>
      <c r="AX85" s="305" t="s">
        <v>226</v>
      </c>
      <c r="BC85" s="307">
        <f>((BC81)*(-1))+BC84+BC82</f>
        <v>-133847.43852229838</v>
      </c>
      <c r="BD85" s="312"/>
      <c r="BE85" s="305" t="s">
        <v>227</v>
      </c>
      <c r="BJ85" s="307">
        <f>((BJ81)*(-1))+BJ84+BJ82</f>
        <v>-122929.05348983238</v>
      </c>
      <c r="BK85" s="312"/>
      <c r="BL85" s="305" t="s">
        <v>228</v>
      </c>
      <c r="BQ85" s="307">
        <f>((BQ81)*(-1))+BQ84+BQ82</f>
        <v>-109759.12807019922</v>
      </c>
      <c r="BR85" s="312"/>
      <c r="BS85" s="305" t="s">
        <v>229</v>
      </c>
      <c r="BX85" s="307">
        <f>((BX81)*(-1))+BX84+BX82</f>
        <v>-104186.57512517477</v>
      </c>
      <c r="BY85" s="312"/>
      <c r="BZ85" s="305" t="s">
        <v>230</v>
      </c>
      <c r="CE85" s="307">
        <f>((CE81)*(-1))+CE84+CE82</f>
        <v>-104485.37523880132</v>
      </c>
      <c r="CF85" s="312"/>
      <c r="CG85" s="305" t="s">
        <v>231</v>
      </c>
      <c r="CL85" s="307">
        <f>((CL81)*(-1))+CL84+CL82</f>
        <v>-101915.83132428385</v>
      </c>
      <c r="CM85" s="312"/>
      <c r="CN85" s="305" t="s">
        <v>232</v>
      </c>
      <c r="CS85" s="307">
        <f>((CS81)*(-1))+CS84+CS82</f>
        <v>-98537.093207244063</v>
      </c>
      <c r="CT85" s="312"/>
      <c r="CU85" s="305" t="s">
        <v>233</v>
      </c>
      <c r="CZ85" s="307">
        <f>((CZ81)*(-1))+CZ84+CZ82</f>
        <v>-105502.80629090092</v>
      </c>
      <c r="DA85" s="312"/>
      <c r="DB85" s="300"/>
      <c r="DC85" s="300"/>
      <c r="DD85" s="300"/>
      <c r="DE85" s="300"/>
      <c r="DF85" s="300"/>
      <c r="DG85" s="303"/>
      <c r="DH85" s="303"/>
      <c r="DI85" s="303"/>
      <c r="DJ85" s="303"/>
      <c r="DK85" s="303"/>
    </row>
    <row r="86" spans="1:115" s="310" customFormat="1" x14ac:dyDescent="0.2">
      <c r="A86" s="308" t="s">
        <v>64</v>
      </c>
      <c r="B86" s="308"/>
      <c r="C86" s="309"/>
      <c r="D86" s="309"/>
      <c r="E86" s="309"/>
      <c r="F86" s="309">
        <f>F85*(-1)</f>
        <v>110349.50154589998</v>
      </c>
      <c r="G86" s="309"/>
      <c r="H86" s="308" t="s">
        <v>64</v>
      </c>
      <c r="I86" s="308"/>
      <c r="J86" s="309"/>
      <c r="K86" s="309"/>
      <c r="L86" s="309"/>
      <c r="M86" s="309">
        <f>M85*(-1)</f>
        <v>114181.59737231309</v>
      </c>
      <c r="N86" s="309"/>
      <c r="O86" s="308" t="s">
        <v>64</v>
      </c>
      <c r="P86" s="308"/>
      <c r="Q86" s="309"/>
      <c r="R86" s="309"/>
      <c r="S86" s="309"/>
      <c r="T86" s="309">
        <f>T85*(-1)</f>
        <v>128692.35713928891</v>
      </c>
      <c r="U86" s="309"/>
      <c r="V86" s="308" t="s">
        <v>64</v>
      </c>
      <c r="W86" s="308"/>
      <c r="X86" s="309"/>
      <c r="Y86" s="309"/>
      <c r="Z86" s="309"/>
      <c r="AA86" s="309">
        <f>T86-($T$86/'Standard Vorgaben'!$B$29)</f>
        <v>117967.99404434818</v>
      </c>
      <c r="AB86" s="309"/>
      <c r="AC86" s="308" t="s">
        <v>64</v>
      </c>
      <c r="AD86" s="308"/>
      <c r="AE86" s="309"/>
      <c r="AF86" s="309"/>
      <c r="AG86" s="309"/>
      <c r="AH86" s="309">
        <f>AA86-($T$86/'Standard Vorgaben'!$B$29)</f>
        <v>107243.63094940744</v>
      </c>
      <c r="AI86" s="309"/>
      <c r="AJ86" s="308" t="s">
        <v>64</v>
      </c>
      <c r="AK86" s="308"/>
      <c r="AL86" s="309"/>
      <c r="AM86" s="309"/>
      <c r="AN86" s="309"/>
      <c r="AO86" s="309">
        <f>AH86-($T$86/'Standard Vorgaben'!$B$29)</f>
        <v>96519.2678544667</v>
      </c>
      <c r="AP86" s="309"/>
      <c r="AQ86" s="308" t="s">
        <v>64</v>
      </c>
      <c r="AR86" s="308"/>
      <c r="AS86" s="309"/>
      <c r="AT86" s="309"/>
      <c r="AU86" s="309"/>
      <c r="AV86" s="309">
        <f>AO86-($T$86/'Standard Vorgaben'!$B$29)</f>
        <v>85794.904759525962</v>
      </c>
      <c r="AW86" s="309"/>
      <c r="AX86" s="308" t="s">
        <v>64</v>
      </c>
      <c r="AY86" s="308"/>
      <c r="AZ86" s="309"/>
      <c r="BA86" s="309"/>
      <c r="BB86" s="309"/>
      <c r="BC86" s="309">
        <f>AV86-($T$86/'Standard Vorgaben'!$B$29)</f>
        <v>75070.541664585224</v>
      </c>
      <c r="BD86" s="309"/>
      <c r="BE86" s="308" t="s">
        <v>64</v>
      </c>
      <c r="BF86" s="308"/>
      <c r="BG86" s="309"/>
      <c r="BH86" s="309"/>
      <c r="BI86" s="309"/>
      <c r="BJ86" s="309">
        <f>BC86-($T$86/'Standard Vorgaben'!$B$29)</f>
        <v>64346.178569644479</v>
      </c>
      <c r="BK86" s="309"/>
      <c r="BL86" s="308" t="s">
        <v>64</v>
      </c>
      <c r="BM86" s="308"/>
      <c r="BN86" s="309"/>
      <c r="BO86" s="309"/>
      <c r="BP86" s="309"/>
      <c r="BQ86" s="309">
        <f>BJ86-($T$86/'Standard Vorgaben'!$B$29)</f>
        <v>53621.815474703733</v>
      </c>
      <c r="BR86" s="309"/>
      <c r="BS86" s="308" t="s">
        <v>64</v>
      </c>
      <c r="BT86" s="308"/>
      <c r="BU86" s="309"/>
      <c r="BV86" s="309"/>
      <c r="BW86" s="309"/>
      <c r="BX86" s="309">
        <f>BQ86-($T$86/'Standard Vorgaben'!$B$29)</f>
        <v>42897.452379762988</v>
      </c>
      <c r="BY86" s="309"/>
      <c r="BZ86" s="308" t="s">
        <v>64</v>
      </c>
      <c r="CA86" s="308"/>
      <c r="CB86" s="309"/>
      <c r="CC86" s="309"/>
      <c r="CD86" s="309"/>
      <c r="CE86" s="309">
        <f>BX86-($T$86/'Standard Vorgaben'!$B$29)</f>
        <v>32173.089284822243</v>
      </c>
      <c r="CF86" s="309"/>
      <c r="CG86" s="308" t="s">
        <v>64</v>
      </c>
      <c r="CH86" s="308"/>
      <c r="CI86" s="309"/>
      <c r="CJ86" s="309"/>
      <c r="CK86" s="309"/>
      <c r="CL86" s="309">
        <f>CE86-($T$86/'Standard Vorgaben'!$B$29)</f>
        <v>21448.726189881498</v>
      </c>
      <c r="CM86" s="309"/>
      <c r="CN86" s="308" t="s">
        <v>64</v>
      </c>
      <c r="CO86" s="308"/>
      <c r="CP86" s="309"/>
      <c r="CQ86" s="309"/>
      <c r="CR86" s="309"/>
      <c r="CS86" s="309">
        <f>CL86-($T$86/'Standard Vorgaben'!$B$29)</f>
        <v>10724.363094940754</v>
      </c>
      <c r="CT86" s="309"/>
      <c r="CU86" s="308" t="s">
        <v>64</v>
      </c>
      <c r="CV86" s="308"/>
      <c r="CW86" s="309"/>
      <c r="CX86" s="309"/>
      <c r="CY86" s="309"/>
      <c r="CZ86" s="309">
        <f>CS86-($T$86/'Standard Vorgaben'!$B$29)</f>
        <v>0</v>
      </c>
      <c r="DA86" s="309"/>
    </row>
    <row r="87" spans="1:115" x14ac:dyDescent="0.2">
      <c r="A87"/>
      <c r="B87"/>
      <c r="C87"/>
      <c r="D87"/>
      <c r="E87"/>
      <c r="F87"/>
      <c r="G87"/>
      <c r="H87" s="198"/>
      <c r="I87"/>
      <c r="O87" s="205"/>
      <c r="P87" s="17"/>
      <c r="Q87" s="17"/>
      <c r="R87" s="17"/>
      <c r="S87" s="17"/>
      <c r="T87" s="110"/>
      <c r="CU87" s="317" t="s">
        <v>129</v>
      </c>
      <c r="CV87" s="143">
        <f>'Standard Vorgaben'!C38</f>
        <v>6000</v>
      </c>
    </row>
    <row r="89" spans="1:115" x14ac:dyDescent="0.2">
      <c r="S89" s="1337"/>
    </row>
    <row r="90" spans="1:115" x14ac:dyDescent="0.2">
      <c r="S90" s="1337"/>
    </row>
    <row r="91" spans="1:115" x14ac:dyDescent="0.2">
      <c r="S91" s="1337"/>
    </row>
    <row r="92" spans="1:115" x14ac:dyDescent="0.2">
      <c r="O92" s="1455"/>
      <c r="S92" s="1337"/>
    </row>
    <row r="93" spans="1:115" x14ac:dyDescent="0.2">
      <c r="O93" s="1455"/>
      <c r="S93" s="1337"/>
    </row>
    <row r="94" spans="1:115" x14ac:dyDescent="0.2">
      <c r="O94" s="1455"/>
      <c r="S94" s="1337"/>
    </row>
    <row r="95" spans="1:115" x14ac:dyDescent="0.2">
      <c r="O95" s="1455"/>
      <c r="S95" s="1337"/>
    </row>
    <row r="96" spans="1:115" x14ac:dyDescent="0.2">
      <c r="O96" s="1455"/>
    </row>
    <row r="97" spans="15:15" x14ac:dyDescent="0.2">
      <c r="O97" s="1455"/>
    </row>
    <row r="98" spans="15:15" x14ac:dyDescent="0.2">
      <c r="O98" s="1455"/>
    </row>
    <row r="99" spans="15:15" x14ac:dyDescent="0.2">
      <c r="O99" s="1455"/>
    </row>
    <row r="100" spans="15:15" x14ac:dyDescent="0.2">
      <c r="O100" s="1454"/>
    </row>
    <row r="101" spans="15:15" x14ac:dyDescent="0.2">
      <c r="O101" s="1454"/>
    </row>
    <row r="102" spans="15:15" x14ac:dyDescent="0.2">
      <c r="O102" s="1454"/>
    </row>
    <row r="103" spans="15:15" x14ac:dyDescent="0.2">
      <c r="O103" s="1454"/>
    </row>
    <row r="104" spans="15:15" x14ac:dyDescent="0.2">
      <c r="O104" s="1454"/>
    </row>
    <row r="105" spans="15:15" x14ac:dyDescent="0.2">
      <c r="O105" s="1454"/>
    </row>
    <row r="106" spans="15:15" x14ac:dyDescent="0.2">
      <c r="O106" s="1454"/>
    </row>
    <row r="107" spans="15:15" x14ac:dyDescent="0.2">
      <c r="O107" s="1454"/>
    </row>
    <row r="108" spans="15:15" x14ac:dyDescent="0.2">
      <c r="O108" s="1454"/>
    </row>
    <row r="109" spans="15:15" x14ac:dyDescent="0.2">
      <c r="O109" s="1454"/>
    </row>
    <row r="110" spans="15:15" x14ac:dyDescent="0.2">
      <c r="O110" s="1454"/>
    </row>
    <row r="111" spans="15:15" x14ac:dyDescent="0.2">
      <c r="O111" s="1454"/>
    </row>
    <row r="112" spans="15:15" x14ac:dyDescent="0.2">
      <c r="O112" s="1455"/>
    </row>
    <row r="113" spans="15:15" x14ac:dyDescent="0.2">
      <c r="O113" s="1455"/>
    </row>
    <row r="114" spans="15:15" x14ac:dyDescent="0.2">
      <c r="O114" s="1455"/>
    </row>
    <row r="115" spans="15:15" x14ac:dyDescent="0.2">
      <c r="O115" s="1455"/>
    </row>
    <row r="116" spans="15:15" x14ac:dyDescent="0.2">
      <c r="O116" s="1454"/>
    </row>
    <row r="117" spans="15:15" x14ac:dyDescent="0.2">
      <c r="O117" s="1454"/>
    </row>
    <row r="118" spans="15:15" x14ac:dyDescent="0.2">
      <c r="O118" s="1454"/>
    </row>
  </sheetData>
  <mergeCells count="81">
    <mergeCell ref="O116:O118"/>
    <mergeCell ref="O92:O99"/>
    <mergeCell ref="O100:O107"/>
    <mergeCell ref="O108:O111"/>
    <mergeCell ref="O112:O115"/>
    <mergeCell ref="AQ57:AQ58"/>
    <mergeCell ref="H36:H37"/>
    <mergeCell ref="O36:O37"/>
    <mergeCell ref="AJ36:AJ37"/>
    <mergeCell ref="AQ36:AQ37"/>
    <mergeCell ref="A57:A58"/>
    <mergeCell ref="V57:V58"/>
    <mergeCell ref="AC57:AC58"/>
    <mergeCell ref="AJ57:AJ58"/>
    <mergeCell ref="O57:O58"/>
    <mergeCell ref="H57:H58"/>
    <mergeCell ref="AX57:AX58"/>
    <mergeCell ref="CG57:CG58"/>
    <mergeCell ref="CN57:CN58"/>
    <mergeCell ref="CU57:CU58"/>
    <mergeCell ref="BE57:BE58"/>
    <mergeCell ref="BL57:BL58"/>
    <mergeCell ref="BS57:BS58"/>
    <mergeCell ref="BZ57:BZ58"/>
    <mergeCell ref="CN36:CN37"/>
    <mergeCell ref="CU36:CU37"/>
    <mergeCell ref="BZ36:BZ37"/>
    <mergeCell ref="CG36:CG37"/>
    <mergeCell ref="BL36:BL37"/>
    <mergeCell ref="BS36:BS37"/>
    <mergeCell ref="BE36:BE37"/>
    <mergeCell ref="C6:G6"/>
    <mergeCell ref="G7:G8"/>
    <mergeCell ref="AS6:AW6"/>
    <mergeCell ref="AZ6:BD6"/>
    <mergeCell ref="J6:N6"/>
    <mergeCell ref="Q6:U6"/>
    <mergeCell ref="X6:AB6"/>
    <mergeCell ref="AE6:AI6"/>
    <mergeCell ref="N7:N8"/>
    <mergeCell ref="U7:U8"/>
    <mergeCell ref="AB7:AB8"/>
    <mergeCell ref="AI7:AI8"/>
    <mergeCell ref="AS7:AT7"/>
    <mergeCell ref="AZ7:BA7"/>
    <mergeCell ref="AL6:AP6"/>
    <mergeCell ref="A36:A37"/>
    <mergeCell ref="C7:D7"/>
    <mergeCell ref="V36:V37"/>
    <mergeCell ref="AC36:AC37"/>
    <mergeCell ref="AX36:AX37"/>
    <mergeCell ref="AL7:AM7"/>
    <mergeCell ref="BG7:BH7"/>
    <mergeCell ref="CB7:CC7"/>
    <mergeCell ref="AP7:AP8"/>
    <mergeCell ref="AW7:AW8"/>
    <mergeCell ref="BD7:BD8"/>
    <mergeCell ref="CI6:CM6"/>
    <mergeCell ref="CP6:CT6"/>
    <mergeCell ref="CW6:DA6"/>
    <mergeCell ref="BG6:BK6"/>
    <mergeCell ref="BN6:BR6"/>
    <mergeCell ref="BU6:BY6"/>
    <mergeCell ref="CB6:CF6"/>
    <mergeCell ref="DA7:DA8"/>
    <mergeCell ref="BK7:BK8"/>
    <mergeCell ref="BR7:BR8"/>
    <mergeCell ref="BY7:BY8"/>
    <mergeCell ref="CF7:CF8"/>
    <mergeCell ref="CP7:CQ7"/>
    <mergeCell ref="CW7:CX7"/>
    <mergeCell ref="BN7:BO7"/>
    <mergeCell ref="BU7:BV7"/>
    <mergeCell ref="CM7:CM8"/>
    <mergeCell ref="CT7:CT8"/>
    <mergeCell ref="CI7:CJ7"/>
    <mergeCell ref="B1:C1"/>
    <mergeCell ref="J7:K7"/>
    <mergeCell ref="Q7:R7"/>
    <mergeCell ref="X7:Y7"/>
    <mergeCell ref="AE7:AF7"/>
  </mergeCells>
  <phoneticPr fontId="23" type="noConversion"/>
  <printOptions gridLines="1" gridLinesSet="0"/>
  <pageMargins left="0.78740157480314965" right="0.59055118110236227" top="0.19685039370078741" bottom="0.19685039370078741" header="0.51181102362204722" footer="0.51181102362204722"/>
  <pageSetup paperSize="9" scale="65" orientation="portrait" r:id="rId1"/>
  <headerFooter alignWithMargins="0">
    <oddFooter>&amp;LArbokost 2008&amp;RAgroscope Changins - Wädenswil ACW</oddFooter>
  </headerFooter>
  <colBreaks count="4" manualBreakCount="4">
    <brk id="7" max="1048575" man="1"/>
    <brk id="14" max="1048575" man="1"/>
    <brk id="21" max="1048575" man="1"/>
    <brk id="42" max="1048575" man="1"/>
  </col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tandardErtragsphase">
    <tabColor indexed="10"/>
  </sheetPr>
  <dimension ref="A1:O202"/>
  <sheetViews>
    <sheetView topLeftCell="A40" zoomScale="75" zoomScaleNormal="75" zoomScalePageLayoutView="80" workbookViewId="0">
      <selection activeCell="J59" sqref="J59"/>
    </sheetView>
  </sheetViews>
  <sheetFormatPr baseColWidth="10" defaultRowHeight="12.75" x14ac:dyDescent="0.2"/>
  <cols>
    <col min="1" max="1" width="31" customWidth="1"/>
    <col min="2" max="2" width="28" customWidth="1"/>
    <col min="3" max="3" width="18" customWidth="1"/>
    <col min="4" max="4" width="14.5703125" customWidth="1"/>
    <col min="5" max="5" width="16.7109375" customWidth="1"/>
    <col min="6" max="6" width="20.7109375" customWidth="1"/>
    <col min="7" max="7" width="10.85546875" style="1" customWidth="1"/>
    <col min="8" max="8" width="8.85546875" style="13" bestFit="1" customWidth="1"/>
    <col min="9" max="9" width="15.42578125" customWidth="1"/>
    <col min="10" max="10" width="23.42578125" style="10" bestFit="1" customWidth="1"/>
    <col min="11" max="11" width="11.42578125" style="14" customWidth="1"/>
    <col min="12" max="12" width="14.140625" bestFit="1" customWidth="1"/>
    <col min="13" max="256" width="9.140625" customWidth="1"/>
  </cols>
  <sheetData>
    <row r="1" spans="1:11" ht="42.75" customHeight="1" x14ac:dyDescent="0.4">
      <c r="A1" s="1135" t="str">
        <f>'Standard Erstellung'!$A$1</f>
        <v>Arbokost 2023</v>
      </c>
      <c r="B1" s="1432" t="str">
        <f>'Standard Vorgaben'!B8</f>
        <v>Gala</v>
      </c>
      <c r="C1" s="1432"/>
      <c r="D1" s="687"/>
      <c r="E1" s="688"/>
      <c r="F1" s="689"/>
      <c r="G1" s="690"/>
      <c r="J1"/>
      <c r="K1"/>
    </row>
    <row r="2" spans="1:11" ht="23.25" customHeight="1" x14ac:dyDescent="0.25">
      <c r="A2" s="149" t="s">
        <v>68</v>
      </c>
      <c r="B2" s="900"/>
      <c r="C2" s="686"/>
      <c r="D2" s="687"/>
      <c r="E2" s="688"/>
      <c r="F2" s="689"/>
      <c r="G2" s="690"/>
      <c r="J2"/>
      <c r="K2"/>
    </row>
    <row r="3" spans="1:11" ht="18" customHeight="1" x14ac:dyDescent="0.6">
      <c r="A3" s="729"/>
      <c r="B3" s="900"/>
      <c r="C3" s="686"/>
      <c r="D3" s="687"/>
      <c r="E3" s="688"/>
      <c r="F3" s="689"/>
      <c r="G3" s="690"/>
      <c r="J3"/>
      <c r="K3"/>
    </row>
    <row r="4" spans="1:11" ht="18.75" customHeight="1" x14ac:dyDescent="0.2">
      <c r="A4" s="749"/>
      <c r="B4" s="750">
        <f>'Standard Vorgaben'!B24</f>
        <v>3000</v>
      </c>
      <c r="C4" s="878"/>
      <c r="D4" s="878"/>
      <c r="E4" s="878"/>
      <c r="F4" s="918" t="s">
        <v>450</v>
      </c>
      <c r="G4" s="478"/>
      <c r="H4" s="19"/>
      <c r="I4" s="1"/>
    </row>
    <row r="5" spans="1:11" ht="26.25" x14ac:dyDescent="0.4">
      <c r="A5" s="1456" t="s">
        <v>433</v>
      </c>
      <c r="B5" s="1456"/>
      <c r="C5" s="1456"/>
      <c r="D5" s="1456"/>
      <c r="E5" s="1456"/>
      <c r="F5" s="1456"/>
      <c r="G5" s="1457"/>
    </row>
    <row r="6" spans="1:11" s="1" customFormat="1" ht="20.25" x14ac:dyDescent="0.3">
      <c r="A6" s="19"/>
      <c r="B6" s="258"/>
      <c r="D6" s="259"/>
      <c r="E6" s="260"/>
      <c r="F6" s="260"/>
      <c r="G6" s="753"/>
      <c r="H6" s="19"/>
      <c r="J6" s="35"/>
      <c r="K6" s="121"/>
    </row>
    <row r="7" spans="1:11" ht="15.75" x14ac:dyDescent="0.25">
      <c r="A7" s="19"/>
      <c r="B7" s="19"/>
      <c r="C7" s="1434" t="s">
        <v>363</v>
      </c>
      <c r="D7" s="1434"/>
      <c r="E7" s="754" t="s">
        <v>364</v>
      </c>
      <c r="F7" s="722" t="s">
        <v>365</v>
      </c>
      <c r="G7" s="1441" t="s">
        <v>366</v>
      </c>
      <c r="I7" s="2"/>
    </row>
    <row r="8" spans="1:11" x14ac:dyDescent="0.2">
      <c r="B8" s="13"/>
      <c r="C8" s="184" t="s">
        <v>69</v>
      </c>
      <c r="D8" s="184" t="s">
        <v>55</v>
      </c>
      <c r="E8" s="206" t="s">
        <v>152</v>
      </c>
      <c r="F8" s="755" t="s">
        <v>22</v>
      </c>
      <c r="G8" s="1442"/>
      <c r="I8" s="1"/>
    </row>
    <row r="9" spans="1:11" x14ac:dyDescent="0.2">
      <c r="A9" s="48"/>
      <c r="B9" s="85" t="str">
        <f>'Standard Vorgaben'!B47</f>
        <v>Klasse I</v>
      </c>
      <c r="C9" s="80">
        <f>D9/$B$4</f>
        <v>9.8000000000000007</v>
      </c>
      <c r="D9" s="46">
        <f>D12*G9</f>
        <v>29400.000000000004</v>
      </c>
      <c r="E9" s="44">
        <f>'Standard Vorgaben'!B65</f>
        <v>1.1200000000000003</v>
      </c>
      <c r="F9" s="45">
        <f>D9*E9</f>
        <v>32928.000000000015</v>
      </c>
      <c r="G9" s="59">
        <f>'Standard Vorgaben'!B86</f>
        <v>0.70000000000000007</v>
      </c>
      <c r="I9" s="1"/>
    </row>
    <row r="10" spans="1:11" x14ac:dyDescent="0.2">
      <c r="B10" s="85" t="str">
        <f>'Standard Vorgaben'!C47</f>
        <v>Klasse II</v>
      </c>
      <c r="C10" s="80">
        <f>D10/$B$4</f>
        <v>2.8</v>
      </c>
      <c r="D10" s="46">
        <f>$D$12*G10</f>
        <v>8400</v>
      </c>
      <c r="E10" s="44">
        <f>'Standard Vorgaben'!C65</f>
        <v>0.45000000000000012</v>
      </c>
      <c r="F10" s="45">
        <f>D10*E10</f>
        <v>3780.0000000000009</v>
      </c>
      <c r="G10" s="59">
        <f>'Standard Vorgaben'!C86</f>
        <v>0.19999999999999998</v>
      </c>
    </row>
    <row r="11" spans="1:11" s="13" customFormat="1" ht="13.5" thickBot="1" x14ac:dyDescent="0.25">
      <c r="A11" s="142"/>
      <c r="B11" s="85" t="str">
        <f>'Standard Vorgaben'!D47</f>
        <v>Most</v>
      </c>
      <c r="C11" s="756">
        <f>D11/$B$4</f>
        <v>1.4</v>
      </c>
      <c r="D11" s="244">
        <f>D12*G11</f>
        <v>4200</v>
      </c>
      <c r="E11" s="376">
        <f>'Standard Vorgaben'!D65</f>
        <v>0.23</v>
      </c>
      <c r="F11" s="420">
        <f>D11*E11</f>
        <v>966</v>
      </c>
      <c r="G11" s="757">
        <f>'Standard Vorgaben'!F86</f>
        <v>9.9999999999999992E-2</v>
      </c>
      <c r="J11" s="11"/>
      <c r="K11" s="104"/>
    </row>
    <row r="12" spans="1:11" ht="19.5" customHeight="1" x14ac:dyDescent="0.2">
      <c r="B12" s="85"/>
      <c r="C12" s="57">
        <f>SUM(C9:C11)</f>
        <v>14.000000000000002</v>
      </c>
      <c r="D12" s="297">
        <f>'Standard Vorgaben'!E65</f>
        <v>42000</v>
      </c>
      <c r="E12" s="58">
        <f>F12/D12</f>
        <v>0.89700000000000035</v>
      </c>
      <c r="F12" s="81">
        <f>SUM(F9:F11)</f>
        <v>37674.000000000015</v>
      </c>
      <c r="G12" s="59">
        <f>SUM(G8:G11)</f>
        <v>1</v>
      </c>
      <c r="I12" s="37"/>
    </row>
    <row r="13" spans="1:11" s="1" customFormat="1" ht="19.5" customHeight="1" x14ac:dyDescent="0.2">
      <c r="B13" s="85"/>
      <c r="C13" s="57"/>
      <c r="D13" s="297"/>
      <c r="E13" s="58"/>
      <c r="F13" s="81"/>
      <c r="G13" s="59"/>
      <c r="H13" s="19"/>
      <c r="I13" s="8"/>
      <c r="J13" s="35"/>
      <c r="K13" s="121"/>
    </row>
    <row r="14" spans="1:11" ht="12.2" customHeight="1" thickBot="1" x14ac:dyDescent="0.25">
      <c r="A14" s="40"/>
      <c r="B14" s="85" t="str">
        <f>'Standard Vorgaben'!A39</f>
        <v>Direktzahlungen ÖLN</v>
      </c>
      <c r="C14" s="56"/>
      <c r="D14" s="57"/>
      <c r="E14" s="58"/>
      <c r="F14" s="544">
        <f>'Standard Vorgaben'!C39</f>
        <v>1100</v>
      </c>
      <c r="G14" s="59"/>
      <c r="H14" s="19"/>
      <c r="I14" s="182"/>
    </row>
    <row r="15" spans="1:11" ht="24" customHeight="1" x14ac:dyDescent="0.35">
      <c r="A15" s="758" t="s">
        <v>367</v>
      </c>
      <c r="B15" s="742"/>
      <c r="C15" s="742"/>
      <c r="D15" s="742"/>
      <c r="E15" s="742"/>
      <c r="F15" s="512">
        <f>SUM(F12:F14)</f>
        <v>38774.000000000015</v>
      </c>
      <c r="G15" s="742"/>
    </row>
    <row r="16" spans="1:11" ht="24" customHeight="1" x14ac:dyDescent="0.2">
      <c r="A16" s="40" t="s">
        <v>29</v>
      </c>
      <c r="B16" s="41"/>
      <c r="C16" s="184" t="s">
        <v>11</v>
      </c>
      <c r="D16" s="184" t="s">
        <v>136</v>
      </c>
      <c r="E16" s="206" t="s">
        <v>56</v>
      </c>
      <c r="F16" s="759" t="s">
        <v>13</v>
      </c>
      <c r="G16" s="184" t="s">
        <v>57</v>
      </c>
    </row>
    <row r="17" spans="1:15" x14ac:dyDescent="0.2">
      <c r="A17" s="40"/>
      <c r="B17" s="41" t="str">
        <f>'Standard Vorgaben'!B100</f>
        <v>Stickstoff</v>
      </c>
      <c r="C17" s="106">
        <v>1</v>
      </c>
      <c r="D17" s="11">
        <f>'Standard Vorgaben'!B111</f>
        <v>200</v>
      </c>
      <c r="E17" s="105">
        <f>'Standard Vorgaben'!B101</f>
        <v>0.95</v>
      </c>
      <c r="F17" s="30">
        <f>D17*E17*C17</f>
        <v>190</v>
      </c>
      <c r="G17" s="132">
        <f>F17/$F$88</f>
        <v>4.0187772523461278E-3</v>
      </c>
    </row>
    <row r="18" spans="1:15" x14ac:dyDescent="0.2">
      <c r="A18" s="17"/>
      <c r="B18" s="41" t="str">
        <f>'Standard Vorgaben'!C100</f>
        <v>Grundüngung</v>
      </c>
      <c r="C18" s="106">
        <f>'Standard Vorgaben'!C112</f>
        <v>1</v>
      </c>
      <c r="D18" s="11">
        <f>'Standard Vorgaben'!C111</f>
        <v>400</v>
      </c>
      <c r="E18" s="105">
        <f>'Standard Vorgaben'!C101</f>
        <v>0.43</v>
      </c>
      <c r="F18" s="30">
        <f>D18*E18</f>
        <v>172</v>
      </c>
      <c r="G18" s="132">
        <f>F18/$F$88</f>
        <v>3.6380509863343895E-3</v>
      </c>
    </row>
    <row r="19" spans="1:15" ht="13.5" thickBot="1" x14ac:dyDescent="0.25">
      <c r="A19" s="17"/>
      <c r="B19" s="29" t="str">
        <f>'Standard Vorgaben'!$D$100</f>
        <v>Hühnermist</v>
      </c>
      <c r="C19" s="655">
        <f>'Standard Vorgaben'!$D$112</f>
        <v>1</v>
      </c>
      <c r="D19" s="1360">
        <f>'Standard Vorgaben'!$D$111</f>
        <v>1000</v>
      </c>
      <c r="E19" s="1361">
        <f>'Standard Vorgaben'!$D$101</f>
        <v>0.35</v>
      </c>
      <c r="F19" s="677">
        <f>C19*D19*E19</f>
        <v>350</v>
      </c>
      <c r="G19" s="132">
        <f>F19/$F$88</f>
        <v>7.4030107280060251E-3</v>
      </c>
    </row>
    <row r="20" spans="1:15" x14ac:dyDescent="0.2">
      <c r="A20" s="70" t="s">
        <v>637</v>
      </c>
      <c r="B20" s="41"/>
      <c r="C20" s="43">
        <f>SUM(C17:C19)</f>
        <v>3</v>
      </c>
      <c r="D20" s="43"/>
      <c r="E20" s="44"/>
      <c r="F20" s="81">
        <f>SUM(F17:F19)</f>
        <v>712</v>
      </c>
      <c r="G20" s="469">
        <f>F20/$F$88</f>
        <v>1.5059838966686542E-2</v>
      </c>
    </row>
    <row r="21" spans="1:15" ht="18.75" customHeight="1" x14ac:dyDescent="0.2">
      <c r="A21" s="193" t="str">
        <f>'Standard Vorgaben'!$A$118</f>
        <v>Fungizide</v>
      </c>
      <c r="B21" s="13"/>
      <c r="C21" s="13"/>
      <c r="D21" s="13"/>
      <c r="E21" s="357"/>
      <c r="F21" s="25">
        <f>'Standard Vorgaben'!$D$118</f>
        <v>2844</v>
      </c>
      <c r="G21" s="132"/>
    </row>
    <row r="22" spans="1:15" x14ac:dyDescent="0.2">
      <c r="A22" s="193" t="str">
        <f>'Standard Vorgaben'!$A$119</f>
        <v>Feuerbrandbekämpfung</v>
      </c>
      <c r="B22" s="13"/>
      <c r="C22" s="13"/>
      <c r="D22" s="13"/>
      <c r="E22" s="357"/>
      <c r="F22" s="25">
        <f>'Standard Vorgaben'!$D$119</f>
        <v>1057</v>
      </c>
      <c r="G22" s="132"/>
    </row>
    <row r="23" spans="1:15" x14ac:dyDescent="0.2">
      <c r="A23" s="193" t="str">
        <f>'Standard Vorgaben'!$A$120</f>
        <v>Insektizide</v>
      </c>
      <c r="B23" s="13"/>
      <c r="C23" s="13"/>
      <c r="D23" s="13"/>
      <c r="E23" s="357"/>
      <c r="F23" s="25">
        <f>'Standard Vorgaben'!$D$120</f>
        <v>1241</v>
      </c>
      <c r="G23" s="132"/>
      <c r="H23" s="70"/>
    </row>
    <row r="24" spans="1:15" x14ac:dyDescent="0.2">
      <c r="A24" s="193" t="str">
        <f>'Standard Vorgaben'!$A$121</f>
        <v>Herbizide</v>
      </c>
      <c r="B24" s="13"/>
      <c r="C24" s="13"/>
      <c r="D24" s="13"/>
      <c r="E24" s="357"/>
      <c r="F24" s="25">
        <f>'Standard Vorgaben'!$D$121</f>
        <v>430</v>
      </c>
      <c r="G24" s="132"/>
      <c r="H24" s="70"/>
    </row>
    <row r="25" spans="1:15" x14ac:dyDescent="0.2">
      <c r="A25" s="193" t="str">
        <f>'Standard Vorgaben'!$A$122</f>
        <v>Behangsregulierung</v>
      </c>
      <c r="B25" s="13"/>
      <c r="C25" s="13"/>
      <c r="D25" s="13"/>
      <c r="E25" s="357"/>
      <c r="F25" s="25">
        <f>'Standard Vorgaben'!$D$122</f>
        <v>10</v>
      </c>
      <c r="G25" s="132"/>
      <c r="H25" s="70"/>
    </row>
    <row r="26" spans="1:15" ht="13.5" thickBot="1" x14ac:dyDescent="0.25">
      <c r="A26" s="193" t="str">
        <f>'Standard Vorgaben'!$A$123</f>
        <v>Blattdüngung</v>
      </c>
      <c r="B26" s="13"/>
      <c r="C26" s="13"/>
      <c r="D26" s="13"/>
      <c r="E26" s="357"/>
      <c r="F26" s="677">
        <f>'Standard Vorgaben'!$D$123</f>
        <v>360</v>
      </c>
      <c r="G26" s="132"/>
    </row>
    <row r="27" spans="1:15" x14ac:dyDescent="0.2">
      <c r="A27" s="193"/>
      <c r="B27" s="13"/>
      <c r="C27" s="13"/>
      <c r="D27" s="13"/>
      <c r="E27" s="357"/>
      <c r="F27" s="25">
        <f>SUM(F21:F26)</f>
        <v>5942</v>
      </c>
      <c r="G27" s="132"/>
    </row>
    <row r="28" spans="1:15" x14ac:dyDescent="0.2">
      <c r="A28" s="1335"/>
      <c r="B28" s="147"/>
      <c r="C28" s="199"/>
      <c r="D28" s="1362"/>
      <c r="E28" s="199"/>
      <c r="F28" s="30"/>
      <c r="G28" s="132"/>
    </row>
    <row r="29" spans="1:15" x14ac:dyDescent="0.2">
      <c r="A29" s="69"/>
      <c r="B29" s="287"/>
      <c r="C29" s="740"/>
      <c r="D29" s="43"/>
      <c r="E29" s="44"/>
      <c r="F29" s="81"/>
      <c r="G29" s="469"/>
      <c r="I29" s="1337"/>
      <c r="J29" s="982"/>
      <c r="K29" s="982"/>
      <c r="L29" s="1337"/>
      <c r="M29" s="1337"/>
      <c r="N29" s="1337"/>
      <c r="O29" s="1337"/>
    </row>
    <row r="30" spans="1:15" s="1" customFormat="1" x14ac:dyDescent="0.2">
      <c r="A30" s="142" t="str">
        <f>'Variante Hagel'!A75</f>
        <v>Hagelversicherung</v>
      </c>
      <c r="B30" s="287">
        <f>Eingabeseite!B35</f>
        <v>0</v>
      </c>
      <c r="C30" s="531">
        <f>'Standard Hagel'!D77</f>
        <v>0.112</v>
      </c>
      <c r="D30" s="127">
        <f>'Standard Hagel'!C92</f>
        <v>32928</v>
      </c>
      <c r="E30" s="44">
        <f>'Standard Hagel'!E77</f>
        <v>0.8</v>
      </c>
      <c r="F30" s="81">
        <f>B30*C30*D30*E30</f>
        <v>0</v>
      </c>
      <c r="G30" s="469">
        <f>F30/$F$88</f>
        <v>0</v>
      </c>
      <c r="H30" s="19"/>
      <c r="I30" s="6"/>
      <c r="J30" s="94"/>
      <c r="K30" s="94"/>
      <c r="L30" s="6"/>
      <c r="M30" s="6"/>
      <c r="N30" s="6"/>
      <c r="O30" s="6"/>
    </row>
    <row r="31" spans="1:15" s="1" customFormat="1" x14ac:dyDescent="0.2">
      <c r="A31" s="142" t="s">
        <v>585</v>
      </c>
      <c r="B31" s="984"/>
      <c r="C31" s="786"/>
      <c r="D31" s="127"/>
      <c r="E31" s="44"/>
      <c r="F31" s="81">
        <f>'Standard Vorgaben'!$C$189</f>
        <v>1317.8</v>
      </c>
      <c r="G31" s="469"/>
      <c r="H31" s="19"/>
      <c r="I31" s="6"/>
      <c r="J31" s="94"/>
      <c r="K31" s="94"/>
      <c r="L31" s="6"/>
      <c r="M31" s="6"/>
      <c r="N31" s="6"/>
      <c r="O31" s="6"/>
    </row>
    <row r="32" spans="1:15" s="1" customFormat="1" x14ac:dyDescent="0.2">
      <c r="A32" s="216" t="s">
        <v>368</v>
      </c>
      <c r="B32" s="760"/>
      <c r="C32" s="201"/>
      <c r="D32" s="761"/>
      <c r="E32" s="44"/>
      <c r="F32" s="81"/>
      <c r="G32" s="132"/>
      <c r="H32" s="19"/>
      <c r="I32" s="6"/>
      <c r="J32" s="94"/>
      <c r="K32" s="94"/>
      <c r="L32" s="6"/>
      <c r="M32" s="6"/>
      <c r="N32" s="6"/>
      <c r="O32" s="6"/>
    </row>
    <row r="33" spans="1:15" x14ac:dyDescent="0.2">
      <c r="A33" s="1433" t="s">
        <v>605</v>
      </c>
      <c r="B33" s="19" t="str">
        <f>'Standard Vorgaben'!F38</f>
        <v>Klasse I+II</v>
      </c>
      <c r="C33" s="19"/>
      <c r="D33" s="41" t="s">
        <v>135</v>
      </c>
      <c r="E33" s="44">
        <f>'Standard Vorgaben'!G38</f>
        <v>325</v>
      </c>
      <c r="F33" s="146">
        <f>E33</f>
        <v>325</v>
      </c>
      <c r="G33" s="132">
        <f t="shared" ref="G33:G38" si="0">F33/$F$88</f>
        <v>6.874224247434166E-3</v>
      </c>
      <c r="I33" s="1337"/>
      <c r="J33" s="982"/>
      <c r="K33" s="982"/>
      <c r="L33" s="1337"/>
      <c r="M33" s="1337"/>
      <c r="N33" s="1337"/>
      <c r="O33" s="1337"/>
    </row>
    <row r="34" spans="1:15" x14ac:dyDescent="0.2">
      <c r="A34" s="1433"/>
      <c r="B34" s="19" t="str">
        <f>'Standard Vorgaben'!F39</f>
        <v>Mostobst</v>
      </c>
      <c r="C34" s="19"/>
      <c r="D34" s="41" t="s">
        <v>58</v>
      </c>
      <c r="E34" s="44">
        <f>'Standard Vorgaben'!G39</f>
        <v>1</v>
      </c>
      <c r="F34" s="146">
        <f>E34*$D$11/100</f>
        <v>42</v>
      </c>
      <c r="G34" s="132">
        <f t="shared" si="0"/>
        <v>8.8836128736072305E-4</v>
      </c>
      <c r="I34" s="1337"/>
      <c r="J34" s="982"/>
      <c r="K34" s="982"/>
      <c r="L34" s="1337"/>
      <c r="M34" s="1337"/>
      <c r="N34" s="1337"/>
      <c r="O34" s="1337"/>
    </row>
    <row r="35" spans="1:15" x14ac:dyDescent="0.2">
      <c r="A35" s="670" t="str">
        <f>'Standard Vorgaben'!E41</f>
        <v>Gebindekosten</v>
      </c>
      <c r="B35" s="147" t="str">
        <f>'Standard Vorgaben'!F41</f>
        <v>Klasse I+II</v>
      </c>
      <c r="C35" s="19"/>
      <c r="D35" s="19" t="s">
        <v>58</v>
      </c>
      <c r="E35" s="529">
        <f>'Standard Vorgaben'!G41</f>
        <v>0</v>
      </c>
      <c r="F35" s="146">
        <f>($D$9+$D$10)/100*E35</f>
        <v>0</v>
      </c>
      <c r="G35" s="132">
        <f t="shared" si="0"/>
        <v>0</v>
      </c>
      <c r="I35" s="1337"/>
      <c r="J35" s="982"/>
      <c r="K35" s="982"/>
      <c r="L35" s="1337"/>
      <c r="M35" s="1337"/>
      <c r="N35" s="1337"/>
      <c r="O35" s="1337"/>
    </row>
    <row r="36" spans="1:15" x14ac:dyDescent="0.2">
      <c r="A36" s="670" t="str">
        <f>'Standard Vorgaben'!E42</f>
        <v>Sortierkosten</v>
      </c>
      <c r="B36" s="19" t="str">
        <f>'Standard Vorgaben'!F42</f>
        <v>Klasse I+II</v>
      </c>
      <c r="C36" s="19"/>
      <c r="D36" s="19" t="s">
        <v>58</v>
      </c>
      <c r="E36" s="44">
        <f>'Standard Vorgaben'!G42</f>
        <v>0</v>
      </c>
      <c r="F36" s="146">
        <f>($D$9+$D$10)/100*E36</f>
        <v>0</v>
      </c>
      <c r="G36" s="132">
        <f t="shared" si="0"/>
        <v>0</v>
      </c>
      <c r="H36" s="910"/>
      <c r="I36" s="6"/>
      <c r="J36" s="982"/>
      <c r="K36" s="982"/>
      <c r="L36" s="1337"/>
      <c r="M36" s="1337"/>
      <c r="N36" s="1337"/>
      <c r="O36" s="1337"/>
    </row>
    <row r="37" spans="1:15" x14ac:dyDescent="0.2">
      <c r="A37" s="670"/>
      <c r="B37" s="19" t="str">
        <f>'Standard Vorgaben'!F43</f>
        <v>Abgang</v>
      </c>
      <c r="C37" s="19"/>
      <c r="D37" s="19" t="s">
        <v>58</v>
      </c>
      <c r="E37" s="44">
        <f>'Standard Vorgaben'!G43</f>
        <v>0</v>
      </c>
      <c r="F37" s="1350">
        <f>(E37/100)*D12*Eingabeseite!B13</f>
        <v>0</v>
      </c>
      <c r="G37" s="132">
        <f t="shared" si="0"/>
        <v>0</v>
      </c>
      <c r="H37" s="910"/>
      <c r="I37" s="6"/>
      <c r="J37" s="982"/>
      <c r="K37" s="982"/>
      <c r="L37" s="1337"/>
      <c r="M37" s="1337"/>
      <c r="N37" s="1337"/>
      <c r="O37" s="1337"/>
    </row>
    <row r="38" spans="1:15" x14ac:dyDescent="0.2">
      <c r="A38" s="769"/>
      <c r="B38" s="19"/>
      <c r="C38" s="19"/>
      <c r="D38" s="19"/>
      <c r="E38" s="44"/>
      <c r="F38" s="81">
        <f>SUM(F33:F37)</f>
        <v>367</v>
      </c>
      <c r="G38" s="469">
        <f t="shared" si="0"/>
        <v>7.7625855347948896E-3</v>
      </c>
      <c r="I38" s="1337"/>
      <c r="J38" s="982"/>
      <c r="K38" s="982"/>
      <c r="L38" s="1337"/>
      <c r="M38" s="1337"/>
      <c r="N38" s="1337"/>
      <c r="O38" s="1337"/>
    </row>
    <row r="39" spans="1:15" s="1" customFormat="1" x14ac:dyDescent="0.2">
      <c r="A39" s="530"/>
      <c r="B39" s="19"/>
      <c r="C39" s="19"/>
      <c r="D39" s="19"/>
      <c r="E39" s="44"/>
      <c r="F39" s="81"/>
      <c r="G39" s="132"/>
      <c r="H39" s="19"/>
      <c r="I39" s="6"/>
      <c r="J39" s="94"/>
      <c r="K39" s="94"/>
      <c r="L39" s="6"/>
      <c r="M39" s="6"/>
      <c r="N39" s="6"/>
      <c r="O39" s="6"/>
    </row>
    <row r="40" spans="1:15" ht="32.450000000000003" customHeight="1" x14ac:dyDescent="0.2">
      <c r="A40" s="762" t="s">
        <v>189</v>
      </c>
      <c r="B40" s="770" t="s">
        <v>302</v>
      </c>
      <c r="C40" s="764">
        <f>'Standard Standjahre'!T86</f>
        <v>128692.35713928891</v>
      </c>
      <c r="D40" s="771">
        <f>'Standard Vorgaben'!B29</f>
        <v>12</v>
      </c>
      <c r="E40" s="766"/>
      <c r="F40" s="764">
        <f>C40/D40</f>
        <v>10724.363094940743</v>
      </c>
      <c r="G40" s="778">
        <f>F40/$F$88</f>
        <v>0.22683592869393779</v>
      </c>
      <c r="I40" s="1337"/>
      <c r="J40" s="982"/>
      <c r="K40" s="982"/>
      <c r="L40" s="1337"/>
      <c r="M40" s="1337"/>
      <c r="N40" s="1337"/>
      <c r="O40" s="1337"/>
    </row>
    <row r="41" spans="1:15" s="1" customFormat="1" ht="18.75" customHeight="1" x14ac:dyDescent="0.2">
      <c r="A41" s="262"/>
      <c r="B41" s="156"/>
      <c r="C41" s="174"/>
      <c r="D41" s="320"/>
      <c r="E41" s="166"/>
      <c r="F41" s="174"/>
      <c r="G41" s="907"/>
      <c r="H41" s="19"/>
      <c r="I41" s="6"/>
      <c r="J41" s="94"/>
      <c r="K41" s="94"/>
      <c r="L41" s="6"/>
      <c r="M41" s="6"/>
      <c r="N41" s="6"/>
      <c r="O41" s="6"/>
    </row>
    <row r="42" spans="1:15" s="51" customFormat="1" ht="21.2" customHeight="1" x14ac:dyDescent="0.2">
      <c r="A42" s="73" t="s">
        <v>171</v>
      </c>
      <c r="B42" s="545" t="s">
        <v>369</v>
      </c>
      <c r="C42" s="264"/>
      <c r="D42" s="109"/>
      <c r="E42" s="265"/>
      <c r="F42" s="131">
        <f>'Standard Vorgaben'!E161</f>
        <v>400</v>
      </c>
      <c r="G42" s="469">
        <f>F42/$F$88</f>
        <v>8.4605836891497432E-3</v>
      </c>
      <c r="H42" s="911"/>
      <c r="I42" s="1338"/>
      <c r="J42" s="1339"/>
      <c r="K42" s="1339"/>
      <c r="L42" s="1338"/>
      <c r="M42" s="1338"/>
      <c r="N42" s="1338"/>
      <c r="O42" s="1338"/>
    </row>
    <row r="43" spans="1:15" s="51" customFormat="1" ht="11.1" customHeight="1" x14ac:dyDescent="0.2">
      <c r="A43" s="52"/>
      <c r="B43" s="321"/>
      <c r="C43" s="207"/>
      <c r="D43" s="208"/>
      <c r="E43" s="209"/>
      <c r="F43" s="175"/>
      <c r="G43" s="132"/>
      <c r="H43" s="911"/>
      <c r="I43" s="1338"/>
      <c r="J43" s="1339"/>
      <c r="K43" s="1339"/>
      <c r="L43" s="1338"/>
      <c r="M43" s="1338"/>
      <c r="N43" s="1338"/>
      <c r="O43" s="1338"/>
    </row>
    <row r="44" spans="1:15" s="51" customFormat="1" ht="21.2" customHeight="1" x14ac:dyDescent="0.2">
      <c r="A44" s="52"/>
      <c r="B44" s="264" t="s">
        <v>130</v>
      </c>
      <c r="C44" s="264"/>
      <c r="D44" s="109"/>
      <c r="E44" s="265">
        <f>(PMT('Standard Vorgaben'!C40,'Standard Vorgaben'!B29,'Standard Vorgaben'!C38))*(-1)</f>
        <v>550.07995743737365</v>
      </c>
      <c r="F44" s="131">
        <f>E44</f>
        <v>550.07995743737365</v>
      </c>
      <c r="G44" s="132"/>
      <c r="H44" s="911"/>
      <c r="I44" s="1338"/>
      <c r="J44" s="1339"/>
      <c r="K44" s="1339"/>
      <c r="L44" s="1338"/>
      <c r="M44" s="1338"/>
      <c r="N44" s="1338"/>
      <c r="O44" s="1338"/>
    </row>
    <row r="45" spans="1:15" s="51" customFormat="1" ht="21.2" customHeight="1" x14ac:dyDescent="0.2">
      <c r="A45" s="52"/>
      <c r="B45" s="264"/>
      <c r="C45" s="264"/>
      <c r="D45" s="109"/>
      <c r="E45" s="265"/>
      <c r="F45" s="175"/>
      <c r="G45" s="132"/>
      <c r="H45" s="911"/>
      <c r="I45" s="1338"/>
      <c r="J45" s="1339"/>
      <c r="K45" s="1339"/>
      <c r="L45" s="1338"/>
      <c r="M45" s="1338"/>
      <c r="N45" s="1338"/>
      <c r="O45" s="1338"/>
    </row>
    <row r="46" spans="1:15" s="16" customFormat="1" ht="27" customHeight="1" x14ac:dyDescent="0.3">
      <c r="A46" s="508" t="s">
        <v>211</v>
      </c>
      <c r="B46" s="537"/>
      <c r="C46" s="610"/>
      <c r="D46" s="610"/>
      <c r="E46" s="611"/>
      <c r="F46" s="512">
        <f>F42+F27+F40+F38+F29+F31+F20+F44+F30</f>
        <v>20013.243052378119</v>
      </c>
      <c r="G46" s="933">
        <f>F46/$F$88</f>
        <v>0.42330929433984932</v>
      </c>
      <c r="H46" s="68"/>
      <c r="I46" s="1340"/>
      <c r="J46" s="1341"/>
      <c r="K46" s="1341"/>
      <c r="L46" s="1340"/>
      <c r="M46" s="1340"/>
      <c r="N46" s="1340"/>
      <c r="O46" s="1340"/>
    </row>
    <row r="47" spans="1:15" ht="18.75" customHeight="1" x14ac:dyDescent="0.25">
      <c r="A47" s="17" t="s">
        <v>176</v>
      </c>
      <c r="B47" s="13"/>
      <c r="C47" s="147" t="s">
        <v>59</v>
      </c>
      <c r="D47" s="676">
        <f>'Standard Vorgaben'!C157</f>
        <v>10</v>
      </c>
      <c r="E47" s="44">
        <f>'Standard Vorgaben'!D157</f>
        <v>15</v>
      </c>
      <c r="F47" s="271">
        <f>D47*E47</f>
        <v>150</v>
      </c>
      <c r="G47" s="469">
        <f>F47/$F$88</f>
        <v>3.1727188834311539E-3</v>
      </c>
      <c r="J47" s="1443"/>
      <c r="K47" s="1443"/>
      <c r="L47" s="1444"/>
      <c r="M47" s="1444"/>
    </row>
    <row r="48" spans="1:15" s="1" customFormat="1" ht="18.75" customHeight="1" x14ac:dyDescent="0.2">
      <c r="A48" s="3"/>
      <c r="C48" s="125"/>
      <c r="D48" s="281"/>
      <c r="E48" s="47"/>
      <c r="F48" s="53"/>
      <c r="G48" s="132"/>
      <c r="H48" s="19"/>
      <c r="J48" s="252"/>
      <c r="K48" s="252"/>
      <c r="L48" s="35"/>
      <c r="M48" s="35"/>
    </row>
    <row r="49" spans="1:13" ht="18" customHeight="1" x14ac:dyDescent="0.2">
      <c r="C49" s="38" t="s">
        <v>11</v>
      </c>
      <c r="D49" s="118" t="s">
        <v>104</v>
      </c>
      <c r="E49" s="288" t="s">
        <v>105</v>
      </c>
      <c r="F49" s="289" t="s">
        <v>22</v>
      </c>
      <c r="G49" s="132"/>
      <c r="J49" s="38" t="s">
        <v>416</v>
      </c>
      <c r="K49" s="141" t="s">
        <v>82</v>
      </c>
      <c r="L49" s="1"/>
      <c r="M49" s="140"/>
    </row>
    <row r="50" spans="1:13" x14ac:dyDescent="0.2">
      <c r="A50" s="17" t="s">
        <v>98</v>
      </c>
      <c r="B50" s="69" t="str">
        <f>'Standard Vorgaben'!B133</f>
        <v>Anbaugebläsepritze 1000 l mit Bordcomputer</v>
      </c>
      <c r="C50" s="1369">
        <v>22</v>
      </c>
      <c r="D50" s="39">
        <f>'Standard Vorgaben'!C133</f>
        <v>1</v>
      </c>
      <c r="E50" s="44">
        <f>'Standard Vorgaben'!D133</f>
        <v>37</v>
      </c>
      <c r="F50" s="45">
        <f>C50*D50*E50</f>
        <v>814</v>
      </c>
      <c r="G50" s="132">
        <f>F50/$F$88</f>
        <v>1.7217287807419726E-2</v>
      </c>
      <c r="J50" s="117">
        <f>'Standard Vorgaben'!G133</f>
        <v>11.67</v>
      </c>
      <c r="K50" s="121">
        <f>C50*J50</f>
        <v>256.74</v>
      </c>
      <c r="L50" s="324"/>
      <c r="M50" s="1"/>
    </row>
    <row r="51" spans="1:13" x14ac:dyDescent="0.2">
      <c r="A51" s="17"/>
      <c r="B51" s="69" t="str">
        <f>'Standard Vorgaben'!B134</f>
        <v>Herbizidspritze beideseitig + Herbizidfass</v>
      </c>
      <c r="C51" s="1370">
        <v>6</v>
      </c>
      <c r="D51" s="39">
        <f>'Standard Vorgaben'!C134</f>
        <v>1</v>
      </c>
      <c r="E51" s="44">
        <f>'Standard Vorgaben'!D134</f>
        <v>69</v>
      </c>
      <c r="F51" s="45">
        <f>C51*D51*E51</f>
        <v>414</v>
      </c>
      <c r="G51" s="132">
        <f>F51/$F$88</f>
        <v>8.7567041182699847E-3</v>
      </c>
      <c r="J51" s="117">
        <f>'Standard Vorgaben'!G134</f>
        <v>13.22</v>
      </c>
      <c r="K51" s="121">
        <f>C51*J51</f>
        <v>79.320000000000007</v>
      </c>
      <c r="L51" s="182"/>
    </row>
    <row r="52" spans="1:13" x14ac:dyDescent="0.2">
      <c r="A52" s="17"/>
      <c r="B52" s="69" t="str">
        <f>'Standard Vorgaben'!B135</f>
        <v>Düngerstreuer Einkasten 2.5 m</v>
      </c>
      <c r="C52" s="531">
        <f>C20</f>
        <v>3</v>
      </c>
      <c r="D52" s="39">
        <f>'Standard Vorgaben'!C135</f>
        <v>1</v>
      </c>
      <c r="E52" s="44">
        <f>'Standard Vorgaben'!D135</f>
        <v>18</v>
      </c>
      <c r="F52" s="45">
        <f>C52*D52*E52</f>
        <v>54</v>
      </c>
      <c r="G52" s="132">
        <f>F52/$F$88</f>
        <v>1.1421787980352154E-3</v>
      </c>
      <c r="J52" s="117">
        <f>'Standard Vorgaben'!G135</f>
        <v>7.03</v>
      </c>
      <c r="K52" s="121">
        <f>C52*J52</f>
        <v>21.09</v>
      </c>
      <c r="L52" s="182"/>
    </row>
    <row r="53" spans="1:13" x14ac:dyDescent="0.2">
      <c r="A53" s="17"/>
      <c r="B53" s="69" t="str">
        <f>'Standard Vorgaben'!B136</f>
        <v>Erntewagen 4 Grosskisten</v>
      </c>
      <c r="C53" s="1329">
        <f>'Standard Vorgaben'!C136</f>
        <v>960</v>
      </c>
      <c r="D53" s="19"/>
      <c r="E53" s="1328">
        <f>'Standard Vorgaben'!D136</f>
        <v>9.1999999999999993</v>
      </c>
      <c r="F53" s="45">
        <f>D54*E53</f>
        <v>382.37499999999994</v>
      </c>
      <c r="G53" s="132">
        <f>F53/$F$88</f>
        <v>8.087789220346581E-3</v>
      </c>
      <c r="J53" s="117">
        <f>'Standard Vorgaben'!G136</f>
        <v>1.53</v>
      </c>
      <c r="K53" s="121">
        <f>D54*J53</f>
        <v>63.590625000000003</v>
      </c>
      <c r="L53" s="182"/>
    </row>
    <row r="54" spans="1:13" x14ac:dyDescent="0.2">
      <c r="A54" s="17"/>
      <c r="B54" s="282" t="s">
        <v>204</v>
      </c>
      <c r="C54" s="532">
        <f>'Standard Vorgaben'!E136</f>
        <v>4</v>
      </c>
      <c r="D54" s="1326">
        <f>((D9+D10)+('Standard Vorgaben'!D86*D12))/C53</f>
        <v>41.5625</v>
      </c>
      <c r="E54" s="1330">
        <f>C53/C77/C54</f>
        <v>2</v>
      </c>
      <c r="F54" s="45"/>
      <c r="G54" s="132"/>
      <c r="K54" s="127"/>
      <c r="L54" s="322"/>
    </row>
    <row r="55" spans="1:13" x14ac:dyDescent="0.2">
      <c r="A55" s="17"/>
      <c r="B55" s="69" t="str">
        <f>'Standard Vorgaben'!B137</f>
        <v>Sichelmulchgerät mit beids. Schwenkarm</v>
      </c>
      <c r="C55" s="202">
        <f>'Standard Vorgaben'!E137</f>
        <v>7</v>
      </c>
      <c r="D55" s="39">
        <f>'Standard Vorgaben'!C137</f>
        <v>1</v>
      </c>
      <c r="E55" s="44">
        <f>'Standard Vorgaben'!D137</f>
        <v>42</v>
      </c>
      <c r="F55" s="45">
        <f>C55*D55*E55</f>
        <v>294</v>
      </c>
      <c r="G55" s="132">
        <f t="shared" ref="G55:G63" si="1">F55/$F$88</f>
        <v>6.2185290115250608E-3</v>
      </c>
      <c r="J55" s="117">
        <f>'Standard Vorgaben'!G137</f>
        <v>14.5</v>
      </c>
      <c r="K55" s="127">
        <f>C55*J55</f>
        <v>101.5</v>
      </c>
      <c r="L55" s="322"/>
    </row>
    <row r="56" spans="1:13" ht="13.5" thickBot="1" x14ac:dyDescent="0.25">
      <c r="A56" s="17"/>
      <c r="B56" s="69" t="str">
        <f>'Standard Vorgaben'!B138</f>
        <v>Schnittholzhacker</v>
      </c>
      <c r="C56" s="202">
        <f>'Standard Vorgaben'!E138</f>
        <v>1</v>
      </c>
      <c r="D56" s="647">
        <f>'Standard Vorgaben'!C138</f>
        <v>2</v>
      </c>
      <c r="E56" s="44">
        <f>'Standard Vorgaben'!D138</f>
        <v>68.31</v>
      </c>
      <c r="F56" s="420">
        <f>E56*D56*C56</f>
        <v>136.62</v>
      </c>
      <c r="G56" s="132">
        <f t="shared" si="1"/>
        <v>2.8897123590290951E-3</v>
      </c>
      <c r="H56" s="19"/>
      <c r="J56" s="117">
        <f>'Standard Vorgaben'!G138</f>
        <v>29.05</v>
      </c>
      <c r="K56" s="127">
        <f>C56*J56</f>
        <v>29.05</v>
      </c>
      <c r="L56" s="322"/>
    </row>
    <row r="57" spans="1:13" x14ac:dyDescent="0.2">
      <c r="A57" s="17"/>
      <c r="B57" s="69" t="s">
        <v>106</v>
      </c>
      <c r="C57" s="202"/>
      <c r="D57" s="533">
        <f>(C50*D50)+(C51*D51)+(C52*D52)+(D54*E54*'Standard Vorgaben'!H130)+(C55*D55)+(C56*D56)</f>
        <v>60.78125</v>
      </c>
      <c r="E57" s="44"/>
      <c r="F57" s="83">
        <f>SUM(F50:F56)</f>
        <v>2094.9949999999999</v>
      </c>
      <c r="G57" s="132">
        <f t="shared" si="1"/>
        <v>4.4312201314625661E-2</v>
      </c>
      <c r="H57" s="19"/>
      <c r="J57" s="117"/>
      <c r="K57" s="127"/>
      <c r="L57" s="322"/>
    </row>
    <row r="58" spans="1:13" ht="13.5" thickBot="1" x14ac:dyDescent="0.25">
      <c r="A58" s="17"/>
      <c r="B58" s="69" t="str">
        <f>'Standard Vorgaben'!B140</f>
        <v>Hebebühne schwer, selbstfahrend, elektrisch</v>
      </c>
      <c r="C58" s="202">
        <f>'Standard Vorgaben'!E140</f>
        <v>1</v>
      </c>
      <c r="D58" s="647">
        <f>'Standard Vorgaben'!C140*D54</f>
        <v>6.927083333333333</v>
      </c>
      <c r="E58" s="44">
        <f>'Standard Vorgaben'!D140</f>
        <v>17.5</v>
      </c>
      <c r="F58" s="146">
        <f>D58*E58</f>
        <v>121.22395833333333</v>
      </c>
      <c r="G58" s="132">
        <f t="shared" si="1"/>
        <v>2.5640636115229201E-3</v>
      </c>
      <c r="H58" s="19"/>
      <c r="J58" s="117"/>
      <c r="K58" s="127"/>
      <c r="L58" s="322"/>
    </row>
    <row r="59" spans="1:13" x14ac:dyDescent="0.2">
      <c r="A59" s="772"/>
      <c r="B59" s="70" t="str">
        <f>'Standard Vorgaben'!B130</f>
        <v>Obstbautraktor 4-Rad</v>
      </c>
      <c r="C59" s="43"/>
      <c r="D59" s="533">
        <f>D57</f>
        <v>60.78125</v>
      </c>
      <c r="E59" s="44">
        <f>'Standard Vorgaben'!D130</f>
        <v>41</v>
      </c>
      <c r="F59" s="146">
        <f>D59*E59</f>
        <v>2492.03125</v>
      </c>
      <c r="G59" s="132">
        <f t="shared" si="1"/>
        <v>5.2710097366503617E-2</v>
      </c>
      <c r="H59" s="912">
        <f>(D54*E54*'Standard Vorgaben'!H130)</f>
        <v>20.78125</v>
      </c>
      <c r="J59" s="124">
        <f>'Standard Vorgaben'!G143</f>
        <v>0</v>
      </c>
      <c r="K59" s="127">
        <f>D59*J59</f>
        <v>0</v>
      </c>
      <c r="L59" s="322"/>
    </row>
    <row r="60" spans="1:13" x14ac:dyDescent="0.2">
      <c r="A60" s="1446" t="s">
        <v>408</v>
      </c>
      <c r="B60" s="69" t="str">
        <f>'Standard Vorgaben'!$B$130</f>
        <v>Obstbautraktor 4-Rad</v>
      </c>
      <c r="C60" s="982">
        <f>'Standard Vorgaben'!$C$180</f>
        <v>1</v>
      </c>
      <c r="D60" s="478">
        <v>10</v>
      </c>
      <c r="E60" s="44">
        <f>'Standard Vorgaben'!D130</f>
        <v>41</v>
      </c>
      <c r="F60" s="146">
        <f>C60*E60*D60</f>
        <v>410</v>
      </c>
      <c r="G60" s="132">
        <f t="shared" si="1"/>
        <v>8.6720982813784861E-3</v>
      </c>
      <c r="H60" s="912"/>
      <c r="J60" s="124"/>
      <c r="K60" s="127"/>
      <c r="L60" s="322"/>
    </row>
    <row r="61" spans="1:13" x14ac:dyDescent="0.2">
      <c r="A61" s="1446"/>
      <c r="B61" s="142" t="str">
        <f>'Standard Vorgaben'!B140</f>
        <v>Hebebühne schwer, selbstfahrend, elektrisch</v>
      </c>
      <c r="C61" s="982">
        <f>'Standard Vorgaben'!$C$180</f>
        <v>1</v>
      </c>
      <c r="D61" s="478">
        <v>10</v>
      </c>
      <c r="E61" s="44">
        <f>'Standard Vorgaben'!D150</f>
        <v>17.5</v>
      </c>
      <c r="F61" s="146">
        <f>C61*E61*D61</f>
        <v>175</v>
      </c>
      <c r="G61" s="132">
        <f t="shared" si="1"/>
        <v>3.7015053640030125E-3</v>
      </c>
      <c r="H61" s="912"/>
      <c r="J61" s="124"/>
      <c r="K61" s="127"/>
      <c r="L61" s="322"/>
    </row>
    <row r="62" spans="1:13" ht="13.5" thickBot="1" x14ac:dyDescent="0.25">
      <c r="A62" s="773"/>
      <c r="B62" s="29" t="str">
        <f>'Standard Vorgaben'!B139</f>
        <v>Diverse Kleingeräte</v>
      </c>
      <c r="C62" s="43"/>
      <c r="D62" s="43"/>
      <c r="E62" s="44"/>
      <c r="F62" s="501">
        <f>'Standard Vorgaben'!D139</f>
        <v>500</v>
      </c>
      <c r="G62" s="132">
        <f t="shared" si="1"/>
        <v>1.0575729611437179E-2</v>
      </c>
      <c r="K62" s="323">
        <f>SUM(K50:K59)</f>
        <v>551.29062499999986</v>
      </c>
      <c r="L62" s="13"/>
    </row>
    <row r="63" spans="1:13" ht="15.75" x14ac:dyDescent="0.25">
      <c r="A63" s="75"/>
      <c r="B63" s="15"/>
      <c r="C63" s="35"/>
      <c r="D63" s="35"/>
      <c r="E63" s="47"/>
      <c r="F63" s="548">
        <f>SUM(F57:F62)</f>
        <v>5793.2502083333329</v>
      </c>
      <c r="G63" s="469">
        <f t="shared" si="1"/>
        <v>0.12253569554947087</v>
      </c>
      <c r="K63" s="127"/>
      <c r="L63" s="13"/>
    </row>
    <row r="64" spans="1:13" x14ac:dyDescent="0.2">
      <c r="A64" s="75"/>
      <c r="B64" s="15"/>
      <c r="C64" s="35"/>
      <c r="D64" s="35"/>
      <c r="E64" s="47"/>
      <c r="F64" s="53"/>
      <c r="G64" s="132"/>
      <c r="K64" s="127"/>
      <c r="L64" s="13"/>
    </row>
    <row r="65" spans="1:12" x14ac:dyDescent="0.2">
      <c r="B65" s="15"/>
      <c r="C65" s="43"/>
      <c r="D65" s="118" t="s">
        <v>27</v>
      </c>
      <c r="E65" s="291" t="s">
        <v>21</v>
      </c>
      <c r="F65" s="289" t="s">
        <v>22</v>
      </c>
      <c r="G65" s="132"/>
      <c r="K65" s="127"/>
      <c r="L65" s="13"/>
    </row>
    <row r="66" spans="1:12" x14ac:dyDescent="0.2">
      <c r="A66" s="17" t="s">
        <v>62</v>
      </c>
      <c r="B66" s="29" t="s">
        <v>29</v>
      </c>
      <c r="C66" s="43"/>
      <c r="D66" s="349">
        <f>C52*D52</f>
        <v>3</v>
      </c>
      <c r="E66" s="44">
        <f>'Standard Vorgaben'!$C$36</f>
        <v>32.700000000000003</v>
      </c>
      <c r="F66" s="45">
        <f t="shared" ref="F66:F78" si="2">D66*E66</f>
        <v>98.100000000000009</v>
      </c>
      <c r="G66" s="132">
        <f t="shared" ref="G66:G79" si="3">F66/$F$88</f>
        <v>2.0749581497639747E-3</v>
      </c>
    </row>
    <row r="67" spans="1:12" x14ac:dyDescent="0.2">
      <c r="A67" s="17"/>
      <c r="B67" s="41" t="s">
        <v>147</v>
      </c>
      <c r="C67" s="13"/>
      <c r="D67" s="46">
        <f>((C50*D50)+(C51*D51))+'Standard Vorgaben'!B93+'Standard Vorgaben'!C93</f>
        <v>48</v>
      </c>
      <c r="E67" s="44">
        <f>'Standard Vorgaben'!$C$36</f>
        <v>32.700000000000003</v>
      </c>
      <c r="F67" s="45">
        <f t="shared" si="2"/>
        <v>1569.6000000000001</v>
      </c>
      <c r="G67" s="132">
        <f t="shared" si="3"/>
        <v>3.3199330396223595E-2</v>
      </c>
    </row>
    <row r="68" spans="1:12" x14ac:dyDescent="0.2">
      <c r="A68" s="17"/>
      <c r="B68" s="41" t="str">
        <f>'Standard Vorgaben'!D90</f>
        <v>Baumerziehung 
(Sommer+Winter)</v>
      </c>
      <c r="C68" s="43"/>
      <c r="D68" s="127">
        <f>'Standard Vorgaben'!D93</f>
        <v>120</v>
      </c>
      <c r="E68" s="44">
        <f>'Standard Vorgaben'!$C$36</f>
        <v>32.700000000000003</v>
      </c>
      <c r="F68" s="45">
        <f t="shared" si="2"/>
        <v>3924.0000000000005</v>
      </c>
      <c r="G68" s="132">
        <f t="shared" si="3"/>
        <v>8.2998325990558994E-2</v>
      </c>
    </row>
    <row r="69" spans="1:12" x14ac:dyDescent="0.2">
      <c r="A69" s="17"/>
      <c r="B69" s="29" t="s">
        <v>96</v>
      </c>
      <c r="C69" s="43"/>
      <c r="D69" s="202">
        <f>(C55*D55)+(C56*D56)</f>
        <v>9</v>
      </c>
      <c r="E69" s="44">
        <f>'Standard Vorgaben'!$C$36</f>
        <v>32.700000000000003</v>
      </c>
      <c r="F69" s="45">
        <f t="shared" si="2"/>
        <v>294.3</v>
      </c>
      <c r="G69" s="132">
        <f t="shared" si="3"/>
        <v>6.224874449291924E-3</v>
      </c>
    </row>
    <row r="70" spans="1:12" x14ac:dyDescent="0.2">
      <c r="A70" s="17"/>
      <c r="B70" s="304" t="str">
        <f>'Standard Vorgaben'!E90</f>
        <v>Behangsregulierung (von Hand)</v>
      </c>
      <c r="C70" s="19" t="s">
        <v>197</v>
      </c>
      <c r="D70" s="46">
        <f>'Standard Vorgaben'!E93</f>
        <v>150</v>
      </c>
      <c r="E70" s="44">
        <f>'Standard Vorgaben'!C37</f>
        <v>22.5</v>
      </c>
      <c r="F70" s="45">
        <f>D70*E70</f>
        <v>3375</v>
      </c>
      <c r="G70" s="132">
        <f t="shared" si="3"/>
        <v>7.1386174877200961E-2</v>
      </c>
      <c r="J70" s="11"/>
    </row>
    <row r="71" spans="1:12" s="1" customFormat="1" x14ac:dyDescent="0.2">
      <c r="A71" s="40"/>
      <c r="B71" s="304" t="s">
        <v>409</v>
      </c>
      <c r="C71" s="46">
        <f>'Standard Vorgaben'!$C$180</f>
        <v>1</v>
      </c>
      <c r="D71" s="838">
        <v>15</v>
      </c>
      <c r="E71" s="44">
        <f>'Standard Vorgaben'!C37</f>
        <v>22.5</v>
      </c>
      <c r="F71" s="45">
        <f>C71*D71*E71</f>
        <v>337.5</v>
      </c>
      <c r="G71" s="132">
        <f t="shared" si="3"/>
        <v>7.138617487720096E-3</v>
      </c>
      <c r="H71" s="19"/>
      <c r="J71" s="43"/>
      <c r="K71" s="121"/>
    </row>
    <row r="72" spans="1:12" s="1" customFormat="1" x14ac:dyDescent="0.2">
      <c r="A72" s="40"/>
      <c r="B72" s="304" t="s">
        <v>410</v>
      </c>
      <c r="C72" s="46">
        <f>'Standard Vorgaben'!$C$180</f>
        <v>1</v>
      </c>
      <c r="D72" s="838">
        <v>10</v>
      </c>
      <c r="E72" s="44">
        <f>'Standard Vorgaben'!C37</f>
        <v>22.5</v>
      </c>
      <c r="F72" s="45">
        <f>C72*D72*E72</f>
        <v>225</v>
      </c>
      <c r="G72" s="132">
        <f t="shared" si="3"/>
        <v>4.7590783251467306E-3</v>
      </c>
      <c r="H72" s="19"/>
      <c r="J72" s="35"/>
      <c r="K72" s="121"/>
    </row>
    <row r="73" spans="1:12" s="1" customFormat="1" x14ac:dyDescent="0.2">
      <c r="A73" s="40"/>
      <c r="B73" t="s">
        <v>483</v>
      </c>
      <c r="C73" s="982">
        <f>'Standard Vorgaben'!$C$188</f>
        <v>1</v>
      </c>
      <c r="D73" s="35">
        <f>'Standard Bewässerung'!$E$111</f>
        <v>10</v>
      </c>
      <c r="E73" s="44">
        <f>'Standard Vorgaben'!$C$36</f>
        <v>32.700000000000003</v>
      </c>
      <c r="F73" s="45">
        <f>C73*D73*E73</f>
        <v>327</v>
      </c>
      <c r="G73" s="132">
        <f t="shared" si="3"/>
        <v>6.9165271658799153E-3</v>
      </c>
      <c r="H73" s="19"/>
      <c r="J73" s="35"/>
      <c r="K73" s="121"/>
    </row>
    <row r="74" spans="1:12" s="1" customFormat="1" ht="13.5" thickBot="1" x14ac:dyDescent="0.25">
      <c r="A74" s="40"/>
      <c r="B74" t="s">
        <v>609</v>
      </c>
      <c r="C74" s="982">
        <f>'Standard Vorgaben'!$C$188</f>
        <v>1</v>
      </c>
      <c r="D74" s="35">
        <f>'Standard Bewässerung'!$E$110</f>
        <v>4</v>
      </c>
      <c r="E74" s="44">
        <f>'Standard Vorgaben'!$C$36</f>
        <v>32.700000000000003</v>
      </c>
      <c r="F74" s="45">
        <f>C74*D74*E74</f>
        <v>130.80000000000001</v>
      </c>
      <c r="G74" s="132">
        <f t="shared" si="3"/>
        <v>2.7666108663519664E-3</v>
      </c>
      <c r="H74" s="19"/>
      <c r="J74" s="35"/>
      <c r="K74" s="121"/>
    </row>
    <row r="75" spans="1:12" s="1" customFormat="1" ht="15.75" x14ac:dyDescent="0.25">
      <c r="A75" s="40"/>
      <c r="C75" s="19"/>
      <c r="D75" s="325"/>
      <c r="E75" s="44"/>
      <c r="F75" s="962">
        <f>SUM(F66:F74)</f>
        <v>10281.299999999999</v>
      </c>
      <c r="G75" s="132">
        <f t="shared" si="3"/>
        <v>0.21746449770813811</v>
      </c>
      <c r="H75" s="19"/>
      <c r="J75" s="35"/>
      <c r="K75" s="121"/>
    </row>
    <row r="76" spans="1:12" s="1" customFormat="1" ht="15.75" x14ac:dyDescent="0.25">
      <c r="A76" s="40"/>
      <c r="C76" s="19"/>
      <c r="D76" s="325"/>
      <c r="E76" s="44"/>
      <c r="F76" s="271"/>
      <c r="G76" s="132"/>
      <c r="H76" s="19"/>
      <c r="J76" s="35"/>
      <c r="K76" s="121"/>
    </row>
    <row r="77" spans="1:12" x14ac:dyDescent="0.2">
      <c r="A77" s="17" t="s">
        <v>342</v>
      </c>
      <c r="B77" s="670" t="s">
        <v>343</v>
      </c>
      <c r="C77" s="678">
        <f>'Standard Vorgaben'!G86</f>
        <v>120</v>
      </c>
      <c r="D77" s="46">
        <f>(D9+D10+('Standard Vorgaben'!D86*D12))/C77</f>
        <v>332.5</v>
      </c>
      <c r="E77" s="44">
        <f>'Standard Vorgaben'!C35</f>
        <v>22.754999999999999</v>
      </c>
      <c r="F77" s="45">
        <f t="shared" si="2"/>
        <v>7566.0374999999995</v>
      </c>
      <c r="G77" s="132">
        <f t="shared" si="3"/>
        <v>0.16003273365998824</v>
      </c>
    </row>
    <row r="78" spans="1:12" ht="13.5" thickBot="1" x14ac:dyDescent="0.25">
      <c r="A78" s="17"/>
      <c r="B78" s="29" t="s">
        <v>95</v>
      </c>
      <c r="C78" s="43"/>
      <c r="D78" s="46">
        <f>'Standard Vorgaben'!F93+'Standard Vorgaben'!G93</f>
        <v>40</v>
      </c>
      <c r="E78" s="44">
        <f>'Standard Vorgaben'!$C$32</f>
        <v>41.4</v>
      </c>
      <c r="F78" s="420">
        <f t="shared" si="2"/>
        <v>1656</v>
      </c>
      <c r="G78" s="132">
        <f t="shared" si="3"/>
        <v>3.5026816473079939E-2</v>
      </c>
    </row>
    <row r="79" spans="1:12" ht="15.75" x14ac:dyDescent="0.25">
      <c r="A79" s="668" t="s">
        <v>84</v>
      </c>
      <c r="B79" s="679">
        <f>('Standard Vorgaben'!F34*D70)+('Standard Vorgaben'!F34*D77)</f>
        <v>410.125</v>
      </c>
      <c r="C79" s="670" t="s">
        <v>82</v>
      </c>
      <c r="D79" s="774">
        <f>SUM(D66:D70,D77:D78)+ C71*D71+C72*D72+C73*D73+C74*D74</f>
        <v>741.5</v>
      </c>
      <c r="E79" s="44"/>
      <c r="F79" s="271">
        <f>SUM(F75:F78)</f>
        <v>19503.337499999998</v>
      </c>
      <c r="G79" s="469">
        <f t="shared" si="3"/>
        <v>0.41252404784120628</v>
      </c>
    </row>
    <row r="80" spans="1:12" s="1" customFormat="1" x14ac:dyDescent="0.2">
      <c r="A80" s="670"/>
      <c r="B80" s="679"/>
      <c r="C80" s="670"/>
      <c r="D80" s="774"/>
      <c r="E80" s="44"/>
      <c r="F80" s="81"/>
      <c r="G80" s="132"/>
      <c r="H80" s="19"/>
      <c r="J80" s="35"/>
      <c r="K80" s="121"/>
    </row>
    <row r="81" spans="1:11" s="1" customFormat="1" x14ac:dyDescent="0.2">
      <c r="A81" s="670"/>
      <c r="B81" s="679"/>
      <c r="C81" s="670"/>
      <c r="D81" s="774"/>
      <c r="E81" s="44"/>
      <c r="F81" s="81"/>
      <c r="G81" s="132"/>
      <c r="H81" s="19"/>
      <c r="J81" s="35"/>
      <c r="K81" s="121"/>
    </row>
    <row r="82" spans="1:11" x14ac:dyDescent="0.2">
      <c r="A82" s="17" t="s">
        <v>65</v>
      </c>
      <c r="B82" s="29" t="s">
        <v>63</v>
      </c>
      <c r="C82" s="43"/>
      <c r="D82" s="43"/>
      <c r="E82" s="44"/>
      <c r="F82" s="45">
        <f>'Standard Vorgaben'!C42</f>
        <v>660</v>
      </c>
      <c r="G82" s="132">
        <f>F82/$F$88</f>
        <v>1.3959963087097077E-2</v>
      </c>
    </row>
    <row r="83" spans="1:11" ht="13.5" thickBot="1" x14ac:dyDescent="0.25">
      <c r="A83" s="13"/>
      <c r="B83" s="13" t="s">
        <v>188</v>
      </c>
      <c r="C83" s="775">
        <f>'Standard Vorgaben'!C41</f>
        <v>0.6</v>
      </c>
      <c r="D83" s="776">
        <f>'Standard Vorgaben'!C40</f>
        <v>1.4999999999999999E-2</v>
      </c>
      <c r="E83" s="146">
        <f>C40</f>
        <v>128692.35713928891</v>
      </c>
      <c r="F83" s="420">
        <f>$D$83*E83*$C$83</f>
        <v>1158.2312142536002</v>
      </c>
      <c r="G83" s="132">
        <f>F83/$F$88</f>
        <v>2.4498280298945279E-2</v>
      </c>
    </row>
    <row r="84" spans="1:11" ht="15.75" x14ac:dyDescent="0.25">
      <c r="A84" s="13"/>
      <c r="B84" s="13"/>
      <c r="C84" s="19"/>
      <c r="D84" s="19"/>
      <c r="E84" s="19"/>
      <c r="F84" s="271">
        <f>SUM(F82:F83)</f>
        <v>1818.2312142536002</v>
      </c>
      <c r="G84" s="469">
        <f>F84/$F$88</f>
        <v>3.8458243386042354E-2</v>
      </c>
    </row>
    <row r="85" spans="1:11" s="1" customFormat="1" x14ac:dyDescent="0.2">
      <c r="F85" s="131"/>
      <c r="G85" s="132"/>
      <c r="H85" s="19"/>
      <c r="J85" s="35"/>
      <c r="K85" s="121"/>
    </row>
    <row r="86" spans="1:11" ht="20.25" x14ac:dyDescent="0.3">
      <c r="A86" s="656" t="s">
        <v>35</v>
      </c>
      <c r="B86" s="657"/>
      <c r="C86" s="924"/>
      <c r="D86" s="925"/>
      <c r="E86" s="926"/>
      <c r="F86" s="512">
        <f>F84+F79+F63+F47</f>
        <v>27264.818922586928</v>
      </c>
      <c r="G86" s="927">
        <f>F86/$F$88</f>
        <v>0.57669070566015057</v>
      </c>
    </row>
    <row r="87" spans="1:11" s="1" customFormat="1" ht="20.25" x14ac:dyDescent="0.3">
      <c r="A87" s="555"/>
      <c r="B87" s="560"/>
      <c r="C87" s="561"/>
      <c r="D87" s="562"/>
      <c r="E87" s="563"/>
      <c r="F87" s="558"/>
      <c r="G87" s="908"/>
      <c r="H87" s="19"/>
      <c r="J87" s="35"/>
      <c r="K87" s="121"/>
    </row>
    <row r="88" spans="1:11" s="331" customFormat="1" ht="27.75" customHeight="1" x14ac:dyDescent="0.35">
      <c r="A88" s="758" t="s">
        <v>216</v>
      </c>
      <c r="B88" s="919"/>
      <c r="C88" s="920"/>
      <c r="D88" s="921"/>
      <c r="E88" s="922"/>
      <c r="F88" s="559">
        <f>F86+F46</f>
        <v>47278.06197496505</v>
      </c>
      <c r="G88" s="923">
        <f>F88/$F$88</f>
        <v>1</v>
      </c>
      <c r="H88" s="913"/>
      <c r="I88" s="328"/>
      <c r="J88" s="329"/>
      <c r="K88" s="330"/>
    </row>
    <row r="89" spans="1:11" s="331" customFormat="1" ht="13.7" customHeight="1" x14ac:dyDescent="0.35">
      <c r="A89" s="564"/>
      <c r="B89" s="565"/>
      <c r="C89" s="566"/>
      <c r="D89" s="567"/>
      <c r="E89" s="568"/>
      <c r="F89" s="559"/>
      <c r="G89" s="909"/>
      <c r="H89" s="913"/>
      <c r="I89" s="328"/>
      <c r="J89" s="329"/>
      <c r="K89" s="330"/>
    </row>
    <row r="90" spans="1:11" s="331" customFormat="1" ht="23.25" x14ac:dyDescent="0.35">
      <c r="A90" s="928" t="s">
        <v>421</v>
      </c>
      <c r="B90" s="929"/>
      <c r="C90" s="930"/>
      <c r="D90" s="931"/>
      <c r="E90" s="932"/>
      <c r="F90" s="570">
        <f>F88/D12</f>
        <v>1.1256681422610726</v>
      </c>
      <c r="G90" s="923"/>
      <c r="H90" s="913"/>
      <c r="I90" s="328"/>
      <c r="J90" s="329"/>
      <c r="K90" s="330"/>
    </row>
    <row r="91" spans="1:11" s="331" customFormat="1" ht="30" x14ac:dyDescent="0.35">
      <c r="A91" s="344" t="s">
        <v>294</v>
      </c>
      <c r="B91" s="101"/>
      <c r="C91" s="316"/>
      <c r="D91" s="358" t="s">
        <v>422</v>
      </c>
      <c r="E91" s="359" t="s">
        <v>67</v>
      </c>
      <c r="F91" s="100"/>
      <c r="G91" s="842"/>
      <c r="H91" s="913"/>
      <c r="I91" s="328"/>
      <c r="J91" s="329"/>
      <c r="K91" s="330"/>
    </row>
    <row r="92" spans="1:11" s="331" customFormat="1" ht="23.25" x14ac:dyDescent="0.35">
      <c r="A92" s="352"/>
      <c r="B92" s="355"/>
      <c r="C92" s="939" t="s">
        <v>424</v>
      </c>
      <c r="D92" s="940">
        <f>F9/F12</f>
        <v>0.87402452619843929</v>
      </c>
      <c r="E92" s="941">
        <f>D92*F88</f>
        <v>41322.185717249275</v>
      </c>
      <c r="F92" s="942">
        <f>E92/D9</f>
        <v>1.405516520994873</v>
      </c>
      <c r="G92" s="842"/>
      <c r="H92" s="913"/>
      <c r="I92" s="328"/>
      <c r="J92" s="329"/>
      <c r="K92" s="330"/>
    </row>
    <row r="93" spans="1:11" s="331" customFormat="1" ht="23.25" x14ac:dyDescent="0.35">
      <c r="A93" s="613"/>
      <c r="B93" s="355"/>
      <c r="C93" s="939" t="s">
        <v>425</v>
      </c>
      <c r="D93" s="940">
        <f>F10/F12</f>
        <v>0.10033444816053511</v>
      </c>
      <c r="E93" s="941">
        <f>D93*F88</f>
        <v>4743.6182583576965</v>
      </c>
      <c r="F93" s="942">
        <f>E93/D10</f>
        <v>0.56471645932829717</v>
      </c>
      <c r="G93" s="842"/>
      <c r="H93" s="913"/>
      <c r="I93" s="328"/>
      <c r="J93" s="329"/>
      <c r="K93" s="330"/>
    </row>
    <row r="94" spans="1:11" s="331" customFormat="1" ht="23.25" x14ac:dyDescent="0.35">
      <c r="A94" s="339"/>
      <c r="B94" s="340"/>
      <c r="C94" s="316"/>
      <c r="D94" s="777"/>
      <c r="E94" s="346"/>
      <c r="F94" s="350"/>
      <c r="G94" s="842"/>
      <c r="H94" s="913"/>
      <c r="I94" s="328"/>
      <c r="J94" s="329"/>
      <c r="K94" s="330"/>
    </row>
    <row r="95" spans="1:11" s="97" customFormat="1" ht="23.45" customHeight="1" x14ac:dyDescent="0.25">
      <c r="A95" s="928" t="s">
        <v>418</v>
      </c>
      <c r="B95" s="929"/>
      <c r="C95" s="930"/>
      <c r="D95" s="931"/>
      <c r="E95" s="569"/>
      <c r="F95" s="528">
        <f>F15-F88</f>
        <v>-8504.0619749650359</v>
      </c>
      <c r="G95" s="843"/>
      <c r="H95" s="914"/>
      <c r="I95" s="332"/>
      <c r="J95" s="333"/>
      <c r="K95" s="334"/>
    </row>
    <row r="96" spans="1:11" s="97" customFormat="1" ht="13.7" customHeight="1" x14ac:dyDescent="0.25">
      <c r="A96" s="344"/>
      <c r="B96" s="101"/>
      <c r="C96" s="316"/>
      <c r="D96" s="345"/>
      <c r="E96" s="346"/>
      <c r="F96" s="100"/>
      <c r="G96" s="843"/>
      <c r="H96" s="914"/>
      <c r="I96" s="332"/>
      <c r="J96" s="333" t="s">
        <v>417</v>
      </c>
      <c r="K96" s="334"/>
    </row>
    <row r="97" spans="1:11" s="50" customFormat="1" ht="18.75" customHeight="1" x14ac:dyDescent="0.3">
      <c r="A97" s="614" t="s">
        <v>419</v>
      </c>
      <c r="B97" s="300"/>
      <c r="C97" s="298"/>
      <c r="D97" s="347"/>
      <c r="E97" s="348"/>
      <c r="F97" s="615">
        <f>F15/F88</f>
        <v>0.82012667990773069</v>
      </c>
      <c r="G97" s="844"/>
      <c r="H97" s="915"/>
      <c r="I97" s="64"/>
      <c r="J97" s="119"/>
      <c r="K97" s="122"/>
    </row>
    <row r="98" spans="1:11" s="50" customFormat="1" ht="13.5" customHeight="1" x14ac:dyDescent="0.3">
      <c r="A98" s="150"/>
      <c r="B98" s="300"/>
      <c r="C98" s="298"/>
      <c r="D98" s="347"/>
      <c r="E98" s="348"/>
      <c r="F98" s="553"/>
      <c r="G98" s="844"/>
      <c r="H98" s="915"/>
      <c r="I98" s="64"/>
      <c r="J98" s="119"/>
      <c r="K98" s="122"/>
    </row>
    <row r="99" spans="1:11" s="50" customFormat="1" ht="21.6" customHeight="1" x14ac:dyDescent="0.3">
      <c r="A99" s="616" t="s">
        <v>208</v>
      </c>
      <c r="B99" s="616"/>
      <c r="C99" s="101" t="s">
        <v>209</v>
      </c>
      <c r="D99" s="617"/>
      <c r="E99" s="617"/>
      <c r="F99" s="617">
        <f>F12-F46</f>
        <v>17660.756947621896</v>
      </c>
      <c r="G99" s="844"/>
      <c r="H99" s="915"/>
      <c r="I99" s="64"/>
      <c r="J99" s="119"/>
      <c r="K99" s="122"/>
    </row>
    <row r="100" spans="1:11" s="50" customFormat="1" ht="21.6" customHeight="1" x14ac:dyDescent="0.3">
      <c r="A100" s="616"/>
      <c r="B100" s="616"/>
      <c r="C100" s="111" t="s">
        <v>78</v>
      </c>
      <c r="D100" s="617"/>
      <c r="E100" s="617"/>
      <c r="F100" s="554">
        <f>F15-F46</f>
        <v>18760.756947621896</v>
      </c>
      <c r="G100" s="844"/>
      <c r="H100" s="915"/>
      <c r="I100" s="64"/>
      <c r="J100" s="119"/>
      <c r="K100" s="122"/>
    </row>
    <row r="101" spans="1:11" s="50" customFormat="1" ht="13.5" customHeight="1" x14ac:dyDescent="0.3">
      <c r="A101" s="150"/>
      <c r="B101" s="300"/>
      <c r="C101" s="298"/>
      <c r="D101" s="347"/>
      <c r="E101" s="348"/>
      <c r="F101" s="553"/>
      <c r="G101" s="844"/>
      <c r="H101" s="915"/>
      <c r="I101" s="64"/>
      <c r="J101" s="119"/>
      <c r="K101" s="122"/>
    </row>
    <row r="102" spans="1:11" s="50" customFormat="1" ht="25.35" customHeight="1" x14ac:dyDescent="0.3">
      <c r="A102" s="299" t="s">
        <v>420</v>
      </c>
      <c r="B102" s="300"/>
      <c r="C102" s="298"/>
      <c r="D102" s="347"/>
      <c r="E102" s="348"/>
      <c r="F102" s="618">
        <f>F95+F40</f>
        <v>2220.3011199757075</v>
      </c>
      <c r="G102" s="844"/>
      <c r="H102" s="915"/>
      <c r="I102" s="64"/>
      <c r="J102" s="119"/>
      <c r="K102" s="122"/>
    </row>
    <row r="103" spans="1:11" s="50" customFormat="1" ht="18.75" customHeight="1" x14ac:dyDescent="0.3">
      <c r="A103" s="342"/>
      <c r="B103" s="303"/>
      <c r="C103" s="301"/>
      <c r="D103" s="326"/>
      <c r="E103" s="327"/>
      <c r="F103" s="343"/>
      <c r="G103" s="844"/>
      <c r="H103" s="915"/>
      <c r="I103" s="64"/>
      <c r="J103" s="119"/>
      <c r="K103" s="122"/>
    </row>
    <row r="104" spans="1:11" s="1" customFormat="1" ht="16.5" customHeight="1" x14ac:dyDescent="0.25">
      <c r="A104" s="150" t="s">
        <v>66</v>
      </c>
      <c r="B104" s="142"/>
      <c r="C104" s="202"/>
      <c r="D104" s="349"/>
      <c r="E104" s="200"/>
      <c r="F104" s="276">
        <f>F88-F79</f>
        <v>27774.724474965053</v>
      </c>
      <c r="G104" s="132"/>
      <c r="H104" s="916"/>
      <c r="J104" s="35"/>
      <c r="K104" s="121"/>
    </row>
    <row r="105" spans="1:11" s="1" customFormat="1" ht="16.5" customHeight="1" x14ac:dyDescent="0.25">
      <c r="A105" s="314" t="s">
        <v>183</v>
      </c>
      <c r="B105" s="142"/>
      <c r="C105" s="202"/>
      <c r="D105" s="349"/>
      <c r="E105" s="200"/>
      <c r="F105" s="276">
        <f>F79</f>
        <v>19503.337499999998</v>
      </c>
      <c r="G105" s="132"/>
      <c r="H105" s="916"/>
      <c r="J105" s="35"/>
      <c r="K105" s="121"/>
    </row>
    <row r="106" spans="1:11" ht="18" x14ac:dyDescent="0.25">
      <c r="A106" s="314" t="s">
        <v>213</v>
      </c>
      <c r="B106" s="85"/>
      <c r="C106" s="85"/>
      <c r="D106" s="85"/>
      <c r="E106" s="85"/>
      <c r="F106" s="276">
        <f>F15-F104</f>
        <v>10999.275525034962</v>
      </c>
      <c r="G106" s="19"/>
      <c r="H106" s="917"/>
    </row>
    <row r="107" spans="1:11" ht="20.25" x14ac:dyDescent="0.3">
      <c r="A107" s="656" t="s">
        <v>217</v>
      </c>
      <c r="B107" s="934"/>
      <c r="C107" s="934"/>
      <c r="D107" s="934"/>
      <c r="E107" s="497"/>
      <c r="F107" s="556">
        <f>F106/D79</f>
        <v>14.833817296068728</v>
      </c>
      <c r="G107" s="19"/>
    </row>
    <row r="108" spans="1:11" s="1" customFormat="1" ht="20.25" x14ac:dyDescent="0.3">
      <c r="A108" s="656"/>
      <c r="B108" s="934"/>
      <c r="C108" s="934"/>
      <c r="D108" s="934"/>
      <c r="E108" s="497"/>
      <c r="F108" s="556"/>
      <c r="G108" s="19"/>
      <c r="H108" s="19"/>
      <c r="J108" s="35"/>
      <c r="K108" s="121"/>
    </row>
    <row r="109" spans="1:11" s="292" customFormat="1" ht="20.25" x14ac:dyDescent="0.3">
      <c r="A109" s="656" t="s">
        <v>83</v>
      </c>
      <c r="B109" s="656"/>
      <c r="C109" s="656"/>
      <c r="D109" s="656"/>
      <c r="E109" s="555"/>
      <c r="F109" s="557">
        <f>(F106-(B79*'Standard Vorgaben'!C34))/(D79-B79)</f>
        <v>7.2022648812824199</v>
      </c>
      <c r="G109" s="300"/>
      <c r="H109" s="691"/>
      <c r="J109" s="335"/>
      <c r="K109" s="336"/>
    </row>
    <row r="110" spans="1:11" s="303" customFormat="1" ht="20.25" x14ac:dyDescent="0.3">
      <c r="A110" s="258"/>
      <c r="B110" s="258"/>
      <c r="C110" s="258"/>
      <c r="D110" s="258"/>
      <c r="E110" s="258"/>
      <c r="F110" s="337"/>
      <c r="G110" s="300"/>
      <c r="H110" s="300"/>
      <c r="J110" s="301"/>
      <c r="K110" s="338"/>
    </row>
    <row r="111" spans="1:11" ht="22.7" customHeight="1" x14ac:dyDescent="0.25">
      <c r="A111" s="353" t="s">
        <v>112</v>
      </c>
      <c r="B111" s="1445" t="s">
        <v>423</v>
      </c>
      <c r="C111" s="1445"/>
      <c r="D111" s="1445"/>
      <c r="E111" s="1445"/>
      <c r="F111" s="571">
        <f>K62+F79+F38+F27+F20+F75+F31+F30</f>
        <v>38674.728125000001</v>
      </c>
      <c r="G111" s="45">
        <f>F15</f>
        <v>38774.000000000015</v>
      </c>
    </row>
    <row r="112" spans="1:11" s="1" customFormat="1" ht="15" customHeight="1" x14ac:dyDescent="0.25">
      <c r="A112" s="353"/>
      <c r="B112" s="354"/>
      <c r="C112" s="354"/>
      <c r="D112" s="354"/>
      <c r="E112" s="354"/>
      <c r="F112" s="571"/>
      <c r="G112" s="45"/>
      <c r="H112" s="19"/>
      <c r="J112" s="35"/>
      <c r="K112" s="121"/>
    </row>
    <row r="113" spans="1:11" ht="15.75" x14ac:dyDescent="0.25">
      <c r="A113" s="150" t="s">
        <v>131</v>
      </c>
      <c r="B113" s="111" t="s">
        <v>214</v>
      </c>
      <c r="C113" s="142"/>
      <c r="D113" s="142"/>
      <c r="E113" s="142"/>
      <c r="F113" s="572">
        <f>F15/D79</f>
        <v>52.291301416048569</v>
      </c>
      <c r="G113" s="19"/>
    </row>
    <row r="114" spans="1:11" x14ac:dyDescent="0.2">
      <c r="A114" s="85"/>
      <c r="B114" s="142" t="s">
        <v>173</v>
      </c>
      <c r="C114" s="142"/>
      <c r="D114" s="142"/>
      <c r="E114" s="142"/>
      <c r="F114" s="356">
        <f>(D9+D10)/D79</f>
        <v>50.977747808496289</v>
      </c>
      <c r="G114" s="19"/>
    </row>
    <row r="115" spans="1:11" x14ac:dyDescent="0.2">
      <c r="A115" s="85"/>
      <c r="B115" s="142"/>
      <c r="C115" s="142"/>
      <c r="D115" s="142"/>
      <c r="E115" s="142"/>
      <c r="F115" s="356"/>
      <c r="G115" s="19"/>
    </row>
    <row r="116" spans="1:11" s="1" customFormat="1" ht="20.25" x14ac:dyDescent="0.3">
      <c r="A116" s="299" t="s">
        <v>132</v>
      </c>
      <c r="B116" s="111" t="s">
        <v>207</v>
      </c>
      <c r="C116" s="111"/>
      <c r="D116" s="111"/>
      <c r="E116" s="111"/>
      <c r="F116" s="573">
        <f>(F95+F83)/E83</f>
        <v>-5.7080551821432159E-2</v>
      </c>
      <c r="G116" s="19"/>
      <c r="H116" s="19"/>
      <c r="J116" s="35"/>
      <c r="K116" s="8"/>
    </row>
    <row r="117" spans="1:11" x14ac:dyDescent="0.2">
      <c r="A117" s="13"/>
      <c r="B117" s="13"/>
      <c r="C117" s="13"/>
      <c r="D117" s="13"/>
      <c r="E117" s="13"/>
      <c r="F117" s="357"/>
    </row>
    <row r="118" spans="1:11" x14ac:dyDescent="0.2">
      <c r="A118" s="13"/>
      <c r="B118" s="13"/>
      <c r="C118" s="13"/>
      <c r="D118" s="13"/>
      <c r="E118" s="13"/>
      <c r="F118" s="357"/>
    </row>
    <row r="119" spans="1:11" x14ac:dyDescent="0.2">
      <c r="F119" s="37"/>
    </row>
    <row r="120" spans="1:11" ht="20.25" x14ac:dyDescent="0.3">
      <c r="A120" s="546" t="s">
        <v>187</v>
      </c>
      <c r="B120" s="547"/>
      <c r="C120" s="547"/>
      <c r="D120" s="547"/>
      <c r="E120" s="547"/>
      <c r="F120" s="550"/>
    </row>
    <row r="121" spans="1:11" x14ac:dyDescent="0.2">
      <c r="F121" s="37"/>
    </row>
    <row r="122" spans="1:11" s="168" customFormat="1" ht="21.75" customHeight="1" x14ac:dyDescent="0.2">
      <c r="A122" s="785" t="s">
        <v>181</v>
      </c>
      <c r="B122" s="780" t="s">
        <v>68</v>
      </c>
      <c r="C122" s="780" t="s">
        <v>185</v>
      </c>
      <c r="G122" s="171"/>
      <c r="H122" s="850"/>
      <c r="J122" s="169"/>
      <c r="K122" s="170"/>
    </row>
    <row r="123" spans="1:11" x14ac:dyDescent="0.2">
      <c r="A123" s="19" t="s">
        <v>183</v>
      </c>
      <c r="B123" s="45">
        <f>F79</f>
        <v>19503.337499999998</v>
      </c>
      <c r="C123" s="786">
        <f>B123/$B$126</f>
        <v>0.41252404784120628</v>
      </c>
      <c r="D123" s="1"/>
      <c r="E123" s="1"/>
      <c r="F123" s="1"/>
    </row>
    <row r="124" spans="1:11" x14ac:dyDescent="0.2">
      <c r="A124" s="19" t="s">
        <v>278</v>
      </c>
      <c r="B124" s="45">
        <f>F84</f>
        <v>1818.2312142536002</v>
      </c>
      <c r="C124" s="786">
        <f>B124/$B$126</f>
        <v>3.8458243386042354E-2</v>
      </c>
      <c r="D124" s="1"/>
      <c r="E124" s="1"/>
      <c r="F124" s="1"/>
    </row>
    <row r="125" spans="1:11" ht="13.5" thickBot="1" x14ac:dyDescent="0.25">
      <c r="A125" s="19" t="s">
        <v>182</v>
      </c>
      <c r="B125" s="420">
        <f>F88-B123-B124</f>
        <v>25956.493260711453</v>
      </c>
      <c r="C125" s="786">
        <f>B125/$B$126</f>
        <v>0.54901770877275136</v>
      </c>
      <c r="D125" s="1"/>
      <c r="E125" s="1"/>
      <c r="F125" s="1"/>
    </row>
    <row r="126" spans="1:11" x14ac:dyDescent="0.2">
      <c r="A126" s="85" t="str">
        <f>A88</f>
        <v>Produktionskosten pro ha</v>
      </c>
      <c r="B126" s="45">
        <f>F88</f>
        <v>47278.06197496505</v>
      </c>
      <c r="C126" s="786">
        <f>B126/$B$126</f>
        <v>1</v>
      </c>
      <c r="D126" s="35"/>
      <c r="E126" s="1"/>
      <c r="F126" s="1"/>
    </row>
    <row r="127" spans="1:11" x14ac:dyDescent="0.2">
      <c r="A127" s="19"/>
      <c r="B127" s="19"/>
      <c r="C127" s="19"/>
      <c r="D127" s="1"/>
      <c r="E127" s="1"/>
      <c r="F127" s="8"/>
    </row>
    <row r="128" spans="1:11" s="168" customFormat="1" ht="30.75" customHeight="1" x14ac:dyDescent="0.2">
      <c r="A128" s="787" t="s">
        <v>274</v>
      </c>
      <c r="B128" s="780" t="s">
        <v>68</v>
      </c>
      <c r="C128" s="788" t="s">
        <v>301</v>
      </c>
      <c r="D128" s="171"/>
      <c r="G128" s="171"/>
      <c r="H128" s="850"/>
      <c r="J128" s="169"/>
      <c r="K128" s="170"/>
    </row>
    <row r="129" spans="1:11" x14ac:dyDescent="0.2">
      <c r="A129" s="142" t="str">
        <f>B82</f>
        <v>für Boden</v>
      </c>
      <c r="B129" s="45">
        <f>F82</f>
        <v>660</v>
      </c>
      <c r="C129" s="469">
        <f>B129/$B$131</f>
        <v>0.36299013834218863</v>
      </c>
      <c r="D129" s="1"/>
      <c r="E129" s="1"/>
      <c r="F129" s="1"/>
    </row>
    <row r="130" spans="1:11" ht="13.5" thickBot="1" x14ac:dyDescent="0.25">
      <c r="A130" s="142" t="str">
        <f>B83</f>
        <v xml:space="preserve">für Investition Obstanlage </v>
      </c>
      <c r="B130" s="420">
        <f>F83</f>
        <v>1158.2312142536002</v>
      </c>
      <c r="C130" s="469">
        <f>B130/$B$131</f>
        <v>0.63700986165781137</v>
      </c>
      <c r="D130" s="1"/>
      <c r="E130" s="1"/>
      <c r="F130" s="1"/>
    </row>
    <row r="131" spans="1:11" x14ac:dyDescent="0.2">
      <c r="A131" s="789" t="s">
        <v>184</v>
      </c>
      <c r="B131" s="45">
        <f>SUM(B129:B130)</f>
        <v>1818.2312142536002</v>
      </c>
      <c r="C131" s="469">
        <f>B131/$B$131</f>
        <v>1</v>
      </c>
      <c r="D131" s="1"/>
      <c r="E131" s="1"/>
      <c r="F131" s="1"/>
    </row>
    <row r="132" spans="1:11" ht="13.7" customHeight="1" x14ac:dyDescent="0.2">
      <c r="A132" s="13"/>
      <c r="B132" s="13"/>
      <c r="C132" s="13"/>
      <c r="F132" s="37"/>
    </row>
    <row r="133" spans="1:11" s="168" customFormat="1" ht="24.6" customHeight="1" x14ac:dyDescent="0.2">
      <c r="A133" s="790" t="s">
        <v>426</v>
      </c>
      <c r="B133" s="780" t="s">
        <v>68</v>
      </c>
      <c r="C133" s="788" t="s">
        <v>301</v>
      </c>
      <c r="D133" s="171"/>
      <c r="G133" s="171"/>
      <c r="H133" s="850"/>
      <c r="J133" s="169"/>
      <c r="K133" s="170"/>
    </row>
    <row r="134" spans="1:11" x14ac:dyDescent="0.2">
      <c r="A134" s="142" t="str">
        <f>B66</f>
        <v>Düngung</v>
      </c>
      <c r="B134" s="45">
        <f>F66</f>
        <v>98.100000000000009</v>
      </c>
      <c r="C134" s="469">
        <f t="shared" ref="C134:C143" si="4">B134/$B$143</f>
        <v>5.1508128872708378E-3</v>
      </c>
      <c r="D134" s="1"/>
      <c r="E134" s="1"/>
      <c r="F134" s="1"/>
    </row>
    <row r="135" spans="1:11" x14ac:dyDescent="0.2">
      <c r="A135" s="142" t="str">
        <f>B67</f>
        <v>Pflanzenschutz inkl. Kontrolle und Mausen</v>
      </c>
      <c r="B135" s="45">
        <f>F67</f>
        <v>1569.6000000000001</v>
      </c>
      <c r="C135" s="469">
        <f t="shared" si="4"/>
        <v>8.2413006196333405E-2</v>
      </c>
      <c r="D135" s="1"/>
      <c r="E135" s="1"/>
      <c r="F135" s="1"/>
    </row>
    <row r="136" spans="1:11" x14ac:dyDescent="0.2">
      <c r="A136" s="142" t="str">
        <f>B68</f>
        <v>Baumerziehung 
(Sommer+Winter)</v>
      </c>
      <c r="B136" s="45">
        <f>F68</f>
        <v>3924.0000000000005</v>
      </c>
      <c r="C136" s="469">
        <f t="shared" si="4"/>
        <v>0.20603251549083351</v>
      </c>
      <c r="D136" s="1"/>
      <c r="E136" s="1"/>
      <c r="F136" s="1"/>
    </row>
    <row r="137" spans="1:11" x14ac:dyDescent="0.2">
      <c r="A137" s="142" t="str">
        <f>B69</f>
        <v>Mulchen und Schnittholz hacken</v>
      </c>
      <c r="B137" s="45">
        <f>F69</f>
        <v>294.3</v>
      </c>
      <c r="C137" s="469">
        <f t="shared" si="4"/>
        <v>1.5452438661812513E-2</v>
      </c>
      <c r="D137" s="1"/>
      <c r="E137" s="1"/>
      <c r="F137" s="1"/>
    </row>
    <row r="138" spans="1:11" x14ac:dyDescent="0.2">
      <c r="A138" s="142" t="str">
        <f>B70</f>
        <v>Behangsregulierung (von Hand)</v>
      </c>
      <c r="B138" s="45">
        <f>F70</f>
        <v>3375</v>
      </c>
      <c r="C138" s="469">
        <f t="shared" si="4"/>
        <v>0.17720686538775818</v>
      </c>
      <c r="D138" s="1"/>
      <c r="E138" s="1"/>
      <c r="F138" s="1"/>
    </row>
    <row r="139" spans="1:11" x14ac:dyDescent="0.2">
      <c r="A139" s="41" t="s">
        <v>610</v>
      </c>
      <c r="B139" s="45">
        <f>F77</f>
        <v>7566.0374999999995</v>
      </c>
      <c r="C139" s="469">
        <f t="shared" si="4"/>
        <v>0.39726038186110524</v>
      </c>
      <c r="D139" s="1"/>
      <c r="E139" s="1"/>
      <c r="F139" s="1"/>
    </row>
    <row r="140" spans="1:11" x14ac:dyDescent="0.2">
      <c r="A140" s="142" t="s">
        <v>409</v>
      </c>
      <c r="B140" s="45">
        <f>F71</f>
        <v>337.5</v>
      </c>
      <c r="C140" s="469">
        <f t="shared" si="4"/>
        <v>1.7720686538775818E-2</v>
      </c>
      <c r="D140" s="1"/>
      <c r="E140" s="1"/>
      <c r="F140" s="1"/>
    </row>
    <row r="141" spans="1:11" x14ac:dyDescent="0.2">
      <c r="A141" s="142" t="s">
        <v>427</v>
      </c>
      <c r="B141" s="45">
        <f>F72</f>
        <v>225</v>
      </c>
      <c r="C141" s="469">
        <f t="shared" si="4"/>
        <v>1.1813791025850544E-2</v>
      </c>
      <c r="D141" s="1"/>
      <c r="E141" s="1"/>
      <c r="F141" s="1"/>
    </row>
    <row r="142" spans="1:11" ht="13.5" thickBot="1" x14ac:dyDescent="0.25">
      <c r="A142" s="142" t="str">
        <f>B78</f>
        <v>Verwaltung + übrige Arbeiten</v>
      </c>
      <c r="B142" s="420">
        <f>F78</f>
        <v>1656</v>
      </c>
      <c r="C142" s="469">
        <f t="shared" si="4"/>
        <v>8.6949501950260008E-2</v>
      </c>
      <c r="D142" s="1"/>
      <c r="E142" s="1"/>
      <c r="F142" s="1"/>
    </row>
    <row r="143" spans="1:11" x14ac:dyDescent="0.2">
      <c r="A143" s="789" t="str">
        <f>A123</f>
        <v>Arbeitskosten</v>
      </c>
      <c r="B143" s="45">
        <f>SUM(B134:B142)</f>
        <v>19045.537499999999</v>
      </c>
      <c r="C143" s="469">
        <f t="shared" si="4"/>
        <v>1</v>
      </c>
      <c r="D143" s="1"/>
      <c r="E143" s="1"/>
      <c r="F143" s="1"/>
    </row>
    <row r="144" spans="1:11" x14ac:dyDescent="0.2">
      <c r="A144" s="13"/>
      <c r="B144" s="13"/>
      <c r="C144" s="13"/>
    </row>
    <row r="145" spans="1:11" x14ac:dyDescent="0.2">
      <c r="A145" s="13"/>
      <c r="B145" s="13"/>
      <c r="C145" s="13"/>
      <c r="F145" s="37"/>
    </row>
    <row r="146" spans="1:11" s="168" customFormat="1" ht="18" customHeight="1" x14ac:dyDescent="0.2">
      <c r="A146" s="616" t="s">
        <v>190</v>
      </c>
      <c r="B146" s="780" t="s">
        <v>68</v>
      </c>
      <c r="C146" s="780" t="s">
        <v>291</v>
      </c>
      <c r="D146" s="171"/>
      <c r="E146" s="171"/>
      <c r="F146" s="148"/>
      <c r="G146" s="171"/>
      <c r="H146" s="850"/>
      <c r="J146" s="169"/>
      <c r="K146" s="170"/>
    </row>
    <row r="147" spans="1:11" x14ac:dyDescent="0.2">
      <c r="A147" s="142" t="str">
        <f>A32</f>
        <v xml:space="preserve">Abzüge   </v>
      </c>
      <c r="B147" s="45">
        <f>F38</f>
        <v>367</v>
      </c>
      <c r="C147" s="405">
        <f>B147/$B$151</f>
        <v>1.4139043988484472E-2</v>
      </c>
      <c r="D147" s="172"/>
      <c r="E147" s="34"/>
      <c r="F147" s="173"/>
    </row>
    <row r="148" spans="1:11" ht="15.75" customHeight="1" x14ac:dyDescent="0.2">
      <c r="A148" s="763" t="str">
        <f>A40</f>
        <v xml:space="preserve">Abschreibung Obstanlage </v>
      </c>
      <c r="B148" s="551">
        <f>F40</f>
        <v>10724.363094940743</v>
      </c>
      <c r="C148" s="405">
        <f>B148/$B$151</f>
        <v>0.4131668707025794</v>
      </c>
      <c r="D148" s="1"/>
      <c r="E148" s="1"/>
      <c r="F148" s="1"/>
    </row>
    <row r="149" spans="1:11" x14ac:dyDescent="0.2">
      <c r="A149" s="142" t="str">
        <f>A50</f>
        <v>Maschinen und Geräte</v>
      </c>
      <c r="B149" s="45">
        <f>F63</f>
        <v>5793.2502083333329</v>
      </c>
      <c r="C149" s="405">
        <f>B149/$B$151</f>
        <v>0.22319078891531832</v>
      </c>
      <c r="D149" s="1"/>
      <c r="E149" s="1"/>
      <c r="F149" s="1"/>
    </row>
    <row r="150" spans="1:11" ht="13.5" thickBot="1" x14ac:dyDescent="0.25">
      <c r="A150" s="142" t="s">
        <v>437</v>
      </c>
      <c r="B150" s="420">
        <f>B151-B147-B148-B149</f>
        <v>9071.879957437377</v>
      </c>
      <c r="C150" s="405">
        <f>B150/$B$151</f>
        <v>0.34950329639361777</v>
      </c>
      <c r="D150" s="1"/>
      <c r="E150" s="1"/>
      <c r="F150" s="1"/>
    </row>
    <row r="151" spans="1:11" x14ac:dyDescent="0.2">
      <c r="A151" s="19" t="str">
        <f>A125</f>
        <v>Sachkosten</v>
      </c>
      <c r="B151" s="45">
        <f>B125</f>
        <v>25956.493260711453</v>
      </c>
      <c r="C151" s="405">
        <f>B151/$B$151</f>
        <v>1</v>
      </c>
      <c r="D151" s="1"/>
      <c r="E151" s="1"/>
      <c r="F151" s="1"/>
    </row>
    <row r="152" spans="1:11" x14ac:dyDescent="0.2">
      <c r="A152" s="13"/>
      <c r="B152" s="13"/>
      <c r="C152" s="13"/>
    </row>
    <row r="153" spans="1:11" x14ac:dyDescent="0.2">
      <c r="A153" s="13"/>
      <c r="B153" s="13"/>
      <c r="C153" s="13"/>
    </row>
    <row r="154" spans="1:11" s="168" customFormat="1" ht="47.25" customHeight="1" x14ac:dyDescent="0.2">
      <c r="A154" s="787" t="s">
        <v>186</v>
      </c>
      <c r="B154" s="780" t="s">
        <v>68</v>
      </c>
      <c r="C154" s="780" t="s">
        <v>185</v>
      </c>
      <c r="G154" s="171"/>
      <c r="H154" s="850"/>
      <c r="J154" s="169"/>
      <c r="K154" s="170"/>
    </row>
    <row r="155" spans="1:11" x14ac:dyDescent="0.2">
      <c r="A155" s="19" t="str">
        <f>A46</f>
        <v>Total Direktkosten</v>
      </c>
      <c r="B155" s="45">
        <f>F46</f>
        <v>20013.243052378119</v>
      </c>
      <c r="C155" s="786">
        <f>G46</f>
        <v>0.42330929433984932</v>
      </c>
      <c r="D155" s="1"/>
      <c r="E155" s="1"/>
      <c r="F155" s="1"/>
    </row>
    <row r="156" spans="1:11" ht="13.5" thickBot="1" x14ac:dyDescent="0.25">
      <c r="A156" s="19" t="str">
        <f>A86</f>
        <v>Total Strukturkosten</v>
      </c>
      <c r="B156" s="420">
        <f>F86</f>
        <v>27264.818922586928</v>
      </c>
      <c r="C156" s="786">
        <f>G86</f>
        <v>0.57669070566015057</v>
      </c>
      <c r="D156" s="1"/>
      <c r="E156" s="1"/>
      <c r="F156" s="1"/>
    </row>
    <row r="157" spans="1:11" x14ac:dyDescent="0.2">
      <c r="A157" s="19" t="str">
        <f>A88</f>
        <v>Produktionskosten pro ha</v>
      </c>
      <c r="B157" s="45">
        <f>SUM(B155:B156)</f>
        <v>47278.06197496505</v>
      </c>
      <c r="C157" s="786">
        <f>SUM(C155:C156)</f>
        <v>0.99999999999999989</v>
      </c>
      <c r="D157" s="1"/>
      <c r="E157" s="1"/>
      <c r="F157" s="1"/>
    </row>
    <row r="158" spans="1:11" x14ac:dyDescent="0.2">
      <c r="A158" s="13"/>
      <c r="B158" s="13"/>
      <c r="C158" s="13"/>
    </row>
    <row r="160" spans="1:11" ht="20.25" x14ac:dyDescent="0.3">
      <c r="A160" s="546" t="s">
        <v>429</v>
      </c>
      <c r="B160" s="546"/>
      <c r="C160" s="546"/>
      <c r="D160" s="546"/>
      <c r="E160" s="546"/>
      <c r="F160" s="552"/>
    </row>
    <row r="161" spans="1:11" s="1" customFormat="1" ht="11.1" customHeight="1" x14ac:dyDescent="0.3">
      <c r="A161" s="302"/>
      <c r="B161" s="302"/>
      <c r="C161" s="302"/>
      <c r="D161" s="302"/>
      <c r="E161" s="302"/>
      <c r="F161" s="362"/>
      <c r="H161" s="19"/>
      <c r="J161" s="35"/>
      <c r="K161" s="121"/>
    </row>
    <row r="162" spans="1:11" x14ac:dyDescent="0.2">
      <c r="A162" s="13"/>
      <c r="B162" s="780" t="s">
        <v>68</v>
      </c>
      <c r="C162" s="780" t="s">
        <v>185</v>
      </c>
    </row>
    <row r="163" spans="1:11" x14ac:dyDescent="0.2">
      <c r="A163" s="70" t="s">
        <v>275</v>
      </c>
      <c r="B163" s="13"/>
      <c r="C163" s="13"/>
    </row>
    <row r="164" spans="1:11" x14ac:dyDescent="0.2">
      <c r="A164" s="107" t="s">
        <v>102</v>
      </c>
      <c r="B164" s="83">
        <f>F27-F26</f>
        <v>5582</v>
      </c>
      <c r="C164" s="286">
        <f>B164/$F$88</f>
        <v>0.11806744538208466</v>
      </c>
    </row>
    <row r="165" spans="1:11" x14ac:dyDescent="0.2">
      <c r="A165" s="13"/>
      <c r="B165" s="45"/>
      <c r="C165" s="286"/>
    </row>
    <row r="166" spans="1:11" x14ac:dyDescent="0.2">
      <c r="A166" s="70" t="s">
        <v>23</v>
      </c>
      <c r="B166" s="43"/>
      <c r="C166" s="286"/>
    </row>
    <row r="167" spans="1:11" x14ac:dyDescent="0.2">
      <c r="A167" s="19" t="str">
        <f>B50</f>
        <v>Anbaugebläsepritze 1000 l mit Bordcomputer</v>
      </c>
      <c r="B167" s="45">
        <f>F50</f>
        <v>814</v>
      </c>
      <c r="C167" s="286">
        <f t="shared" ref="C167:C173" si="5">B167/$F$88</f>
        <v>1.7217287807419726E-2</v>
      </c>
    </row>
    <row r="168" spans="1:11" x14ac:dyDescent="0.2">
      <c r="A168" s="19" t="str">
        <f>B51</f>
        <v>Herbizidspritze beideseitig + Herbizidfass</v>
      </c>
      <c r="B168" s="45">
        <f>F51</f>
        <v>414</v>
      </c>
      <c r="C168" s="286">
        <f t="shared" si="5"/>
        <v>8.7567041182699847E-3</v>
      </c>
    </row>
    <row r="169" spans="1:11" ht="13.5" thickBot="1" x14ac:dyDescent="0.25">
      <c r="A169" s="19" t="s">
        <v>24</v>
      </c>
      <c r="B169" s="784">
        <f>((C50*D50)+(C51*D51))*E59</f>
        <v>1148</v>
      </c>
      <c r="C169" s="286">
        <f t="shared" si="5"/>
        <v>2.4281875187859764E-2</v>
      </c>
    </row>
    <row r="170" spans="1:11" x14ac:dyDescent="0.2">
      <c r="A170" s="19"/>
      <c r="B170" s="83">
        <f>SUM(B167:B169)</f>
        <v>2376</v>
      </c>
      <c r="C170" s="286">
        <f t="shared" si="5"/>
        <v>5.0255867113549471E-2</v>
      </c>
    </row>
    <row r="171" spans="1:11" x14ac:dyDescent="0.2">
      <c r="A171" s="19"/>
      <c r="B171" s="43"/>
      <c r="C171" s="286"/>
    </row>
    <row r="172" spans="1:11" x14ac:dyDescent="0.2">
      <c r="A172" s="85" t="s">
        <v>28</v>
      </c>
      <c r="B172" s="43"/>
      <c r="C172" s="286"/>
    </row>
    <row r="173" spans="1:11" ht="13.5" thickBot="1" x14ac:dyDescent="0.25">
      <c r="A173" s="19" t="str">
        <f>B67</f>
        <v>Pflanzenschutz inkl. Kontrolle und Mausen</v>
      </c>
      <c r="B173" s="544">
        <f>F67</f>
        <v>1569.6000000000001</v>
      </c>
      <c r="C173" s="286">
        <f t="shared" si="5"/>
        <v>3.3199330396223595E-2</v>
      </c>
    </row>
    <row r="174" spans="1:11" x14ac:dyDescent="0.2">
      <c r="A174" s="19"/>
      <c r="B174" s="19"/>
      <c r="C174" s="13"/>
    </row>
    <row r="175" spans="1:11" x14ac:dyDescent="0.2">
      <c r="A175" s="85" t="s">
        <v>282</v>
      </c>
      <c r="B175" s="83">
        <f>B164+B170+B173</f>
        <v>9527.6</v>
      </c>
      <c r="C175" s="781">
        <f>B175/$F$88</f>
        <v>0.20152264289185773</v>
      </c>
    </row>
    <row r="176" spans="1:11" x14ac:dyDescent="0.2">
      <c r="A176" s="13" t="s">
        <v>277</v>
      </c>
      <c r="B176" s="45">
        <f>F88-B182</f>
        <v>37750.461974965052</v>
      </c>
      <c r="C176" s="286">
        <f>B176/$F$88</f>
        <v>0.79847735710814227</v>
      </c>
    </row>
    <row r="177" spans="1:11" x14ac:dyDescent="0.2">
      <c r="A177" s="13"/>
      <c r="B177" s="19"/>
      <c r="C177" s="13"/>
    </row>
    <row r="178" spans="1:11" ht="25.5" x14ac:dyDescent="0.25">
      <c r="A178" s="293" t="s">
        <v>276</v>
      </c>
      <c r="B178" s="780" t="s">
        <v>68</v>
      </c>
      <c r="C178" s="782" t="s">
        <v>430</v>
      </c>
    </row>
    <row r="179" spans="1:11" x14ac:dyDescent="0.2">
      <c r="A179" s="13" t="s">
        <v>275</v>
      </c>
      <c r="B179" s="45">
        <f>B164</f>
        <v>5582</v>
      </c>
      <c r="C179" s="286">
        <f>B179/$B$182</f>
        <v>0.58587682102523198</v>
      </c>
    </row>
    <row r="180" spans="1:11" x14ac:dyDescent="0.2">
      <c r="A180" s="13" t="s">
        <v>23</v>
      </c>
      <c r="B180" s="45">
        <f>B170</f>
        <v>2376</v>
      </c>
      <c r="C180" s="286">
        <f>B180/$B$182</f>
        <v>0.24938074646290775</v>
      </c>
    </row>
    <row r="181" spans="1:11" ht="13.5" thickBot="1" x14ac:dyDescent="0.25">
      <c r="A181" s="13" t="s">
        <v>28</v>
      </c>
      <c r="B181" s="420">
        <f>B173</f>
        <v>1569.6000000000001</v>
      </c>
      <c r="C181" s="286">
        <f>B181/$B$182</f>
        <v>0.1647424325118603</v>
      </c>
    </row>
    <row r="182" spans="1:11" s="168" customFormat="1" ht="28.5" customHeight="1" x14ac:dyDescent="0.2">
      <c r="A182" s="783" t="s">
        <v>287</v>
      </c>
      <c r="B182" s="764">
        <f>SUM(B179:B181)</f>
        <v>9527.6</v>
      </c>
      <c r="C182" s="286">
        <f>B182/$B$182</f>
        <v>1</v>
      </c>
      <c r="G182" s="171"/>
      <c r="H182" s="850"/>
      <c r="J182" s="169"/>
      <c r="K182" s="170"/>
    </row>
    <row r="183" spans="1:11" ht="15.75" customHeight="1" x14ac:dyDescent="0.2">
      <c r="A183" s="1"/>
      <c r="B183" s="34"/>
      <c r="C183" s="89"/>
      <c r="D183" s="1"/>
    </row>
    <row r="185" spans="1:11" ht="20.25" x14ac:dyDescent="0.3">
      <c r="A185" s="546" t="s">
        <v>428</v>
      </c>
      <c r="B185" s="547"/>
      <c r="C185" s="547"/>
      <c r="D185" s="547"/>
      <c r="E185" s="547"/>
      <c r="F185" s="550"/>
    </row>
    <row r="186" spans="1:11" s="1" customFormat="1" ht="20.25" x14ac:dyDescent="0.3">
      <c r="A186" s="302"/>
      <c r="B186" s="303"/>
      <c r="C186" s="303"/>
      <c r="D186" s="303"/>
      <c r="E186" s="303"/>
      <c r="F186" s="363"/>
      <c r="H186" s="19"/>
      <c r="J186" s="35"/>
      <c r="K186" s="121"/>
    </row>
    <row r="187" spans="1:11" x14ac:dyDescent="0.2">
      <c r="A187" s="13"/>
      <c r="B187" s="780" t="s">
        <v>68</v>
      </c>
      <c r="C187" s="780" t="s">
        <v>185</v>
      </c>
      <c r="D187" s="13"/>
    </row>
    <row r="188" spans="1:11" x14ac:dyDescent="0.2">
      <c r="A188" s="70" t="s">
        <v>23</v>
      </c>
      <c r="B188" s="19"/>
      <c r="C188" s="13"/>
      <c r="D188" s="13"/>
    </row>
    <row r="189" spans="1:11" x14ac:dyDescent="0.2">
      <c r="A189" s="107" t="str">
        <f>B53</f>
        <v>Erntewagen 4 Grosskisten</v>
      </c>
      <c r="B189" s="45">
        <f>F53</f>
        <v>382.37499999999994</v>
      </c>
      <c r="C189" s="286">
        <f>B189/$F$88</f>
        <v>8.087789220346581E-3</v>
      </c>
      <c r="D189" s="13"/>
    </row>
    <row r="190" spans="1:11" x14ac:dyDescent="0.2">
      <c r="A190" s="107" t="s">
        <v>24</v>
      </c>
      <c r="B190" s="366">
        <f>(D54*E54)</f>
        <v>83.125</v>
      </c>
      <c r="C190" s="286">
        <f t="shared" ref="C190:C196" si="6">B190/$F$88</f>
        <v>1.7582150479014309E-3</v>
      </c>
      <c r="D190" s="13"/>
    </row>
    <row r="191" spans="1:11" x14ac:dyDescent="0.2">
      <c r="A191" s="107"/>
      <c r="B191" s="366"/>
      <c r="C191" s="286"/>
      <c r="D191" s="13"/>
    </row>
    <row r="192" spans="1:11" x14ac:dyDescent="0.2">
      <c r="A192" s="70" t="s">
        <v>28</v>
      </c>
      <c r="B192" s="43"/>
      <c r="C192" s="286"/>
      <c r="D192" s="13"/>
    </row>
    <row r="193" spans="1:4" x14ac:dyDescent="0.2">
      <c r="A193" s="669" t="str">
        <f>B77</f>
        <v>baumfallend</v>
      </c>
      <c r="B193" s="45">
        <f>F77</f>
        <v>7566.0374999999995</v>
      </c>
      <c r="C193" s="286">
        <f t="shared" si="6"/>
        <v>0.16003273365998824</v>
      </c>
      <c r="D193" s="13"/>
    </row>
    <row r="194" spans="1:4" ht="13.5" thickBot="1" x14ac:dyDescent="0.25">
      <c r="A194" s="669" t="s">
        <v>431</v>
      </c>
      <c r="B194" s="420">
        <f>F78</f>
        <v>1656</v>
      </c>
      <c r="C194" s="286">
        <f t="shared" si="6"/>
        <v>3.5026816473079939E-2</v>
      </c>
      <c r="D194" s="13"/>
    </row>
    <row r="195" spans="1:4" ht="15.75" x14ac:dyDescent="0.25">
      <c r="A195" s="293" t="s">
        <v>283</v>
      </c>
      <c r="B195" s="83">
        <f>SUM(B189:B194)</f>
        <v>9687.5374999999985</v>
      </c>
      <c r="C195" s="781">
        <f t="shared" si="6"/>
        <v>0.20490555440131616</v>
      </c>
      <c r="D195" s="13"/>
    </row>
    <row r="196" spans="1:4" x14ac:dyDescent="0.2">
      <c r="A196" s="13" t="s">
        <v>277</v>
      </c>
      <c r="B196" s="45">
        <f>F88-B195</f>
        <v>37590.524474965052</v>
      </c>
      <c r="C196" s="286">
        <f t="shared" si="6"/>
        <v>0.79509444559868381</v>
      </c>
      <c r="D196" s="13"/>
    </row>
    <row r="197" spans="1:4" x14ac:dyDescent="0.2">
      <c r="A197" s="13"/>
      <c r="B197" s="19"/>
      <c r="C197" s="13"/>
      <c r="D197" s="13"/>
    </row>
    <row r="198" spans="1:4" ht="15.75" x14ac:dyDescent="0.25">
      <c r="A198" s="293" t="s">
        <v>276</v>
      </c>
      <c r="B198" s="780" t="s">
        <v>68</v>
      </c>
      <c r="C198" s="780" t="s">
        <v>293</v>
      </c>
      <c r="D198" s="13"/>
    </row>
    <row r="199" spans="1:4" x14ac:dyDescent="0.2">
      <c r="A199" s="13" t="s">
        <v>23</v>
      </c>
      <c r="B199" s="45">
        <f>B189+B190</f>
        <v>465.49999999999994</v>
      </c>
      <c r="C199" s="286">
        <f>B199/$B$201</f>
        <v>4.805142689770233E-2</v>
      </c>
      <c r="D199" s="13"/>
    </row>
    <row r="200" spans="1:4" ht="13.5" thickBot="1" x14ac:dyDescent="0.25">
      <c r="A200" s="13" t="s">
        <v>28</v>
      </c>
      <c r="B200" s="420">
        <f>B193+B194</f>
        <v>9222.0374999999985</v>
      </c>
      <c r="C200" s="286">
        <f>B200/$B$201</f>
        <v>0.95194857310229763</v>
      </c>
      <c r="D200" s="13"/>
    </row>
    <row r="201" spans="1:4" x14ac:dyDescent="0.2">
      <c r="A201" s="13" t="s">
        <v>283</v>
      </c>
      <c r="B201" s="83">
        <f>SUM(B199:B200)</f>
        <v>9687.5374999999985</v>
      </c>
      <c r="C201" s="286">
        <f>B201/$B$201</f>
        <v>1</v>
      </c>
      <c r="D201" s="13"/>
    </row>
    <row r="202" spans="1:4" x14ac:dyDescent="0.2">
      <c r="B202" s="25"/>
      <c r="C202" s="189"/>
    </row>
  </sheetData>
  <mergeCells count="9">
    <mergeCell ref="B1:C1"/>
    <mergeCell ref="J47:K47"/>
    <mergeCell ref="L47:M47"/>
    <mergeCell ref="B111:E111"/>
    <mergeCell ref="A5:G5"/>
    <mergeCell ref="G7:G8"/>
    <mergeCell ref="A60:A61"/>
    <mergeCell ref="C7:D7"/>
    <mergeCell ref="A33:A34"/>
  </mergeCells>
  <phoneticPr fontId="23" type="noConversion"/>
  <printOptions gridLines="1" gridLinesSet="0"/>
  <pageMargins left="0.22053571428571428" right="0.39370078740157483" top="0.59055118110236227" bottom="0.39370078740157483" header="0.51181102362204722" footer="0.51181102362204722"/>
  <pageSetup paperSize="9" scale="65" orientation="portrait" r:id="rId1"/>
  <headerFooter alignWithMargins="0">
    <oddFooter>Seite &amp;P&amp;RArbokost für Apfel</oddFoot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tandardCashflow">
    <tabColor indexed="10"/>
  </sheetPr>
  <dimension ref="A1:L47"/>
  <sheetViews>
    <sheetView topLeftCell="A19" zoomScale="75" workbookViewId="0">
      <selection activeCell="L22" sqref="L22:L37"/>
    </sheetView>
  </sheetViews>
  <sheetFormatPr baseColWidth="10" defaultRowHeight="12.75" x14ac:dyDescent="0.2"/>
  <cols>
    <col min="1" max="1" width="33.140625" customWidth="1"/>
    <col min="2" max="2" width="10.42578125" customWidth="1"/>
    <col min="3" max="3" width="19.5703125" customWidth="1"/>
    <col min="4" max="4" width="12.42578125" customWidth="1"/>
    <col min="5" max="5" width="21.85546875" customWidth="1"/>
    <col min="6" max="6" width="14.42578125" customWidth="1"/>
    <col min="7" max="7" width="13" customWidth="1"/>
    <col min="8" max="8" width="12.140625" bestFit="1" customWidth="1"/>
    <col min="9" max="10" width="11.42578125" customWidth="1"/>
    <col min="11" max="11" width="14.85546875" customWidth="1"/>
    <col min="12" max="12" width="13.85546875" customWidth="1"/>
    <col min="13" max="256" width="9.140625" customWidth="1"/>
  </cols>
  <sheetData>
    <row r="1" spans="1:10" ht="26.25" x14ac:dyDescent="0.4">
      <c r="A1" s="1135" t="str">
        <f>'Standard Erstellung'!A1</f>
        <v>Arbokost 2023</v>
      </c>
    </row>
    <row r="2" spans="1:10" ht="15.75" x14ac:dyDescent="0.2">
      <c r="A2" s="619" t="s">
        <v>468</v>
      </c>
    </row>
    <row r="3" spans="1:10" s="1" customFormat="1" ht="21" customHeight="1" x14ac:dyDescent="0.2">
      <c r="A3" s="625"/>
    </row>
    <row r="4" spans="1:10" ht="23.25" x14ac:dyDescent="0.35">
      <c r="A4" s="620" t="s">
        <v>454</v>
      </c>
      <c r="B4" s="621"/>
      <c r="C4" s="622"/>
      <c r="D4" s="622"/>
      <c r="E4" s="622"/>
      <c r="F4" s="623"/>
      <c r="G4" s="623"/>
      <c r="H4" s="623"/>
      <c r="I4" s="624"/>
      <c r="J4" s="624"/>
    </row>
    <row r="5" spans="1:10" s="1" customFormat="1" ht="30" x14ac:dyDescent="0.4">
      <c r="A5" s="584"/>
      <c r="B5" s="584"/>
      <c r="C5" s="584"/>
      <c r="D5" s="584"/>
      <c r="E5" s="584"/>
      <c r="F5" s="584"/>
      <c r="G5" s="584"/>
      <c r="H5" s="584"/>
      <c r="I5" s="584"/>
      <c r="J5" s="584"/>
    </row>
    <row r="6" spans="1:10" s="1" customFormat="1" ht="30" x14ac:dyDescent="0.4">
      <c r="A6" s="584"/>
      <c r="B6" s="584"/>
      <c r="C6" s="584"/>
      <c r="D6" s="584"/>
      <c r="E6" s="584"/>
      <c r="F6" s="584"/>
      <c r="G6" s="584"/>
      <c r="H6" s="584"/>
      <c r="I6" s="584"/>
      <c r="J6" s="584"/>
    </row>
    <row r="7" spans="1:10" s="1" customFormat="1" ht="30" x14ac:dyDescent="0.4">
      <c r="A7" s="584"/>
      <c r="B7" s="584"/>
      <c r="C7" s="584"/>
      <c r="D7" s="584"/>
      <c r="E7" s="584"/>
      <c r="F7" s="584"/>
      <c r="G7" s="584"/>
      <c r="H7" s="584"/>
      <c r="I7" s="584"/>
      <c r="J7" s="584"/>
    </row>
    <row r="8" spans="1:10" s="1" customFormat="1" ht="30" x14ac:dyDescent="0.4">
      <c r="A8" s="584"/>
      <c r="B8" s="584"/>
      <c r="C8" s="584"/>
      <c r="D8" s="584"/>
      <c r="E8" s="584"/>
      <c r="F8" s="584"/>
      <c r="G8" s="584"/>
      <c r="H8" s="584"/>
      <c r="I8" s="584"/>
      <c r="J8" s="584"/>
    </row>
    <row r="9" spans="1:10" s="1" customFormat="1" ht="30" x14ac:dyDescent="0.4">
      <c r="A9" s="584"/>
      <c r="B9" s="584"/>
      <c r="C9" s="584"/>
      <c r="D9" s="584"/>
      <c r="E9" s="584"/>
      <c r="F9" s="584"/>
      <c r="G9" s="584"/>
      <c r="H9" s="584"/>
      <c r="I9" s="584"/>
      <c r="J9" s="584"/>
    </row>
    <row r="10" spans="1:10" s="1" customFormat="1" ht="30" x14ac:dyDescent="0.4">
      <c r="A10" s="584"/>
      <c r="B10" s="584"/>
      <c r="C10" s="584"/>
      <c r="D10" s="584"/>
      <c r="E10" s="584"/>
      <c r="F10" s="584"/>
      <c r="G10" s="584"/>
      <c r="H10" s="584"/>
      <c r="I10" s="584"/>
      <c r="J10" s="584"/>
    </row>
    <row r="11" spans="1:10" s="1" customFormat="1" ht="30" x14ac:dyDescent="0.4">
      <c r="A11" s="584"/>
      <c r="B11" s="584"/>
      <c r="C11" s="584"/>
      <c r="D11" s="584"/>
      <c r="E11" s="584"/>
      <c r="F11" s="584"/>
      <c r="G11" s="584"/>
      <c r="H11" s="584"/>
      <c r="I11" s="584"/>
      <c r="J11" s="584"/>
    </row>
    <row r="12" spans="1:10" s="1" customFormat="1" ht="30" x14ac:dyDescent="0.4">
      <c r="A12" s="584"/>
      <c r="B12" s="584"/>
      <c r="C12" s="584"/>
      <c r="D12" s="584"/>
      <c r="E12" s="584"/>
      <c r="F12" s="584"/>
      <c r="G12" s="584"/>
      <c r="H12" s="584"/>
      <c r="I12" s="584"/>
      <c r="J12" s="584"/>
    </row>
    <row r="13" spans="1:10" s="1" customFormat="1" ht="30" x14ac:dyDescent="0.4">
      <c r="A13" s="584"/>
      <c r="B13" s="584"/>
      <c r="C13" s="584"/>
      <c r="D13" s="584"/>
      <c r="E13" s="584"/>
      <c r="F13" s="584"/>
      <c r="G13" s="584"/>
      <c r="H13" s="584"/>
      <c r="I13" s="584"/>
      <c r="J13" s="584"/>
    </row>
    <row r="14" spans="1:10" s="1" customFormat="1" ht="30" x14ac:dyDescent="0.4">
      <c r="A14" s="584"/>
      <c r="B14" s="584"/>
      <c r="C14" s="584"/>
      <c r="D14" s="584"/>
      <c r="E14" s="584"/>
      <c r="F14" s="584"/>
      <c r="G14" s="584"/>
      <c r="H14" s="584"/>
      <c r="I14" s="584"/>
      <c r="J14" s="584"/>
    </row>
    <row r="15" spans="1:10" ht="186" customHeight="1" x14ac:dyDescent="0.3">
      <c r="A15" s="367"/>
      <c r="B15" s="261"/>
      <c r="C15" s="261"/>
      <c r="D15" s="227"/>
      <c r="E15" s="368"/>
      <c r="F15" s="103"/>
    </row>
    <row r="16" spans="1:10" s="16" customFormat="1" ht="15.75" x14ac:dyDescent="0.25">
      <c r="A16" s="364"/>
      <c r="B16" s="364"/>
      <c r="G16" s="369"/>
    </row>
    <row r="17" spans="1:12" x14ac:dyDescent="0.2">
      <c r="A17" s="1"/>
      <c r="B17" s="1"/>
      <c r="C17" s="66" t="str">
        <f>'Standard Vorgaben'!B47</f>
        <v>Klasse I</v>
      </c>
      <c r="D17" s="66" t="str">
        <f>'Standard Vorgaben'!C47</f>
        <v>Klasse II</v>
      </c>
      <c r="E17" s="66" t="str">
        <f>'Standard Vorgaben'!D47</f>
        <v>Most</v>
      </c>
    </row>
    <row r="18" spans="1:12" ht="18.75" x14ac:dyDescent="0.3">
      <c r="A18" s="3" t="s">
        <v>38</v>
      </c>
      <c r="B18" s="370">
        <f>'Standard Vorgaben'!B10</f>
        <v>3000</v>
      </c>
      <c r="C18" s="47">
        <f>'Standard Vorgaben'!B66</f>
        <v>1.1200000000000006</v>
      </c>
      <c r="D18" s="47">
        <f>'Standard Vorgaben'!C66</f>
        <v>0.45000000000000012</v>
      </c>
      <c r="E18" s="47">
        <f>'Standard Vorgaben'!D66</f>
        <v>0.23</v>
      </c>
    </row>
    <row r="19" spans="1:12" s="1" customFormat="1" ht="18.75" x14ac:dyDescent="0.3">
      <c r="A19" s="3"/>
      <c r="B19" s="370"/>
      <c r="C19" s="47"/>
      <c r="D19" s="47"/>
      <c r="E19" s="47"/>
    </row>
    <row r="20" spans="1:12" ht="47.25" x14ac:dyDescent="0.2">
      <c r="A20" s="815"/>
      <c r="B20" s="816"/>
      <c r="C20" s="822" t="s">
        <v>303</v>
      </c>
      <c r="D20" s="816"/>
      <c r="E20" s="816"/>
      <c r="F20" s="816"/>
      <c r="G20" s="816"/>
      <c r="H20" s="816"/>
      <c r="I20" s="816"/>
      <c r="J20" s="817"/>
    </row>
    <row r="21" spans="1:12" x14ac:dyDescent="0.2">
      <c r="A21" s="684"/>
      <c r="B21" s="744"/>
      <c r="C21" s="823" t="s">
        <v>68</v>
      </c>
      <c r="D21" s="745" t="s">
        <v>212</v>
      </c>
      <c r="E21" s="745" t="s">
        <v>215</v>
      </c>
      <c r="F21" s="818" t="s">
        <v>218</v>
      </c>
      <c r="G21" s="745" t="s">
        <v>167</v>
      </c>
      <c r="H21" s="819" t="s">
        <v>55</v>
      </c>
      <c r="I21" s="820" t="s">
        <v>69</v>
      </c>
      <c r="J21" s="821" t="s">
        <v>64</v>
      </c>
    </row>
    <row r="22" spans="1:12" ht="15.75" x14ac:dyDescent="0.25">
      <c r="A22" s="794" t="s">
        <v>70</v>
      </c>
      <c r="B22" s="795">
        <v>0</v>
      </c>
      <c r="C22" s="824">
        <f>'Standard Standjahre'!F84</f>
        <v>-98699.605099999986</v>
      </c>
      <c r="D22" s="796">
        <v>0</v>
      </c>
      <c r="E22" s="797">
        <f>C22*(-1)</f>
        <v>98699.605099999986</v>
      </c>
      <c r="F22" s="798">
        <f>D22-E22</f>
        <v>-98699.605099999986</v>
      </c>
      <c r="G22" s="799">
        <f>D22/E22</f>
        <v>0</v>
      </c>
      <c r="H22" s="800"/>
      <c r="I22" s="800"/>
      <c r="J22" s="801">
        <f>('Standard Standjahre'!F84)*(-1)</f>
        <v>98699.605099999986</v>
      </c>
      <c r="K22" s="8"/>
      <c r="L22" s="8"/>
    </row>
    <row r="23" spans="1:12" ht="15.75" x14ac:dyDescent="0.25">
      <c r="A23" s="198" t="s">
        <v>71</v>
      </c>
      <c r="B23" s="11">
        <v>1</v>
      </c>
      <c r="C23" s="825">
        <f>'Standard Standjahre'!F85</f>
        <v>-110349.50154589998</v>
      </c>
      <c r="D23" s="366">
        <f>'Standard Standjahre'!F15</f>
        <v>1100</v>
      </c>
      <c r="E23" s="204">
        <f>'Standard Standjahre'!F81</f>
        <v>12749.896445900002</v>
      </c>
      <c r="F23" s="574">
        <f t="shared" ref="F23:F37" si="0">D23-E23</f>
        <v>-11649.896445900002</v>
      </c>
      <c r="G23" s="61">
        <f t="shared" ref="G23:G37" si="1">D23/E23</f>
        <v>8.6275210521708057E-2</v>
      </c>
      <c r="H23" s="255">
        <f>'Standard Standjahre'!D12</f>
        <v>0</v>
      </c>
      <c r="I23" s="243">
        <f>H23/B18</f>
        <v>0</v>
      </c>
      <c r="J23" s="802">
        <f>'Standard Standjahre'!F86</f>
        <v>110349.50154589998</v>
      </c>
      <c r="K23" s="9"/>
      <c r="L23" s="7"/>
    </row>
    <row r="24" spans="1:12" ht="15.75" x14ac:dyDescent="0.25">
      <c r="A24" s="198" t="s">
        <v>40</v>
      </c>
      <c r="B24" s="11">
        <v>2</v>
      </c>
      <c r="C24" s="825">
        <f>'Standard Standjahre'!M85</f>
        <v>-114181.59737231309</v>
      </c>
      <c r="D24" s="366">
        <f>'Standard Standjahre'!M15</f>
        <v>12402.2</v>
      </c>
      <c r="E24" s="204">
        <f>'Standard Standjahre'!M81</f>
        <v>16234.295826413099</v>
      </c>
      <c r="F24" s="574">
        <f t="shared" si="0"/>
        <v>-3832.0958264130986</v>
      </c>
      <c r="G24" s="61">
        <f t="shared" si="1"/>
        <v>0.76395059771066254</v>
      </c>
      <c r="H24" s="255">
        <f>'Standard Standjahre'!K12</f>
        <v>12600</v>
      </c>
      <c r="I24" s="243">
        <f>H24/B18</f>
        <v>4.2</v>
      </c>
      <c r="J24" s="802">
        <f>'Standard Standjahre'!M86</f>
        <v>114181.59737231309</v>
      </c>
      <c r="K24" s="9"/>
      <c r="L24" s="7"/>
    </row>
    <row r="25" spans="1:12" s="48" customFormat="1" ht="15.75" x14ac:dyDescent="0.25">
      <c r="A25" s="238" t="s">
        <v>41</v>
      </c>
      <c r="B25" s="112">
        <v>3</v>
      </c>
      <c r="C25" s="825">
        <f>'Standard Standjahre'!T85</f>
        <v>-128692.35713928891</v>
      </c>
      <c r="D25" s="575">
        <f>'Standard Standjahre'!T15</f>
        <v>15227.750000000002</v>
      </c>
      <c r="E25" s="575">
        <f>'Standard Standjahre'!T81</f>
        <v>29738.509766975818</v>
      </c>
      <c r="F25" s="574">
        <f t="shared" si="0"/>
        <v>-14510.759766975816</v>
      </c>
      <c r="G25" s="469">
        <f t="shared" si="1"/>
        <v>0.512054911941492</v>
      </c>
      <c r="H25" s="297">
        <f>'Standard Standjahre'!R12</f>
        <v>15750</v>
      </c>
      <c r="I25" s="296">
        <f>H25/B18</f>
        <v>5.25</v>
      </c>
      <c r="J25" s="803">
        <f>'Standard Standjahre'!T86</f>
        <v>128692.35713928891</v>
      </c>
      <c r="K25" s="180"/>
      <c r="L25" s="181"/>
    </row>
    <row r="26" spans="1:12" s="55" customFormat="1" ht="15.75" x14ac:dyDescent="0.25">
      <c r="A26" s="804" t="s">
        <v>42</v>
      </c>
      <c r="B26" s="667">
        <v>4</v>
      </c>
      <c r="C26" s="825">
        <f>'Standard Standjahre'!AA85</f>
        <v>-136389.29236395916</v>
      </c>
      <c r="D26" s="204">
        <f>'Standard Standjahre'!AA15</f>
        <v>25588.100000000002</v>
      </c>
      <c r="E26" s="204">
        <f>'Standard Standjahre'!AA81</f>
        <v>33285.035224670268</v>
      </c>
      <c r="F26" s="574">
        <f t="shared" si="0"/>
        <v>-7696.9352246702656</v>
      </c>
      <c r="G26" s="201">
        <f t="shared" si="1"/>
        <v>0.76875688510717166</v>
      </c>
      <c r="H26" s="576">
        <f>'Standard Standjahre'!Y12</f>
        <v>27300</v>
      </c>
      <c r="I26" s="577">
        <f>H26/B18</f>
        <v>9.1</v>
      </c>
      <c r="J26" s="805">
        <f>'Standard Standjahre'!AA86</f>
        <v>117967.99404434818</v>
      </c>
      <c r="K26" s="178"/>
      <c r="L26" s="179"/>
    </row>
    <row r="27" spans="1:12" ht="15.75" x14ac:dyDescent="0.25">
      <c r="A27" s="198" t="s">
        <v>43</v>
      </c>
      <c r="B27" s="11">
        <v>5</v>
      </c>
      <c r="C27" s="825">
        <f>'Standard Standjahre'!AH85</f>
        <v>-137695.67524002647</v>
      </c>
      <c r="D27" s="366">
        <f>'Standard Standjahre'!AH15</f>
        <v>34064.75</v>
      </c>
      <c r="E27" s="204">
        <f>'Standard Standjahre'!AH81</f>
        <v>35371.132876067299</v>
      </c>
      <c r="F27" s="574">
        <f t="shared" si="0"/>
        <v>-1306.3828760672986</v>
      </c>
      <c r="G27" s="61">
        <f t="shared" si="1"/>
        <v>0.9630664112273537</v>
      </c>
      <c r="H27" s="255">
        <f>'Standard Standjahre'!AF12</f>
        <v>36750</v>
      </c>
      <c r="I27" s="243">
        <f>H27/B18</f>
        <v>12.25</v>
      </c>
      <c r="J27" s="802">
        <f>'Standard Standjahre'!AH86</f>
        <v>107243.63094940744</v>
      </c>
      <c r="K27" s="9"/>
      <c r="L27" s="7"/>
    </row>
    <row r="28" spans="1:12" ht="15.75" x14ac:dyDescent="0.25">
      <c r="A28" s="198" t="s">
        <v>44</v>
      </c>
      <c r="B28" s="11">
        <v>6</v>
      </c>
      <c r="C28" s="825">
        <f>'Standard Standjahre'!AO85</f>
        <v>-132553.99079635338</v>
      </c>
      <c r="D28" s="366">
        <f>'Standard Standjahre'!AO15</f>
        <v>42541.4</v>
      </c>
      <c r="E28" s="204">
        <f>'Standard Standjahre'!AO81</f>
        <v>37399.715556326904</v>
      </c>
      <c r="F28" s="574">
        <f t="shared" si="0"/>
        <v>5141.6844436730971</v>
      </c>
      <c r="G28" s="61">
        <f t="shared" si="1"/>
        <v>1.1374792392720023</v>
      </c>
      <c r="H28" s="255">
        <f>'Standard Standjahre'!AM12</f>
        <v>46200</v>
      </c>
      <c r="I28" s="243">
        <f>H28/B18</f>
        <v>15.4</v>
      </c>
      <c r="J28" s="802">
        <f>'Standard Standjahre'!AO86</f>
        <v>96519.2678544667</v>
      </c>
      <c r="K28" s="9"/>
      <c r="L28" s="7"/>
    </row>
    <row r="29" spans="1:12" ht="15.75" x14ac:dyDescent="0.25">
      <c r="A29" s="198" t="s">
        <v>45</v>
      </c>
      <c r="B29" s="11">
        <v>7</v>
      </c>
      <c r="C29" s="825">
        <f>'Standard Standjahre'!AV85</f>
        <v>-133197.81743943202</v>
      </c>
      <c r="D29" s="366">
        <f>'Standard Standjahre'!AV15</f>
        <v>34888.868750000001</v>
      </c>
      <c r="E29" s="204">
        <f>'Standard Standjahre'!AV81</f>
        <v>35532.69539307864</v>
      </c>
      <c r="F29" s="574">
        <f t="shared" si="0"/>
        <v>-643.82664307863888</v>
      </c>
      <c r="G29" s="61">
        <f t="shared" si="1"/>
        <v>0.98188072601989973</v>
      </c>
      <c r="H29" s="255">
        <f>'Standard Standjahre'!AT12</f>
        <v>37668.75</v>
      </c>
      <c r="I29" s="243">
        <f>H29/B18</f>
        <v>12.55625</v>
      </c>
      <c r="J29" s="802">
        <f>'Standard Standjahre'!AV86</f>
        <v>85794.904759525962</v>
      </c>
      <c r="K29" s="9"/>
      <c r="L29" s="7"/>
    </row>
    <row r="30" spans="1:12" ht="15.75" x14ac:dyDescent="0.25">
      <c r="A30" s="806" t="s">
        <v>46</v>
      </c>
      <c r="B30" s="106">
        <v>8</v>
      </c>
      <c r="C30" s="825">
        <f>'Standard Standjahre'!BC85</f>
        <v>-133847.43852229838</v>
      </c>
      <c r="D30" s="366">
        <f>'Standard Standjahre'!BC15</f>
        <v>34888.868750000001</v>
      </c>
      <c r="E30" s="204">
        <f>'Standard Standjahre'!BC81</f>
        <v>35538.489832866348</v>
      </c>
      <c r="F30" s="574">
        <f t="shared" si="0"/>
        <v>-649.62108286634611</v>
      </c>
      <c r="G30" s="61">
        <f t="shared" si="1"/>
        <v>0.98172063343373783</v>
      </c>
      <c r="H30" s="255">
        <f>'Standard Standjahre'!BA12</f>
        <v>37668.75</v>
      </c>
      <c r="I30" s="243">
        <f>H30/B18</f>
        <v>12.55625</v>
      </c>
      <c r="J30" s="802">
        <f>'Standard Standjahre'!BC86</f>
        <v>75070.541664585224</v>
      </c>
      <c r="K30" s="9"/>
      <c r="L30" s="7"/>
    </row>
    <row r="31" spans="1:12" ht="15.75" x14ac:dyDescent="0.25">
      <c r="A31" s="198" t="s">
        <v>47</v>
      </c>
      <c r="B31" s="11">
        <v>9</v>
      </c>
      <c r="C31" s="825">
        <f>'Standard Standjahre'!BJ85</f>
        <v>-122929.05348983238</v>
      </c>
      <c r="D31" s="366">
        <f>'Standard Standjahre'!BJ15</f>
        <v>50076.200000000004</v>
      </c>
      <c r="E31" s="204">
        <f>'Standard Standjahre'!BJ81</f>
        <v>39157.814967534017</v>
      </c>
      <c r="F31" s="574">
        <f t="shared" si="0"/>
        <v>10918.385032465987</v>
      </c>
      <c r="G31" s="61">
        <f t="shared" si="1"/>
        <v>1.2788302933020774</v>
      </c>
      <c r="H31" s="255">
        <f>'Standard Standjahre'!BH12</f>
        <v>54600</v>
      </c>
      <c r="I31" s="243">
        <f>H31/B18</f>
        <v>18.2</v>
      </c>
      <c r="J31" s="802">
        <f>'Standard Standjahre'!BJ86</f>
        <v>64346.178569644479</v>
      </c>
      <c r="K31" s="9"/>
      <c r="L31" s="7"/>
    </row>
    <row r="32" spans="1:12" ht="15.75" x14ac:dyDescent="0.25">
      <c r="A32" s="806" t="s">
        <v>48</v>
      </c>
      <c r="B32" s="11">
        <v>10</v>
      </c>
      <c r="C32" s="825">
        <f>'Standard Standjahre'!BQ85</f>
        <v>-109759.12807019922</v>
      </c>
      <c r="D32" s="366">
        <f>'Standard Standjahre'!BQ15</f>
        <v>52901.750000000007</v>
      </c>
      <c r="E32" s="204">
        <f>'Standard Standjahre'!BQ81</f>
        <v>39731.824580366825</v>
      </c>
      <c r="F32" s="574">
        <f t="shared" si="0"/>
        <v>13169.925419633182</v>
      </c>
      <c r="G32" s="61">
        <f t="shared" si="1"/>
        <v>1.331470441106825</v>
      </c>
      <c r="H32" s="255">
        <f>'Standard Standjahre'!BO12</f>
        <v>57750</v>
      </c>
      <c r="I32" s="243">
        <f>H32/B18</f>
        <v>19.25</v>
      </c>
      <c r="J32" s="802">
        <f>'Standard Standjahre'!BQ86</f>
        <v>53621.815474703733</v>
      </c>
      <c r="K32" s="9"/>
      <c r="L32" s="7"/>
    </row>
    <row r="33" spans="1:12" ht="15.75" x14ac:dyDescent="0.25">
      <c r="A33" s="806" t="s">
        <v>49</v>
      </c>
      <c r="B33" s="11">
        <v>11</v>
      </c>
      <c r="C33" s="825">
        <f>'Standard Standjahre'!BX85</f>
        <v>-104186.57512517477</v>
      </c>
      <c r="D33" s="578">
        <f>'Standard Standjahre'!BX15</f>
        <v>42776.862499999996</v>
      </c>
      <c r="E33" s="579">
        <f>'Standard Standjahre'!BX81</f>
        <v>37204.309554975538</v>
      </c>
      <c r="F33" s="574">
        <f t="shared" si="0"/>
        <v>5572.5529450244576</v>
      </c>
      <c r="G33" s="61">
        <f t="shared" si="1"/>
        <v>1.1497824583141394</v>
      </c>
      <c r="H33" s="255">
        <f>'Standard Standjahre'!BV12</f>
        <v>46462.5</v>
      </c>
      <c r="I33" s="243">
        <f>H33/B18</f>
        <v>15.487500000000001</v>
      </c>
      <c r="J33" s="802">
        <f>'Standard Standjahre'!BX86</f>
        <v>42897.452379762988</v>
      </c>
      <c r="K33" s="9"/>
      <c r="L33" s="7"/>
    </row>
    <row r="34" spans="1:12" ht="15.75" x14ac:dyDescent="0.25">
      <c r="A34" s="198" t="s">
        <v>50</v>
      </c>
      <c r="B34" s="11">
        <v>12</v>
      </c>
      <c r="C34" s="825">
        <f>'Standard Standjahre'!CE85</f>
        <v>-104485.37523880132</v>
      </c>
      <c r="D34" s="578">
        <f>'Standard Standjahre'!CE15</f>
        <v>35006.600000000006</v>
      </c>
      <c r="E34" s="579">
        <f>'Standard Standjahre'!CE81</f>
        <v>35305.400113626572</v>
      </c>
      <c r="F34" s="574">
        <f t="shared" si="0"/>
        <v>-298.8001136265666</v>
      </c>
      <c r="G34" s="61">
        <f t="shared" si="1"/>
        <v>0.99153670224201085</v>
      </c>
      <c r="H34" s="255">
        <f>'Standard Standjahre'!CC12</f>
        <v>37800</v>
      </c>
      <c r="I34" s="243">
        <f>H34/B18</f>
        <v>12.6</v>
      </c>
      <c r="J34" s="802">
        <f>'Standard Standjahre'!CE86</f>
        <v>32173.089284822243</v>
      </c>
      <c r="K34" s="9"/>
      <c r="L34" s="7"/>
    </row>
    <row r="35" spans="1:12" ht="15.75" x14ac:dyDescent="0.25">
      <c r="A35" s="198" t="s">
        <v>51</v>
      </c>
      <c r="B35" s="792">
        <v>13</v>
      </c>
      <c r="C35" s="825">
        <f>'Standard Standjahre'!CL85</f>
        <v>-101915.83132428385</v>
      </c>
      <c r="D35" s="578">
        <f>'Standard Standjahre'!CL15</f>
        <v>38774</v>
      </c>
      <c r="E35" s="579">
        <f>'Standard Standjahre'!CL81</f>
        <v>36204.456085482539</v>
      </c>
      <c r="F35" s="574">
        <f t="shared" si="0"/>
        <v>2569.5439145174605</v>
      </c>
      <c r="G35" s="61">
        <f t="shared" si="1"/>
        <v>1.0709731395618953</v>
      </c>
      <c r="H35" s="255">
        <f>'Standard Standjahre'!CJ12</f>
        <v>42000</v>
      </c>
      <c r="I35" s="243">
        <f>H35/B18</f>
        <v>14</v>
      </c>
      <c r="J35" s="802">
        <f>'Standard Standjahre'!CL86</f>
        <v>21448.726189881498</v>
      </c>
      <c r="K35" s="9"/>
      <c r="L35" s="7"/>
    </row>
    <row r="36" spans="1:12" ht="15.75" x14ac:dyDescent="0.25">
      <c r="A36" s="198" t="s">
        <v>52</v>
      </c>
      <c r="B36" s="11">
        <v>14</v>
      </c>
      <c r="C36" s="825">
        <f>'Standard Standjahre'!CS85</f>
        <v>-98537.093207244063</v>
      </c>
      <c r="D36" s="578">
        <f>'Standard Standjahre'!CS15</f>
        <v>39715.85</v>
      </c>
      <c r="E36" s="579">
        <f>'Standard Standjahre'!CS81</f>
        <v>36337.11188296022</v>
      </c>
      <c r="F36" s="574">
        <f t="shared" si="0"/>
        <v>3378.7381170397784</v>
      </c>
      <c r="G36" s="61">
        <f t="shared" si="1"/>
        <v>1.0929831222669129</v>
      </c>
      <c r="H36" s="255">
        <f>'Standard Standjahre'!CQ12</f>
        <v>43050</v>
      </c>
      <c r="I36" s="243">
        <f>H36/B18</f>
        <v>14.35</v>
      </c>
      <c r="J36" s="802">
        <f>'Standard Standjahre'!CS86</f>
        <v>10724.363094940754</v>
      </c>
      <c r="K36" s="9"/>
      <c r="L36" s="7"/>
    </row>
    <row r="37" spans="1:12" ht="15.75" x14ac:dyDescent="0.25">
      <c r="A37" s="807" t="s">
        <v>53</v>
      </c>
      <c r="B37" s="31">
        <v>15</v>
      </c>
      <c r="C37" s="826">
        <f>'Standard Standjahre'!CZ85</f>
        <v>-105502.80629090092</v>
      </c>
      <c r="D37" s="808">
        <f>'Standard Standjahre'!CZ15</f>
        <v>34064.75</v>
      </c>
      <c r="E37" s="809">
        <f>'Standard Standjahre'!CZ81</f>
        <v>41030.463083656861</v>
      </c>
      <c r="F37" s="810">
        <f t="shared" si="0"/>
        <v>-6965.7130836568613</v>
      </c>
      <c r="G37" s="811">
        <f t="shared" si="1"/>
        <v>0.83023069787307802</v>
      </c>
      <c r="H37" s="812">
        <f>'Standard Standjahre'!CX12</f>
        <v>36750</v>
      </c>
      <c r="I37" s="813">
        <f>H37/$B$18</f>
        <v>12.25</v>
      </c>
      <c r="J37" s="814">
        <f>'Standard Standjahre'!CZ86</f>
        <v>0</v>
      </c>
      <c r="K37" s="9"/>
      <c r="L37" s="7"/>
    </row>
    <row r="38" spans="1:12" x14ac:dyDescent="0.2">
      <c r="A38" s="13"/>
      <c r="B38" s="11"/>
      <c r="C38" s="146"/>
      <c r="D38" s="366"/>
      <c r="E38" s="204"/>
      <c r="F38" s="793"/>
      <c r="G38" s="61"/>
      <c r="H38" s="255"/>
      <c r="I38" s="243"/>
      <c r="J38" s="791"/>
      <c r="K38" s="9"/>
      <c r="L38" s="7"/>
    </row>
    <row r="39" spans="1:12" x14ac:dyDescent="0.2">
      <c r="A39" s="13"/>
      <c r="B39" s="13"/>
      <c r="C39" s="13"/>
      <c r="D39" s="17"/>
      <c r="E39" s="30"/>
      <c r="F39" s="13"/>
      <c r="G39" s="13"/>
      <c r="H39" s="13"/>
      <c r="I39" s="13"/>
      <c r="J39" s="13"/>
    </row>
    <row r="40" spans="1:12" ht="24.75" customHeight="1" x14ac:dyDescent="0.25">
      <c r="A40" s="1458" t="s">
        <v>143</v>
      </c>
      <c r="B40" s="1458"/>
      <c r="C40" s="506">
        <f>C37</f>
        <v>-105502.80629090092</v>
      </c>
      <c r="D40" s="13"/>
      <c r="E40" s="13"/>
      <c r="F40" s="13"/>
      <c r="G40" s="13"/>
      <c r="H40" s="13"/>
      <c r="I40" s="13"/>
      <c r="J40" s="13"/>
    </row>
    <row r="41" spans="1:12" ht="6" customHeight="1" x14ac:dyDescent="0.25">
      <c r="A41" s="636"/>
      <c r="B41" s="637"/>
      <c r="C41" s="635"/>
    </row>
    <row r="42" spans="1:12" ht="15.75" x14ac:dyDescent="0.25">
      <c r="A42" s="523" t="s">
        <v>73</v>
      </c>
      <c r="B42" s="435"/>
      <c r="C42" s="581">
        <f>'Standard Ertragsphase'!F107</f>
        <v>14.833817296068728</v>
      </c>
    </row>
    <row r="43" spans="1:12" ht="15.75" x14ac:dyDescent="0.25">
      <c r="A43" s="520" t="s">
        <v>74</v>
      </c>
      <c r="B43" s="441"/>
      <c r="C43" s="582">
        <f>'Standard Ertragsphase'!D79</f>
        <v>741.5</v>
      </c>
    </row>
    <row r="44" spans="1:12" ht="15.75" x14ac:dyDescent="0.25">
      <c r="A44" s="520" t="s">
        <v>201</v>
      </c>
      <c r="B44" s="440"/>
      <c r="C44" s="583">
        <f>2700/C43</f>
        <v>3.6412677006068779</v>
      </c>
      <c r="D44" t="s">
        <v>471</v>
      </c>
    </row>
    <row r="45" spans="1:12" ht="9.75" customHeight="1" x14ac:dyDescent="0.2"/>
    <row r="47" spans="1:12" x14ac:dyDescent="0.2">
      <c r="C47" s="71"/>
      <c r="D47" s="71"/>
      <c r="E47" s="72"/>
    </row>
  </sheetData>
  <mergeCells count="1">
    <mergeCell ref="A40:B40"/>
  </mergeCells>
  <phoneticPr fontId="23" type="noConversion"/>
  <printOptions gridLines="1" gridLinesSet="0"/>
  <pageMargins left="0.78740157480314965" right="0.78740157480314965" top="0.59055118110236227" bottom="0.59055118110236227" header="0.51181102362204722" footer="0.51181102362204722"/>
  <pageSetup paperSize="9" scale="60" orientation="landscape" r:id="rId1"/>
  <headerFooter alignWithMargins="0">
    <oddFooter>&amp;LArbokost 2008&amp;RAgroscope Changins - Wädenswil ACW</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3:L22"/>
  <sheetViews>
    <sheetView workbookViewId="0">
      <selection activeCell="H23" sqref="H23"/>
    </sheetView>
  </sheetViews>
  <sheetFormatPr baseColWidth="10" defaultRowHeight="12.75" x14ac:dyDescent="0.2"/>
  <cols>
    <col min="1" max="256" width="9.140625" customWidth="1"/>
  </cols>
  <sheetData>
    <row r="3" spans="1:12" ht="14.25" x14ac:dyDescent="0.2">
      <c r="A3" s="48" t="s">
        <v>305</v>
      </c>
      <c r="B3" s="55" t="s">
        <v>306</v>
      </c>
      <c r="C3" s="55"/>
      <c r="D3" s="55"/>
      <c r="E3" s="55"/>
      <c r="F3" s="55"/>
      <c r="G3" s="55"/>
      <c r="H3" s="55"/>
      <c r="I3" s="55"/>
      <c r="J3" s="55"/>
      <c r="K3" s="55"/>
      <c r="L3" s="210"/>
    </row>
    <row r="4" spans="1:12" ht="14.25" x14ac:dyDescent="0.2">
      <c r="A4" s="55"/>
      <c r="B4" s="55" t="s">
        <v>317</v>
      </c>
      <c r="C4" s="55"/>
      <c r="D4" s="55"/>
      <c r="E4" s="55"/>
      <c r="F4" s="55"/>
      <c r="G4" s="55"/>
      <c r="H4" s="55"/>
      <c r="I4" s="55"/>
      <c r="J4" s="55"/>
      <c r="K4" s="55"/>
      <c r="L4" s="210"/>
    </row>
    <row r="5" spans="1:12" ht="14.25" x14ac:dyDescent="0.2">
      <c r="A5" s="55"/>
      <c r="B5" s="55" t="s">
        <v>307</v>
      </c>
      <c r="C5" s="55"/>
      <c r="D5" s="55"/>
      <c r="E5" s="55"/>
      <c r="F5" s="55"/>
      <c r="G5" s="55"/>
      <c r="H5" s="55"/>
      <c r="I5" s="55"/>
      <c r="J5" s="55"/>
      <c r="K5" s="55"/>
      <c r="L5" s="210"/>
    </row>
    <row r="6" spans="1:12" ht="14.25" x14ac:dyDescent="0.2">
      <c r="A6" s="55"/>
      <c r="B6" s="55" t="s">
        <v>309</v>
      </c>
      <c r="C6" s="55"/>
      <c r="D6" s="55"/>
      <c r="E6" s="55"/>
      <c r="F6" s="55"/>
      <c r="G6" s="55"/>
      <c r="H6" s="55"/>
      <c r="I6" s="55"/>
      <c r="J6" s="55"/>
      <c r="K6" s="55"/>
      <c r="L6" s="210"/>
    </row>
    <row r="7" spans="1:12" ht="14.25" x14ac:dyDescent="0.2">
      <c r="A7" s="55"/>
      <c r="B7" s="55"/>
      <c r="C7" s="55" t="s">
        <v>308</v>
      </c>
      <c r="D7" s="55"/>
      <c r="E7" s="55"/>
      <c r="F7" s="55"/>
      <c r="G7" s="55"/>
      <c r="H7" s="55"/>
      <c r="I7" s="55"/>
      <c r="J7" s="55"/>
      <c r="K7" s="55"/>
      <c r="L7" s="210"/>
    </row>
    <row r="8" spans="1:12" ht="14.25" x14ac:dyDescent="0.2">
      <c r="A8" s="55"/>
      <c r="B8" s="55" t="s">
        <v>312</v>
      </c>
      <c r="D8" s="55"/>
      <c r="E8" s="55"/>
      <c r="F8" s="55"/>
      <c r="G8" s="55"/>
      <c r="H8" s="55"/>
      <c r="I8" s="55"/>
      <c r="J8" s="55"/>
      <c r="K8" s="55"/>
      <c r="L8" s="210"/>
    </row>
    <row r="9" spans="1:12" ht="14.25" x14ac:dyDescent="0.2">
      <c r="A9" s="55"/>
      <c r="B9" s="55" t="s">
        <v>314</v>
      </c>
      <c r="D9" s="55"/>
      <c r="E9" s="55"/>
      <c r="F9" s="55"/>
      <c r="G9" s="55"/>
      <c r="H9" s="55"/>
      <c r="I9" s="55"/>
      <c r="J9" s="55"/>
      <c r="K9" s="55"/>
      <c r="L9" s="210"/>
    </row>
    <row r="10" spans="1:12" ht="14.25" x14ac:dyDescent="0.2">
      <c r="A10" s="55"/>
      <c r="B10" s="55"/>
      <c r="C10" s="55"/>
      <c r="D10" s="55"/>
      <c r="E10" s="55"/>
      <c r="F10" s="55"/>
      <c r="G10" s="55"/>
      <c r="H10" s="55"/>
      <c r="I10" s="55"/>
      <c r="J10" s="55"/>
      <c r="K10" s="55"/>
      <c r="L10" s="210"/>
    </row>
    <row r="11" spans="1:12" ht="14.25" x14ac:dyDescent="0.2">
      <c r="B11" t="s">
        <v>313</v>
      </c>
      <c r="D11" s="55"/>
      <c r="E11" s="55"/>
      <c r="F11" s="55"/>
      <c r="G11" s="55"/>
      <c r="H11" s="55"/>
      <c r="I11" s="55"/>
      <c r="J11" s="55"/>
      <c r="K11" s="55"/>
      <c r="L11" s="210"/>
    </row>
    <row r="12" spans="1:12" x14ac:dyDescent="0.2">
      <c r="B12" t="s">
        <v>316</v>
      </c>
      <c r="D12" s="55"/>
      <c r="E12" s="55"/>
      <c r="F12" s="55"/>
      <c r="G12" s="55"/>
      <c r="H12" s="55"/>
      <c r="I12" s="55"/>
      <c r="J12" s="55"/>
      <c r="K12" s="55"/>
    </row>
    <row r="13" spans="1:12" x14ac:dyDescent="0.2">
      <c r="B13" s="55" t="s">
        <v>315</v>
      </c>
      <c r="D13" s="55"/>
      <c r="E13" s="55"/>
      <c r="F13" s="55"/>
      <c r="G13" s="55"/>
      <c r="H13" s="55"/>
      <c r="I13" s="55"/>
      <c r="J13" s="55"/>
      <c r="K13" s="55"/>
    </row>
    <row r="14" spans="1:12" x14ac:dyDescent="0.2">
      <c r="D14" s="55"/>
      <c r="E14" s="55"/>
      <c r="F14" s="55"/>
      <c r="G14" s="55"/>
      <c r="H14" s="55"/>
      <c r="I14" s="55"/>
      <c r="J14" s="55"/>
      <c r="K14" s="55"/>
    </row>
    <row r="15" spans="1:12" x14ac:dyDescent="0.2">
      <c r="A15" s="55"/>
      <c r="B15" s="55"/>
      <c r="C15" s="55"/>
      <c r="D15" s="55"/>
      <c r="E15" s="55"/>
      <c r="F15" s="55"/>
      <c r="G15" s="55"/>
      <c r="H15" s="55"/>
      <c r="I15" s="55"/>
      <c r="J15" s="55"/>
      <c r="K15" s="55"/>
    </row>
    <row r="16" spans="1:12" x14ac:dyDescent="0.2">
      <c r="A16" s="55" t="s">
        <v>310</v>
      </c>
      <c r="B16" s="55"/>
      <c r="C16" s="55" t="s">
        <v>311</v>
      </c>
      <c r="D16" s="55"/>
      <c r="E16" s="55"/>
      <c r="F16" s="55"/>
      <c r="G16" s="55"/>
      <c r="H16" s="55"/>
      <c r="I16" s="55"/>
      <c r="J16" s="55"/>
      <c r="K16" s="55"/>
    </row>
    <row r="17" spans="1:11" x14ac:dyDescent="0.2">
      <c r="A17" s="55"/>
      <c r="B17" s="55"/>
      <c r="C17" s="55"/>
      <c r="D17" s="55"/>
      <c r="E17" s="55"/>
      <c r="F17" s="55"/>
      <c r="G17" s="55"/>
      <c r="H17" s="55"/>
      <c r="I17" s="55"/>
      <c r="J17" s="55"/>
      <c r="K17" s="55"/>
    </row>
    <row r="18" spans="1:11" x14ac:dyDescent="0.2">
      <c r="C18" s="55" t="s">
        <v>320</v>
      </c>
      <c r="D18" s="55"/>
      <c r="E18" s="55" t="s">
        <v>318</v>
      </c>
      <c r="F18" s="55"/>
      <c r="G18" s="55"/>
      <c r="H18" s="55"/>
      <c r="I18" s="55"/>
      <c r="J18" s="55"/>
      <c r="K18" s="55"/>
    </row>
    <row r="19" spans="1:11" x14ac:dyDescent="0.2">
      <c r="C19" s="55" t="s">
        <v>134</v>
      </c>
      <c r="D19" s="55"/>
      <c r="E19" s="55" t="s">
        <v>319</v>
      </c>
      <c r="F19" s="55"/>
      <c r="G19" s="55"/>
      <c r="H19" s="55"/>
      <c r="I19" s="55"/>
      <c r="J19" s="55"/>
      <c r="K19" s="55"/>
    </row>
    <row r="20" spans="1:11" x14ac:dyDescent="0.2">
      <c r="A20" s="55"/>
      <c r="B20" s="55"/>
      <c r="C20" s="55"/>
      <c r="D20" s="55"/>
      <c r="E20" s="55"/>
      <c r="F20" s="55"/>
      <c r="G20" s="55"/>
      <c r="H20" s="55"/>
      <c r="I20" s="55"/>
      <c r="J20" s="55"/>
      <c r="K20" s="55"/>
    </row>
    <row r="21" spans="1:11" x14ac:dyDescent="0.2">
      <c r="A21" s="55"/>
      <c r="B21" s="55"/>
      <c r="C21" s="55"/>
      <c r="D21" s="55"/>
      <c r="E21" s="55"/>
      <c r="F21" s="55"/>
      <c r="G21" s="55"/>
      <c r="H21" s="55"/>
      <c r="I21" s="55"/>
      <c r="J21" s="55"/>
      <c r="K21" s="55"/>
    </row>
    <row r="22" spans="1:11" x14ac:dyDescent="0.2">
      <c r="A22" s="55"/>
      <c r="B22" s="55"/>
      <c r="C22" s="55"/>
      <c r="D22" s="55"/>
      <c r="E22" s="55"/>
      <c r="F22" s="55"/>
      <c r="G22" s="55"/>
      <c r="H22" s="55"/>
      <c r="I22" s="55"/>
      <c r="J22" s="55"/>
      <c r="K22" s="55"/>
    </row>
  </sheetData>
  <phoneticPr fontId="23" type="noConversion"/>
  <pageMargins left="0.78740157499999996" right="0.78740157499999996" top="0.984251969" bottom="0.984251969" header="0.4921259845" footer="0.4921259845"/>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tandardVorgaben1">
    <tabColor indexed="8"/>
  </sheetPr>
  <dimension ref="A1:I248"/>
  <sheetViews>
    <sheetView topLeftCell="B118" zoomScale="80" zoomScaleNormal="80" workbookViewId="0">
      <selection activeCell="G130" sqref="G130"/>
    </sheetView>
  </sheetViews>
  <sheetFormatPr baseColWidth="10" defaultRowHeight="12.75" x14ac:dyDescent="0.2"/>
  <cols>
    <col min="1" max="1" width="28.5703125" customWidth="1"/>
    <col min="2" max="2" width="35.42578125" customWidth="1"/>
    <col min="3" max="3" width="22.140625" style="91" customWidth="1"/>
    <col min="4" max="4" width="26.5703125" style="10" customWidth="1"/>
    <col min="5" max="5" width="22.7109375" style="10" customWidth="1"/>
    <col min="6" max="6" width="25.85546875" style="10" customWidth="1"/>
    <col min="7" max="7" width="21" customWidth="1"/>
    <col min="8" max="8" width="93" bestFit="1" customWidth="1"/>
    <col min="9" max="9" width="23.5703125" bestFit="1" customWidth="1"/>
    <col min="10" max="256" width="9.140625" customWidth="1"/>
  </cols>
  <sheetData>
    <row r="1" spans="1:8" ht="44.25" customHeight="1" x14ac:dyDescent="0.4">
      <c r="A1" s="1135" t="str">
        <f>Eingabeseite!A1</f>
        <v>Arbokost 2023</v>
      </c>
      <c r="B1" s="879"/>
      <c r="C1" s="686"/>
      <c r="D1" s="687"/>
      <c r="E1" s="688"/>
      <c r="F1" s="689"/>
      <c r="G1" s="690"/>
      <c r="H1" s="1349" t="s">
        <v>635</v>
      </c>
    </row>
    <row r="2" spans="1:8" ht="27" customHeight="1" x14ac:dyDescent="0.35">
      <c r="A2" s="881" t="s">
        <v>469</v>
      </c>
      <c r="B2" s="730"/>
      <c r="C2" s="686"/>
      <c r="D2" s="687"/>
      <c r="E2" s="688"/>
      <c r="F2" s="689"/>
      <c r="G2" s="690"/>
      <c r="H2" s="685"/>
    </row>
    <row r="3" spans="1:8" s="1" customFormat="1" ht="48" customHeight="1" x14ac:dyDescent="0.2">
      <c r="A3" s="731" t="s">
        <v>470</v>
      </c>
      <c r="B3" s="1419" t="str">
        <f>'Standard Vorgaben'!B3:H3</f>
        <v>Zeitgemässe Tafelapfelanlage auf schwachwachsender Unterlage. Werte sind ausgelegt auf gemischtwirtschaftlichen Betriebe mit 2 - 5 ha Obstfläche, an geeignetem Standort in einem der Hauptproduktionsgebiete der Schweiz.</v>
      </c>
      <c r="C3" s="1419"/>
      <c r="D3" s="1419"/>
      <c r="E3" s="1419"/>
      <c r="F3" s="1419"/>
      <c r="G3" s="1419"/>
      <c r="H3" s="1419"/>
    </row>
    <row r="4" spans="1:8" s="1" customFormat="1" ht="38.25" customHeight="1" x14ac:dyDescent="0.2">
      <c r="A4" s="1420" t="s">
        <v>621</v>
      </c>
      <c r="B4" s="1420"/>
      <c r="C4" s="1420"/>
      <c r="D4" s="1420"/>
      <c r="E4" s="1420"/>
      <c r="F4" s="1420"/>
      <c r="G4" s="1420"/>
      <c r="H4" s="1420"/>
    </row>
    <row r="5" spans="1:8" s="1" customFormat="1" ht="13.5" customHeight="1" x14ac:dyDescent="0.2">
      <c r="A5" s="142"/>
      <c r="C5" s="93"/>
      <c r="D5" s="35"/>
      <c r="E5" s="35"/>
      <c r="F5" s="35"/>
      <c r="H5" s="443" t="s">
        <v>450</v>
      </c>
    </row>
    <row r="6" spans="1:8" ht="26.25" x14ac:dyDescent="0.4">
      <c r="A6" s="1418" t="s">
        <v>116</v>
      </c>
      <c r="B6" s="1418"/>
      <c r="C6" s="1418"/>
      <c r="D6" s="1418"/>
      <c r="E6" s="1418"/>
      <c r="F6" s="1418"/>
      <c r="G6" s="1418"/>
      <c r="H6" s="1418"/>
    </row>
    <row r="7" spans="1:8" s="1" customFormat="1" ht="15.75" x14ac:dyDescent="0.25">
      <c r="A7" s="2" t="s">
        <v>118</v>
      </c>
      <c r="B7" s="444" t="s">
        <v>272</v>
      </c>
      <c r="C7" s="638"/>
      <c r="D7" s="19"/>
      <c r="E7" s="19"/>
      <c r="F7" s="19"/>
      <c r="G7" s="19"/>
    </row>
    <row r="8" spans="1:8" s="1" customFormat="1" ht="15.75" x14ac:dyDescent="0.25">
      <c r="A8" s="2" t="s">
        <v>156</v>
      </c>
      <c r="B8" s="444" t="s">
        <v>634</v>
      </c>
      <c r="C8" s="445"/>
      <c r="D8" s="19"/>
      <c r="E8" s="19"/>
      <c r="F8" s="19"/>
      <c r="G8" s="19"/>
    </row>
    <row r="9" spans="1:8" s="1" customFormat="1" ht="15.75" x14ac:dyDescent="0.25">
      <c r="A9" s="2" t="s">
        <v>119</v>
      </c>
      <c r="B9" s="444" t="s">
        <v>451</v>
      </c>
      <c r="C9" s="448"/>
      <c r="D9" s="19"/>
      <c r="E9" s="19"/>
      <c r="F9" s="19"/>
      <c r="G9" s="19"/>
    </row>
    <row r="10" spans="1:8" s="1" customFormat="1" ht="19.5" customHeight="1" x14ac:dyDescent="0.25">
      <c r="A10" s="2" t="s">
        <v>7</v>
      </c>
      <c r="B10" s="228">
        <f>B24</f>
        <v>3000</v>
      </c>
      <c r="C10" s="19"/>
      <c r="D10" s="126"/>
      <c r="E10" s="42"/>
    </row>
    <row r="11" spans="1:8" s="1" customFormat="1" ht="20.25" customHeight="1" x14ac:dyDescent="0.25">
      <c r="A11" s="2" t="s">
        <v>120</v>
      </c>
      <c r="B11" s="444" t="s">
        <v>3</v>
      </c>
      <c r="C11" s="445"/>
      <c r="D11" s="445"/>
      <c r="E11" s="445"/>
      <c r="F11" s="445"/>
    </row>
    <row r="12" spans="1:8" s="1" customFormat="1" ht="20.25" customHeight="1" x14ac:dyDescent="0.25">
      <c r="A12" s="2" t="s">
        <v>200</v>
      </c>
      <c r="B12" s="1421" t="s">
        <v>644</v>
      </c>
      <c r="C12" s="1422"/>
      <c r="D12" s="1422"/>
      <c r="E12" s="1422"/>
      <c r="F12" s="1422"/>
      <c r="G12" s="604"/>
    </row>
    <row r="13" spans="1:8" ht="15.75" x14ac:dyDescent="0.25">
      <c r="A13" s="2" t="s">
        <v>174</v>
      </c>
      <c r="B13" s="1421" t="s">
        <v>645</v>
      </c>
      <c r="C13" s="1422"/>
      <c r="D13" s="447"/>
      <c r="E13" s="448"/>
      <c r="F13" s="449"/>
      <c r="G13" s="19"/>
    </row>
    <row r="14" spans="1:8" ht="15.75" x14ac:dyDescent="0.25">
      <c r="A14" s="2" t="s">
        <v>165</v>
      </c>
      <c r="B14" s="1421" t="s">
        <v>335</v>
      </c>
      <c r="C14" s="1422"/>
      <c r="D14" s="1347"/>
      <c r="E14" s="450"/>
      <c r="F14" s="451"/>
      <c r="G14" s="1"/>
    </row>
    <row r="15" spans="1:8" x14ac:dyDescent="0.2">
      <c r="B15" s="1"/>
      <c r="C15" s="19"/>
      <c r="D15" s="40"/>
      <c r="E15" s="19"/>
      <c r="F15" s="129"/>
      <c r="G15" s="19"/>
    </row>
    <row r="16" spans="1:8" s="1" customFormat="1" ht="18.75" thickBot="1" x14ac:dyDescent="0.3">
      <c r="A16" s="602" t="s">
        <v>440</v>
      </c>
      <c r="B16" s="603"/>
      <c r="C16" s="603"/>
      <c r="D16" s="603"/>
      <c r="E16" s="614"/>
      <c r="F16" s="614"/>
      <c r="G16" s="614"/>
      <c r="H16" s="614"/>
    </row>
    <row r="17" spans="1:9" s="1" customFormat="1" x14ac:dyDescent="0.2">
      <c r="A17" s="159"/>
      <c r="B17" s="151" t="s">
        <v>153</v>
      </c>
      <c r="C17" s="158" t="s">
        <v>154</v>
      </c>
      <c r="D17" s="134" t="s">
        <v>155</v>
      </c>
      <c r="E17" s="35"/>
      <c r="F17" s="35"/>
    </row>
    <row r="18" spans="1:9" s="1" customFormat="1" x14ac:dyDescent="0.2">
      <c r="A18" s="585" t="s">
        <v>0</v>
      </c>
      <c r="B18" s="452">
        <v>125</v>
      </c>
      <c r="C18" s="454">
        <v>120</v>
      </c>
      <c r="D18" s="456">
        <f>1-(C20/B20)</f>
        <v>9.9999999999999978E-2</v>
      </c>
      <c r="E18" s="35"/>
      <c r="F18" s="35"/>
    </row>
    <row r="19" spans="1:9" s="1" customFormat="1" x14ac:dyDescent="0.2">
      <c r="A19" s="585" t="s">
        <v>1</v>
      </c>
      <c r="B19" s="453">
        <v>80</v>
      </c>
      <c r="C19" s="455">
        <v>75</v>
      </c>
      <c r="D19" s="586"/>
      <c r="E19" s="35"/>
      <c r="F19" s="35"/>
    </row>
    <row r="20" spans="1:9" s="1" customFormat="1" ht="13.5" thickBot="1" x14ac:dyDescent="0.25">
      <c r="A20" s="161" t="s">
        <v>59</v>
      </c>
      <c r="B20" s="458">
        <f>B18*B19</f>
        <v>10000</v>
      </c>
      <c r="C20" s="459">
        <f>C18*C19</f>
        <v>9000</v>
      </c>
      <c r="D20" s="457">
        <f>B20-C20</f>
        <v>1000</v>
      </c>
      <c r="E20" s="35"/>
      <c r="F20" s="35"/>
    </row>
    <row r="21" spans="1:9" s="1" customFormat="1" x14ac:dyDescent="0.2">
      <c r="A21" s="162" t="s">
        <v>4</v>
      </c>
      <c r="B21" s="86"/>
      <c r="C21" s="462">
        <v>3</v>
      </c>
      <c r="D21" s="152"/>
      <c r="E21" s="35"/>
      <c r="F21" s="35"/>
    </row>
    <row r="22" spans="1:9" s="1" customFormat="1" x14ac:dyDescent="0.2">
      <c r="A22" s="162" t="s">
        <v>5</v>
      </c>
      <c r="B22" s="86"/>
      <c r="C22" s="462">
        <v>1</v>
      </c>
      <c r="D22" s="152"/>
      <c r="E22" s="35"/>
      <c r="F22" s="35"/>
    </row>
    <row r="23" spans="1:9" s="1" customFormat="1" x14ac:dyDescent="0.2">
      <c r="A23" s="162" t="s">
        <v>6</v>
      </c>
      <c r="B23" s="86"/>
      <c r="C23" s="460">
        <f>ROUND((C19/C21),0)</f>
        <v>25</v>
      </c>
      <c r="D23" s="133"/>
      <c r="E23" s="35"/>
      <c r="F23" s="35"/>
    </row>
    <row r="24" spans="1:9" s="1" customFormat="1" ht="16.5" thickBot="1" x14ac:dyDescent="0.3">
      <c r="A24" s="884" t="s">
        <v>115</v>
      </c>
      <c r="B24" s="885">
        <f>Eingabeseite!D27</f>
        <v>3000</v>
      </c>
      <c r="C24" s="461">
        <f>ROUND(((C18/C22)+1),0)*ROUND(C23,0)</f>
        <v>3025</v>
      </c>
      <c r="D24" s="587"/>
      <c r="E24" s="35"/>
      <c r="F24" s="35"/>
    </row>
    <row r="25" spans="1:9" s="1" customFormat="1" x14ac:dyDescent="0.2">
      <c r="A25" s="19"/>
      <c r="B25" s="19"/>
      <c r="C25" s="19"/>
      <c r="D25" s="35"/>
      <c r="E25" s="35"/>
      <c r="F25" s="35"/>
    </row>
    <row r="26" spans="1:9" s="1" customFormat="1" x14ac:dyDescent="0.2">
      <c r="A26" s="19" t="s">
        <v>76</v>
      </c>
      <c r="B26" s="692">
        <v>15</v>
      </c>
      <c r="C26" s="19"/>
      <c r="D26" s="35"/>
      <c r="E26" s="35"/>
      <c r="F26" s="35"/>
      <c r="I26" s="1" t="s">
        <v>604</v>
      </c>
    </row>
    <row r="27" spans="1:9" s="1" customFormat="1" x14ac:dyDescent="0.2">
      <c r="A27" s="19" t="s">
        <v>72</v>
      </c>
      <c r="B27" s="692">
        <v>3</v>
      </c>
      <c r="C27" s="19"/>
      <c r="D27" s="35"/>
      <c r="E27" s="35"/>
      <c r="F27" s="35"/>
    </row>
    <row r="28" spans="1:9" s="1" customFormat="1" ht="13.5" thickBot="1" x14ac:dyDescent="0.25">
      <c r="A28" s="19" t="s">
        <v>77</v>
      </c>
      <c r="B28" s="694">
        <f>B26-B27</f>
        <v>12</v>
      </c>
      <c r="C28" s="19"/>
      <c r="D28" s="35"/>
      <c r="E28" s="35"/>
      <c r="F28" s="35"/>
    </row>
    <row r="29" spans="1:9" s="1" customFormat="1" ht="15.75" x14ac:dyDescent="0.25">
      <c r="A29" s="150" t="s">
        <v>175</v>
      </c>
      <c r="B29" s="693">
        <f>B28</f>
        <v>12</v>
      </c>
      <c r="C29" s="19"/>
      <c r="D29" s="35"/>
      <c r="E29" s="35"/>
      <c r="F29" s="35"/>
    </row>
    <row r="30" spans="1:9" s="1" customFormat="1" x14ac:dyDescent="0.2">
      <c r="A30" s="19"/>
      <c r="B30" s="19"/>
      <c r="C30" s="19"/>
      <c r="D30" s="43"/>
      <c r="E30" s="43"/>
      <c r="F30" s="43"/>
    </row>
    <row r="31" spans="1:9" s="1" customFormat="1" x14ac:dyDescent="0.2">
      <c r="A31" s="40" t="s">
        <v>8</v>
      </c>
      <c r="B31" s="142" t="s">
        <v>113</v>
      </c>
      <c r="C31" s="704">
        <f>Eingabeseite!D29</f>
        <v>8.5</v>
      </c>
      <c r="D31" s="85" t="s">
        <v>157</v>
      </c>
      <c r="E31" s="19"/>
      <c r="F31" s="19"/>
    </row>
    <row r="32" spans="1:9" s="1" customFormat="1" x14ac:dyDescent="0.2">
      <c r="A32" s="40" t="s">
        <v>81</v>
      </c>
      <c r="B32" s="13" t="s">
        <v>438</v>
      </c>
      <c r="C32" s="234">
        <f>Eingabeseite!D22</f>
        <v>41.4</v>
      </c>
      <c r="D32" s="13"/>
      <c r="E32" s="13"/>
      <c r="F32" s="19"/>
    </row>
    <row r="33" spans="1:8" s="1" customFormat="1" x14ac:dyDescent="0.2">
      <c r="A33" s="40"/>
      <c r="B33" s="13" t="s">
        <v>109</v>
      </c>
      <c r="C33" s="234">
        <f>Eingabeseite!D23</f>
        <v>24</v>
      </c>
      <c r="D33" s="13"/>
      <c r="E33" s="13"/>
      <c r="F33" s="19"/>
    </row>
    <row r="34" spans="1:8" s="1" customFormat="1" ht="13.5" thickBot="1" x14ac:dyDescent="0.25">
      <c r="A34" s="19"/>
      <c r="B34" s="19" t="s">
        <v>114</v>
      </c>
      <c r="C34" s="413">
        <f>Eingabeseite!D24</f>
        <v>21</v>
      </c>
      <c r="D34" s="147" t="s">
        <v>172</v>
      </c>
      <c r="E34" s="19"/>
      <c r="F34" s="469">
        <f>Eingabeseite!D25</f>
        <v>0.85</v>
      </c>
      <c r="G34" s="144"/>
    </row>
    <row r="35" spans="1:8" s="1" customFormat="1" ht="15" x14ac:dyDescent="0.25">
      <c r="A35" s="19"/>
      <c r="B35" s="13" t="s">
        <v>441</v>
      </c>
      <c r="C35" s="697">
        <f>(F34*C34)+(((1-F34)/2)*C33)+ (((1-F34)/2)*C32)</f>
        <v>22.754999999999999</v>
      </c>
      <c r="D35" s="11"/>
      <c r="E35" s="43"/>
      <c r="F35" s="43"/>
    </row>
    <row r="36" spans="1:8" s="1" customFormat="1" ht="15" x14ac:dyDescent="0.25">
      <c r="A36" s="19"/>
      <c r="B36" s="13" t="s">
        <v>442</v>
      </c>
      <c r="C36" s="697">
        <f>AVERAGE(C32:C33)</f>
        <v>32.700000000000003</v>
      </c>
      <c r="D36" s="11"/>
      <c r="E36" s="43"/>
      <c r="F36" s="43"/>
    </row>
    <row r="37" spans="1:8" s="1" customFormat="1" ht="15" x14ac:dyDescent="0.25">
      <c r="A37" s="19"/>
      <c r="B37" s="69" t="s">
        <v>607</v>
      </c>
      <c r="C37" s="697">
        <f>AVERAGE(C33,C34)</f>
        <v>22.5</v>
      </c>
      <c r="D37" s="11"/>
      <c r="E37" s="43"/>
      <c r="F37" s="43"/>
      <c r="G37" s="19"/>
      <c r="H37" s="19"/>
    </row>
    <row r="38" spans="1:8" s="1" customFormat="1" x14ac:dyDescent="0.2">
      <c r="A38" s="85" t="s">
        <v>117</v>
      </c>
      <c r="B38" s="19"/>
      <c r="C38" s="702">
        <v>6000</v>
      </c>
      <c r="D38" s="19"/>
      <c r="E38" s="85" t="s">
        <v>605</v>
      </c>
      <c r="F38" s="232" t="s">
        <v>199</v>
      </c>
      <c r="G38" s="945">
        <f>Eingabeseite!D17</f>
        <v>325</v>
      </c>
      <c r="H38" s="19"/>
    </row>
    <row r="39" spans="1:8" s="1" customFormat="1" x14ac:dyDescent="0.2">
      <c r="A39" s="40" t="s">
        <v>79</v>
      </c>
      <c r="B39" s="19"/>
      <c r="C39" s="698">
        <v>1100</v>
      </c>
      <c r="D39" s="19"/>
      <c r="E39" s="19"/>
      <c r="F39" s="19" t="s">
        <v>341</v>
      </c>
      <c r="G39" s="1318">
        <f>Eingabeseite!D18</f>
        <v>1</v>
      </c>
      <c r="H39" s="19"/>
    </row>
    <row r="40" spans="1:8" s="1" customFormat="1" x14ac:dyDescent="0.2">
      <c r="A40" s="40" t="s">
        <v>10</v>
      </c>
      <c r="B40" s="19"/>
      <c r="C40" s="705">
        <f>Eingabeseite!D33</f>
        <v>1.4999999999999999E-2</v>
      </c>
      <c r="D40" s="19"/>
      <c r="E40" s="19"/>
      <c r="F40" s="19"/>
      <c r="G40" s="19"/>
      <c r="H40" s="19"/>
    </row>
    <row r="41" spans="1:8" x14ac:dyDescent="0.2">
      <c r="A41" s="19" t="s">
        <v>146</v>
      </c>
      <c r="B41" s="19"/>
      <c r="C41" s="480">
        <v>0.6</v>
      </c>
      <c r="D41" s="43"/>
      <c r="E41" s="216" t="s">
        <v>80</v>
      </c>
      <c r="F41" s="232" t="str">
        <f>F38</f>
        <v>Klasse I+II</v>
      </c>
      <c r="G41" s="1319">
        <f>Eingabeseite!D19</f>
        <v>0</v>
      </c>
      <c r="H41" s="19"/>
    </row>
    <row r="42" spans="1:8" x14ac:dyDescent="0.2">
      <c r="A42" s="85" t="s">
        <v>139</v>
      </c>
      <c r="B42" s="19"/>
      <c r="C42" s="703">
        <v>660</v>
      </c>
      <c r="D42" s="43"/>
      <c r="E42" s="216" t="s">
        <v>198</v>
      </c>
      <c r="F42" s="233" t="str">
        <f>F38</f>
        <v>Klasse I+II</v>
      </c>
      <c r="G42" s="1319">
        <f>Eingabeseite!D20</f>
        <v>0</v>
      </c>
      <c r="H42" s="19"/>
    </row>
    <row r="43" spans="1:8" x14ac:dyDescent="0.2">
      <c r="A43" s="70"/>
      <c r="B43" s="19"/>
      <c r="C43" s="706"/>
      <c r="D43" s="43"/>
      <c r="E43" s="43"/>
      <c r="F43" s="147" t="s">
        <v>203</v>
      </c>
      <c r="G43" s="1319">
        <f>Eingabeseite!D21</f>
        <v>0</v>
      </c>
      <c r="H43" s="19"/>
    </row>
    <row r="44" spans="1:8" x14ac:dyDescent="0.2">
      <c r="A44" s="48"/>
      <c r="B44" s="1"/>
      <c r="C44" s="229"/>
      <c r="D44" s="35"/>
      <c r="E44" s="43"/>
      <c r="F44" s="147"/>
      <c r="G44" s="235"/>
      <c r="H44" s="1"/>
    </row>
    <row r="45" spans="1:8" x14ac:dyDescent="0.2">
      <c r="A45" s="48"/>
      <c r="B45" s="1"/>
      <c r="C45" s="229"/>
      <c r="D45" s="35"/>
      <c r="E45" s="43"/>
      <c r="F45" s="147"/>
      <c r="G45" s="235"/>
      <c r="H45" s="1"/>
    </row>
    <row r="46" spans="1:8" s="1" customFormat="1" ht="26.25" x14ac:dyDescent="0.4">
      <c r="A46" s="1418" t="s">
        <v>620</v>
      </c>
      <c r="B46" s="1418"/>
      <c r="C46" s="1418"/>
      <c r="D46" s="1418"/>
      <c r="E46" s="1418"/>
      <c r="F46" s="1418"/>
      <c r="G46" s="1418"/>
      <c r="H46" s="1418"/>
    </row>
    <row r="47" spans="1:8" s="1" customFormat="1" x14ac:dyDescent="0.2">
      <c r="A47" s="78" t="s">
        <v>134</v>
      </c>
      <c r="B47" s="176" t="s">
        <v>361</v>
      </c>
      <c r="C47" s="84" t="s">
        <v>357</v>
      </c>
      <c r="D47" s="38" t="s">
        <v>362</v>
      </c>
      <c r="E47" s="78" t="s">
        <v>36</v>
      </c>
      <c r="F47" s="78" t="s">
        <v>37</v>
      </c>
      <c r="G47" s="78" t="s">
        <v>134</v>
      </c>
      <c r="H47" s="707"/>
    </row>
    <row r="48" spans="1:8" s="1" customFormat="1" x14ac:dyDescent="0.2">
      <c r="A48" s="172">
        <v>1</v>
      </c>
      <c r="B48" s="47">
        <f>Eingabeseite!D7</f>
        <v>1.1200000000000001</v>
      </c>
      <c r="C48" s="44">
        <f>Eingabeseite!D8</f>
        <v>0.45</v>
      </c>
      <c r="D48" s="44">
        <f>Eingabeseite!D9</f>
        <v>0.23</v>
      </c>
      <c r="E48" s="121">
        <f>'Standard Vorgaben'!E48*(1+Eingabeseite!$C$14)</f>
        <v>0</v>
      </c>
      <c r="F48" s="36">
        <f>E48/'Variante Vorgaben'!$B$24</f>
        <v>0</v>
      </c>
      <c r="G48" s="261">
        <v>1</v>
      </c>
    </row>
    <row r="49" spans="1:7" s="1" customFormat="1" x14ac:dyDescent="0.2">
      <c r="A49" s="172">
        <v>2</v>
      </c>
      <c r="B49" s="47">
        <f t="shared" ref="B49:B62" si="0">B48</f>
        <v>1.1200000000000001</v>
      </c>
      <c r="C49" s="47">
        <f t="shared" ref="C49:C62" si="1">C48</f>
        <v>0.45</v>
      </c>
      <c r="D49" s="47">
        <f t="shared" ref="D49:D62" si="2">$D$48</f>
        <v>0.23</v>
      </c>
      <c r="E49" s="121">
        <f>'Standard Vorgaben'!E49*(1+Eingabeseite!$C$14)</f>
        <v>12600</v>
      </c>
      <c r="F49" s="36">
        <f>E49/'Variante Vorgaben'!$B$24</f>
        <v>4.2</v>
      </c>
      <c r="G49" s="261">
        <v>2</v>
      </c>
    </row>
    <row r="50" spans="1:7" s="1" customFormat="1" x14ac:dyDescent="0.2">
      <c r="A50" s="172">
        <v>3</v>
      </c>
      <c r="B50" s="47">
        <f t="shared" si="0"/>
        <v>1.1200000000000001</v>
      </c>
      <c r="C50" s="47">
        <f t="shared" si="1"/>
        <v>0.45</v>
      </c>
      <c r="D50" s="47">
        <f t="shared" si="2"/>
        <v>0.23</v>
      </c>
      <c r="E50" s="121">
        <f>'Standard Vorgaben'!E50*(1+Eingabeseite!$C$14)</f>
        <v>15750</v>
      </c>
      <c r="F50" s="36">
        <f>E50/'Variante Vorgaben'!$B$24</f>
        <v>5.25</v>
      </c>
      <c r="G50" s="261">
        <v>3</v>
      </c>
    </row>
    <row r="51" spans="1:7" s="1" customFormat="1" x14ac:dyDescent="0.2">
      <c r="A51" s="588">
        <v>4</v>
      </c>
      <c r="B51" s="47">
        <f t="shared" si="0"/>
        <v>1.1200000000000001</v>
      </c>
      <c r="C51" s="47">
        <f t="shared" si="1"/>
        <v>0.45</v>
      </c>
      <c r="D51" s="47">
        <f t="shared" si="2"/>
        <v>0.23</v>
      </c>
      <c r="E51" s="121">
        <f>'Standard Vorgaben'!E51*(1+Eingabeseite!$C$14)</f>
        <v>27300</v>
      </c>
      <c r="F51" s="36">
        <f>E51/'Variante Vorgaben'!$B$24</f>
        <v>9.1</v>
      </c>
      <c r="G51" s="261">
        <v>4</v>
      </c>
    </row>
    <row r="52" spans="1:7" s="1" customFormat="1" x14ac:dyDescent="0.2">
      <c r="A52" s="588">
        <v>5</v>
      </c>
      <c r="B52" s="47">
        <f t="shared" si="0"/>
        <v>1.1200000000000001</v>
      </c>
      <c r="C52" s="47">
        <f t="shared" si="1"/>
        <v>0.45</v>
      </c>
      <c r="D52" s="47">
        <f t="shared" si="2"/>
        <v>0.23</v>
      </c>
      <c r="E52" s="121">
        <f>'Standard Vorgaben'!E52*(1+Eingabeseite!$C$14)</f>
        <v>36750</v>
      </c>
      <c r="F52" s="36">
        <f>E52/'Variante Vorgaben'!$B$24</f>
        <v>12.25</v>
      </c>
      <c r="G52" s="261">
        <v>5</v>
      </c>
    </row>
    <row r="53" spans="1:7" s="1" customFormat="1" x14ac:dyDescent="0.2">
      <c r="A53" s="588">
        <v>6</v>
      </c>
      <c r="B53" s="47">
        <f t="shared" si="0"/>
        <v>1.1200000000000001</v>
      </c>
      <c r="C53" s="47">
        <f t="shared" si="1"/>
        <v>0.45</v>
      </c>
      <c r="D53" s="47">
        <f t="shared" si="2"/>
        <v>0.23</v>
      </c>
      <c r="E53" s="121">
        <f>'Standard Vorgaben'!E53*(1+Eingabeseite!$C$14)</f>
        <v>46200</v>
      </c>
      <c r="F53" s="36">
        <f>E53/'Variante Vorgaben'!$B$24</f>
        <v>15.4</v>
      </c>
      <c r="G53" s="261">
        <v>6</v>
      </c>
    </row>
    <row r="54" spans="1:7" s="1" customFormat="1" x14ac:dyDescent="0.2">
      <c r="A54" s="588">
        <v>7</v>
      </c>
      <c r="B54" s="47">
        <f t="shared" si="0"/>
        <v>1.1200000000000001</v>
      </c>
      <c r="C54" s="47">
        <f t="shared" si="1"/>
        <v>0.45</v>
      </c>
      <c r="D54" s="47">
        <f t="shared" si="2"/>
        <v>0.23</v>
      </c>
      <c r="E54" s="121">
        <f>'Standard Vorgaben'!E54*(1+Eingabeseite!$C$14)</f>
        <v>37668.75</v>
      </c>
      <c r="F54" s="36">
        <f>E54/'Variante Vorgaben'!$B$24</f>
        <v>12.55625</v>
      </c>
      <c r="G54" s="261">
        <v>7</v>
      </c>
    </row>
    <row r="55" spans="1:7" s="1" customFormat="1" x14ac:dyDescent="0.2">
      <c r="A55" s="588">
        <v>8</v>
      </c>
      <c r="B55" s="47">
        <f t="shared" si="0"/>
        <v>1.1200000000000001</v>
      </c>
      <c r="C55" s="47">
        <f t="shared" si="1"/>
        <v>0.45</v>
      </c>
      <c r="D55" s="47">
        <f t="shared" si="2"/>
        <v>0.23</v>
      </c>
      <c r="E55" s="121">
        <f>'Standard Vorgaben'!E55*(1+Eingabeseite!$C$14)</f>
        <v>37668.75</v>
      </c>
      <c r="F55" s="36">
        <f>E55/'Variante Vorgaben'!$B$24</f>
        <v>12.55625</v>
      </c>
      <c r="G55" s="261">
        <v>8</v>
      </c>
    </row>
    <row r="56" spans="1:7" s="1" customFormat="1" x14ac:dyDescent="0.2">
      <c r="A56" s="588">
        <v>9</v>
      </c>
      <c r="B56" s="47">
        <f t="shared" si="0"/>
        <v>1.1200000000000001</v>
      </c>
      <c r="C56" s="47">
        <f t="shared" si="1"/>
        <v>0.45</v>
      </c>
      <c r="D56" s="47">
        <f t="shared" si="2"/>
        <v>0.23</v>
      </c>
      <c r="E56" s="121">
        <f>'Standard Vorgaben'!E56*(1+Eingabeseite!$C$14)</f>
        <v>54600</v>
      </c>
      <c r="F56" s="36">
        <f>E56/'Variante Vorgaben'!$B$24</f>
        <v>18.2</v>
      </c>
      <c r="G56" s="261">
        <v>9</v>
      </c>
    </row>
    <row r="57" spans="1:7" s="1" customFormat="1" x14ac:dyDescent="0.2">
      <c r="A57" s="588">
        <v>10</v>
      </c>
      <c r="B57" s="47">
        <f t="shared" si="0"/>
        <v>1.1200000000000001</v>
      </c>
      <c r="C57" s="47">
        <f t="shared" si="1"/>
        <v>0.45</v>
      </c>
      <c r="D57" s="47">
        <f t="shared" si="2"/>
        <v>0.23</v>
      </c>
      <c r="E57" s="121">
        <f>'Standard Vorgaben'!E57*(1+Eingabeseite!$C$14)</f>
        <v>57750</v>
      </c>
      <c r="F57" s="36">
        <f>E57/'Variante Vorgaben'!$B$24</f>
        <v>19.25</v>
      </c>
      <c r="G57" s="261">
        <v>10</v>
      </c>
    </row>
    <row r="58" spans="1:7" s="1" customFormat="1" x14ac:dyDescent="0.2">
      <c r="A58" s="588">
        <v>11</v>
      </c>
      <c r="B58" s="47">
        <f t="shared" si="0"/>
        <v>1.1200000000000001</v>
      </c>
      <c r="C58" s="47">
        <f t="shared" si="1"/>
        <v>0.45</v>
      </c>
      <c r="D58" s="47">
        <f t="shared" si="2"/>
        <v>0.23</v>
      </c>
      <c r="E58" s="121">
        <f>'Standard Vorgaben'!E58*(1+Eingabeseite!$C$14)</f>
        <v>46462.5</v>
      </c>
      <c r="F58" s="36">
        <f>E58/'Variante Vorgaben'!$B$24</f>
        <v>15.487500000000001</v>
      </c>
      <c r="G58" s="261">
        <v>11</v>
      </c>
    </row>
    <row r="59" spans="1:7" s="1" customFormat="1" x14ac:dyDescent="0.2">
      <c r="A59" s="588">
        <v>12</v>
      </c>
      <c r="B59" s="47">
        <f t="shared" si="0"/>
        <v>1.1200000000000001</v>
      </c>
      <c r="C59" s="47">
        <f t="shared" si="1"/>
        <v>0.45</v>
      </c>
      <c r="D59" s="47">
        <f t="shared" si="2"/>
        <v>0.23</v>
      </c>
      <c r="E59" s="121">
        <f>'Standard Vorgaben'!E59*(1+Eingabeseite!$C$14)</f>
        <v>37800</v>
      </c>
      <c r="F59" s="36">
        <f>E59/'Variante Vorgaben'!$B$24</f>
        <v>12.6</v>
      </c>
      <c r="G59" s="261">
        <v>12</v>
      </c>
    </row>
    <row r="60" spans="1:7" s="1" customFormat="1" x14ac:dyDescent="0.2">
      <c r="A60" s="588">
        <v>13</v>
      </c>
      <c r="B60" s="47">
        <f t="shared" si="0"/>
        <v>1.1200000000000001</v>
      </c>
      <c r="C60" s="47">
        <f t="shared" si="1"/>
        <v>0.45</v>
      </c>
      <c r="D60" s="47">
        <f t="shared" si="2"/>
        <v>0.23</v>
      </c>
      <c r="E60" s="121">
        <f>'Standard Vorgaben'!E60*(1+Eingabeseite!$C$14)</f>
        <v>42000</v>
      </c>
      <c r="F60" s="36">
        <f>E60/'Variante Vorgaben'!$B$24</f>
        <v>14</v>
      </c>
      <c r="G60" s="261">
        <v>13</v>
      </c>
    </row>
    <row r="61" spans="1:7" s="1" customFormat="1" x14ac:dyDescent="0.2">
      <c r="A61" s="588">
        <v>14</v>
      </c>
      <c r="B61" s="47">
        <f t="shared" si="0"/>
        <v>1.1200000000000001</v>
      </c>
      <c r="C61" s="47">
        <f t="shared" si="1"/>
        <v>0.45</v>
      </c>
      <c r="D61" s="47">
        <f t="shared" si="2"/>
        <v>0.23</v>
      </c>
      <c r="E61" s="121">
        <f>'Standard Vorgaben'!E61*(1+Eingabeseite!$C$14)</f>
        <v>43050</v>
      </c>
      <c r="F61" s="36">
        <f>E61/'Variante Vorgaben'!$B$24</f>
        <v>14.35</v>
      </c>
      <c r="G61" s="261">
        <v>14</v>
      </c>
    </row>
    <row r="62" spans="1:7" s="1" customFormat="1" x14ac:dyDescent="0.2">
      <c r="A62" s="588">
        <v>15</v>
      </c>
      <c r="B62" s="47">
        <f t="shared" si="0"/>
        <v>1.1200000000000001</v>
      </c>
      <c r="C62" s="47">
        <f t="shared" si="1"/>
        <v>0.45</v>
      </c>
      <c r="D62" s="47">
        <f t="shared" si="2"/>
        <v>0.23</v>
      </c>
      <c r="E62" s="121">
        <f>'Standard Vorgaben'!E62*(1+Eingabeseite!$C$14)</f>
        <v>36750</v>
      </c>
      <c r="F62" s="36">
        <f>E62/'Variante Vorgaben'!$B$24</f>
        <v>12.25</v>
      </c>
      <c r="G62" s="261">
        <v>15</v>
      </c>
    </row>
    <row r="63" spans="1:7" s="1" customFormat="1" x14ac:dyDescent="0.2">
      <c r="A63" s="589" t="s">
        <v>191</v>
      </c>
      <c r="E63" s="62">
        <f>SUM(E48:E50)</f>
        <v>28350</v>
      </c>
      <c r="F63" s="77">
        <f>SUM(F48:F50)</f>
        <v>9.4499999999999993</v>
      </c>
    </row>
    <row r="64" spans="1:7" s="1" customFormat="1" x14ac:dyDescent="0.2">
      <c r="A64" s="589" t="s">
        <v>192</v>
      </c>
      <c r="E64" s="62">
        <f>SUM(E48:E62)</f>
        <v>532350</v>
      </c>
      <c r="F64" s="77">
        <f>SUM(F48:F62)</f>
        <v>177.45</v>
      </c>
    </row>
    <row r="65" spans="1:8" s="1" customFormat="1" x14ac:dyDescent="0.2">
      <c r="A65" s="589" t="s">
        <v>193</v>
      </c>
      <c r="B65" s="468">
        <f>AVERAGE(B51:B62)</f>
        <v>1.1200000000000003</v>
      </c>
      <c r="C65" s="468">
        <f>AVERAGE(C51:C62)</f>
        <v>0.45000000000000012</v>
      </c>
      <c r="D65" s="468">
        <f>AVERAGE(D51:D62)</f>
        <v>0.23</v>
      </c>
      <c r="E65" s="62">
        <f>Eingabeseite!D14</f>
        <v>42000</v>
      </c>
      <c r="F65" s="77">
        <f>AVERAGE(F51:F62)</f>
        <v>13.999999999999998</v>
      </c>
      <c r="G65" s="1331"/>
    </row>
    <row r="66" spans="1:8" s="1" customFormat="1" x14ac:dyDescent="0.2">
      <c r="A66" s="589" t="s">
        <v>194</v>
      </c>
      <c r="B66" s="468">
        <f>AVERAGE(B48:B62)</f>
        <v>1.1200000000000006</v>
      </c>
      <c r="C66" s="468">
        <f>AVERAGE(C48:C62)</f>
        <v>0.45000000000000012</v>
      </c>
      <c r="D66" s="468">
        <f>AVERAGE(D48:D62)</f>
        <v>0.23</v>
      </c>
      <c r="E66" s="62">
        <f>AVERAGE(E48:E62)</f>
        <v>35490</v>
      </c>
      <c r="F66" s="77">
        <f>AVERAGE(F48:F62)</f>
        <v>11.83</v>
      </c>
      <c r="G66" s="469">
        <v>0</v>
      </c>
    </row>
    <row r="67" spans="1:8" s="1" customFormat="1" x14ac:dyDescent="0.2">
      <c r="B67" s="76"/>
      <c r="C67" s="76"/>
      <c r="D67" s="76"/>
      <c r="E67" s="62"/>
      <c r="F67" s="77"/>
    </row>
    <row r="68" spans="1:8" s="1" customFormat="1" ht="32.450000000000003" customHeight="1" x14ac:dyDescent="0.4">
      <c r="A68" s="1418" t="s">
        <v>133</v>
      </c>
      <c r="B68" s="1418"/>
      <c r="C68" s="1418"/>
      <c r="D68" s="1418"/>
      <c r="E68" s="1418"/>
      <c r="F68" s="1418"/>
      <c r="G68" s="1418"/>
      <c r="H68" s="1418"/>
    </row>
    <row r="69" spans="1:8" s="1" customFormat="1" x14ac:dyDescent="0.2">
      <c r="A69" s="711"/>
      <c r="B69" s="712"/>
      <c r="C69" s="709"/>
      <c r="D69" s="1348" t="s">
        <v>341</v>
      </c>
      <c r="E69" s="1348"/>
      <c r="F69" s="713"/>
      <c r="G69" s="1322" t="s">
        <v>342</v>
      </c>
      <c r="H69" s="1323"/>
    </row>
    <row r="70" spans="1:8" s="1" customFormat="1" x14ac:dyDescent="0.2">
      <c r="A70" s="708" t="s">
        <v>134</v>
      </c>
      <c r="B70" s="709" t="s">
        <v>337</v>
      </c>
      <c r="C70" s="709" t="s">
        <v>338</v>
      </c>
      <c r="D70" s="92" t="s">
        <v>339</v>
      </c>
      <c r="E70" s="92" t="s">
        <v>340</v>
      </c>
      <c r="F70" s="710"/>
      <c r="G70" s="84" t="s">
        <v>343</v>
      </c>
      <c r="H70" s="202"/>
    </row>
    <row r="71" spans="1:8" s="1" customFormat="1" x14ac:dyDescent="0.2">
      <c r="A71" s="237">
        <v>1</v>
      </c>
      <c r="B71" s="132">
        <f>Eingabeseite!D10</f>
        <v>0.7</v>
      </c>
      <c r="C71" s="132">
        <f>Eingabeseite!D11</f>
        <v>0.2</v>
      </c>
      <c r="D71" s="132">
        <f>Eingabeseite!D12</f>
        <v>0.05</v>
      </c>
      <c r="E71" s="132">
        <f>Eingabeseite!D13</f>
        <v>0.05</v>
      </c>
      <c r="F71" s="132">
        <f>D71+E71</f>
        <v>0.1</v>
      </c>
      <c r="G71" s="236">
        <f>Eingabeseite!D16</f>
        <v>120</v>
      </c>
      <c r="H71" s="236"/>
    </row>
    <row r="72" spans="1:8" s="1" customFormat="1" x14ac:dyDescent="0.2">
      <c r="A72" s="237">
        <v>2</v>
      </c>
      <c r="B72" s="132">
        <f>B71</f>
        <v>0.7</v>
      </c>
      <c r="C72" s="132">
        <f>C71</f>
        <v>0.2</v>
      </c>
      <c r="D72" s="132">
        <f>D71</f>
        <v>0.05</v>
      </c>
      <c r="E72" s="132">
        <f>E71</f>
        <v>0.05</v>
      </c>
      <c r="F72" s="128">
        <f t="shared" ref="F72:F85" si="3">$F$71</f>
        <v>0.1</v>
      </c>
      <c r="G72" s="236">
        <f>G71</f>
        <v>120</v>
      </c>
      <c r="H72" s="236"/>
    </row>
    <row r="73" spans="1:8" s="1" customFormat="1" x14ac:dyDescent="0.2">
      <c r="A73" s="237">
        <v>3</v>
      </c>
      <c r="B73" s="132">
        <f>B71</f>
        <v>0.7</v>
      </c>
      <c r="C73" s="132">
        <f>C71</f>
        <v>0.2</v>
      </c>
      <c r="D73" s="132">
        <f>D71</f>
        <v>0.05</v>
      </c>
      <c r="E73" s="132">
        <f>E71</f>
        <v>0.05</v>
      </c>
      <c r="F73" s="128">
        <f t="shared" si="3"/>
        <v>0.1</v>
      </c>
      <c r="G73" s="236">
        <f>G71</f>
        <v>120</v>
      </c>
      <c r="H73" s="236"/>
    </row>
    <row r="74" spans="1:8" s="1" customFormat="1" x14ac:dyDescent="0.2">
      <c r="A74" s="237">
        <v>4</v>
      </c>
      <c r="B74" s="132">
        <f>B71</f>
        <v>0.7</v>
      </c>
      <c r="C74" s="132">
        <f>C71</f>
        <v>0.2</v>
      </c>
      <c r="D74" s="132">
        <f>D71</f>
        <v>0.05</v>
      </c>
      <c r="E74" s="132">
        <f>E71</f>
        <v>0.05</v>
      </c>
      <c r="F74" s="128">
        <f t="shared" si="3"/>
        <v>0.1</v>
      </c>
      <c r="G74" s="236">
        <f>G71</f>
        <v>120</v>
      </c>
      <c r="H74" s="236"/>
    </row>
    <row r="75" spans="1:8" s="1" customFormat="1" x14ac:dyDescent="0.2">
      <c r="A75" s="238">
        <v>5</v>
      </c>
      <c r="B75" s="132">
        <f>B71</f>
        <v>0.7</v>
      </c>
      <c r="C75" s="132">
        <f>C71</f>
        <v>0.2</v>
      </c>
      <c r="D75" s="132">
        <f>D71</f>
        <v>0.05</v>
      </c>
      <c r="E75" s="132">
        <f>E71</f>
        <v>0.05</v>
      </c>
      <c r="F75" s="128">
        <f t="shared" si="3"/>
        <v>0.1</v>
      </c>
      <c r="G75" s="236">
        <f>G71</f>
        <v>120</v>
      </c>
      <c r="H75" s="236"/>
    </row>
    <row r="76" spans="1:8" s="1" customFormat="1" x14ac:dyDescent="0.2">
      <c r="A76" s="238">
        <v>6</v>
      </c>
      <c r="B76" s="132">
        <f>B71</f>
        <v>0.7</v>
      </c>
      <c r="C76" s="132">
        <f>C71</f>
        <v>0.2</v>
      </c>
      <c r="D76" s="132">
        <f>D71</f>
        <v>0.05</v>
      </c>
      <c r="E76" s="132">
        <f>E71</f>
        <v>0.05</v>
      </c>
      <c r="F76" s="128">
        <f t="shared" si="3"/>
        <v>0.1</v>
      </c>
      <c r="G76" s="236">
        <f>G71</f>
        <v>120</v>
      </c>
      <c r="H76" s="236"/>
    </row>
    <row r="77" spans="1:8" s="1" customFormat="1" x14ac:dyDescent="0.2">
      <c r="A77" s="238">
        <v>7</v>
      </c>
      <c r="B77" s="132">
        <f>B71</f>
        <v>0.7</v>
      </c>
      <c r="C77" s="132">
        <f>C71</f>
        <v>0.2</v>
      </c>
      <c r="D77" s="132">
        <f>D71</f>
        <v>0.05</v>
      </c>
      <c r="E77" s="132">
        <f>E71</f>
        <v>0.05</v>
      </c>
      <c r="F77" s="128">
        <f t="shared" si="3"/>
        <v>0.1</v>
      </c>
      <c r="G77" s="236">
        <f>G71</f>
        <v>120</v>
      </c>
      <c r="H77" s="236"/>
    </row>
    <row r="78" spans="1:8" s="1" customFormat="1" x14ac:dyDescent="0.2">
      <c r="A78" s="238">
        <v>8</v>
      </c>
      <c r="B78" s="132">
        <f>B71</f>
        <v>0.7</v>
      </c>
      <c r="C78" s="132">
        <f>C71</f>
        <v>0.2</v>
      </c>
      <c r="D78" s="132">
        <f>D71</f>
        <v>0.05</v>
      </c>
      <c r="E78" s="132">
        <f>E71</f>
        <v>0.05</v>
      </c>
      <c r="F78" s="128">
        <f t="shared" si="3"/>
        <v>0.1</v>
      </c>
      <c r="G78" s="236">
        <f>G71</f>
        <v>120</v>
      </c>
      <c r="H78" s="236"/>
    </row>
    <row r="79" spans="1:8" s="1" customFormat="1" x14ac:dyDescent="0.2">
      <c r="A79" s="238">
        <v>9</v>
      </c>
      <c r="B79" s="132">
        <f>B71</f>
        <v>0.7</v>
      </c>
      <c r="C79" s="132">
        <f>C71</f>
        <v>0.2</v>
      </c>
      <c r="D79" s="132">
        <f>D71</f>
        <v>0.05</v>
      </c>
      <c r="E79" s="132">
        <f>E71</f>
        <v>0.05</v>
      </c>
      <c r="F79" s="128">
        <f t="shared" si="3"/>
        <v>0.1</v>
      </c>
      <c r="G79" s="236">
        <f>G71</f>
        <v>120</v>
      </c>
      <c r="H79" s="236"/>
    </row>
    <row r="80" spans="1:8" s="1" customFormat="1" x14ac:dyDescent="0.2">
      <c r="A80" s="238">
        <v>10</v>
      </c>
      <c r="B80" s="132">
        <f>B71</f>
        <v>0.7</v>
      </c>
      <c r="C80" s="132">
        <f>C71</f>
        <v>0.2</v>
      </c>
      <c r="D80" s="132">
        <f>D71</f>
        <v>0.05</v>
      </c>
      <c r="E80" s="132">
        <f>E71</f>
        <v>0.05</v>
      </c>
      <c r="F80" s="128">
        <f t="shared" si="3"/>
        <v>0.1</v>
      </c>
      <c r="G80" s="236">
        <f>G71</f>
        <v>120</v>
      </c>
      <c r="H80" s="236"/>
    </row>
    <row r="81" spans="1:8" s="1" customFormat="1" x14ac:dyDescent="0.2">
      <c r="A81" s="238">
        <v>11</v>
      </c>
      <c r="B81" s="132">
        <f>B71</f>
        <v>0.7</v>
      </c>
      <c r="C81" s="132">
        <f>C71</f>
        <v>0.2</v>
      </c>
      <c r="D81" s="132">
        <f>D71</f>
        <v>0.05</v>
      </c>
      <c r="E81" s="132">
        <f>E71</f>
        <v>0.05</v>
      </c>
      <c r="F81" s="128">
        <f t="shared" si="3"/>
        <v>0.1</v>
      </c>
      <c r="G81" s="236">
        <f>G71</f>
        <v>120</v>
      </c>
      <c r="H81" s="236"/>
    </row>
    <row r="82" spans="1:8" s="1" customFormat="1" x14ac:dyDescent="0.2">
      <c r="A82" s="238">
        <v>12</v>
      </c>
      <c r="B82" s="132">
        <f>B71</f>
        <v>0.7</v>
      </c>
      <c r="C82" s="132">
        <f>C71</f>
        <v>0.2</v>
      </c>
      <c r="D82" s="132">
        <f>D71</f>
        <v>0.05</v>
      </c>
      <c r="E82" s="132">
        <f>E71</f>
        <v>0.05</v>
      </c>
      <c r="F82" s="128">
        <f t="shared" si="3"/>
        <v>0.1</v>
      </c>
      <c r="G82" s="236">
        <f>G71</f>
        <v>120</v>
      </c>
      <c r="H82" s="236"/>
    </row>
    <row r="83" spans="1:8" s="1" customFormat="1" x14ac:dyDescent="0.2">
      <c r="A83" s="313">
        <v>13</v>
      </c>
      <c r="B83" s="132">
        <f>B71</f>
        <v>0.7</v>
      </c>
      <c r="C83" s="132">
        <f>C71</f>
        <v>0.2</v>
      </c>
      <c r="D83" s="132">
        <f>D71</f>
        <v>0.05</v>
      </c>
      <c r="E83" s="132">
        <f>E71</f>
        <v>0.05</v>
      </c>
      <c r="F83" s="128">
        <f t="shared" si="3"/>
        <v>0.1</v>
      </c>
      <c r="G83" s="236">
        <f>G71</f>
        <v>120</v>
      </c>
      <c r="H83" s="236"/>
    </row>
    <row r="84" spans="1:8" s="1" customFormat="1" x14ac:dyDescent="0.2">
      <c r="A84" s="313">
        <v>14</v>
      </c>
      <c r="B84" s="132">
        <f>B71</f>
        <v>0.7</v>
      </c>
      <c r="C84" s="132">
        <f>C71</f>
        <v>0.2</v>
      </c>
      <c r="D84" s="132">
        <f>D71</f>
        <v>0.05</v>
      </c>
      <c r="E84" s="132">
        <f>E71</f>
        <v>0.05</v>
      </c>
      <c r="F84" s="128">
        <f t="shared" si="3"/>
        <v>0.1</v>
      </c>
      <c r="G84" s="236">
        <f>G71</f>
        <v>120</v>
      </c>
      <c r="H84" s="236"/>
    </row>
    <row r="85" spans="1:8" s="1" customFormat="1" x14ac:dyDescent="0.2">
      <c r="A85" s="313">
        <v>15</v>
      </c>
      <c r="B85" s="132">
        <f>B71</f>
        <v>0.7</v>
      </c>
      <c r="C85" s="132">
        <f>C71</f>
        <v>0.2</v>
      </c>
      <c r="D85" s="132">
        <f>D71</f>
        <v>0.05</v>
      </c>
      <c r="E85" s="132">
        <f>E71</f>
        <v>0.05</v>
      </c>
      <c r="F85" s="128">
        <f t="shared" si="3"/>
        <v>0.1</v>
      </c>
      <c r="G85" s="236">
        <f>G71</f>
        <v>120</v>
      </c>
      <c r="H85" s="236"/>
    </row>
    <row r="86" spans="1:8" s="1" customFormat="1" x14ac:dyDescent="0.2">
      <c r="A86" s="398" t="s">
        <v>193</v>
      </c>
      <c r="B86" s="470">
        <f t="shared" ref="B86:G86" si="4">AVERAGE(B74:B85)</f>
        <v>0.70000000000000007</v>
      </c>
      <c r="C86" s="470">
        <f t="shared" si="4"/>
        <v>0.19999999999999998</v>
      </c>
      <c r="D86" s="470">
        <f t="shared" si="4"/>
        <v>4.9999999999999996E-2</v>
      </c>
      <c r="E86" s="470">
        <f t="shared" si="4"/>
        <v>4.9999999999999996E-2</v>
      </c>
      <c r="F86" s="470">
        <f t="shared" si="4"/>
        <v>9.9999999999999992E-2</v>
      </c>
      <c r="G86" s="471">
        <f t="shared" si="4"/>
        <v>120</v>
      </c>
      <c r="H86" s="471"/>
    </row>
    <row r="87" spans="1:8" s="1" customFormat="1" x14ac:dyDescent="0.2">
      <c r="A87" s="318" t="s">
        <v>194</v>
      </c>
      <c r="B87" s="472">
        <f t="shared" ref="B87:G87" si="5">AVERAGE(B71:B85)</f>
        <v>0.69999999999999984</v>
      </c>
      <c r="C87" s="472">
        <f t="shared" si="5"/>
        <v>0.20000000000000004</v>
      </c>
      <c r="D87" s="472">
        <f t="shared" si="5"/>
        <v>5.000000000000001E-2</v>
      </c>
      <c r="E87" s="472">
        <f t="shared" si="5"/>
        <v>5.000000000000001E-2</v>
      </c>
      <c r="F87" s="472">
        <f t="shared" si="5"/>
        <v>0.10000000000000002</v>
      </c>
      <c r="G87" s="473">
        <f t="shared" si="5"/>
        <v>120</v>
      </c>
      <c r="H87" s="471"/>
    </row>
    <row r="88" spans="1:8" s="1" customFormat="1" x14ac:dyDescent="0.2">
      <c r="B88" s="76"/>
      <c r="C88" s="76"/>
      <c r="D88" s="76"/>
      <c r="E88" s="62"/>
      <c r="F88" s="77"/>
      <c r="H88" s="19"/>
    </row>
    <row r="89" spans="1:8" s="1" customFormat="1" ht="32.450000000000003" customHeight="1" x14ac:dyDescent="0.4">
      <c r="A89" s="1418" t="s">
        <v>345</v>
      </c>
      <c r="B89" s="1418"/>
      <c r="C89" s="1418"/>
      <c r="D89" s="1418"/>
      <c r="E89" s="1418"/>
      <c r="F89" s="1418"/>
      <c r="G89" s="1418"/>
      <c r="H89" s="1418"/>
    </row>
    <row r="90" spans="1:8" s="1" customFormat="1" ht="22.5" customHeight="1" x14ac:dyDescent="0.45">
      <c r="A90" s="714"/>
      <c r="B90" s="253"/>
      <c r="C90" s="253"/>
      <c r="D90" s="1426" t="s">
        <v>344</v>
      </c>
      <c r="E90" s="1425" t="s">
        <v>166</v>
      </c>
      <c r="F90" s="254"/>
      <c r="G90" s="115"/>
      <c r="H90" s="155"/>
    </row>
    <row r="91" spans="1:8" s="1" customFormat="1" ht="29.25" customHeight="1" x14ac:dyDescent="0.2">
      <c r="A91" s="19"/>
      <c r="B91" s="200" t="s">
        <v>122</v>
      </c>
      <c r="C91" s="200" t="s">
        <v>123</v>
      </c>
      <c r="D91" s="1426"/>
      <c r="E91" s="1425"/>
      <c r="F91" s="241" t="s">
        <v>125</v>
      </c>
      <c r="G91" s="142" t="s">
        <v>126</v>
      </c>
    </row>
    <row r="92" spans="1:8" s="1" customFormat="1" ht="13.5" thickBot="1" x14ac:dyDescent="0.25">
      <c r="A92" s="19"/>
      <c r="B92" s="139" t="s">
        <v>124</v>
      </c>
      <c r="C92" s="139" t="s">
        <v>124</v>
      </c>
      <c r="D92" s="139" t="s">
        <v>124</v>
      </c>
      <c r="E92" s="139" t="s">
        <v>124</v>
      </c>
      <c r="F92" s="139" t="s">
        <v>124</v>
      </c>
      <c r="G92" s="139" t="s">
        <v>124</v>
      </c>
    </row>
    <row r="93" spans="1:8" s="1" customFormat="1" x14ac:dyDescent="0.2">
      <c r="A93" s="73" t="s">
        <v>77</v>
      </c>
      <c r="B93" s="590">
        <v>10</v>
      </c>
      <c r="C93" s="590">
        <v>10</v>
      </c>
      <c r="D93" s="590">
        <v>120</v>
      </c>
      <c r="E93" s="591">
        <f>Eingabeseite!D26</f>
        <v>150</v>
      </c>
      <c r="F93" s="592">
        <v>30</v>
      </c>
      <c r="G93" s="593">
        <v>10</v>
      </c>
    </row>
    <row r="94" spans="1:8" s="1" customFormat="1" x14ac:dyDescent="0.2">
      <c r="A94" s="1" t="s">
        <v>99</v>
      </c>
      <c r="B94" s="591">
        <v>10</v>
      </c>
      <c r="C94" s="591">
        <v>10</v>
      </c>
      <c r="D94" s="591">
        <v>50</v>
      </c>
      <c r="E94" s="591">
        <v>0</v>
      </c>
      <c r="F94" s="592">
        <v>10</v>
      </c>
      <c r="G94" s="593">
        <v>10</v>
      </c>
    </row>
    <row r="95" spans="1:8" s="1" customFormat="1" x14ac:dyDescent="0.2">
      <c r="A95" s="1" t="s">
        <v>127</v>
      </c>
      <c r="B95" s="591">
        <v>10</v>
      </c>
      <c r="C95" s="591">
        <v>10</v>
      </c>
      <c r="D95" s="591">
        <v>50</v>
      </c>
      <c r="E95" s="591">
        <v>20</v>
      </c>
      <c r="F95" s="592">
        <v>10</v>
      </c>
      <c r="G95" s="593">
        <v>10</v>
      </c>
    </row>
    <row r="96" spans="1:8" s="1" customFormat="1" x14ac:dyDescent="0.2">
      <c r="A96" s="1" t="s">
        <v>148</v>
      </c>
      <c r="B96" s="137" t="s">
        <v>128</v>
      </c>
      <c r="C96" s="137"/>
      <c r="D96" s="137"/>
      <c r="E96" s="137"/>
      <c r="F96" s="77"/>
    </row>
    <row r="97" spans="1:8" s="1" customFormat="1" x14ac:dyDescent="0.2">
      <c r="B97" s="137"/>
      <c r="C97" s="137"/>
      <c r="D97" s="137"/>
      <c r="E97" s="137"/>
      <c r="F97" s="77"/>
    </row>
    <row r="98" spans="1:8" x14ac:dyDescent="0.2">
      <c r="G98" s="1"/>
    </row>
    <row r="99" spans="1:8" s="1" customFormat="1" ht="26.25" x14ac:dyDescent="0.4">
      <c r="A99" s="1418" t="s">
        <v>622</v>
      </c>
      <c r="B99" s="1418"/>
      <c r="C99" s="1418"/>
      <c r="D99" s="1418"/>
      <c r="E99" s="1418"/>
      <c r="F99" s="1418"/>
      <c r="G99" s="1418"/>
      <c r="H99" s="1418"/>
    </row>
    <row r="100" spans="1:8" ht="22.7" customHeight="1" x14ac:dyDescent="0.2">
      <c r="A100" s="1"/>
      <c r="B100" s="266" t="s">
        <v>360</v>
      </c>
      <c r="C100" s="266" t="s">
        <v>639</v>
      </c>
      <c r="D100" s="266" t="s">
        <v>640</v>
      </c>
      <c r="E100" s="252"/>
      <c r="G100" s="1"/>
    </row>
    <row r="101" spans="1:8" x14ac:dyDescent="0.2">
      <c r="A101" s="267" t="s">
        <v>56</v>
      </c>
      <c r="B101" s="639">
        <f>0.95</f>
        <v>0.95</v>
      </c>
      <c r="C101" s="1353">
        <v>0.43</v>
      </c>
      <c r="D101" s="1353">
        <f>350/1000</f>
        <v>0.35</v>
      </c>
      <c r="E101" s="157"/>
      <c r="G101" s="1"/>
    </row>
    <row r="102" spans="1:8" x14ac:dyDescent="0.2">
      <c r="A102" s="138"/>
      <c r="B102" s="640"/>
      <c r="C102" s="1354"/>
      <c r="D102" s="1355"/>
      <c r="G102" s="1"/>
    </row>
    <row r="103" spans="1:8" x14ac:dyDescent="0.2">
      <c r="A103" s="261" t="s">
        <v>85</v>
      </c>
      <c r="B103" s="641">
        <v>0</v>
      </c>
      <c r="C103" s="1356">
        <v>0</v>
      </c>
      <c r="D103" s="1356">
        <v>0</v>
      </c>
      <c r="G103" s="1"/>
    </row>
    <row r="104" spans="1:8" x14ac:dyDescent="0.2">
      <c r="A104" s="67"/>
      <c r="B104" s="445"/>
      <c r="C104" s="1358"/>
      <c r="D104" s="1359"/>
      <c r="G104" s="1"/>
    </row>
    <row r="105" spans="1:8" x14ac:dyDescent="0.2">
      <c r="A105" s="261" t="s">
        <v>99</v>
      </c>
      <c r="B105" s="641">
        <v>50</v>
      </c>
      <c r="C105" s="1356">
        <v>50</v>
      </c>
      <c r="D105" s="1356">
        <v>0</v>
      </c>
      <c r="G105" s="1"/>
    </row>
    <row r="106" spans="1:8" x14ac:dyDescent="0.2">
      <c r="A106" s="109" t="s">
        <v>137</v>
      </c>
      <c r="B106" s="443">
        <v>0</v>
      </c>
      <c r="C106" s="1359">
        <v>0</v>
      </c>
      <c r="D106" s="1359">
        <v>0</v>
      </c>
      <c r="G106" s="1"/>
    </row>
    <row r="107" spans="1:8" x14ac:dyDescent="0.2">
      <c r="A107" s="261" t="s">
        <v>100</v>
      </c>
      <c r="B107" s="641">
        <v>100</v>
      </c>
      <c r="C107" s="1356">
        <v>125</v>
      </c>
      <c r="D107" s="1356">
        <v>0</v>
      </c>
      <c r="G107" s="1"/>
    </row>
    <row r="108" spans="1:8" x14ac:dyDescent="0.2">
      <c r="A108" s="109" t="s">
        <v>137</v>
      </c>
      <c r="B108" s="443">
        <v>1</v>
      </c>
      <c r="C108" s="1359">
        <v>0</v>
      </c>
      <c r="D108" s="1359">
        <v>0</v>
      </c>
      <c r="G108" s="1"/>
    </row>
    <row r="109" spans="1:8" x14ac:dyDescent="0.2">
      <c r="A109" s="261" t="s">
        <v>101</v>
      </c>
      <c r="B109" s="641">
        <v>150</v>
      </c>
      <c r="C109" s="1356">
        <v>200</v>
      </c>
      <c r="D109" s="1356">
        <v>0</v>
      </c>
      <c r="G109" s="1"/>
    </row>
    <row r="110" spans="1:8" x14ac:dyDescent="0.2">
      <c r="A110" s="109" t="s">
        <v>137</v>
      </c>
      <c r="B110" s="443">
        <v>1</v>
      </c>
      <c r="C110" s="1359">
        <v>1</v>
      </c>
      <c r="D110" s="1359">
        <v>0</v>
      </c>
      <c r="G110" s="1"/>
    </row>
    <row r="111" spans="1:8" x14ac:dyDescent="0.2">
      <c r="A111" s="261" t="s">
        <v>77</v>
      </c>
      <c r="B111" s="641">
        <v>200</v>
      </c>
      <c r="C111" s="1356">
        <v>400</v>
      </c>
      <c r="D111" s="1357">
        <v>1000</v>
      </c>
      <c r="G111" s="1"/>
    </row>
    <row r="112" spans="1:8" x14ac:dyDescent="0.2">
      <c r="A112" s="109" t="s">
        <v>137</v>
      </c>
      <c r="B112" s="443">
        <v>2</v>
      </c>
      <c r="C112" s="1359">
        <v>1</v>
      </c>
      <c r="D112" s="1359">
        <v>1</v>
      </c>
      <c r="G112" s="1"/>
    </row>
    <row r="113" spans="1:8" x14ac:dyDescent="0.2">
      <c r="A113" s="1"/>
      <c r="G113" s="1"/>
    </row>
    <row r="114" spans="1:8" s="1" customFormat="1" ht="26.25" x14ac:dyDescent="0.4">
      <c r="A114" s="1418" t="s">
        <v>637</v>
      </c>
      <c r="B114" s="1418"/>
      <c r="C114" s="1418"/>
      <c r="D114" s="1418"/>
      <c r="E114" s="1418"/>
      <c r="F114" s="1418"/>
      <c r="G114" s="1418"/>
      <c r="H114" s="1418"/>
    </row>
    <row r="115" spans="1:8" ht="18" x14ac:dyDescent="0.25">
      <c r="A115" s="476"/>
      <c r="B115" s="1367" t="s">
        <v>39</v>
      </c>
      <c r="C115" s="476" t="s">
        <v>40</v>
      </c>
      <c r="D115" s="476" t="s">
        <v>648</v>
      </c>
      <c r="E115" s="476"/>
      <c r="F115" s="476"/>
    </row>
    <row r="116" spans="1:8" ht="12.95" customHeight="1" thickBot="1" x14ac:dyDescent="0.3">
      <c r="A116" s="476"/>
      <c r="B116" s="139" t="s">
        <v>22</v>
      </c>
      <c r="C116" s="139" t="s">
        <v>22</v>
      </c>
      <c r="D116" s="139" t="s">
        <v>22</v>
      </c>
      <c r="E116" s="476"/>
      <c r="F116" s="476"/>
    </row>
    <row r="117" spans="1:8" ht="11.65" customHeight="1" x14ac:dyDescent="0.25">
      <c r="A117" s="41" t="s">
        <v>296</v>
      </c>
      <c r="B117" s="1403">
        <v>1209</v>
      </c>
      <c r="C117" s="1403">
        <v>1209</v>
      </c>
      <c r="D117" s="1403">
        <v>2844</v>
      </c>
      <c r="E117" s="476"/>
      <c r="F117" s="476"/>
    </row>
    <row r="118" spans="1:8" ht="11.65" customHeight="1" x14ac:dyDescent="0.25">
      <c r="A118" s="41" t="s">
        <v>606</v>
      </c>
      <c r="B118" s="1403">
        <v>0</v>
      </c>
      <c r="C118" s="1403">
        <v>0</v>
      </c>
      <c r="D118" s="1403">
        <v>1057</v>
      </c>
      <c r="E118" s="476"/>
      <c r="F118" s="476"/>
    </row>
    <row r="119" spans="1:8" ht="11.65" customHeight="1" x14ac:dyDescent="0.25">
      <c r="A119" s="41" t="s">
        <v>297</v>
      </c>
      <c r="B119" s="1403">
        <v>491</v>
      </c>
      <c r="C119" s="1403">
        <v>491</v>
      </c>
      <c r="D119" s="1403">
        <v>1241</v>
      </c>
      <c r="E119" s="476"/>
      <c r="F119" s="476"/>
    </row>
    <row r="120" spans="1:8" ht="11.65" customHeight="1" x14ac:dyDescent="0.25">
      <c r="A120" s="41" t="s">
        <v>298</v>
      </c>
      <c r="B120" s="1403">
        <v>0</v>
      </c>
      <c r="C120" s="1403">
        <v>0</v>
      </c>
      <c r="D120" s="1403">
        <v>430</v>
      </c>
      <c r="E120" s="476"/>
      <c r="F120" s="476"/>
    </row>
    <row r="121" spans="1:8" ht="11.65" customHeight="1" x14ac:dyDescent="0.25">
      <c r="A121" s="41" t="s">
        <v>285</v>
      </c>
      <c r="B121" s="1403">
        <v>0</v>
      </c>
      <c r="C121" s="1403">
        <v>0</v>
      </c>
      <c r="D121" s="1403">
        <v>10</v>
      </c>
      <c r="E121" s="476"/>
      <c r="F121" s="476"/>
    </row>
    <row r="122" spans="1:8" ht="11.65" customHeight="1" x14ac:dyDescent="0.25">
      <c r="A122" s="41" t="s">
        <v>638</v>
      </c>
      <c r="B122" s="1403">
        <v>0</v>
      </c>
      <c r="C122" s="1403">
        <v>0</v>
      </c>
      <c r="D122" s="1403">
        <v>360</v>
      </c>
      <c r="E122" s="476"/>
      <c r="F122" s="476"/>
    </row>
    <row r="123" spans="1:8" x14ac:dyDescent="0.2">
      <c r="A123" s="41"/>
      <c r="B123" s="19"/>
      <c r="C123" s="46"/>
      <c r="D123" s="43"/>
      <c r="E123" s="43"/>
      <c r="F123" s="43"/>
      <c r="G123" s="19"/>
      <c r="H123" s="19"/>
    </row>
    <row r="124" spans="1:8" s="19" customFormat="1" x14ac:dyDescent="0.2">
      <c r="C124" s="46"/>
      <c r="D124" s="43"/>
      <c r="E124" s="43"/>
      <c r="F124" s="43"/>
    </row>
    <row r="125" spans="1:8" ht="26.25" x14ac:dyDescent="0.4">
      <c r="A125" s="1418" t="s">
        <v>623</v>
      </c>
      <c r="B125" s="1418"/>
      <c r="C125" s="1418"/>
      <c r="D125" s="1418"/>
      <c r="E125" s="1418"/>
      <c r="F125" s="1418"/>
      <c r="G125" s="1418"/>
      <c r="H125" s="1418"/>
    </row>
    <row r="126" spans="1:8" x14ac:dyDescent="0.2">
      <c r="A126" s="1424"/>
      <c r="B126" s="1424"/>
      <c r="D126" s="11"/>
      <c r="E126" s="11"/>
      <c r="F126" s="11"/>
      <c r="G126" s="13"/>
    </row>
    <row r="127" spans="1:8" x14ac:dyDescent="0.2">
      <c r="A127" s="1423" t="s">
        <v>149</v>
      </c>
      <c r="B127" s="1423"/>
      <c r="C127" s="1423"/>
      <c r="D127" s="11"/>
      <c r="E127" s="11"/>
      <c r="F127" s="11"/>
      <c r="G127" s="13"/>
    </row>
    <row r="128" spans="1:8" x14ac:dyDescent="0.2">
      <c r="A128" s="67"/>
      <c r="B128" s="142"/>
      <c r="C128" s="90"/>
      <c r="D128" s="11"/>
      <c r="E128" s="11"/>
      <c r="F128" s="11"/>
    </row>
    <row r="129" spans="1:9" ht="15" x14ac:dyDescent="0.25">
      <c r="A129" s="13"/>
      <c r="B129" s="718" t="s">
        <v>90</v>
      </c>
      <c r="C129" s="11"/>
      <c r="D129" s="11"/>
      <c r="E129" s="11"/>
      <c r="F129" s="13"/>
      <c r="G129" s="84" t="s">
        <v>347</v>
      </c>
      <c r="H129" s="13"/>
      <c r="I129" s="13"/>
    </row>
    <row r="130" spans="1:9" ht="18" customHeight="1" x14ac:dyDescent="0.2">
      <c r="A130" s="531" t="s">
        <v>24</v>
      </c>
      <c r="B130" s="85" t="s">
        <v>452</v>
      </c>
      <c r="C130" s="90"/>
      <c r="D130" s="234">
        <f>D143</f>
        <v>41</v>
      </c>
      <c r="E130" s="11"/>
      <c r="F130" s="715" t="s">
        <v>196</v>
      </c>
      <c r="G130" s="1376">
        <v>17.75</v>
      </c>
      <c r="H130" s="531">
        <v>0.25</v>
      </c>
      <c r="I130" s="13"/>
    </row>
    <row r="131" spans="1:9" ht="18" customHeight="1" x14ac:dyDescent="0.2">
      <c r="A131" s="670"/>
      <c r="B131" s="85"/>
      <c r="C131" s="90"/>
      <c r="D131" s="90"/>
      <c r="E131" s="107"/>
      <c r="F131" s="11"/>
      <c r="G131" s="112"/>
      <c r="H131" s="13"/>
      <c r="I131" s="13"/>
    </row>
    <row r="132" spans="1:9" x14ac:dyDescent="0.2">
      <c r="A132" s="142"/>
      <c r="B132" s="142"/>
      <c r="C132" s="118" t="s">
        <v>104</v>
      </c>
      <c r="D132" s="291" t="s">
        <v>105</v>
      </c>
      <c r="E132" s="92" t="s">
        <v>11</v>
      </c>
      <c r="F132" s="92" t="s">
        <v>346</v>
      </c>
      <c r="G132" s="84" t="s">
        <v>347</v>
      </c>
      <c r="H132" s="92"/>
    </row>
    <row r="133" spans="1:9" x14ac:dyDescent="0.2">
      <c r="A133" s="1417" t="s">
        <v>103</v>
      </c>
      <c r="B133" s="41" t="s">
        <v>649</v>
      </c>
      <c r="C133" s="477">
        <v>1</v>
      </c>
      <c r="D133" s="1374">
        <v>37</v>
      </c>
      <c r="E133" s="247"/>
      <c r="F133" s="246"/>
      <c r="G133" s="1373">
        <v>11.67</v>
      </c>
      <c r="H133" s="246"/>
      <c r="I133" s="419"/>
    </row>
    <row r="134" spans="1:9" x14ac:dyDescent="0.2">
      <c r="A134" s="1417"/>
      <c r="B134" s="41" t="s">
        <v>642</v>
      </c>
      <c r="C134" s="477">
        <v>1</v>
      </c>
      <c r="D134" s="1374">
        <f>42+27</f>
        <v>69</v>
      </c>
      <c r="E134" s="247"/>
      <c r="F134" s="246"/>
      <c r="G134" s="1373">
        <f>6.07+7.15</f>
        <v>13.22</v>
      </c>
      <c r="H134" s="246"/>
      <c r="I134" s="411"/>
    </row>
    <row r="135" spans="1:9" ht="13.5" customHeight="1" x14ac:dyDescent="0.2">
      <c r="A135" s="1417"/>
      <c r="B135" s="142" t="s">
        <v>88</v>
      </c>
      <c r="C135" s="477">
        <v>1</v>
      </c>
      <c r="D135" s="1374">
        <v>18</v>
      </c>
      <c r="E135" s="247"/>
      <c r="F135" s="246"/>
      <c r="G135" s="1373">
        <v>7.03</v>
      </c>
      <c r="H135" s="246"/>
      <c r="I135" s="419"/>
    </row>
    <row r="136" spans="1:9" ht="12.95" customHeight="1" x14ac:dyDescent="0.2">
      <c r="A136" s="1417"/>
      <c r="B136" s="142" t="s">
        <v>195</v>
      </c>
      <c r="C136" s="1324">
        <v>960</v>
      </c>
      <c r="D136" s="1374">
        <v>9.1999999999999993</v>
      </c>
      <c r="E136" s="248">
        <v>4</v>
      </c>
      <c r="F136" s="246"/>
      <c r="G136" s="1373">
        <v>1.53</v>
      </c>
      <c r="H136" s="246"/>
      <c r="I136" s="419"/>
    </row>
    <row r="137" spans="1:9" ht="12.95" customHeight="1" x14ac:dyDescent="0.2">
      <c r="A137" s="1417"/>
      <c r="B137" s="41" t="s">
        <v>643</v>
      </c>
      <c r="C137" s="477">
        <v>1</v>
      </c>
      <c r="D137" s="1374">
        <v>42</v>
      </c>
      <c r="E137" s="43">
        <v>7</v>
      </c>
      <c r="F137" s="246"/>
      <c r="G137" s="1373">
        <v>14.5</v>
      </c>
      <c r="H137" s="246"/>
      <c r="I137" s="419"/>
    </row>
    <row r="138" spans="1:9" ht="12.95" customHeight="1" x14ac:dyDescent="0.2">
      <c r="A138" s="1417"/>
      <c r="B138" s="142" t="s">
        <v>61</v>
      </c>
      <c r="C138" s="477">
        <v>2</v>
      </c>
      <c r="D138" s="80">
        <f t="shared" ref="D138" si="6">H138</f>
        <v>68.3</v>
      </c>
      <c r="E138" s="43">
        <v>1</v>
      </c>
      <c r="F138" s="479">
        <v>39.26</v>
      </c>
      <c r="G138" s="479">
        <v>29.05</v>
      </c>
      <c r="H138" s="246">
        <f t="shared" ref="H138" si="7">ROUND(F138+G138,1)</f>
        <v>68.3</v>
      </c>
      <c r="I138" s="419"/>
    </row>
    <row r="139" spans="1:9" ht="12.95" customHeight="1" x14ac:dyDescent="0.2">
      <c r="A139" s="1417"/>
      <c r="B139" s="142" t="s">
        <v>138</v>
      </c>
      <c r="C139" s="90"/>
      <c r="D139" s="716">
        <v>500</v>
      </c>
      <c r="E139" s="43"/>
      <c r="F139" s="246"/>
      <c r="G139" s="246"/>
      <c r="H139" s="246"/>
    </row>
    <row r="140" spans="1:9" ht="12.95" customHeight="1" x14ac:dyDescent="0.2">
      <c r="A140" s="1417"/>
      <c r="B140" s="142" t="s">
        <v>577</v>
      </c>
      <c r="C140" s="477">
        <f>1/6</f>
        <v>0.16666666666666666</v>
      </c>
      <c r="D140" s="1372">
        <v>17.5</v>
      </c>
      <c r="E140" s="43">
        <v>1</v>
      </c>
      <c r="F140" s="246"/>
      <c r="G140" s="1373">
        <v>3.98</v>
      </c>
      <c r="H140" s="246"/>
      <c r="I140" s="419"/>
    </row>
    <row r="141" spans="1:9" x14ac:dyDescent="0.2">
      <c r="A141" s="85"/>
      <c r="B141" s="142"/>
      <c r="C141" s="245"/>
      <c r="D141" s="90"/>
      <c r="E141" s="11"/>
      <c r="F141" s="124"/>
      <c r="G141" s="124"/>
      <c r="H141" s="124"/>
    </row>
    <row r="142" spans="1:9" ht="17.45" customHeight="1" x14ac:dyDescent="0.25">
      <c r="A142" s="48"/>
      <c r="B142" s="718" t="s">
        <v>97</v>
      </c>
      <c r="C142" s="118" t="s">
        <v>75</v>
      </c>
      <c r="D142" s="92" t="s">
        <v>21</v>
      </c>
      <c r="E142" s="92"/>
      <c r="F142" s="710"/>
      <c r="G142" s="710"/>
      <c r="H142" s="92"/>
    </row>
    <row r="143" spans="1:9" x14ac:dyDescent="0.2">
      <c r="A143" s="719" t="s">
        <v>24</v>
      </c>
      <c r="B143" s="85" t="s">
        <v>615</v>
      </c>
      <c r="C143" s="245" t="s">
        <v>2</v>
      </c>
      <c r="D143" s="1375">
        <v>41</v>
      </c>
      <c r="E143" s="11"/>
      <c r="F143" s="605"/>
      <c r="G143" s="605"/>
      <c r="H143" s="246"/>
      <c r="I143" s="419"/>
    </row>
    <row r="144" spans="1:9" x14ac:dyDescent="0.2">
      <c r="A144" s="1417" t="s">
        <v>103</v>
      </c>
      <c r="B144" s="142" t="s">
        <v>162</v>
      </c>
      <c r="C144" s="480">
        <v>3.8</v>
      </c>
      <c r="D144" s="1377">
        <v>23</v>
      </c>
      <c r="E144" s="11"/>
      <c r="F144" s="605"/>
      <c r="G144" s="605"/>
      <c r="H144" s="246"/>
      <c r="I144" s="419"/>
    </row>
    <row r="145" spans="1:9" x14ac:dyDescent="0.2">
      <c r="A145" s="1417"/>
      <c r="B145" s="41" t="s">
        <v>617</v>
      </c>
      <c r="C145" s="480">
        <v>1.8</v>
      </c>
      <c r="D145" s="1377">
        <v>101</v>
      </c>
      <c r="E145" s="11"/>
      <c r="F145" s="605"/>
      <c r="G145" s="605"/>
      <c r="H145" s="246"/>
    </row>
    <row r="146" spans="1:9" x14ac:dyDescent="0.2">
      <c r="A146" s="1417"/>
      <c r="B146" s="142" t="s">
        <v>87</v>
      </c>
      <c r="C146" s="480">
        <v>1.6</v>
      </c>
      <c r="D146" s="1377">
        <v>90</v>
      </c>
      <c r="E146" s="11"/>
      <c r="F146" s="605"/>
      <c r="G146" s="605"/>
      <c r="H146" s="246"/>
      <c r="I146" s="419"/>
    </row>
    <row r="147" spans="1:9" x14ac:dyDescent="0.2">
      <c r="A147" s="1417"/>
      <c r="B147" s="142" t="s">
        <v>89</v>
      </c>
      <c r="C147" s="481">
        <v>0.1</v>
      </c>
      <c r="D147" s="90">
        <f>H147</f>
        <v>14.1</v>
      </c>
      <c r="E147" s="11"/>
      <c r="F147" s="479">
        <v>11.99</v>
      </c>
      <c r="G147" s="479">
        <v>2.0699999999999998</v>
      </c>
      <c r="H147" s="246">
        <f t="shared" ref="H147:H148" si="8">ROUND(F147+G147,1)</f>
        <v>14.1</v>
      </c>
      <c r="I147" s="419"/>
    </row>
    <row r="148" spans="1:9" x14ac:dyDescent="0.2">
      <c r="A148" s="1417"/>
      <c r="B148" s="142" t="s">
        <v>386</v>
      </c>
      <c r="C148" s="249"/>
      <c r="D148" s="90">
        <f>H148</f>
        <v>23.5</v>
      </c>
      <c r="E148" s="11"/>
      <c r="F148" s="479">
        <v>20.22</v>
      </c>
      <c r="G148" s="479">
        <v>3.24</v>
      </c>
      <c r="H148" s="246">
        <f t="shared" si="8"/>
        <v>23.5</v>
      </c>
      <c r="I148" s="419"/>
    </row>
    <row r="149" spans="1:9" x14ac:dyDescent="0.2">
      <c r="A149" s="1417"/>
      <c r="B149" s="142" t="s">
        <v>375</v>
      </c>
      <c r="C149" s="249" t="s">
        <v>385</v>
      </c>
      <c r="D149" s="482">
        <v>150</v>
      </c>
      <c r="E149" s="11"/>
      <c r="F149" s="246"/>
      <c r="G149" s="246"/>
      <c r="H149" s="246"/>
    </row>
    <row r="150" spans="1:9" x14ac:dyDescent="0.2">
      <c r="A150" s="1417"/>
      <c r="B150" s="142" t="s">
        <v>577</v>
      </c>
      <c r="C150" s="249"/>
      <c r="D150" s="250">
        <f>D140</f>
        <v>17.5</v>
      </c>
      <c r="E150" s="11"/>
      <c r="F150" s="246"/>
      <c r="G150" s="246"/>
      <c r="H150" s="246"/>
    </row>
    <row r="151" spans="1:9" x14ac:dyDescent="0.2">
      <c r="A151" s="1417"/>
      <c r="B151" s="142" t="s">
        <v>25</v>
      </c>
      <c r="C151" s="90"/>
      <c r="D151" s="717">
        <v>500</v>
      </c>
      <c r="E151" s="11"/>
      <c r="F151" s="11"/>
      <c r="G151" s="13"/>
      <c r="H151" s="124"/>
    </row>
    <row r="152" spans="1:9" x14ac:dyDescent="0.2">
      <c r="H152" s="117"/>
    </row>
    <row r="153" spans="1:9" ht="26.25" x14ac:dyDescent="0.4">
      <c r="A153" s="1418" t="s">
        <v>17</v>
      </c>
      <c r="B153" s="1418"/>
      <c r="C153" s="1418"/>
      <c r="D153" s="1418"/>
      <c r="E153" s="1418"/>
      <c r="F153" s="1418"/>
      <c r="G153" s="1418"/>
      <c r="H153" s="1418"/>
    </row>
    <row r="154" spans="1:9" x14ac:dyDescent="0.2">
      <c r="C154" s="164" t="s">
        <v>179</v>
      </c>
      <c r="D154" s="38" t="s">
        <v>178</v>
      </c>
    </row>
    <row r="155" spans="1:9" ht="25.5" x14ac:dyDescent="0.2">
      <c r="A155" s="48" t="s">
        <v>176</v>
      </c>
      <c r="B155" s="165" t="s">
        <v>180</v>
      </c>
      <c r="C155" s="416">
        <v>10</v>
      </c>
      <c r="D155" s="443">
        <v>15</v>
      </c>
      <c r="E155" s="125"/>
    </row>
    <row r="156" spans="1:9" ht="18" customHeight="1" x14ac:dyDescent="0.2">
      <c r="B156" t="s">
        <v>177</v>
      </c>
      <c r="C156" s="491">
        <v>0</v>
      </c>
      <c r="D156" s="492">
        <v>15</v>
      </c>
      <c r="E156" s="35"/>
    </row>
    <row r="157" spans="1:9" x14ac:dyDescent="0.2">
      <c r="C157" s="251">
        <f>SUM(C155:C156)</f>
        <v>10</v>
      </c>
      <c r="D157" s="252">
        <f>((C155*D155)+(C156*D156))/C157</f>
        <v>15</v>
      </c>
      <c r="E157" s="35"/>
    </row>
    <row r="158" spans="1:9" ht="13.5" thickBot="1" x14ac:dyDescent="0.25">
      <c r="A158" s="48" t="s">
        <v>171</v>
      </c>
      <c r="C158" s="93"/>
      <c r="D158" s="35"/>
      <c r="E158" s="139" t="s">
        <v>168</v>
      </c>
    </row>
    <row r="159" spans="1:9" x14ac:dyDescent="0.2">
      <c r="B159" t="s">
        <v>169</v>
      </c>
      <c r="C159" s="93"/>
      <c r="D159" s="35"/>
      <c r="E159" s="493">
        <v>200</v>
      </c>
      <c r="G159" s="10"/>
    </row>
    <row r="160" spans="1:9" x14ac:dyDescent="0.2">
      <c r="B160" t="s">
        <v>170</v>
      </c>
      <c r="C160" s="93"/>
      <c r="D160" s="35"/>
      <c r="E160" s="897">
        <v>200</v>
      </c>
    </row>
    <row r="161" spans="1:8" x14ac:dyDescent="0.2">
      <c r="E161" s="211">
        <f>SUM(E159:E160)</f>
        <v>400</v>
      </c>
    </row>
    <row r="163" spans="1:8" ht="26.25" x14ac:dyDescent="0.4">
      <c r="A163" s="1311" t="s">
        <v>624</v>
      </c>
      <c r="B163" s="1311"/>
      <c r="C163" s="1311"/>
      <c r="D163" s="1311"/>
      <c r="E163" s="1311"/>
      <c r="F163" s="1311"/>
      <c r="G163" s="1311"/>
      <c r="H163" s="1311"/>
    </row>
    <row r="164" spans="1:8" ht="11.65" customHeight="1" x14ac:dyDescent="0.2">
      <c r="A164" s="13"/>
      <c r="B164" s="13"/>
      <c r="C164" s="709" t="s">
        <v>11</v>
      </c>
      <c r="D164" s="709" t="s">
        <v>12</v>
      </c>
      <c r="E164" s="709" t="s">
        <v>168</v>
      </c>
      <c r="F164" s="43"/>
    </row>
    <row r="165" spans="1:8" ht="12.75" customHeight="1" x14ac:dyDescent="0.2">
      <c r="A165" s="70" t="s">
        <v>275</v>
      </c>
      <c r="B165" s="19" t="s">
        <v>91</v>
      </c>
      <c r="C165" s="725"/>
      <c r="D165" s="466">
        <f>9.55-(9.55*0.15)</f>
        <v>8.1174999999999997</v>
      </c>
      <c r="E165" s="43"/>
      <c r="F165" s="415"/>
    </row>
    <row r="166" spans="1:8" x14ac:dyDescent="0.2">
      <c r="A166" s="13"/>
      <c r="B166" s="19" t="s">
        <v>443</v>
      </c>
      <c r="C166" s="46"/>
      <c r="D166" s="466">
        <f>13.9*0.94</f>
        <v>13.065999999999999</v>
      </c>
      <c r="E166" s="43"/>
      <c r="F166" s="415"/>
    </row>
    <row r="167" spans="1:8" ht="14.25" customHeight="1" x14ac:dyDescent="0.2">
      <c r="A167" s="13"/>
      <c r="B167" s="19" t="s">
        <v>444</v>
      </c>
      <c r="C167" s="46"/>
      <c r="D167" s="466">
        <f>21.4*0.97</f>
        <v>20.757999999999999</v>
      </c>
      <c r="E167" s="43"/>
      <c r="F167" s="415"/>
    </row>
    <row r="168" spans="1:8" ht="14.25" customHeight="1" x14ac:dyDescent="0.2">
      <c r="A168" s="13"/>
      <c r="B168" s="19" t="s">
        <v>444</v>
      </c>
      <c r="C168" s="496">
        <v>6</v>
      </c>
      <c r="D168" s="466">
        <v>26.75</v>
      </c>
      <c r="E168" s="43"/>
      <c r="F168" s="415"/>
    </row>
    <row r="169" spans="1:8" ht="14.25" customHeight="1" x14ac:dyDescent="0.2">
      <c r="A169" s="13"/>
      <c r="B169" s="19" t="s">
        <v>15</v>
      </c>
      <c r="C169" s="496">
        <v>2</v>
      </c>
      <c r="D169" s="466">
        <v>200</v>
      </c>
      <c r="E169" s="43"/>
      <c r="F169" s="415"/>
    </row>
    <row r="170" spans="1:8" ht="14.25" customHeight="1" x14ac:dyDescent="0.2">
      <c r="A170" s="13"/>
      <c r="B170" s="19" t="s">
        <v>445</v>
      </c>
      <c r="C170" s="726"/>
      <c r="D170" s="466">
        <v>6.9</v>
      </c>
      <c r="E170" s="43"/>
      <c r="F170" s="415"/>
    </row>
    <row r="171" spans="1:8" ht="14.25" customHeight="1" x14ac:dyDescent="0.2">
      <c r="A171" s="13"/>
      <c r="B171" s="19" t="s">
        <v>92</v>
      </c>
      <c r="C171" s="487">
        <v>3</v>
      </c>
      <c r="D171" s="466">
        <v>14.3</v>
      </c>
      <c r="E171" s="43"/>
      <c r="F171" s="415"/>
    </row>
    <row r="172" spans="1:8" ht="14.25" customHeight="1" x14ac:dyDescent="0.2">
      <c r="A172" s="13"/>
      <c r="B172" s="19" t="s">
        <v>16</v>
      </c>
      <c r="C172" s="46" t="s">
        <v>396</v>
      </c>
      <c r="D172" s="727">
        <v>0.25</v>
      </c>
      <c r="E172" s="43"/>
      <c r="F172" s="35"/>
    </row>
    <row r="173" spans="1:8" ht="14.25" customHeight="1" x14ac:dyDescent="0.2">
      <c r="A173" s="13"/>
      <c r="B173" s="19" t="s">
        <v>397</v>
      </c>
      <c r="C173" s="46" t="s">
        <v>398</v>
      </c>
      <c r="D173" s="727">
        <v>1</v>
      </c>
      <c r="E173" s="43"/>
      <c r="F173" s="35"/>
    </row>
    <row r="174" spans="1:8" ht="14.25" customHeight="1" x14ac:dyDescent="0.2">
      <c r="A174" s="19"/>
      <c r="B174" s="19" t="s">
        <v>94</v>
      </c>
      <c r="C174" s="46"/>
      <c r="D174" s="132"/>
      <c r="E174" s="728">
        <v>300</v>
      </c>
      <c r="F174" s="35"/>
    </row>
    <row r="175" spans="1:8" ht="14.25" customHeight="1" x14ac:dyDescent="0.2">
      <c r="A175" s="13"/>
      <c r="B175" s="13"/>
      <c r="C175" s="95"/>
      <c r="D175" s="43"/>
      <c r="E175" s="43"/>
      <c r="F175" s="35"/>
    </row>
    <row r="176" spans="1:8" ht="14.25" customHeight="1" x14ac:dyDescent="0.2">
      <c r="A176" s="40" t="s">
        <v>28</v>
      </c>
      <c r="B176" s="13"/>
      <c r="C176" s="723" t="s">
        <v>27</v>
      </c>
      <c r="D176" s="43"/>
      <c r="E176" s="43"/>
      <c r="F176" s="35"/>
    </row>
    <row r="177" spans="1:8" ht="14.25" customHeight="1" x14ac:dyDescent="0.2">
      <c r="A177" s="13"/>
      <c r="B177" s="19" t="s">
        <v>33</v>
      </c>
      <c r="C177" s="595">
        <v>70</v>
      </c>
      <c r="D177" s="43"/>
      <c r="E177" s="43"/>
      <c r="F177" s="35"/>
    </row>
    <row r="178" spans="1:8" ht="24" customHeight="1" x14ac:dyDescent="0.4">
      <c r="A178" s="1418" t="s">
        <v>336</v>
      </c>
      <c r="B178" s="1418"/>
      <c r="C178" s="1418"/>
      <c r="D178" s="1418"/>
      <c r="E178" s="1418"/>
      <c r="F178" s="1418"/>
      <c r="G178" s="1418"/>
      <c r="H178" s="1418"/>
    </row>
    <row r="179" spans="1:8" ht="14.25" customHeight="1" x14ac:dyDescent="0.2">
      <c r="B179" t="str">
        <f>Eingabeseite!A34</f>
        <v>Hagelnetz  (ja=1, nein =0)</v>
      </c>
      <c r="C179" s="416">
        <f>Eingabeseite!D34</f>
        <v>1</v>
      </c>
    </row>
    <row r="180" spans="1:8" x14ac:dyDescent="0.2">
      <c r="B180" t="str">
        <f>Eingabeseite!A35</f>
        <v>Hagelversicherung (ja =1, nein =0)</v>
      </c>
      <c r="C180" s="416">
        <f>Eingabeseite!D35</f>
        <v>0</v>
      </c>
      <c r="D180" s="93"/>
    </row>
    <row r="181" spans="1:8" x14ac:dyDescent="0.2">
      <c r="B181" t="str">
        <f>Eingabeseite!A36</f>
        <v>Versicherte Summe</v>
      </c>
      <c r="C181" s="414">
        <f>Eingabeseite!D36</f>
        <v>32928</v>
      </c>
      <c r="D181" s="93"/>
    </row>
    <row r="182" spans="1:8" ht="26.25" x14ac:dyDescent="0.4">
      <c r="A182" s="1418" t="s">
        <v>550</v>
      </c>
      <c r="B182" s="1418"/>
      <c r="C182" s="1418"/>
      <c r="D182" s="1418"/>
      <c r="E182" s="1418"/>
      <c r="F182" s="1418"/>
      <c r="G182" s="1418"/>
      <c r="H182" s="1418"/>
    </row>
    <row r="183" spans="1:8" x14ac:dyDescent="0.2">
      <c r="B183" t="str">
        <f>Eingabeseite!A37</f>
        <v>Wasserpreis (Fr/m3)</v>
      </c>
      <c r="C183" s="971">
        <f>Eingabeseite!D37</f>
        <v>1</v>
      </c>
    </row>
    <row r="184" spans="1:8" x14ac:dyDescent="0.2">
      <c r="B184" t="s">
        <v>586</v>
      </c>
      <c r="C184" s="985">
        <f>Eingabeseite!D38</f>
        <v>500</v>
      </c>
    </row>
    <row r="185" spans="1:8" x14ac:dyDescent="0.2">
      <c r="B185" t="str">
        <f>Eingabeseite!A39</f>
        <v>Bewässerung mit Tropfenbewässerung (ja=1, nein =0)</v>
      </c>
      <c r="C185" s="416">
        <f>Eingabeseite!D39</f>
        <v>1</v>
      </c>
    </row>
    <row r="186" spans="1:8" ht="13.5" thickBot="1" x14ac:dyDescent="0.25">
      <c r="B186" t="str">
        <f>Eingabeseite!A40</f>
        <v>Bewässerung mit Mikrojet              (ja=1, nein=0)</v>
      </c>
      <c r="C186" s="981">
        <f>Eingabeseite!D40</f>
        <v>0</v>
      </c>
    </row>
    <row r="187" spans="1:8" x14ac:dyDescent="0.2">
      <c r="B187" t="s">
        <v>576</v>
      </c>
      <c r="C187" s="10">
        <f>SUM(C185:C186)</f>
        <v>1</v>
      </c>
    </row>
    <row r="188" spans="1:8" x14ac:dyDescent="0.2">
      <c r="B188" t="s">
        <v>585</v>
      </c>
      <c r="C188" s="10">
        <f>C185*'Variante Bewässerung'!H53+C186*'Variante Bewässerung'!H109</f>
        <v>1317.8</v>
      </c>
    </row>
    <row r="189" spans="1:8" ht="26.25" x14ac:dyDescent="0.4">
      <c r="A189" s="1418" t="s">
        <v>579</v>
      </c>
      <c r="B189" s="1418"/>
      <c r="C189" s="1418"/>
      <c r="D189" s="1418"/>
      <c r="E189" s="1418"/>
      <c r="F189" s="1418"/>
      <c r="G189" s="1418"/>
      <c r="H189" s="1418"/>
    </row>
    <row r="190" spans="1:8" ht="21.75" customHeight="1" x14ac:dyDescent="0.2">
      <c r="B190" s="10" t="s">
        <v>580</v>
      </c>
      <c r="C190" s="10">
        <f>C179+C187</f>
        <v>2</v>
      </c>
    </row>
    <row r="191" spans="1:8" x14ac:dyDescent="0.2">
      <c r="B191" s="10"/>
      <c r="C191" s="10"/>
    </row>
    <row r="192" spans="1:8" x14ac:dyDescent="0.2">
      <c r="B192" s="10"/>
      <c r="C192" s="10"/>
    </row>
    <row r="234" ht="25.5" customHeight="1" x14ac:dyDescent="0.2"/>
    <row r="235" ht="17.45" customHeight="1" x14ac:dyDescent="0.2"/>
    <row r="247" ht="16.5" customHeight="1" x14ac:dyDescent="0.2"/>
    <row r="248" ht="15" customHeight="1" x14ac:dyDescent="0.2"/>
  </sheetData>
  <dataConsolidate/>
  <mergeCells count="22">
    <mergeCell ref="A127:C127"/>
    <mergeCell ref="A125:H125"/>
    <mergeCell ref="A126:B126"/>
    <mergeCell ref="A68:H68"/>
    <mergeCell ref="A89:H89"/>
    <mergeCell ref="E90:E91"/>
    <mergeCell ref="A99:H99"/>
    <mergeCell ref="A114:H114"/>
    <mergeCell ref="D90:D91"/>
    <mergeCell ref="B3:H3"/>
    <mergeCell ref="A4:H4"/>
    <mergeCell ref="A6:H6"/>
    <mergeCell ref="B12:F12"/>
    <mergeCell ref="A46:H46"/>
    <mergeCell ref="B13:C13"/>
    <mergeCell ref="B14:C14"/>
    <mergeCell ref="A133:A140"/>
    <mergeCell ref="A189:H189"/>
    <mergeCell ref="A182:H182"/>
    <mergeCell ref="A153:H153"/>
    <mergeCell ref="A178:H178"/>
    <mergeCell ref="A144:A151"/>
  </mergeCells>
  <phoneticPr fontId="0" type="noConversion"/>
  <dataValidations count="2">
    <dataValidation type="custom" showErrorMessage="1" errorTitle="Falsche Bruttofläche" error="Die Bruttofläche entspricht nicht 10000 m2" sqref="B19" xr:uid="{00000000-0002-0000-0200-000000000000}">
      <formula1>B18*B19=10000</formula1>
    </dataValidation>
    <dataValidation type="whole" operator="notEqual" showErrorMessage="1" errorTitle="Falsche Länge" error="Es muss eine Länge eingetragen sein" sqref="E10 B18" xr:uid="{00000000-0002-0000-0200-000001000000}">
      <formula1>0</formula1>
    </dataValidation>
  </dataValidations>
  <printOptions gridLines="1" gridLinesSet="0"/>
  <pageMargins left="0.59055118110236227" right="0.39370078740157483" top="0.59055118110236227" bottom="0.59055118110236227" header="0.51181102362204722" footer="0.51181102362204722"/>
  <pageSetup paperSize="9" scale="55" orientation="portrait" horizontalDpi="1200" verticalDpi="1200" r:id="rId1"/>
  <headerFooter alignWithMargins="0">
    <oddFooter>&amp;LArbokost 2008&amp;RAgroscope Changins - Wädenswil ACW</oddFooter>
  </headerFooter>
  <rowBreaks count="2" manualBreakCount="2">
    <brk id="87" max="16383" man="1"/>
    <brk id="124"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indexed="8"/>
  </sheetPr>
  <dimension ref="A1:H94"/>
  <sheetViews>
    <sheetView topLeftCell="A37" zoomScale="57" zoomScaleNormal="57" workbookViewId="0">
      <selection activeCell="C93" sqref="C93"/>
    </sheetView>
  </sheetViews>
  <sheetFormatPr baseColWidth="10" defaultRowHeight="12.75" x14ac:dyDescent="0.2"/>
  <cols>
    <col min="1" max="1" width="34" customWidth="1"/>
    <col min="2" max="2" width="21.28515625" customWidth="1"/>
    <col min="3" max="4" width="11.42578125" customWidth="1"/>
    <col min="5" max="5" width="21" customWidth="1"/>
    <col min="6" max="256" width="9.140625" customWidth="1"/>
  </cols>
  <sheetData>
    <row r="1" spans="1:8" ht="31.5" x14ac:dyDescent="0.4">
      <c r="A1" s="1135" t="str">
        <f>Eingabeseite!A1</f>
        <v>Arbokost 2023</v>
      </c>
      <c r="B1" s="900"/>
      <c r="C1" s="686"/>
      <c r="D1" s="687"/>
      <c r="E1" s="688"/>
      <c r="F1" s="689"/>
    </row>
    <row r="2" spans="1:8" ht="31.5" x14ac:dyDescent="0.25">
      <c r="A2" s="881" t="s">
        <v>469</v>
      </c>
      <c r="B2" s="900"/>
      <c r="C2" s="686"/>
      <c r="D2" s="687"/>
      <c r="E2" s="688"/>
      <c r="F2" s="689"/>
    </row>
    <row r="3" spans="1:8" ht="15.75" x14ac:dyDescent="0.2">
      <c r="A3" s="731" t="str">
        <f>'Variante Vorgaben'!A3</f>
        <v>Definition Variante:</v>
      </c>
      <c r="B3" s="1419" t="str">
        <f>'Variante Vorgaben'!B3:H3</f>
        <v>Zeitgemässe Tafelapfelanlage auf schwachwachsender Unterlage. Werte sind ausgelegt auf gemischtwirtschaftlichen Betriebe mit 2 - 5 ha Obstfläche, an geeignetem Standort in einem der Hauptproduktionsgebiete der Schweiz.</v>
      </c>
      <c r="C3" s="1427"/>
      <c r="D3" s="1427"/>
      <c r="E3" s="1427"/>
      <c r="F3" s="1427"/>
    </row>
    <row r="5" spans="1:8" ht="26.25" x14ac:dyDescent="0.2">
      <c r="A5" s="1420" t="s">
        <v>544</v>
      </c>
      <c r="B5" s="1420"/>
      <c r="C5" s="1420"/>
      <c r="D5" s="1420"/>
      <c r="E5" s="1420"/>
      <c r="F5" s="1420"/>
      <c r="G5" s="1420"/>
      <c r="H5" s="1420"/>
    </row>
    <row r="6" spans="1:8" ht="26.25" x14ac:dyDescent="0.4">
      <c r="A6" s="1418" t="s">
        <v>625</v>
      </c>
      <c r="B6" s="1418"/>
      <c r="C6" s="1418"/>
      <c r="D6" s="1418"/>
      <c r="E6" s="1418"/>
      <c r="F6" s="1418"/>
      <c r="G6" s="1418"/>
      <c r="H6" s="1418"/>
    </row>
    <row r="7" spans="1:8" ht="26.25" x14ac:dyDescent="0.4">
      <c r="A7" s="40" t="s">
        <v>650</v>
      </c>
      <c r="C7" s="483"/>
      <c r="D7" s="1381">
        <v>0.18</v>
      </c>
      <c r="E7" s="1402"/>
      <c r="F7" s="1402"/>
      <c r="G7" s="1402"/>
      <c r="H7" s="1402"/>
    </row>
    <row r="8" spans="1:8" ht="26.25" x14ac:dyDescent="0.4">
      <c r="A8" s="302" t="s">
        <v>275</v>
      </c>
      <c r="B8" s="720"/>
      <c r="C8" s="721" t="s">
        <v>11</v>
      </c>
      <c r="D8" s="721" t="s">
        <v>12</v>
      </c>
      <c r="E8" s="722" t="s">
        <v>82</v>
      </c>
      <c r="F8" s="43"/>
    </row>
    <row r="9" spans="1:8" x14ac:dyDescent="0.2">
      <c r="A9" s="40" t="s">
        <v>140</v>
      </c>
      <c r="B9" s="19" t="s">
        <v>304</v>
      </c>
      <c r="C9" s="485">
        <v>2000</v>
      </c>
      <c r="D9" s="466">
        <v>2.5</v>
      </c>
      <c r="E9" s="43">
        <f>C9*D9</f>
        <v>5000</v>
      </c>
      <c r="F9" s="415"/>
    </row>
    <row r="10" spans="1:8" x14ac:dyDescent="0.2">
      <c r="A10" s="40"/>
      <c r="B10" s="19" t="s">
        <v>159</v>
      </c>
      <c r="C10" s="486">
        <v>2530</v>
      </c>
      <c r="D10" s="466">
        <v>0.35</v>
      </c>
      <c r="E10" s="43">
        <f>C10*D10</f>
        <v>885.5</v>
      </c>
      <c r="F10" s="415"/>
    </row>
    <row r="11" spans="1:8" x14ac:dyDescent="0.2">
      <c r="A11" s="40"/>
      <c r="B11" s="19" t="s">
        <v>160</v>
      </c>
      <c r="C11" s="1378">
        <v>6</v>
      </c>
      <c r="D11" s="1379">
        <f>5.5*(1+D7)</f>
        <v>6.4899999999999993</v>
      </c>
      <c r="E11" s="43">
        <f>C11*D11</f>
        <v>38.94</v>
      </c>
      <c r="F11" s="415"/>
    </row>
    <row r="12" spans="1:8" x14ac:dyDescent="0.2">
      <c r="A12" s="40"/>
      <c r="B12" s="19" t="s">
        <v>161</v>
      </c>
      <c r="C12" s="485">
        <v>2000</v>
      </c>
      <c r="D12" s="466">
        <v>0.2</v>
      </c>
      <c r="E12" s="43">
        <f>C12*D12</f>
        <v>400</v>
      </c>
      <c r="F12" s="415"/>
    </row>
    <row r="13" spans="1:8" x14ac:dyDescent="0.2">
      <c r="A13" s="40"/>
      <c r="B13" s="19"/>
      <c r="C13" s="127"/>
      <c r="D13" s="44"/>
      <c r="E13" s="43"/>
      <c r="F13" s="415"/>
    </row>
    <row r="14" spans="1:8" x14ac:dyDescent="0.2">
      <c r="A14" s="85" t="s">
        <v>336</v>
      </c>
      <c r="B14" s="29" t="s">
        <v>383</v>
      </c>
      <c r="C14" s="489">
        <v>9800</v>
      </c>
      <c r="D14" s="490">
        <f>0.58*(1+D7)</f>
        <v>0.6843999999999999</v>
      </c>
      <c r="E14" s="200">
        <f t="shared" ref="E14:E23" si="0">C14*D14</f>
        <v>6707.119999999999</v>
      </c>
      <c r="F14" s="415"/>
    </row>
    <row r="15" spans="1:8" x14ac:dyDescent="0.2">
      <c r="A15" s="85"/>
      <c r="B15" s="69" t="s">
        <v>350</v>
      </c>
      <c r="C15" s="489">
        <v>1200</v>
      </c>
      <c r="D15" s="490">
        <f>0.28*(1+D7)</f>
        <v>0.33040000000000003</v>
      </c>
      <c r="E15" s="200">
        <f t="shared" si="0"/>
        <v>396.48</v>
      </c>
      <c r="F15" s="415"/>
    </row>
    <row r="16" spans="1:8" x14ac:dyDescent="0.2">
      <c r="A16" s="85"/>
      <c r="B16" s="69" t="s">
        <v>351</v>
      </c>
      <c r="C16" s="489">
        <v>1750</v>
      </c>
      <c r="D16" s="490">
        <f>0.83*(1+D7)</f>
        <v>0.97939999999999994</v>
      </c>
      <c r="E16" s="200">
        <f t="shared" si="0"/>
        <v>1713.9499999999998</v>
      </c>
      <c r="F16" s="415"/>
    </row>
    <row r="17" spans="1:6" x14ac:dyDescent="0.2">
      <c r="A17" s="85"/>
      <c r="B17" s="69" t="s">
        <v>456</v>
      </c>
      <c r="C17" s="489">
        <v>100</v>
      </c>
      <c r="D17" s="1380">
        <f>0.55*(1+D7)</f>
        <v>0.64900000000000002</v>
      </c>
      <c r="E17" s="200">
        <f t="shared" si="0"/>
        <v>64.900000000000006</v>
      </c>
      <c r="F17" s="415"/>
    </row>
    <row r="18" spans="1:6" x14ac:dyDescent="0.2">
      <c r="A18" s="85"/>
      <c r="B18" s="69" t="s">
        <v>457</v>
      </c>
      <c r="C18" s="489">
        <v>165</v>
      </c>
      <c r="D18" s="490">
        <f>1.19*(1+D7)</f>
        <v>1.4041999999999999</v>
      </c>
      <c r="E18" s="200">
        <f t="shared" si="0"/>
        <v>231.69299999999998</v>
      </c>
      <c r="F18" s="415"/>
    </row>
    <row r="19" spans="1:6" x14ac:dyDescent="0.2">
      <c r="A19" s="85"/>
      <c r="B19" s="69" t="s">
        <v>458</v>
      </c>
      <c r="C19" s="489">
        <v>310</v>
      </c>
      <c r="D19" s="490">
        <f>1.19*(1+D7)</f>
        <v>1.4041999999999999</v>
      </c>
      <c r="E19" s="200">
        <f t="shared" si="0"/>
        <v>435.30199999999996</v>
      </c>
      <c r="F19" s="415"/>
    </row>
    <row r="20" spans="1:6" x14ac:dyDescent="0.2">
      <c r="A20" s="85"/>
      <c r="B20" s="69" t="s">
        <v>459</v>
      </c>
      <c r="C20" s="489">
        <v>810</v>
      </c>
      <c r="D20" s="490">
        <f>0.7*(1+D7)</f>
        <v>0.82599999999999996</v>
      </c>
      <c r="E20" s="200">
        <f t="shared" si="0"/>
        <v>669.06</v>
      </c>
      <c r="F20" s="415"/>
    </row>
    <row r="21" spans="1:6" x14ac:dyDescent="0.2">
      <c r="A21" s="85"/>
      <c r="B21" s="69" t="s">
        <v>352</v>
      </c>
      <c r="C21" s="489">
        <v>3100</v>
      </c>
      <c r="D21" s="490">
        <f>0.3*(1+D7)</f>
        <v>0.35399999999999998</v>
      </c>
      <c r="E21" s="200">
        <f t="shared" si="0"/>
        <v>1097.3999999999999</v>
      </c>
      <c r="F21" s="415"/>
    </row>
    <row r="22" spans="1:6" x14ac:dyDescent="0.2">
      <c r="A22" s="85"/>
      <c r="B22" s="69" t="s">
        <v>353</v>
      </c>
      <c r="C22" s="489">
        <v>3400</v>
      </c>
      <c r="D22" s="490">
        <f>0.1*(1+D7)</f>
        <v>0.11799999999999999</v>
      </c>
      <c r="E22" s="200">
        <f t="shared" si="0"/>
        <v>401.2</v>
      </c>
      <c r="F22" s="415"/>
    </row>
    <row r="23" spans="1:6" x14ac:dyDescent="0.2">
      <c r="A23" s="85"/>
      <c r="B23" s="69" t="s">
        <v>354</v>
      </c>
      <c r="C23" s="489">
        <v>26</v>
      </c>
      <c r="D23" s="490">
        <f>9.15*(1+D7)</f>
        <v>10.797000000000001</v>
      </c>
      <c r="E23" s="200">
        <f t="shared" si="0"/>
        <v>280.72200000000004</v>
      </c>
      <c r="F23" s="415"/>
    </row>
    <row r="24" spans="1:6" x14ac:dyDescent="0.2">
      <c r="A24" s="85"/>
      <c r="B24" s="69" t="s">
        <v>355</v>
      </c>
      <c r="C24" s="407"/>
      <c r="D24" s="643"/>
      <c r="E24" s="837">
        <f>500*(1+D7)</f>
        <v>590</v>
      </c>
      <c r="F24" s="415"/>
    </row>
    <row r="25" spans="1:6" x14ac:dyDescent="0.2">
      <c r="A25" s="85"/>
      <c r="B25" s="142"/>
      <c r="C25" s="407"/>
      <c r="D25" s="643"/>
      <c r="E25" s="200"/>
      <c r="F25" s="35"/>
    </row>
    <row r="26" spans="1:6" x14ac:dyDescent="0.2">
      <c r="A26" s="85" t="s">
        <v>373</v>
      </c>
      <c r="B26" s="69" t="s">
        <v>460</v>
      </c>
      <c r="C26" s="489">
        <v>240</v>
      </c>
      <c r="D26" s="490">
        <f>18.5*(1+D7)</f>
        <v>21.83</v>
      </c>
      <c r="E26" s="200">
        <f>C26*D26</f>
        <v>5239.2</v>
      </c>
      <c r="F26" s="415"/>
    </row>
    <row r="27" spans="1:6" x14ac:dyDescent="0.2">
      <c r="A27" s="85"/>
      <c r="B27" s="69" t="s">
        <v>461</v>
      </c>
      <c r="C27" s="489">
        <v>44</v>
      </c>
      <c r="D27" s="490">
        <f>27*(1+D7)</f>
        <v>31.86</v>
      </c>
      <c r="E27" s="200">
        <f>C27*D27</f>
        <v>1401.84</v>
      </c>
      <c r="F27" s="415"/>
    </row>
    <row r="28" spans="1:6" x14ac:dyDescent="0.2">
      <c r="A28" s="85"/>
      <c r="B28" s="69" t="s">
        <v>462</v>
      </c>
      <c r="C28" s="489">
        <v>4</v>
      </c>
      <c r="D28" s="490">
        <f>58.95*(1+D7)</f>
        <v>69.560999999999993</v>
      </c>
      <c r="E28" s="200">
        <f>C28*D28</f>
        <v>278.24399999999997</v>
      </c>
      <c r="F28" s="415"/>
    </row>
    <row r="29" spans="1:6" x14ac:dyDescent="0.2">
      <c r="A29" s="85"/>
      <c r="B29" s="69" t="s">
        <v>370</v>
      </c>
      <c r="C29" s="489">
        <v>72</v>
      </c>
      <c r="D29" s="490">
        <f>20.15*(1+D7)</f>
        <v>23.776999999999997</v>
      </c>
      <c r="E29" s="200">
        <f>C29*D29</f>
        <v>1711.9439999999997</v>
      </c>
      <c r="F29" s="415"/>
    </row>
    <row r="30" spans="1:6" ht="13.5" thickBot="1" x14ac:dyDescent="0.25">
      <c r="A30" s="85"/>
      <c r="B30" s="69" t="s">
        <v>371</v>
      </c>
      <c r="C30" s="489">
        <v>68</v>
      </c>
      <c r="D30" s="490">
        <f>1*(1+D7)</f>
        <v>1.18</v>
      </c>
      <c r="E30" s="594">
        <f>C30*D30</f>
        <v>80.239999999999995</v>
      </c>
      <c r="F30" s="415"/>
    </row>
    <row r="31" spans="1:6" x14ac:dyDescent="0.2">
      <c r="A31" s="40"/>
      <c r="B31" s="13"/>
      <c r="C31" s="256"/>
      <c r="D31" s="44"/>
      <c r="E31" s="277">
        <f>SUM(E14:E30)</f>
        <v>21299.294999999998</v>
      </c>
      <c r="F31" s="415"/>
    </row>
    <row r="32" spans="1:6" x14ac:dyDescent="0.2">
      <c r="A32" s="85"/>
      <c r="B32" s="69"/>
      <c r="C32" s="409"/>
      <c r="D32" s="44"/>
      <c r="E32" s="202"/>
      <c r="F32" s="35"/>
    </row>
    <row r="33" spans="1:6" x14ac:dyDescent="0.2">
      <c r="A33" s="40" t="s">
        <v>17</v>
      </c>
      <c r="B33" s="19" t="s">
        <v>34</v>
      </c>
      <c r="C33" s="487">
        <v>40</v>
      </c>
      <c r="D33" s="1382">
        <f>7.2*(1+D7)</f>
        <v>8.4960000000000004</v>
      </c>
      <c r="E33" s="43"/>
      <c r="F33" s="415"/>
    </row>
    <row r="34" spans="1:6" x14ac:dyDescent="0.2">
      <c r="A34" s="40"/>
      <c r="B34" s="19" t="s">
        <v>18</v>
      </c>
      <c r="C34" s="256"/>
      <c r="D34" s="43"/>
      <c r="E34" s="466">
        <v>150</v>
      </c>
      <c r="F34" s="415"/>
    </row>
    <row r="35" spans="1:6" x14ac:dyDescent="0.2">
      <c r="A35" s="19"/>
      <c r="B35" s="19" t="s">
        <v>141</v>
      </c>
      <c r="C35" s="256"/>
      <c r="D35" s="43"/>
      <c r="E35" s="466">
        <v>550</v>
      </c>
      <c r="F35" s="415"/>
    </row>
    <row r="36" spans="1:6" x14ac:dyDescent="0.2">
      <c r="A36" s="19"/>
      <c r="B36" s="19"/>
      <c r="C36" s="256"/>
      <c r="D36" s="43"/>
      <c r="E36" s="44"/>
      <c r="F36" s="415"/>
    </row>
    <row r="37" spans="1:6" ht="40.5" customHeight="1" x14ac:dyDescent="0.2">
      <c r="A37" s="269" t="s">
        <v>387</v>
      </c>
      <c r="B37" s="69" t="s">
        <v>374</v>
      </c>
      <c r="C37" s="488">
        <v>55</v>
      </c>
      <c r="D37" s="200">
        <f>'Variante Vorgaben'!D143</f>
        <v>41</v>
      </c>
      <c r="E37" s="200">
        <f>C37*D37</f>
        <v>2255</v>
      </c>
      <c r="F37" s="415"/>
    </row>
    <row r="38" spans="1:6" x14ac:dyDescent="0.2">
      <c r="A38" s="85"/>
      <c r="B38" s="69" t="s">
        <v>375</v>
      </c>
      <c r="C38" s="488">
        <v>15</v>
      </c>
      <c r="D38" s="200">
        <f>'Variante Vorgaben'!D149</f>
        <v>150</v>
      </c>
      <c r="E38" s="200">
        <f>C38*D38</f>
        <v>2250</v>
      </c>
      <c r="F38" s="415"/>
    </row>
    <row r="39" spans="1:6" x14ac:dyDescent="0.2">
      <c r="A39" s="85"/>
      <c r="B39" s="142" t="s">
        <v>386</v>
      </c>
      <c r="C39" s="488">
        <v>20</v>
      </c>
      <c r="D39" s="200">
        <f>'Variante Vorgaben'!D148</f>
        <v>23.5</v>
      </c>
      <c r="E39" s="200">
        <f>C39*D39</f>
        <v>470</v>
      </c>
      <c r="F39" s="415"/>
    </row>
    <row r="40" spans="1:6" ht="13.5" thickBot="1" x14ac:dyDescent="0.25">
      <c r="A40" s="85"/>
      <c r="B40" s="69" t="s">
        <v>376</v>
      </c>
      <c r="C40" s="488">
        <v>20</v>
      </c>
      <c r="D40" s="200">
        <f>'Variante Vorgaben'!D150</f>
        <v>17.5</v>
      </c>
      <c r="E40" s="594">
        <f>C40*D40</f>
        <v>350</v>
      </c>
      <c r="F40" s="415"/>
    </row>
    <row r="41" spans="1:6" x14ac:dyDescent="0.2">
      <c r="A41" s="19"/>
      <c r="B41" s="19"/>
      <c r="C41" s="256"/>
      <c r="D41" s="43"/>
      <c r="E41" s="277">
        <f>SUM(E37:E40)</f>
        <v>5325</v>
      </c>
      <c r="F41" s="415"/>
    </row>
    <row r="42" spans="1:6" ht="23.25" x14ac:dyDescent="0.35">
      <c r="A42" s="439" t="s">
        <v>28</v>
      </c>
      <c r="B42" s="440"/>
      <c r="C42" s="494"/>
      <c r="D42" s="441"/>
      <c r="E42" s="441"/>
      <c r="F42" s="415"/>
    </row>
    <row r="43" spans="1:6" x14ac:dyDescent="0.2">
      <c r="A43" s="19"/>
      <c r="B43" s="13"/>
      <c r="C43" s="724" t="s">
        <v>27</v>
      </c>
      <c r="D43" s="273" t="s">
        <v>21</v>
      </c>
      <c r="E43" s="78" t="s">
        <v>82</v>
      </c>
      <c r="F43" s="415"/>
    </row>
    <row r="44" spans="1:6" x14ac:dyDescent="0.2">
      <c r="A44" s="40" t="s">
        <v>382</v>
      </c>
      <c r="B44" s="19" t="s">
        <v>30</v>
      </c>
      <c r="C44" s="477">
        <v>1</v>
      </c>
      <c r="D44" s="43"/>
      <c r="E44" s="35"/>
      <c r="F44" s="415"/>
    </row>
    <row r="45" spans="1:6" x14ac:dyDescent="0.2">
      <c r="A45" s="13"/>
      <c r="B45" s="19" t="s">
        <v>31</v>
      </c>
      <c r="C45" s="477">
        <v>7.5</v>
      </c>
      <c r="D45" s="43"/>
      <c r="E45" s="35"/>
      <c r="F45" s="415"/>
    </row>
    <row r="46" spans="1:6" x14ac:dyDescent="0.2">
      <c r="A46" s="13"/>
      <c r="B46" s="19" t="s">
        <v>32</v>
      </c>
      <c r="C46" s="477">
        <v>75</v>
      </c>
      <c r="D46" s="43"/>
      <c r="E46" s="35"/>
      <c r="F46" s="415"/>
    </row>
    <row r="47" spans="1:6" x14ac:dyDescent="0.2">
      <c r="A47" s="13"/>
      <c r="B47" s="19" t="s">
        <v>142</v>
      </c>
      <c r="C47" s="477">
        <v>10</v>
      </c>
      <c r="D47" s="43"/>
      <c r="E47" s="35"/>
      <c r="F47" s="415"/>
    </row>
    <row r="48" spans="1:6" x14ac:dyDescent="0.2">
      <c r="A48" s="13"/>
      <c r="B48" s="19" t="s">
        <v>279</v>
      </c>
      <c r="C48" s="477">
        <v>70</v>
      </c>
      <c r="D48" s="43"/>
      <c r="E48" s="35"/>
      <c r="F48" s="415"/>
    </row>
    <row r="49" spans="1:6" x14ac:dyDescent="0.2">
      <c r="A49" s="13"/>
      <c r="B49" s="19"/>
      <c r="C49" s="39"/>
      <c r="D49" s="43"/>
      <c r="E49" s="35"/>
      <c r="F49" s="35"/>
    </row>
    <row r="50" spans="1:6" x14ac:dyDescent="0.2">
      <c r="A50" s="13"/>
      <c r="B50" s="19"/>
      <c r="C50" s="39"/>
      <c r="D50" s="43"/>
      <c r="E50" s="43"/>
      <c r="F50" s="35"/>
    </row>
    <row r="51" spans="1:6" x14ac:dyDescent="0.2">
      <c r="A51" s="70" t="s">
        <v>381</v>
      </c>
      <c r="B51" s="142" t="s">
        <v>377</v>
      </c>
      <c r="C51" s="595">
        <v>15</v>
      </c>
      <c r="D51" s="200">
        <f>'Variante Vorgaben'!$C$36</f>
        <v>32.700000000000003</v>
      </c>
      <c r="E51" s="200">
        <f>C51*D51</f>
        <v>490.50000000000006</v>
      </c>
      <c r="F51" s="415"/>
    </row>
    <row r="52" spans="1:6" x14ac:dyDescent="0.2">
      <c r="A52" s="69"/>
      <c r="B52" s="142" t="s">
        <v>378</v>
      </c>
      <c r="C52" s="595">
        <v>100</v>
      </c>
      <c r="D52" s="200">
        <f>'Variante Vorgaben'!$C$36</f>
        <v>32.700000000000003</v>
      </c>
      <c r="E52" s="200">
        <f>C52*D52</f>
        <v>3270.0000000000005</v>
      </c>
      <c r="F52" s="415"/>
    </row>
    <row r="53" spans="1:6" x14ac:dyDescent="0.2">
      <c r="A53" s="69"/>
      <c r="B53" s="142" t="s">
        <v>379</v>
      </c>
      <c r="C53" s="595">
        <v>175</v>
      </c>
      <c r="D53" s="200">
        <f>'Variante Vorgaben'!$C$36</f>
        <v>32.700000000000003</v>
      </c>
      <c r="E53" s="200">
        <f>C53*D53</f>
        <v>5722.5000000000009</v>
      </c>
      <c r="F53" s="415"/>
    </row>
    <row r="54" spans="1:6" ht="13.5" thickBot="1" x14ac:dyDescent="0.25">
      <c r="A54" s="69"/>
      <c r="B54" s="142" t="s">
        <v>380</v>
      </c>
      <c r="C54" s="349">
        <f>SUM(C51:C53) * 0.1</f>
        <v>29</v>
      </c>
      <c r="D54" s="200">
        <f>'Variante Vorgaben'!$C$36</f>
        <v>32.700000000000003</v>
      </c>
      <c r="E54" s="594">
        <f>C54*D54</f>
        <v>948.30000000000007</v>
      </c>
      <c r="F54" s="415"/>
    </row>
    <row r="55" spans="1:6" x14ac:dyDescent="0.2">
      <c r="A55" s="13"/>
      <c r="B55" s="19"/>
      <c r="C55" s="39"/>
      <c r="D55" s="43"/>
      <c r="E55" s="277">
        <f>SUM(E51:E54)</f>
        <v>10431.300000000001</v>
      </c>
      <c r="F55" s="415"/>
    </row>
    <row r="56" spans="1:6" x14ac:dyDescent="0.2">
      <c r="A56" s="13"/>
      <c r="B56" s="13"/>
      <c r="C56" s="95"/>
      <c r="D56" s="43"/>
      <c r="E56" s="43"/>
      <c r="F56" s="415"/>
    </row>
    <row r="57" spans="1:6" x14ac:dyDescent="0.2">
      <c r="A57" s="70" t="s">
        <v>412</v>
      </c>
      <c r="B57" s="13"/>
      <c r="C57" s="95"/>
      <c r="D57" s="43"/>
      <c r="E57" s="43"/>
      <c r="F57" s="415"/>
    </row>
    <row r="58" spans="1:6" x14ac:dyDescent="0.2">
      <c r="A58" s="13"/>
      <c r="B58" s="13" t="s">
        <v>413</v>
      </c>
      <c r="C58" s="496">
        <v>45</v>
      </c>
      <c r="D58" s="466">
        <f>14*(1+D7)</f>
        <v>16.52</v>
      </c>
      <c r="E58" s="200">
        <f>C58*D58</f>
        <v>743.4</v>
      </c>
      <c r="F58" s="415"/>
    </row>
    <row r="59" spans="1:6" x14ac:dyDescent="0.2">
      <c r="A59" s="13"/>
      <c r="B59" s="13" t="s">
        <v>414</v>
      </c>
      <c r="C59" s="496">
        <v>336</v>
      </c>
      <c r="D59" s="466">
        <f>10*(1+D7)</f>
        <v>11.799999999999999</v>
      </c>
      <c r="E59" s="200">
        <f>C59*D59</f>
        <v>3964.7999999999997</v>
      </c>
      <c r="F59" s="415"/>
    </row>
    <row r="60" spans="1:6" ht="13.5" thickBot="1" x14ac:dyDescent="0.25">
      <c r="A60" s="13"/>
      <c r="B60" s="13" t="s">
        <v>158</v>
      </c>
      <c r="C60" s="496">
        <v>45</v>
      </c>
      <c r="D60" s="466">
        <f>5.2*(1+D7)</f>
        <v>6.1360000000000001</v>
      </c>
      <c r="E60" s="594">
        <f>C60*D60</f>
        <v>276.12</v>
      </c>
      <c r="F60" s="415"/>
    </row>
    <row r="61" spans="1:6" x14ac:dyDescent="0.2">
      <c r="A61" s="13"/>
      <c r="B61" s="13"/>
      <c r="C61" s="95"/>
      <c r="D61" s="43"/>
      <c r="E61" s="277">
        <f>SUM(E58:E60)</f>
        <v>4984.32</v>
      </c>
      <c r="F61" s="415"/>
    </row>
    <row r="62" spans="1:6" x14ac:dyDescent="0.2">
      <c r="A62" s="70" t="s">
        <v>463</v>
      </c>
      <c r="B62" s="19"/>
      <c r="C62" s="95"/>
      <c r="D62" s="43"/>
      <c r="E62" s="531"/>
      <c r="F62" s="415"/>
    </row>
    <row r="63" spans="1:6" x14ac:dyDescent="0.2">
      <c r="A63" s="13"/>
      <c r="B63" s="19" t="s">
        <v>377</v>
      </c>
      <c r="C63" s="595">
        <v>7.5</v>
      </c>
      <c r="D63" s="200">
        <f>'Variante Vorgaben'!$C$36</f>
        <v>32.700000000000003</v>
      </c>
      <c r="E63" s="200">
        <f>C63*D63</f>
        <v>245.25000000000003</v>
      </c>
      <c r="F63" s="415"/>
    </row>
    <row r="64" spans="1:6" x14ac:dyDescent="0.2">
      <c r="A64" s="13"/>
      <c r="B64" s="19" t="s">
        <v>464</v>
      </c>
      <c r="C64" s="595">
        <v>35</v>
      </c>
      <c r="D64" s="200">
        <f>'Variante Vorgaben'!$C$36</f>
        <v>32.700000000000003</v>
      </c>
      <c r="E64" s="200">
        <f>C64*D64</f>
        <v>1144.5</v>
      </c>
      <c r="F64" s="415"/>
    </row>
    <row r="65" spans="1:6" x14ac:dyDescent="0.2">
      <c r="A65" s="13"/>
      <c r="B65" s="13" t="s">
        <v>465</v>
      </c>
      <c r="C65" s="595">
        <v>10</v>
      </c>
      <c r="D65" s="200">
        <f>'Variante Vorgaben'!D130</f>
        <v>41</v>
      </c>
      <c r="E65" s="200">
        <f>C65*D65</f>
        <v>410</v>
      </c>
      <c r="F65" s="415"/>
    </row>
    <row r="66" spans="1:6" ht="13.5" thickBot="1" x14ac:dyDescent="0.25">
      <c r="A66" s="13"/>
      <c r="B66" s="19" t="s">
        <v>466</v>
      </c>
      <c r="C66" s="595">
        <v>10</v>
      </c>
      <c r="D66" s="200">
        <f>'Variante Vorgaben'!D147</f>
        <v>14.1</v>
      </c>
      <c r="E66" s="594">
        <f>C66*D66</f>
        <v>141</v>
      </c>
      <c r="F66" s="415"/>
    </row>
    <row r="67" spans="1:6" x14ac:dyDescent="0.2">
      <c r="A67" s="13"/>
      <c r="B67" s="19"/>
      <c r="C67" s="349"/>
      <c r="D67" s="200"/>
      <c r="E67" s="277">
        <f>SUM(E63:E66)</f>
        <v>1940.75</v>
      </c>
      <c r="F67" s="415"/>
    </row>
    <row r="68" spans="1:6" x14ac:dyDescent="0.2">
      <c r="A68" s="13"/>
      <c r="B68" s="13"/>
      <c r="C68" s="95"/>
      <c r="D68" s="43"/>
      <c r="E68" s="531"/>
      <c r="F68" s="415"/>
    </row>
    <row r="69" spans="1:6" ht="15.75" x14ac:dyDescent="0.25">
      <c r="A69" s="150"/>
      <c r="B69" s="142" t="s">
        <v>403</v>
      </c>
      <c r="C69" s="408"/>
      <c r="D69" s="202"/>
      <c r="E69" s="200">
        <f>E31</f>
        <v>21299.294999999998</v>
      </c>
      <c r="F69" s="252"/>
    </row>
    <row r="70" spans="1:6" x14ac:dyDescent="0.2">
      <c r="A70" s="55"/>
      <c r="B70" s="142" t="s">
        <v>23</v>
      </c>
      <c r="C70" s="410"/>
      <c r="D70" s="252"/>
      <c r="E70" s="138">
        <f>E41</f>
        <v>5325</v>
      </c>
      <c r="F70" s="252"/>
    </row>
    <row r="71" spans="1:6" x14ac:dyDescent="0.2">
      <c r="A71" s="55"/>
      <c r="B71" s="142" t="s">
        <v>28</v>
      </c>
      <c r="C71" s="410"/>
      <c r="D71" s="252"/>
      <c r="E71" s="138">
        <f>E55</f>
        <v>10431.300000000001</v>
      </c>
      <c r="F71" s="252"/>
    </row>
    <row r="72" spans="1:6" ht="13.5" thickBot="1" x14ac:dyDescent="0.25">
      <c r="A72" s="55"/>
      <c r="B72" s="142" t="s">
        <v>415</v>
      </c>
      <c r="C72" s="410"/>
      <c r="D72" s="252"/>
      <c r="E72" s="594">
        <f>E61+E67</f>
        <v>6925.07</v>
      </c>
      <c r="F72" s="252"/>
    </row>
    <row r="73" spans="1:6" ht="15.75" x14ac:dyDescent="0.25">
      <c r="A73" s="626" t="s">
        <v>402</v>
      </c>
      <c r="B73" s="67"/>
      <c r="C73" s="410"/>
      <c r="D73" s="252"/>
      <c r="E73" s="278">
        <f>SUM(E69:E71)-E72</f>
        <v>30130.525000000001</v>
      </c>
      <c r="F73" s="252"/>
    </row>
    <row r="74" spans="1:6" x14ac:dyDescent="0.2">
      <c r="C74" s="93"/>
      <c r="D74" s="35"/>
      <c r="E74" s="35"/>
      <c r="F74" s="35"/>
    </row>
    <row r="75" spans="1:6" x14ac:dyDescent="0.2">
      <c r="A75" s="963" t="s">
        <v>549</v>
      </c>
      <c r="C75" s="10"/>
    </row>
    <row r="76" spans="1:6" x14ac:dyDescent="0.2">
      <c r="A76" s="964" t="s">
        <v>539</v>
      </c>
      <c r="B76" s="964" t="s">
        <v>540</v>
      </c>
      <c r="C76" s="965" t="s">
        <v>82</v>
      </c>
      <c r="D76" s="964" t="s">
        <v>538</v>
      </c>
      <c r="E76" s="964" t="s">
        <v>541</v>
      </c>
    </row>
    <row r="77" spans="1:6" x14ac:dyDescent="0.2">
      <c r="C77" s="10"/>
    </row>
    <row r="78" spans="1:6" x14ac:dyDescent="0.2">
      <c r="A78">
        <v>1</v>
      </c>
      <c r="B78" s="966">
        <v>1</v>
      </c>
      <c r="C78" s="14">
        <f>'Standard Hagel'!C77*(1+Eingabeseite!$C$36)</f>
        <v>0</v>
      </c>
      <c r="D78" s="443">
        <v>0.112</v>
      </c>
      <c r="E78" s="966">
        <v>0.8</v>
      </c>
    </row>
    <row r="79" spans="1:6" x14ac:dyDescent="0.2">
      <c r="A79">
        <v>2</v>
      </c>
      <c r="B79" s="967">
        <f>B78</f>
        <v>1</v>
      </c>
      <c r="C79" s="14">
        <f>'Standard Hagel'!C78*(1+Eingabeseite!$C$36)</f>
        <v>9878.4000000000015</v>
      </c>
      <c r="D79" s="194">
        <f>D78</f>
        <v>0.112</v>
      </c>
      <c r="E79" s="967">
        <f>E78</f>
        <v>0.8</v>
      </c>
    </row>
    <row r="80" spans="1:6" x14ac:dyDescent="0.2">
      <c r="A80">
        <v>3</v>
      </c>
      <c r="B80" s="967">
        <f>B78</f>
        <v>1</v>
      </c>
      <c r="C80" s="14">
        <f>'Standard Hagel'!C79*(1+Eingabeseite!$C$36)</f>
        <v>12348</v>
      </c>
      <c r="D80" s="194">
        <f>D78</f>
        <v>0.112</v>
      </c>
      <c r="E80" s="967">
        <f>E78</f>
        <v>0.8</v>
      </c>
    </row>
    <row r="81" spans="1:6" x14ac:dyDescent="0.2">
      <c r="A81">
        <v>4</v>
      </c>
      <c r="B81" s="967">
        <f>B78</f>
        <v>1</v>
      </c>
      <c r="C81" s="14">
        <f>'Standard Hagel'!C80*(1+Eingabeseite!$C$36)</f>
        <v>21403.200000000001</v>
      </c>
      <c r="D81" s="194">
        <f>D78</f>
        <v>0.112</v>
      </c>
      <c r="E81" s="967">
        <f>E78</f>
        <v>0.8</v>
      </c>
      <c r="F81" s="141">
        <f>C81*D81*E81</f>
        <v>1917.7267200000003</v>
      </c>
    </row>
    <row r="82" spans="1:6" x14ac:dyDescent="0.2">
      <c r="A82">
        <v>5</v>
      </c>
      <c r="B82" s="967">
        <f>B78</f>
        <v>1</v>
      </c>
      <c r="C82" s="14">
        <f>'Standard Hagel'!C81*(1+Eingabeseite!$C$36)</f>
        <v>28812.000000000004</v>
      </c>
      <c r="D82" s="194">
        <f>D78</f>
        <v>0.112</v>
      </c>
      <c r="E82" s="967">
        <f>E78</f>
        <v>0.8</v>
      </c>
      <c r="F82" s="141">
        <f t="shared" ref="F82:F93" si="1">C82*D82</f>
        <v>3226.9440000000004</v>
      </c>
    </row>
    <row r="83" spans="1:6" x14ac:dyDescent="0.2">
      <c r="A83">
        <v>6</v>
      </c>
      <c r="B83" s="967">
        <f>B78</f>
        <v>1</v>
      </c>
      <c r="C83" s="14">
        <f>'Standard Hagel'!C82*(1+Eingabeseite!$C$36)</f>
        <v>36220.800000000003</v>
      </c>
      <c r="D83" s="194">
        <f>D78</f>
        <v>0.112</v>
      </c>
      <c r="E83" s="967">
        <f>E78</f>
        <v>0.8</v>
      </c>
      <c r="F83" s="141">
        <f t="shared" si="1"/>
        <v>4056.7296000000006</v>
      </c>
    </row>
    <row r="84" spans="1:6" x14ac:dyDescent="0.2">
      <c r="A84">
        <v>7</v>
      </c>
      <c r="B84" s="967">
        <f>B78</f>
        <v>1</v>
      </c>
      <c r="C84" s="14">
        <f>'Standard Hagel'!C83*(1+Eingabeseite!$C$36)</f>
        <v>29532.300000000003</v>
      </c>
      <c r="D84" s="194">
        <f>D78</f>
        <v>0.112</v>
      </c>
      <c r="E84" s="967">
        <f>E78</f>
        <v>0.8</v>
      </c>
      <c r="F84" s="141">
        <f t="shared" si="1"/>
        <v>3307.6176000000005</v>
      </c>
    </row>
    <row r="85" spans="1:6" x14ac:dyDescent="0.2">
      <c r="A85">
        <v>8</v>
      </c>
      <c r="B85" s="967">
        <f>B78</f>
        <v>1</v>
      </c>
      <c r="C85" s="14">
        <f>'Standard Hagel'!C84*(1+Eingabeseite!$C$36)</f>
        <v>29532.300000000003</v>
      </c>
      <c r="D85" s="194">
        <f>D78</f>
        <v>0.112</v>
      </c>
      <c r="E85" s="967">
        <f>E78</f>
        <v>0.8</v>
      </c>
      <c r="F85" s="141">
        <f t="shared" si="1"/>
        <v>3307.6176000000005</v>
      </c>
    </row>
    <row r="86" spans="1:6" x14ac:dyDescent="0.2">
      <c r="A86">
        <v>9</v>
      </c>
      <c r="B86" s="967">
        <f>B78</f>
        <v>1</v>
      </c>
      <c r="C86" s="14">
        <f>'Standard Hagel'!C85*(1+Eingabeseite!$C$36)</f>
        <v>42806.400000000001</v>
      </c>
      <c r="D86" s="194">
        <f>D78</f>
        <v>0.112</v>
      </c>
      <c r="E86" s="967">
        <f>E78</f>
        <v>0.8</v>
      </c>
      <c r="F86" s="141">
        <f t="shared" si="1"/>
        <v>4794.3168000000005</v>
      </c>
    </row>
    <row r="87" spans="1:6" x14ac:dyDescent="0.2">
      <c r="A87">
        <v>10</v>
      </c>
      <c r="B87" s="967">
        <f>B78</f>
        <v>1</v>
      </c>
      <c r="C87" s="14">
        <f>'Standard Hagel'!C86*(1+Eingabeseite!$C$36)</f>
        <v>45276</v>
      </c>
      <c r="D87" s="194">
        <f>D78</f>
        <v>0.112</v>
      </c>
      <c r="E87" s="967">
        <f>E78</f>
        <v>0.8</v>
      </c>
      <c r="F87" s="141">
        <f t="shared" si="1"/>
        <v>5070.9120000000003</v>
      </c>
    </row>
    <row r="88" spans="1:6" x14ac:dyDescent="0.2">
      <c r="A88">
        <v>11</v>
      </c>
      <c r="B88" s="967">
        <f>B78</f>
        <v>1</v>
      </c>
      <c r="C88" s="14">
        <f>'Standard Hagel'!C87*(1+Eingabeseite!$C$36)</f>
        <v>36426.600000000006</v>
      </c>
      <c r="D88" s="194">
        <f>D78</f>
        <v>0.112</v>
      </c>
      <c r="E88" s="967">
        <f>E78</f>
        <v>0.8</v>
      </c>
      <c r="F88" s="141">
        <f t="shared" si="1"/>
        <v>4079.7792000000009</v>
      </c>
    </row>
    <row r="89" spans="1:6" x14ac:dyDescent="0.2">
      <c r="A89">
        <v>12</v>
      </c>
      <c r="B89" s="967">
        <f>B78</f>
        <v>1</v>
      </c>
      <c r="C89" s="14">
        <f>'Standard Hagel'!C88*(1+Eingabeseite!$C$36)</f>
        <v>29635.200000000004</v>
      </c>
      <c r="D89" s="194">
        <f>D78</f>
        <v>0.112</v>
      </c>
      <c r="E89" s="967">
        <f>E78</f>
        <v>0.8</v>
      </c>
      <c r="F89" s="141">
        <f t="shared" si="1"/>
        <v>3319.1424000000006</v>
      </c>
    </row>
    <row r="90" spans="1:6" x14ac:dyDescent="0.2">
      <c r="A90">
        <v>13</v>
      </c>
      <c r="B90" s="967">
        <f>B78</f>
        <v>1</v>
      </c>
      <c r="C90" s="14">
        <f>'Standard Hagel'!C89*(1+Eingabeseite!$C$36)</f>
        <v>32928</v>
      </c>
      <c r="D90" s="194">
        <f>D78</f>
        <v>0.112</v>
      </c>
      <c r="E90" s="967">
        <f>E78</f>
        <v>0.8</v>
      </c>
      <c r="F90" s="141">
        <f t="shared" si="1"/>
        <v>3687.9360000000001</v>
      </c>
    </row>
    <row r="91" spans="1:6" x14ac:dyDescent="0.2">
      <c r="A91">
        <v>14</v>
      </c>
      <c r="B91" s="967">
        <f>B78</f>
        <v>1</v>
      </c>
      <c r="C91" s="14">
        <f>'Standard Hagel'!C90*(1+Eingabeseite!$C$36)</f>
        <v>33751.200000000004</v>
      </c>
      <c r="D91" s="194">
        <f>D78</f>
        <v>0.112</v>
      </c>
      <c r="E91" s="967">
        <f>E78</f>
        <v>0.8</v>
      </c>
      <c r="F91" s="141">
        <f t="shared" si="1"/>
        <v>3780.1344000000004</v>
      </c>
    </row>
    <row r="92" spans="1:6" x14ac:dyDescent="0.2">
      <c r="A92">
        <v>15</v>
      </c>
      <c r="B92" s="967">
        <f>B78</f>
        <v>1</v>
      </c>
      <c r="C92" s="14">
        <f>'Standard Hagel'!C91*(1+Eingabeseite!$C$36)</f>
        <v>28812.000000000004</v>
      </c>
      <c r="D92" s="194">
        <f>D78</f>
        <v>0.112</v>
      </c>
      <c r="E92" s="967">
        <f>E78</f>
        <v>0.8</v>
      </c>
      <c r="F92" s="141">
        <f t="shared" si="1"/>
        <v>3226.9440000000004</v>
      </c>
    </row>
    <row r="93" spans="1:6" x14ac:dyDescent="0.2">
      <c r="A93" s="968" t="s">
        <v>542</v>
      </c>
      <c r="C93" s="969">
        <f>AVERAGE(C81:C92)</f>
        <v>32928</v>
      </c>
      <c r="D93" s="970">
        <f>AVERAGE(D81:D92)</f>
        <v>0.11200000000000003</v>
      </c>
      <c r="F93" s="969">
        <f t="shared" si="1"/>
        <v>3687.9360000000011</v>
      </c>
    </row>
    <row r="94" spans="1:6" x14ac:dyDescent="0.2">
      <c r="A94" s="968" t="s">
        <v>543</v>
      </c>
      <c r="C94" s="969">
        <f>SUM(C81:C92)</f>
        <v>395136</v>
      </c>
    </row>
  </sheetData>
  <mergeCells count="3">
    <mergeCell ref="A6:H6"/>
    <mergeCell ref="B3:F3"/>
    <mergeCell ref="A5:H5"/>
  </mergeCells>
  <phoneticPr fontId="23" type="noConversion"/>
  <pageMargins left="0.78740157499999996" right="0.78740157499999996" top="0.984251969" bottom="0.984251969" header="0.4921259845" footer="0.4921259845"/>
  <pageSetup paperSize="9" orientation="portrait" r:id="rId1"/>
  <headerFooter alignWithMargins="0">
    <oddFooter>&amp;LArbokost 2008&amp;RAgroscope Changins - Wädenswil ACW</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tabColor indexed="8"/>
  </sheetPr>
  <dimension ref="A1:H112"/>
  <sheetViews>
    <sheetView zoomScale="90" zoomScaleNormal="90" workbookViewId="0">
      <selection activeCell="J16" sqref="J16"/>
    </sheetView>
  </sheetViews>
  <sheetFormatPr baseColWidth="10" defaultRowHeight="12.75" x14ac:dyDescent="0.2"/>
  <cols>
    <col min="1" max="1" width="32.140625" customWidth="1"/>
    <col min="2" max="2" width="23.5703125" customWidth="1"/>
    <col min="3" max="3" width="11.140625" customWidth="1"/>
    <col min="4" max="7" width="11.42578125" customWidth="1"/>
    <col min="8" max="8" width="18.85546875" customWidth="1"/>
    <col min="9" max="256" width="9.140625" customWidth="1"/>
  </cols>
  <sheetData>
    <row r="1" spans="1:8" ht="31.5" x14ac:dyDescent="0.4">
      <c r="A1" s="1135" t="str">
        <f>Eingabeseite!A1</f>
        <v>Arbokost 2023</v>
      </c>
      <c r="B1" s="900"/>
      <c r="C1" s="686"/>
      <c r="D1" s="687"/>
      <c r="E1" s="688"/>
      <c r="F1" s="689"/>
    </row>
    <row r="2" spans="1:8" ht="14.25" x14ac:dyDescent="0.2">
      <c r="A2" s="986" t="s">
        <v>469</v>
      </c>
      <c r="B2" s="987"/>
      <c r="C2" s="988"/>
      <c r="D2" s="989"/>
      <c r="E2" s="990"/>
      <c r="F2" s="989"/>
      <c r="G2" s="991"/>
      <c r="H2" s="991"/>
    </row>
    <row r="3" spans="1:8" ht="23.25" customHeight="1" x14ac:dyDescent="0.2">
      <c r="A3" s="1429" t="s">
        <v>626</v>
      </c>
      <c r="B3" s="1428"/>
      <c r="C3" s="1428" t="s">
        <v>475</v>
      </c>
      <c r="D3" s="1428"/>
      <c r="E3" s="1428"/>
      <c r="F3" s="1428"/>
      <c r="G3" s="1428"/>
      <c r="H3" s="1428"/>
    </row>
    <row r="4" spans="1:8" ht="13.5" x14ac:dyDescent="0.25">
      <c r="A4" s="1428" t="s">
        <v>591</v>
      </c>
      <c r="B4" s="1428"/>
      <c r="C4" s="1428"/>
      <c r="D4" s="1428"/>
      <c r="E4" s="1428"/>
      <c r="F4" s="1428"/>
      <c r="G4" s="1428"/>
      <c r="H4" s="1428"/>
    </row>
    <row r="5" spans="1:8" x14ac:dyDescent="0.2">
      <c r="A5" s="992"/>
      <c r="B5" s="993">
        <f>'Variante Vorgaben'!C23</f>
        <v>25</v>
      </c>
      <c r="C5" s="994">
        <f>'Variante Vorgaben'!C18</f>
        <v>120</v>
      </c>
      <c r="D5" s="995" t="s">
        <v>11</v>
      </c>
      <c r="E5" s="996"/>
      <c r="F5" s="995" t="s">
        <v>12</v>
      </c>
      <c r="G5" s="997"/>
      <c r="H5" s="995" t="s">
        <v>168</v>
      </c>
    </row>
    <row r="6" spans="1:8" s="1" customFormat="1" x14ac:dyDescent="0.2">
      <c r="A6" s="1056" t="str">
        <f>'Variante Hagel'!A7</f>
        <v>Teuerung 2015-2023 (Baumaterialien gemäss Bundesamt für Statistik)</v>
      </c>
      <c r="C6" s="1057"/>
      <c r="E6" s="1384"/>
      <c r="F6" s="1385">
        <f>'Variante Hagel'!D7</f>
        <v>0.18</v>
      </c>
      <c r="G6" s="1060"/>
      <c r="H6" s="1383"/>
    </row>
    <row r="7" spans="1:8" s="1" customFormat="1" x14ac:dyDescent="0.2">
      <c r="A7" s="1056"/>
      <c r="B7" s="1059"/>
      <c r="C7" s="1057"/>
      <c r="D7" s="1383"/>
      <c r="E7" s="1384"/>
      <c r="F7" s="1383"/>
      <c r="G7" s="1060"/>
      <c r="H7" s="1383"/>
    </row>
    <row r="8" spans="1:8" x14ac:dyDescent="0.2">
      <c r="A8" s="998" t="s">
        <v>477</v>
      </c>
      <c r="B8" s="952" t="s">
        <v>583</v>
      </c>
      <c r="C8" s="952"/>
      <c r="D8" s="999">
        <f>((B5*C5)+50)</f>
        <v>3050</v>
      </c>
      <c r="E8" s="1000"/>
      <c r="F8" s="1001">
        <f>1.35*(1+F6)</f>
        <v>1.593</v>
      </c>
      <c r="G8" s="1001"/>
      <c r="H8" s="1002">
        <f>F8*D8</f>
        <v>4858.6499999999996</v>
      </c>
    </row>
    <row r="9" spans="1:8" x14ac:dyDescent="0.2">
      <c r="A9" s="957" t="s">
        <v>486</v>
      </c>
      <c r="B9" s="976" t="s">
        <v>489</v>
      </c>
      <c r="C9" s="952"/>
      <c r="D9" s="999"/>
      <c r="E9" s="1000"/>
      <c r="F9" s="1001"/>
      <c r="G9" s="1001"/>
      <c r="H9" s="1002"/>
    </row>
    <row r="10" spans="1:8" x14ac:dyDescent="0.2">
      <c r="A10" s="952"/>
      <c r="B10" s="1003" t="s">
        <v>490</v>
      </c>
      <c r="C10" s="1004"/>
      <c r="D10" s="1005">
        <f>B5</f>
        <v>25</v>
      </c>
      <c r="E10" s="1006"/>
      <c r="F10" s="1007">
        <f>6*(1+F6)</f>
        <v>7.08</v>
      </c>
      <c r="G10" s="1001"/>
      <c r="H10" s="1002">
        <f>F10*D10</f>
        <v>177</v>
      </c>
    </row>
    <row r="11" spans="1:8" x14ac:dyDescent="0.2">
      <c r="A11" s="952"/>
      <c r="B11" s="973" t="s">
        <v>491</v>
      </c>
      <c r="C11" s="952"/>
      <c r="D11" s="1005">
        <f>B5</f>
        <v>25</v>
      </c>
      <c r="E11" s="1006"/>
      <c r="F11" s="1007">
        <f>6.5*(1+$F$6)</f>
        <v>7.67</v>
      </c>
      <c r="G11" s="1001"/>
      <c r="H11" s="1002">
        <f>F11*D11</f>
        <v>191.75</v>
      </c>
    </row>
    <row r="12" spans="1:8" x14ac:dyDescent="0.2">
      <c r="A12" s="952"/>
      <c r="B12" s="973" t="s">
        <v>492</v>
      </c>
      <c r="C12" s="952"/>
      <c r="D12" s="1005">
        <v>5000</v>
      </c>
      <c r="E12" s="1006"/>
      <c r="F12" s="1007">
        <f>0.06*(1+$F$6)</f>
        <v>7.0799999999999988E-2</v>
      </c>
      <c r="G12" s="1001"/>
      <c r="H12" s="1002">
        <f>F12*D12</f>
        <v>353.99999999999994</v>
      </c>
    </row>
    <row r="13" spans="1:8" ht="13.5" thickBot="1" x14ac:dyDescent="0.25">
      <c r="A13" s="952"/>
      <c r="B13" s="952" t="s">
        <v>355</v>
      </c>
      <c r="C13" s="952"/>
      <c r="D13" s="1005"/>
      <c r="E13" s="1006"/>
      <c r="F13" s="1007"/>
      <c r="G13" s="1001"/>
      <c r="H13" s="1002">
        <v>250</v>
      </c>
    </row>
    <row r="14" spans="1:8" x14ac:dyDescent="0.2">
      <c r="A14" s="998" t="s">
        <v>493</v>
      </c>
      <c r="B14" s="998"/>
      <c r="C14" s="998"/>
      <c r="D14" s="1008"/>
      <c r="E14" s="1009"/>
      <c r="F14" s="1010"/>
      <c r="G14" s="1011"/>
      <c r="H14" s="1012">
        <f>SUM(H8:H13)</f>
        <v>5831.4</v>
      </c>
    </row>
    <row r="15" spans="1:8" x14ac:dyDescent="0.2">
      <c r="A15" s="952" t="s">
        <v>478</v>
      </c>
      <c r="B15" s="952" t="s">
        <v>494</v>
      </c>
      <c r="C15" s="952"/>
      <c r="D15" s="1005"/>
      <c r="E15" s="1006"/>
      <c r="F15" s="1007"/>
      <c r="G15" s="1001"/>
      <c r="H15" s="1002"/>
    </row>
    <row r="16" spans="1:8" x14ac:dyDescent="0.2">
      <c r="A16" s="952"/>
      <c r="B16" s="952" t="s">
        <v>495</v>
      </c>
      <c r="C16" s="952"/>
      <c r="D16" s="1013">
        <v>300</v>
      </c>
      <c r="E16" s="1006"/>
      <c r="F16" s="1007">
        <f>3.8*(1+$F$6)</f>
        <v>4.484</v>
      </c>
      <c r="G16" s="1001"/>
      <c r="H16" s="1002">
        <f>F16*D16</f>
        <v>1345.2</v>
      </c>
    </row>
    <row r="17" spans="1:8" x14ac:dyDescent="0.2">
      <c r="A17" s="952"/>
      <c r="B17" s="973" t="s">
        <v>496</v>
      </c>
      <c r="C17" s="952"/>
      <c r="D17" s="1005">
        <v>3</v>
      </c>
      <c r="E17" s="1014"/>
      <c r="F17" s="1007">
        <f>60*(1+$F$6)</f>
        <v>70.8</v>
      </c>
      <c r="G17" s="1001"/>
      <c r="H17" s="1002">
        <f>F17*D17</f>
        <v>212.39999999999998</v>
      </c>
    </row>
    <row r="18" spans="1:8" ht="13.5" thickBot="1" x14ac:dyDescent="0.25">
      <c r="A18" s="952"/>
      <c r="B18" s="952" t="s">
        <v>497</v>
      </c>
      <c r="C18" s="952"/>
      <c r="D18" s="1015"/>
      <c r="E18" s="1015"/>
      <c r="F18" s="1015"/>
      <c r="G18" s="952"/>
      <c r="H18" s="1016">
        <v>250</v>
      </c>
    </row>
    <row r="19" spans="1:8" x14ac:dyDescent="0.2">
      <c r="A19" s="998" t="s">
        <v>498</v>
      </c>
      <c r="B19" s="1017"/>
      <c r="C19" s="998"/>
      <c r="D19" s="1018"/>
      <c r="E19" s="1019"/>
      <c r="F19" s="1010"/>
      <c r="G19" s="1011"/>
      <c r="H19" s="1020">
        <f>SUM(H16:H18)</f>
        <v>1807.6</v>
      </c>
    </row>
    <row r="20" spans="1:8" x14ac:dyDescent="0.2">
      <c r="A20" s="952" t="s">
        <v>479</v>
      </c>
      <c r="B20" s="952" t="s">
        <v>499</v>
      </c>
      <c r="C20" s="952"/>
      <c r="D20" s="1005">
        <v>1</v>
      </c>
      <c r="E20" s="1014"/>
      <c r="F20" s="1007">
        <f>300*(1+$F$6)</f>
        <v>354</v>
      </c>
      <c r="G20" s="1001"/>
      <c r="H20" s="1002">
        <f t="shared" ref="H20:H25" si="0">F20*D20</f>
        <v>354</v>
      </c>
    </row>
    <row r="21" spans="1:8" x14ac:dyDescent="0.2">
      <c r="A21" s="952"/>
      <c r="B21" s="973" t="s">
        <v>500</v>
      </c>
      <c r="C21" s="952"/>
      <c r="D21" s="1005">
        <v>1</v>
      </c>
      <c r="E21" s="1014"/>
      <c r="F21" s="1007">
        <f>120*(1+$F$6)</f>
        <v>141.6</v>
      </c>
      <c r="G21" s="1001"/>
      <c r="H21" s="1002">
        <f t="shared" si="0"/>
        <v>141.6</v>
      </c>
    </row>
    <row r="22" spans="1:8" x14ac:dyDescent="0.2">
      <c r="A22" s="952"/>
      <c r="B22" s="952" t="s">
        <v>501</v>
      </c>
      <c r="C22" s="952"/>
      <c r="D22" s="1005">
        <v>1</v>
      </c>
      <c r="E22" s="1014"/>
      <c r="F22" s="1007">
        <f>75*(1+$F$6)</f>
        <v>88.5</v>
      </c>
      <c r="G22" s="1001"/>
      <c r="H22" s="1002">
        <f t="shared" si="0"/>
        <v>88.5</v>
      </c>
    </row>
    <row r="23" spans="1:8" x14ac:dyDescent="0.2">
      <c r="A23" s="952"/>
      <c r="B23" s="952" t="s">
        <v>502</v>
      </c>
      <c r="C23" s="952"/>
      <c r="D23" s="1005">
        <v>1</v>
      </c>
      <c r="E23" s="1014"/>
      <c r="F23" s="1007">
        <f>70*(1+$F$6)</f>
        <v>82.6</v>
      </c>
      <c r="G23" s="1001"/>
      <c r="H23" s="1002">
        <f t="shared" si="0"/>
        <v>82.6</v>
      </c>
    </row>
    <row r="24" spans="1:8" x14ac:dyDescent="0.2">
      <c r="A24" s="952"/>
      <c r="B24" s="952" t="s">
        <v>503</v>
      </c>
      <c r="C24" s="952"/>
      <c r="D24" s="1005">
        <v>2</v>
      </c>
      <c r="E24" s="1014"/>
      <c r="F24" s="1007">
        <f>130*(1+$F$6)</f>
        <v>153.4</v>
      </c>
      <c r="G24" s="1001"/>
      <c r="H24" s="1002">
        <f t="shared" si="0"/>
        <v>306.8</v>
      </c>
    </row>
    <row r="25" spans="1:8" x14ac:dyDescent="0.2">
      <c r="A25" s="952"/>
      <c r="B25" s="952" t="s">
        <v>504</v>
      </c>
      <c r="C25" s="952"/>
      <c r="D25" s="1005">
        <v>1</v>
      </c>
      <c r="E25" s="1014"/>
      <c r="F25" s="1007">
        <f>350*(1+$F$6)</f>
        <v>413</v>
      </c>
      <c r="G25" s="1001"/>
      <c r="H25" s="1002">
        <f t="shared" si="0"/>
        <v>413</v>
      </c>
    </row>
    <row r="26" spans="1:8" ht="13.5" thickBot="1" x14ac:dyDescent="0.25">
      <c r="A26" s="952"/>
      <c r="B26" s="973" t="s">
        <v>497</v>
      </c>
      <c r="C26" s="952"/>
      <c r="D26" s="1015"/>
      <c r="E26" s="1015"/>
      <c r="F26" s="1015"/>
      <c r="G26" s="952"/>
      <c r="H26" s="1002">
        <v>100</v>
      </c>
    </row>
    <row r="27" spans="1:8" x14ac:dyDescent="0.2">
      <c r="A27" s="998" t="s">
        <v>505</v>
      </c>
      <c r="B27" s="1017"/>
      <c r="C27" s="998"/>
      <c r="D27" s="1018"/>
      <c r="E27" s="1019"/>
      <c r="F27" s="1010"/>
      <c r="G27" s="1011"/>
      <c r="H27" s="1012">
        <f>SUM(H20:H25)</f>
        <v>1386.5</v>
      </c>
    </row>
    <row r="28" spans="1:8" x14ac:dyDescent="0.2">
      <c r="A28" s="1021"/>
      <c r="B28" s="1021"/>
      <c r="C28" s="1021"/>
      <c r="D28" s="1022"/>
      <c r="E28" s="1023"/>
      <c r="F28" s="1024"/>
      <c r="G28" s="1025"/>
      <c r="H28" s="1026"/>
    </row>
    <row r="29" spans="1:8" ht="13.5" thickBot="1" x14ac:dyDescent="0.25">
      <c r="A29" s="1021"/>
      <c r="B29" s="1021"/>
      <c r="C29" s="1021"/>
      <c r="D29" s="1022"/>
      <c r="E29" s="1023"/>
      <c r="F29" s="1024"/>
      <c r="G29" s="1025"/>
      <c r="H29" s="1026"/>
    </row>
    <row r="30" spans="1:8" x14ac:dyDescent="0.2">
      <c r="A30" s="998" t="s">
        <v>534</v>
      </c>
      <c r="B30" s="1017"/>
      <c r="C30" s="998"/>
      <c r="D30" s="1027"/>
      <c r="E30" s="1028"/>
      <c r="F30" s="1011"/>
      <c r="G30" s="1011"/>
      <c r="H30" s="1012">
        <f>H14+H19+H27+H28+H29</f>
        <v>9025.5</v>
      </c>
    </row>
    <row r="31" spans="1:8" x14ac:dyDescent="0.2">
      <c r="A31" s="952" t="s">
        <v>509</v>
      </c>
      <c r="B31" s="973"/>
      <c r="C31" s="952"/>
      <c r="D31" s="1029"/>
      <c r="E31" s="1030"/>
      <c r="F31" s="1001"/>
      <c r="G31" s="1001"/>
      <c r="H31" s="1002"/>
    </row>
    <row r="32" spans="1:8" x14ac:dyDescent="0.2">
      <c r="A32" s="952"/>
      <c r="B32" s="973" t="s">
        <v>62</v>
      </c>
      <c r="C32" s="1031"/>
      <c r="D32" s="995" t="s">
        <v>11</v>
      </c>
      <c r="E32" s="995" t="s">
        <v>510</v>
      </c>
      <c r="F32" s="995" t="s">
        <v>511</v>
      </c>
      <c r="G32" s="995"/>
      <c r="H32" s="995" t="s">
        <v>168</v>
      </c>
    </row>
    <row r="33" spans="1:8" x14ac:dyDescent="0.2">
      <c r="A33" s="952"/>
      <c r="B33" s="973"/>
      <c r="C33" s="952"/>
      <c r="D33" s="1029"/>
      <c r="E33" s="1030"/>
      <c r="F33" s="1001"/>
      <c r="G33" s="1032" t="s">
        <v>21</v>
      </c>
      <c r="H33" s="1033" t="s">
        <v>82</v>
      </c>
    </row>
    <row r="34" spans="1:8" ht="23.25" customHeight="1" x14ac:dyDescent="0.2">
      <c r="A34" s="952" t="s">
        <v>512</v>
      </c>
      <c r="B34" s="973" t="s">
        <v>513</v>
      </c>
      <c r="C34" s="1386"/>
      <c r="D34" s="1387"/>
      <c r="E34" s="1037">
        <v>10</v>
      </c>
      <c r="F34" s="1037">
        <v>2</v>
      </c>
      <c r="G34" s="1001"/>
      <c r="H34" s="1002"/>
    </row>
    <row r="35" spans="1:8" ht="26.25" customHeight="1" x14ac:dyDescent="0.2">
      <c r="A35" s="1034"/>
      <c r="B35" s="952" t="s">
        <v>514</v>
      </c>
      <c r="C35" s="1035">
        <v>6.5</v>
      </c>
      <c r="D35" s="1036">
        <f>D16</f>
        <v>300</v>
      </c>
      <c r="E35" s="1037"/>
      <c r="F35" s="1037"/>
      <c r="G35" s="1038">
        <f>C35</f>
        <v>6.5</v>
      </c>
      <c r="H35" s="1002">
        <f>G35*D35</f>
        <v>1950</v>
      </c>
    </row>
    <row r="36" spans="1:8" ht="14.25" customHeight="1" x14ac:dyDescent="0.2">
      <c r="A36" s="952"/>
      <c r="B36" s="952" t="s">
        <v>515</v>
      </c>
      <c r="C36" s="1039"/>
      <c r="D36" s="1040">
        <v>1</v>
      </c>
      <c r="E36" s="1037">
        <v>25</v>
      </c>
      <c r="F36" s="1037">
        <v>4</v>
      </c>
      <c r="G36" s="1038">
        <v>13.6</v>
      </c>
      <c r="H36" s="1002">
        <f>G36*F36</f>
        <v>54.4</v>
      </c>
    </row>
    <row r="37" spans="1:8" ht="14.25" customHeight="1" x14ac:dyDescent="0.2">
      <c r="A37" s="952"/>
      <c r="B37" s="952" t="s">
        <v>516</v>
      </c>
      <c r="C37" s="1041"/>
      <c r="D37" s="1040"/>
      <c r="E37" s="1037">
        <v>35</v>
      </c>
      <c r="F37" s="1037"/>
      <c r="G37" s="1038"/>
      <c r="H37" s="1002"/>
    </row>
    <row r="38" spans="1:8" ht="14.25" customHeight="1" x14ac:dyDescent="0.2">
      <c r="A38" s="952"/>
      <c r="B38" s="952" t="s">
        <v>480</v>
      </c>
      <c r="C38" s="1041"/>
      <c r="D38" s="1040"/>
      <c r="E38" s="1037">
        <v>18</v>
      </c>
      <c r="F38" s="1037"/>
      <c r="G38" s="1038"/>
      <c r="H38" s="1002"/>
    </row>
    <row r="39" spans="1:8" ht="14.25" customHeight="1" x14ac:dyDescent="0.2">
      <c r="A39" s="952"/>
      <c r="B39" s="952" t="s">
        <v>517</v>
      </c>
      <c r="C39" s="1039"/>
      <c r="D39" s="1042"/>
      <c r="E39" s="1037">
        <v>3</v>
      </c>
      <c r="F39" s="1037"/>
      <c r="G39" s="1038"/>
      <c r="H39" s="1002"/>
    </row>
    <row r="40" spans="1:8" ht="14.25" customHeight="1" x14ac:dyDescent="0.2">
      <c r="A40" s="952"/>
      <c r="B40" s="952" t="s">
        <v>375</v>
      </c>
      <c r="C40" s="1043">
        <v>125</v>
      </c>
      <c r="D40" s="1044">
        <v>3</v>
      </c>
      <c r="E40" s="1037">
        <v>3</v>
      </c>
      <c r="F40" s="1015"/>
      <c r="G40" s="1038">
        <v>3</v>
      </c>
      <c r="H40" s="1002">
        <f>G40*C40</f>
        <v>375</v>
      </c>
    </row>
    <row r="41" spans="1:8" ht="14.25" customHeight="1" thickBot="1" x14ac:dyDescent="0.25">
      <c r="A41" s="1034" t="s">
        <v>391</v>
      </c>
      <c r="B41" s="1045">
        <v>0.1</v>
      </c>
      <c r="C41" s="1046" t="s">
        <v>518</v>
      </c>
      <c r="D41" s="1015"/>
      <c r="E41" s="1116">
        <f>SUM(E34:E40)*B41</f>
        <v>9.4</v>
      </c>
      <c r="F41" s="1116">
        <f>SUM(F34:F40)*B41</f>
        <v>0.60000000000000009</v>
      </c>
      <c r="G41" s="1047"/>
      <c r="H41" s="1002"/>
    </row>
    <row r="42" spans="1:8" ht="14.25" customHeight="1" x14ac:dyDescent="0.2">
      <c r="A42" s="998" t="s">
        <v>519</v>
      </c>
      <c r="B42" s="998"/>
      <c r="C42" s="998"/>
      <c r="D42" s="1027"/>
      <c r="E42" s="1389">
        <f>SUM(E34:E41)</f>
        <v>103.4</v>
      </c>
      <c r="F42" s="1389">
        <f>SUM(F34:F41)</f>
        <v>6.6</v>
      </c>
      <c r="G42" s="1011"/>
      <c r="H42" s="1012">
        <f>SUM(H34:H41)</f>
        <v>2379.4</v>
      </c>
    </row>
    <row r="43" spans="1:8" ht="14.25" customHeight="1" x14ac:dyDescent="0.2">
      <c r="A43" s="952" t="s">
        <v>520</v>
      </c>
      <c r="B43" s="952"/>
      <c r="C43" s="952"/>
      <c r="D43" s="1029"/>
      <c r="E43" s="1048"/>
      <c r="F43" s="1001"/>
      <c r="G43" s="1001"/>
      <c r="H43" s="1002"/>
    </row>
    <row r="44" spans="1:8" ht="14.25" customHeight="1" x14ac:dyDescent="0.2">
      <c r="A44" s="952" t="s">
        <v>476</v>
      </c>
      <c r="B44" s="952"/>
      <c r="C44" s="952"/>
      <c r="D44" s="1029"/>
      <c r="E44" s="1048"/>
      <c r="F44" s="1001"/>
      <c r="G44" s="1001"/>
      <c r="H44" s="1002">
        <f>H30</f>
        <v>9025.5</v>
      </c>
    </row>
    <row r="45" spans="1:8" ht="14.25" customHeight="1" x14ac:dyDescent="0.2">
      <c r="A45" s="952" t="s">
        <v>521</v>
      </c>
      <c r="B45" s="952" t="s">
        <v>522</v>
      </c>
      <c r="C45" s="952" t="s">
        <v>523</v>
      </c>
      <c r="D45" s="1005">
        <f>F42</f>
        <v>6.6</v>
      </c>
      <c r="E45" s="1014" t="s">
        <v>524</v>
      </c>
      <c r="F45" s="1001">
        <f>'Variante Vorgaben'!D130</f>
        <v>41</v>
      </c>
      <c r="G45" s="1001"/>
      <c r="H45" s="1002">
        <f>((D45*F45)+H42)</f>
        <v>2650</v>
      </c>
    </row>
    <row r="46" spans="1:8" ht="14.25" customHeight="1" thickBot="1" x14ac:dyDescent="0.25">
      <c r="A46" s="952" t="s">
        <v>525</v>
      </c>
      <c r="B46" s="952"/>
      <c r="C46" s="952" t="s">
        <v>526</v>
      </c>
      <c r="D46" s="1005">
        <f>E42</f>
        <v>103.4</v>
      </c>
      <c r="E46" s="1014" t="s">
        <v>524</v>
      </c>
      <c r="F46" s="1001">
        <f>'Variante Vorgaben'!C32</f>
        <v>41.4</v>
      </c>
      <c r="G46" s="1001"/>
      <c r="H46" s="1016">
        <f>D46*F46</f>
        <v>4280.76</v>
      </c>
    </row>
    <row r="47" spans="1:8" ht="14.25" customHeight="1" x14ac:dyDescent="0.2">
      <c r="A47" s="998" t="s">
        <v>592</v>
      </c>
      <c r="B47" s="952"/>
      <c r="C47" s="952"/>
      <c r="D47" s="1005"/>
      <c r="E47" s="1014"/>
      <c r="F47" s="1007"/>
      <c r="G47" s="1001"/>
      <c r="H47" s="1020">
        <f>SUM(H44:H46)</f>
        <v>15956.26</v>
      </c>
    </row>
    <row r="48" spans="1:8" ht="14.25" customHeight="1" x14ac:dyDescent="0.2">
      <c r="A48" s="952" t="s">
        <v>527</v>
      </c>
      <c r="B48" s="952"/>
      <c r="C48" s="952" t="s">
        <v>528</v>
      </c>
      <c r="D48" s="1005"/>
      <c r="E48" s="1014"/>
      <c r="F48" s="1007"/>
      <c r="G48" s="1001"/>
      <c r="H48" s="1390">
        <v>60</v>
      </c>
    </row>
    <row r="49" spans="1:8" ht="24" customHeight="1" x14ac:dyDescent="0.2">
      <c r="A49" s="952" t="s">
        <v>529</v>
      </c>
      <c r="B49" s="952"/>
      <c r="C49" s="1049" t="s">
        <v>530</v>
      </c>
      <c r="D49" s="1050"/>
      <c r="E49" s="1051">
        <v>4</v>
      </c>
      <c r="F49" s="1052">
        <f>'Variante Vorgaben'!C36</f>
        <v>32.700000000000003</v>
      </c>
      <c r="G49" s="1053"/>
      <c r="H49" s="1002">
        <f>E49*F49</f>
        <v>130.80000000000001</v>
      </c>
    </row>
    <row r="50" spans="1:8" ht="14.25" customHeight="1" x14ac:dyDescent="0.2">
      <c r="A50" s="952"/>
      <c r="B50" s="952"/>
      <c r="C50" s="1049" t="s">
        <v>531</v>
      </c>
      <c r="D50" s="1050"/>
      <c r="E50" s="1051"/>
      <c r="F50" s="1052"/>
      <c r="G50" s="1053"/>
      <c r="H50" s="1002">
        <v>300</v>
      </c>
    </row>
    <row r="51" spans="1:8" ht="14.25" customHeight="1" x14ac:dyDescent="0.2">
      <c r="A51" s="952"/>
      <c r="B51" s="952"/>
      <c r="C51" s="1049" t="s">
        <v>481</v>
      </c>
      <c r="D51" s="1050"/>
      <c r="E51" s="1051">
        <v>10</v>
      </c>
      <c r="F51" s="1052">
        <f>'Variante Vorgaben'!C36</f>
        <v>32.700000000000003</v>
      </c>
      <c r="G51" s="1053"/>
      <c r="H51" s="1002">
        <f>E51*F51</f>
        <v>327</v>
      </c>
    </row>
    <row r="52" spans="1:8" ht="14.25" customHeight="1" thickBot="1" x14ac:dyDescent="0.25">
      <c r="A52" s="952"/>
      <c r="B52" s="952"/>
      <c r="C52" s="952" t="s">
        <v>484</v>
      </c>
      <c r="D52" s="1005"/>
      <c r="E52" s="1103">
        <f>'Variante Vorgaben'!C184</f>
        <v>500</v>
      </c>
      <c r="F52" s="1063">
        <f>'Variante Vorgaben'!C183</f>
        <v>1</v>
      </c>
      <c r="G52" s="1001"/>
      <c r="H52" s="1016">
        <f>E52*F52</f>
        <v>500</v>
      </c>
    </row>
    <row r="53" spans="1:8" ht="14.25" customHeight="1" x14ac:dyDescent="0.2">
      <c r="A53" s="998" t="s">
        <v>593</v>
      </c>
      <c r="B53" s="952"/>
      <c r="C53" s="1049"/>
      <c r="D53" s="1054"/>
      <c r="E53" s="1055"/>
      <c r="F53" s="1053"/>
      <c r="G53" s="1053"/>
      <c r="H53" s="1020">
        <f>SUM(H48:H52)</f>
        <v>1317.8</v>
      </c>
    </row>
    <row r="54" spans="1:8" x14ac:dyDescent="0.2">
      <c r="A54" s="952" t="s">
        <v>532</v>
      </c>
      <c r="B54" s="952"/>
      <c r="C54" s="1049"/>
      <c r="D54" s="1054"/>
      <c r="E54" s="1055"/>
      <c r="F54" s="1053"/>
      <c r="G54" s="1053"/>
      <c r="H54" s="1002"/>
    </row>
    <row r="55" spans="1:8" ht="15" customHeight="1" x14ac:dyDescent="0.2">
      <c r="A55" s="952" t="s">
        <v>533</v>
      </c>
      <c r="B55" s="952"/>
      <c r="C55" s="1049"/>
      <c r="D55" s="1054"/>
      <c r="E55" s="1055"/>
      <c r="F55" s="1053"/>
      <c r="G55" s="1053"/>
      <c r="H55" s="1002"/>
    </row>
    <row r="56" spans="1:8" x14ac:dyDescent="0.2">
      <c r="A56" s="991"/>
      <c r="B56" s="991"/>
      <c r="C56" s="991"/>
      <c r="D56" s="991"/>
      <c r="E56" s="991"/>
      <c r="F56" s="991"/>
      <c r="G56" s="991"/>
      <c r="H56" s="991"/>
    </row>
    <row r="57" spans="1:8" x14ac:dyDescent="0.2">
      <c r="A57" s="991"/>
      <c r="B57" s="991"/>
      <c r="C57" s="991"/>
      <c r="D57" s="991"/>
      <c r="E57" s="991"/>
      <c r="F57" s="991"/>
      <c r="G57" s="991"/>
      <c r="H57" s="991"/>
    </row>
    <row r="58" spans="1:8" x14ac:dyDescent="0.2">
      <c r="A58" s="1428" t="s">
        <v>551</v>
      </c>
      <c r="B58" s="1428"/>
      <c r="C58" s="1428"/>
      <c r="D58" s="1428"/>
      <c r="E58" s="1428"/>
      <c r="F58" s="1428"/>
      <c r="G58" s="1428"/>
      <c r="H58" s="1428"/>
    </row>
    <row r="59" spans="1:8" x14ac:dyDescent="0.2">
      <c r="A59" s="1056" t="s">
        <v>594</v>
      </c>
      <c r="B59" s="1056"/>
      <c r="C59" s="1057">
        <f>'Variante Vorgaben'!C19</f>
        <v>75</v>
      </c>
      <c r="D59" s="1058">
        <f>'Variante Vorgaben'!C18</f>
        <v>120</v>
      </c>
      <c r="E59" s="1059">
        <f>'Variante Vorgaben'!C23</f>
        <v>25</v>
      </c>
      <c r="F59" s="1060">
        <f>'Variante Vorgaben'!C21</f>
        <v>3</v>
      </c>
      <c r="G59" s="1060"/>
      <c r="H59" s="1061">
        <f>'Variante Vorgaben'!C22</f>
        <v>1</v>
      </c>
    </row>
    <row r="60" spans="1:8" x14ac:dyDescent="0.2">
      <c r="A60" s="973" t="s">
        <v>477</v>
      </c>
      <c r="B60" s="973" t="s">
        <v>552</v>
      </c>
      <c r="C60" s="973"/>
      <c r="D60" s="1013">
        <f>((E59*D59)+50)</f>
        <v>3050</v>
      </c>
      <c r="E60" s="1062"/>
      <c r="F60" s="1007">
        <f>0.9*(1+$F$6)</f>
        <v>1.0620000000000001</v>
      </c>
      <c r="G60" s="1063"/>
      <c r="H60" s="1064">
        <f>F60*D60</f>
        <v>3239.1000000000004</v>
      </c>
    </row>
    <row r="61" spans="1:8" x14ac:dyDescent="0.2">
      <c r="A61" s="1065"/>
      <c r="B61" s="973" t="s">
        <v>553</v>
      </c>
      <c r="C61" s="973"/>
      <c r="D61" s="1005">
        <f>ROUND(((D59/H59)+1)*E59,0)/2</f>
        <v>1512.5</v>
      </c>
      <c r="E61" s="1062" t="s">
        <v>554</v>
      </c>
      <c r="F61" s="1007">
        <f>2.6*(1+$F$6)</f>
        <v>3.0680000000000001</v>
      </c>
      <c r="G61" s="1063"/>
      <c r="H61" s="1064">
        <f>F61*D61</f>
        <v>4640.3500000000004</v>
      </c>
    </row>
    <row r="62" spans="1:8" x14ac:dyDescent="0.2">
      <c r="A62" s="973"/>
      <c r="B62" s="1066" t="s">
        <v>490</v>
      </c>
      <c r="C62" s="1067"/>
      <c r="D62" s="1005">
        <f>E59</f>
        <v>25</v>
      </c>
      <c r="E62" s="1006"/>
      <c r="F62" s="1007">
        <f>20.65*(1+$F$6)</f>
        <v>24.366999999999997</v>
      </c>
      <c r="G62" s="1063"/>
      <c r="H62" s="1064">
        <f>F62*D62</f>
        <v>609.17499999999995</v>
      </c>
    </row>
    <row r="63" spans="1:8" x14ac:dyDescent="0.2">
      <c r="A63" s="973"/>
      <c r="B63" s="973" t="s">
        <v>555</v>
      </c>
      <c r="C63" s="973"/>
      <c r="D63" s="1005">
        <f>E59</f>
        <v>25</v>
      </c>
      <c r="E63" s="1006"/>
      <c r="F63" s="1007">
        <f>8.5*(1+$F$6)</f>
        <v>10.029999999999999</v>
      </c>
      <c r="G63" s="1063"/>
      <c r="H63" s="1064">
        <f>F63*D63</f>
        <v>250.74999999999997</v>
      </c>
    </row>
    <row r="64" spans="1:8" x14ac:dyDescent="0.2">
      <c r="A64" s="973"/>
      <c r="B64" s="973" t="s">
        <v>556</v>
      </c>
      <c r="C64" s="973"/>
      <c r="D64" s="1005">
        <f>D60</f>
        <v>3050</v>
      </c>
      <c r="E64" s="1006"/>
      <c r="F64" s="1007">
        <f>0.078*(1+$F$6)</f>
        <v>9.2039999999999997E-2</v>
      </c>
      <c r="G64" s="1063"/>
      <c r="H64" s="1064">
        <f>F64*D64</f>
        <v>280.72199999999998</v>
      </c>
    </row>
    <row r="65" spans="1:8" ht="13.5" thickBot="1" x14ac:dyDescent="0.25">
      <c r="A65" s="973"/>
      <c r="B65" s="973" t="s">
        <v>355</v>
      </c>
      <c r="C65" s="973"/>
      <c r="D65" s="1005"/>
      <c r="E65" s="1006"/>
      <c r="F65" s="1007"/>
      <c r="G65" s="1063"/>
      <c r="H65" s="1068">
        <v>250</v>
      </c>
    </row>
    <row r="66" spans="1:8" x14ac:dyDescent="0.2">
      <c r="A66" s="1069" t="s">
        <v>493</v>
      </c>
      <c r="B66" s="1069"/>
      <c r="C66" s="1069"/>
      <c r="D66" s="1070"/>
      <c r="E66" s="1071"/>
      <c r="F66" s="1071"/>
      <c r="G66" s="1072"/>
      <c r="H66" s="1073">
        <f>SUM(H60:H65)</f>
        <v>9270.0969999999998</v>
      </c>
    </row>
    <row r="67" spans="1:8" x14ac:dyDescent="0.2">
      <c r="A67" s="973" t="s">
        <v>478</v>
      </c>
      <c r="B67" s="973" t="s">
        <v>494</v>
      </c>
      <c r="C67" s="973"/>
      <c r="D67" s="1005"/>
      <c r="E67" s="1006"/>
      <c r="F67" s="1007"/>
      <c r="G67" s="1063"/>
      <c r="H67" s="1064"/>
    </row>
    <row r="68" spans="1:8" x14ac:dyDescent="0.2">
      <c r="A68" s="973"/>
      <c r="B68" s="973" t="s">
        <v>495</v>
      </c>
      <c r="C68" s="973"/>
      <c r="D68" s="1013">
        <v>300</v>
      </c>
      <c r="E68" s="1006"/>
      <c r="F68" s="1007">
        <f>3.8*(1+$F$6)</f>
        <v>4.484</v>
      </c>
      <c r="G68" s="1063"/>
      <c r="H68" s="1064">
        <f>F68*D68</f>
        <v>1345.2</v>
      </c>
    </row>
    <row r="69" spans="1:8" x14ac:dyDescent="0.2">
      <c r="A69" s="973"/>
      <c r="B69" s="973" t="s">
        <v>496</v>
      </c>
      <c r="C69" s="973"/>
      <c r="D69" s="1005">
        <v>2</v>
      </c>
      <c r="E69" s="1014"/>
      <c r="F69" s="1007">
        <f>55*(1+$F$6)</f>
        <v>64.899999999999991</v>
      </c>
      <c r="G69" s="1063"/>
      <c r="H69" s="1064">
        <f>F69*D69</f>
        <v>129.79999999999998</v>
      </c>
    </row>
    <row r="70" spans="1:8" ht="13.5" thickBot="1" x14ac:dyDescent="0.25">
      <c r="A70" s="973"/>
      <c r="B70" s="973" t="s">
        <v>497</v>
      </c>
      <c r="C70" s="973"/>
      <c r="D70" s="1015"/>
      <c r="E70" s="1015"/>
      <c r="F70" s="1015"/>
      <c r="G70" s="973"/>
      <c r="H70" s="1068">
        <v>250</v>
      </c>
    </row>
    <row r="71" spans="1:8" x14ac:dyDescent="0.2">
      <c r="A71" s="1069" t="s">
        <v>498</v>
      </c>
      <c r="B71" s="1069"/>
      <c r="C71" s="1069"/>
      <c r="D71" s="1070"/>
      <c r="E71" s="1071"/>
      <c r="F71" s="1071"/>
      <c r="G71" s="1072"/>
      <c r="H71" s="1073">
        <f>SUM(H68:H70)</f>
        <v>1725</v>
      </c>
    </row>
    <row r="72" spans="1:8" x14ac:dyDescent="0.2">
      <c r="A72" s="973" t="s">
        <v>479</v>
      </c>
      <c r="B72" s="973" t="s">
        <v>499</v>
      </c>
      <c r="C72" s="973"/>
      <c r="D72" s="1005">
        <v>1</v>
      </c>
      <c r="E72" s="1014"/>
      <c r="F72" s="1007">
        <f>300*(1+$F$6)</f>
        <v>354</v>
      </c>
      <c r="G72" s="1063"/>
      <c r="H72" s="1064">
        <f t="shared" ref="H72:H77" si="1">F72*D72</f>
        <v>354</v>
      </c>
    </row>
    <row r="73" spans="1:8" x14ac:dyDescent="0.2">
      <c r="A73" s="973"/>
      <c r="B73" s="973" t="s">
        <v>500</v>
      </c>
      <c r="C73" s="973"/>
      <c r="D73" s="1005">
        <v>1</v>
      </c>
      <c r="E73" s="1014"/>
      <c r="F73" s="1007">
        <f>120*(1+$F$6)</f>
        <v>141.6</v>
      </c>
      <c r="G73" s="1063"/>
      <c r="H73" s="1064">
        <f t="shared" si="1"/>
        <v>141.6</v>
      </c>
    </row>
    <row r="74" spans="1:8" x14ac:dyDescent="0.2">
      <c r="A74" s="973"/>
      <c r="B74" s="973" t="s">
        <v>587</v>
      </c>
      <c r="C74" s="973"/>
      <c r="D74" s="1005">
        <v>1</v>
      </c>
      <c r="E74" s="1014"/>
      <c r="F74" s="1007">
        <f>190*(1+$F$6)</f>
        <v>224.2</v>
      </c>
      <c r="G74" s="1063"/>
      <c r="H74" s="1064">
        <f t="shared" si="1"/>
        <v>224.2</v>
      </c>
    </row>
    <row r="75" spans="1:8" x14ac:dyDescent="0.2">
      <c r="A75" s="973"/>
      <c r="B75" s="973" t="s">
        <v>502</v>
      </c>
      <c r="C75" s="973"/>
      <c r="D75" s="1005">
        <v>1</v>
      </c>
      <c r="E75" s="1014"/>
      <c r="F75" s="1007">
        <f>70*(1+$F$6)</f>
        <v>82.6</v>
      </c>
      <c r="G75" s="1063"/>
      <c r="H75" s="1064">
        <f t="shared" si="1"/>
        <v>82.6</v>
      </c>
    </row>
    <row r="76" spans="1:8" x14ac:dyDescent="0.2">
      <c r="A76" s="973"/>
      <c r="B76" s="973" t="s">
        <v>503</v>
      </c>
      <c r="C76" s="973"/>
      <c r="D76" s="1005">
        <v>4</v>
      </c>
      <c r="E76" s="1014"/>
      <c r="F76" s="1007">
        <f>130*(1+$F$6)</f>
        <v>153.4</v>
      </c>
      <c r="G76" s="1063"/>
      <c r="H76" s="1064">
        <f t="shared" si="1"/>
        <v>613.6</v>
      </c>
    </row>
    <row r="77" spans="1:8" x14ac:dyDescent="0.2">
      <c r="A77" s="973"/>
      <c r="B77" s="973" t="s">
        <v>504</v>
      </c>
      <c r="C77" s="973"/>
      <c r="D77" s="1005">
        <v>1</v>
      </c>
      <c r="E77" s="1014"/>
      <c r="F77" s="1007">
        <f>350*(1+$F$6)</f>
        <v>413</v>
      </c>
      <c r="G77" s="1063"/>
      <c r="H77" s="1064">
        <f t="shared" si="1"/>
        <v>413</v>
      </c>
    </row>
    <row r="78" spans="1:8" ht="13.5" thickBot="1" x14ac:dyDescent="0.25">
      <c r="A78" s="973"/>
      <c r="B78" s="973" t="s">
        <v>497</v>
      </c>
      <c r="C78" s="973"/>
      <c r="D78" s="1015"/>
      <c r="E78" s="1015"/>
      <c r="F78" s="1015"/>
      <c r="G78" s="973"/>
      <c r="H78" s="1068">
        <v>100</v>
      </c>
    </row>
    <row r="79" spans="1:8" x14ac:dyDescent="0.2">
      <c r="A79" s="1069" t="s">
        <v>505</v>
      </c>
      <c r="B79" s="1069"/>
      <c r="C79" s="1069"/>
      <c r="D79" s="1070"/>
      <c r="E79" s="1071"/>
      <c r="F79" s="1071"/>
      <c r="G79" s="1072"/>
      <c r="H79" s="1073">
        <f>SUM(H72:H78)</f>
        <v>1929</v>
      </c>
    </row>
    <row r="80" spans="1:8" x14ac:dyDescent="0.2">
      <c r="A80" s="1074" t="s">
        <v>506</v>
      </c>
      <c r="B80" s="1074" t="s">
        <v>507</v>
      </c>
      <c r="C80" s="1074"/>
      <c r="D80" s="1075">
        <v>1</v>
      </c>
      <c r="E80" s="1076"/>
      <c r="F80" s="1077">
        <v>1580</v>
      </c>
      <c r="G80" s="1078"/>
      <c r="H80" s="1073"/>
    </row>
    <row r="81" spans="1:8" x14ac:dyDescent="0.2">
      <c r="A81" s="1074" t="s">
        <v>506</v>
      </c>
      <c r="B81" s="1074" t="s">
        <v>508</v>
      </c>
      <c r="C81" s="1074"/>
      <c r="D81" s="1075">
        <v>1</v>
      </c>
      <c r="E81" s="1076"/>
      <c r="F81" s="1077">
        <v>2250</v>
      </c>
      <c r="G81" s="1078"/>
      <c r="H81" s="1079"/>
    </row>
    <row r="82" spans="1:8" x14ac:dyDescent="0.2">
      <c r="A82" s="1069" t="s">
        <v>588</v>
      </c>
      <c r="B82" s="1069"/>
      <c r="C82" s="1069"/>
      <c r="D82" s="1069"/>
      <c r="E82" s="1072"/>
      <c r="F82" s="1072"/>
      <c r="G82" s="1072"/>
      <c r="H82" s="1073">
        <f>H66+H71+H79+H80+H81</f>
        <v>12924.097</v>
      </c>
    </row>
    <row r="83" spans="1:8" x14ac:dyDescent="0.2">
      <c r="A83" s="1069" t="s">
        <v>509</v>
      </c>
      <c r="B83" s="973"/>
      <c r="C83" s="973"/>
      <c r="D83" s="973"/>
      <c r="E83" s="973"/>
      <c r="F83" s="973"/>
      <c r="G83" s="973"/>
      <c r="H83" s="1064"/>
    </row>
    <row r="84" spans="1:8" x14ac:dyDescent="0.2">
      <c r="A84" s="1069"/>
      <c r="B84" s="1069" t="s">
        <v>62</v>
      </c>
      <c r="C84" s="1080"/>
      <c r="D84" s="1080"/>
      <c r="E84" s="1081" t="s">
        <v>510</v>
      </c>
      <c r="F84" s="1081" t="s">
        <v>511</v>
      </c>
      <c r="G84" s="1081"/>
      <c r="H84" s="1082" t="s">
        <v>558</v>
      </c>
    </row>
    <row r="85" spans="1:8" x14ac:dyDescent="0.2">
      <c r="A85" s="1069"/>
      <c r="B85" s="1069"/>
      <c r="C85" s="1080"/>
      <c r="D85" s="1080"/>
      <c r="E85" s="1081"/>
      <c r="F85" s="1081"/>
      <c r="G85" s="974" t="s">
        <v>21</v>
      </c>
      <c r="H85" s="975" t="s">
        <v>82</v>
      </c>
    </row>
    <row r="86" spans="1:8" x14ac:dyDescent="0.2">
      <c r="A86" s="973" t="s">
        <v>512</v>
      </c>
      <c r="B86" s="973" t="s">
        <v>513</v>
      </c>
      <c r="C86" s="1083"/>
      <c r="D86" s="1084"/>
      <c r="E86" s="1037">
        <v>10</v>
      </c>
      <c r="F86" s="1037">
        <v>2</v>
      </c>
      <c r="G86" s="1085"/>
      <c r="H86" s="1064"/>
    </row>
    <row r="87" spans="1:8" x14ac:dyDescent="0.2">
      <c r="A87" s="1069"/>
      <c r="B87" s="973" t="s">
        <v>514</v>
      </c>
      <c r="C87" s="1086">
        <v>8</v>
      </c>
      <c r="D87" s="1036">
        <f>D68</f>
        <v>300</v>
      </c>
      <c r="E87" s="1037"/>
      <c r="F87" s="1037"/>
      <c r="G87" s="651">
        <f>C87</f>
        <v>8</v>
      </c>
      <c r="H87" s="1064">
        <f>G87*D87</f>
        <v>2400</v>
      </c>
    </row>
    <row r="88" spans="1:8" x14ac:dyDescent="0.2">
      <c r="A88" s="973"/>
      <c r="B88" s="973" t="s">
        <v>515</v>
      </c>
      <c r="C88" s="1087"/>
      <c r="D88" s="1040">
        <v>1</v>
      </c>
      <c r="E88" s="1037">
        <v>25</v>
      </c>
      <c r="F88" s="1037">
        <v>4</v>
      </c>
      <c r="G88" s="1391">
        <v>15</v>
      </c>
      <c r="H88" s="1064">
        <f>G88*F88</f>
        <v>60</v>
      </c>
    </row>
    <row r="89" spans="1:8" x14ac:dyDescent="0.2">
      <c r="A89" s="973"/>
      <c r="B89" s="973" t="s">
        <v>516</v>
      </c>
      <c r="C89" s="1083"/>
      <c r="D89" s="1040"/>
      <c r="E89" s="1037">
        <v>35</v>
      </c>
      <c r="F89" s="1037"/>
      <c r="G89" s="1085"/>
      <c r="H89" s="1064"/>
    </row>
    <row r="90" spans="1:8" x14ac:dyDescent="0.2">
      <c r="A90" s="973"/>
      <c r="B90" s="973" t="s">
        <v>559</v>
      </c>
      <c r="C90" s="1083"/>
      <c r="D90" s="1040"/>
      <c r="E90" s="1037">
        <v>10</v>
      </c>
      <c r="F90" s="1037"/>
      <c r="G90" s="1085"/>
      <c r="H90" s="1064"/>
    </row>
    <row r="91" spans="1:8" x14ac:dyDescent="0.2">
      <c r="A91" s="973"/>
      <c r="B91" s="973" t="s">
        <v>480</v>
      </c>
      <c r="C91" s="1083"/>
      <c r="D91" s="1040"/>
      <c r="E91" s="1037">
        <v>18</v>
      </c>
      <c r="F91" s="1037"/>
      <c r="G91" s="1085"/>
      <c r="H91" s="1064"/>
    </row>
    <row r="92" spans="1:8" x14ac:dyDescent="0.2">
      <c r="A92" s="973"/>
      <c r="B92" s="973" t="s">
        <v>517</v>
      </c>
      <c r="C92" s="1087"/>
      <c r="D92" s="1042"/>
      <c r="E92" s="1037">
        <v>3</v>
      </c>
      <c r="F92" s="1037"/>
      <c r="G92" s="1085"/>
      <c r="H92" s="1064"/>
    </row>
    <row r="93" spans="1:8" x14ac:dyDescent="0.2">
      <c r="A93" s="973"/>
      <c r="B93" s="973" t="s">
        <v>375</v>
      </c>
      <c r="C93" s="1088">
        <f>'Variante Vorgaben'!D149</f>
        <v>150</v>
      </c>
      <c r="D93" s="1044">
        <v>3</v>
      </c>
      <c r="E93" s="1037">
        <v>3</v>
      </c>
      <c r="F93" s="1015"/>
      <c r="G93" s="1085">
        <v>3</v>
      </c>
      <c r="H93" s="1064">
        <f>G93*C93</f>
        <v>450</v>
      </c>
    </row>
    <row r="94" spans="1:8" x14ac:dyDescent="0.2">
      <c r="A94" s="1069" t="s">
        <v>391</v>
      </c>
      <c r="B94" s="1089">
        <v>0.1</v>
      </c>
      <c r="C94" s="1083" t="s">
        <v>518</v>
      </c>
      <c r="D94" s="1015"/>
      <c r="E94" s="1037">
        <f>SUM(E86:E93)*B94</f>
        <v>10.4</v>
      </c>
      <c r="F94" s="1037">
        <f>SUM(F86:F93)*B94</f>
        <v>0.60000000000000009</v>
      </c>
      <c r="G94" s="1037"/>
      <c r="H94" s="1064"/>
    </row>
    <row r="95" spans="1:8" x14ac:dyDescent="0.2">
      <c r="A95" s="1069" t="s">
        <v>519</v>
      </c>
      <c r="B95" s="973"/>
      <c r="C95" s="1083"/>
      <c r="D95" s="1015"/>
      <c r="E95" s="1090">
        <f>SUM(E86:E94)</f>
        <v>114.4</v>
      </c>
      <c r="F95" s="1090">
        <f>SUM(F86:F94)</f>
        <v>6.6</v>
      </c>
      <c r="G95" s="1090"/>
      <c r="H95" s="1073">
        <f>SUM(H86:H94)</f>
        <v>2910</v>
      </c>
    </row>
    <row r="96" spans="1:8" x14ac:dyDescent="0.2">
      <c r="A96" s="1069" t="s">
        <v>520</v>
      </c>
      <c r="B96" s="973"/>
      <c r="C96" s="1087"/>
      <c r="D96" s="973"/>
      <c r="E96" s="973"/>
      <c r="F96" s="1087"/>
      <c r="G96" s="1087"/>
      <c r="H96" s="1091"/>
    </row>
    <row r="97" spans="1:8" x14ac:dyDescent="0.2">
      <c r="A97" s="1069" t="s">
        <v>476</v>
      </c>
      <c r="B97" s="973"/>
      <c r="C97" s="973"/>
      <c r="D97" s="1092"/>
      <c r="E97" s="651"/>
      <c r="F97" s="973"/>
      <c r="G97" s="973"/>
      <c r="H97" s="1064">
        <f>H82</f>
        <v>12924.097</v>
      </c>
    </row>
    <row r="98" spans="1:8" x14ac:dyDescent="0.2">
      <c r="A98" s="1069" t="s">
        <v>521</v>
      </c>
      <c r="B98" s="1069" t="s">
        <v>522</v>
      </c>
      <c r="C98" s="973" t="s">
        <v>523</v>
      </c>
      <c r="D98" s="1044">
        <f>F95</f>
        <v>6.6</v>
      </c>
      <c r="E98" s="1093" t="s">
        <v>524</v>
      </c>
      <c r="F98" s="1398">
        <f>'Variante Vorgaben'!D130</f>
        <v>41</v>
      </c>
      <c r="G98" s="1063"/>
      <c r="H98" s="1064">
        <f>((D98*F98)+H95)</f>
        <v>3180.6</v>
      </c>
    </row>
    <row r="99" spans="1:8" ht="13.5" thickBot="1" x14ac:dyDescent="0.25">
      <c r="A99" s="1069" t="s">
        <v>525</v>
      </c>
      <c r="B99" s="973"/>
      <c r="C99" s="973" t="s">
        <v>526</v>
      </c>
      <c r="D99" s="1044">
        <f>E95</f>
        <v>114.4</v>
      </c>
      <c r="E99" s="1093" t="s">
        <v>524</v>
      </c>
      <c r="F99" s="1398">
        <f>'Variante Vorgaben'!C32</f>
        <v>41.4</v>
      </c>
      <c r="G99" s="1063"/>
      <c r="H99" s="1068">
        <f>D99*F99</f>
        <v>4736.16</v>
      </c>
    </row>
    <row r="100" spans="1:8" x14ac:dyDescent="0.2">
      <c r="A100" s="1069" t="s">
        <v>589</v>
      </c>
      <c r="B100" s="1069"/>
      <c r="C100" s="1069"/>
      <c r="D100" s="1069"/>
      <c r="E100" s="1069"/>
      <c r="F100" s="1069"/>
      <c r="G100" s="1069"/>
      <c r="H100" s="1073">
        <f>SUM(H97:H99)</f>
        <v>20840.857</v>
      </c>
    </row>
    <row r="101" spans="1:8" x14ac:dyDescent="0.2">
      <c r="A101" s="1069" t="s">
        <v>595</v>
      </c>
      <c r="B101" s="973"/>
      <c r="C101" s="973"/>
      <c r="D101" s="973"/>
      <c r="E101" s="973"/>
      <c r="F101" s="973"/>
      <c r="G101" s="973"/>
      <c r="H101" s="1064"/>
    </row>
    <row r="102" spans="1:8" x14ac:dyDescent="0.2">
      <c r="A102" s="973" t="s">
        <v>560</v>
      </c>
      <c r="B102" s="973" t="s">
        <v>561</v>
      </c>
      <c r="C102" s="1094">
        <v>4</v>
      </c>
      <c r="D102" s="1052">
        <f>H97</f>
        <v>12924.097</v>
      </c>
      <c r="E102" s="1093" t="s">
        <v>562</v>
      </c>
      <c r="F102" s="1095">
        <v>60</v>
      </c>
      <c r="G102" s="1096"/>
      <c r="H102" s="1064">
        <f>(D102/100*F102)/100*C102</f>
        <v>310.17832800000002</v>
      </c>
    </row>
    <row r="103" spans="1:8" x14ac:dyDescent="0.2">
      <c r="A103" s="973"/>
      <c r="B103" s="973" t="s">
        <v>563</v>
      </c>
      <c r="C103" s="1094">
        <v>4</v>
      </c>
      <c r="D103" s="1052">
        <f>H87+H93</f>
        <v>2850</v>
      </c>
      <c r="E103" s="1093" t="s">
        <v>562</v>
      </c>
      <c r="F103" s="1095">
        <v>60</v>
      </c>
      <c r="G103" s="1096"/>
      <c r="H103" s="1064">
        <f>(D103/100*F103)/100*C103</f>
        <v>68.400000000000006</v>
      </c>
    </row>
    <row r="104" spans="1:8" x14ac:dyDescent="0.2">
      <c r="A104" s="973" t="s">
        <v>564</v>
      </c>
      <c r="B104" s="973"/>
      <c r="C104" s="1097">
        <f>D102</f>
        <v>12924.097</v>
      </c>
      <c r="D104" s="973" t="s">
        <v>565</v>
      </c>
      <c r="E104" s="973"/>
      <c r="F104" s="973"/>
      <c r="G104" s="973"/>
      <c r="H104" s="1064">
        <f>C104/15</f>
        <v>861.60646666666662</v>
      </c>
    </row>
    <row r="105" spans="1:8" x14ac:dyDescent="0.2">
      <c r="A105" s="973" t="s">
        <v>527</v>
      </c>
      <c r="B105" s="973"/>
      <c r="C105" s="1098" t="s">
        <v>528</v>
      </c>
      <c r="D105" s="1099"/>
      <c r="E105" s="1100"/>
      <c r="F105" s="1101"/>
      <c r="G105" s="1101"/>
      <c r="H105" s="1064">
        <v>50</v>
      </c>
    </row>
    <row r="106" spans="1:8" x14ac:dyDescent="0.2">
      <c r="A106" s="973" t="s">
        <v>529</v>
      </c>
      <c r="B106" s="973"/>
      <c r="C106" s="1098" t="s">
        <v>530</v>
      </c>
      <c r="D106" s="1050"/>
      <c r="E106" s="1102">
        <f>E49</f>
        <v>4</v>
      </c>
      <c r="F106" s="1052">
        <f>'Variante Vorgaben'!$C$36</f>
        <v>32.700000000000003</v>
      </c>
      <c r="G106" s="1101"/>
      <c r="H106" s="1064">
        <f>E106*F106</f>
        <v>130.80000000000001</v>
      </c>
    </row>
    <row r="107" spans="1:8" x14ac:dyDescent="0.2">
      <c r="A107" s="973"/>
      <c r="B107" s="973"/>
      <c r="C107" s="1098" t="s">
        <v>481</v>
      </c>
      <c r="D107" s="1050"/>
      <c r="E107" s="1102">
        <f>E51</f>
        <v>10</v>
      </c>
      <c r="F107" s="1052">
        <f>'Variante Vorgaben'!$C$36</f>
        <v>32.700000000000003</v>
      </c>
      <c r="G107" s="1101"/>
      <c r="H107" s="1064">
        <f>E107*F107</f>
        <v>327</v>
      </c>
    </row>
    <row r="108" spans="1:8" ht="13.5" thickBot="1" x14ac:dyDescent="0.25">
      <c r="A108" s="973"/>
      <c r="B108" s="973"/>
      <c r="C108" s="1098" t="s">
        <v>484</v>
      </c>
      <c r="D108" s="1050"/>
      <c r="E108" s="1103">
        <f>'Variante Vorgaben'!C184</f>
        <v>500</v>
      </c>
      <c r="F108" s="1104">
        <f>'Variante Vorgaben'!C183</f>
        <v>1</v>
      </c>
      <c r="G108" s="1104"/>
      <c r="H108" s="1068">
        <f>E108*F108</f>
        <v>500</v>
      </c>
    </row>
    <row r="109" spans="1:8" x14ac:dyDescent="0.2">
      <c r="A109" s="1069" t="s">
        <v>590</v>
      </c>
      <c r="B109" s="1069"/>
      <c r="C109" s="1069"/>
      <c r="D109" s="1069"/>
      <c r="E109" s="1069"/>
      <c r="F109" s="1069"/>
      <c r="G109" s="1069"/>
      <c r="H109" s="1073">
        <f>SUM(H101:H108)</f>
        <v>2247.9847946666669</v>
      </c>
    </row>
    <row r="110" spans="1:8" x14ac:dyDescent="0.2">
      <c r="A110" s="973" t="s">
        <v>532</v>
      </c>
      <c r="B110" s="973"/>
      <c r="C110" s="973"/>
      <c r="D110" s="973"/>
      <c r="E110" s="973"/>
      <c r="F110" s="973"/>
      <c r="G110" s="973"/>
      <c r="H110" s="973"/>
    </row>
    <row r="111" spans="1:8" x14ac:dyDescent="0.2">
      <c r="A111" s="973" t="s">
        <v>533</v>
      </c>
      <c r="B111" s="973"/>
      <c r="C111" s="973"/>
      <c r="D111" s="973"/>
      <c r="E111" s="973"/>
      <c r="F111" s="973"/>
      <c r="G111" s="973"/>
      <c r="H111" s="973"/>
    </row>
    <row r="112" spans="1:8" x14ac:dyDescent="0.2">
      <c r="A112" s="991"/>
      <c r="B112" s="991"/>
      <c r="C112" s="991"/>
      <c r="D112" s="991"/>
      <c r="E112" s="991"/>
      <c r="F112" s="991"/>
      <c r="G112" s="991"/>
      <c r="H112" s="991"/>
    </row>
  </sheetData>
  <mergeCells count="3">
    <mergeCell ref="A58:H58"/>
    <mergeCell ref="A3:H3"/>
    <mergeCell ref="A4:H4"/>
  </mergeCells>
  <phoneticPr fontId="23" type="noConversion"/>
  <pageMargins left="0.78740157499999996" right="0.78740157499999996" top="0.984251969" bottom="0.984251969" header="0.4921259845" footer="0.4921259845"/>
  <pageSetup paperSize="9" orientation="portrait" r:id="rId1"/>
  <headerFooter alignWithMargins="0">
    <oddFooter>&amp;LArbokost 2008&amp;RAgroscope Changins - Wädenswil ACW</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tandardErstellung1">
    <tabColor indexed="8"/>
  </sheetPr>
  <dimension ref="A1:AJ137"/>
  <sheetViews>
    <sheetView topLeftCell="A79" zoomScale="75" workbookViewId="0">
      <selection activeCell="G123" sqref="G123"/>
    </sheetView>
  </sheetViews>
  <sheetFormatPr baseColWidth="10" defaultRowHeight="12.75" x14ac:dyDescent="0.2"/>
  <cols>
    <col min="1" max="1" width="32.42578125" customWidth="1"/>
    <col min="2" max="2" width="65.28515625" customWidth="1"/>
    <col min="3" max="3" width="13.5703125" customWidth="1"/>
    <col min="4" max="4" width="20.42578125" customWidth="1"/>
    <col min="5" max="5" width="17.5703125" customWidth="1"/>
    <col min="6" max="6" width="18.42578125" customWidth="1"/>
    <col min="7" max="7" width="25.7109375" customWidth="1"/>
    <col min="8" max="36" width="11.42578125" style="13" customWidth="1"/>
    <col min="37" max="256" width="9.140625" customWidth="1"/>
  </cols>
  <sheetData>
    <row r="1" spans="1:36" ht="57.2" customHeight="1" x14ac:dyDescent="0.4">
      <c r="A1" s="1135" t="str">
        <f>Eingabeseite!A1</f>
        <v>Arbokost 2023</v>
      </c>
      <c r="B1" s="900"/>
      <c r="C1" s="686"/>
      <c r="D1" s="687"/>
      <c r="E1" s="688"/>
      <c r="F1" s="689"/>
      <c r="G1" s="71"/>
      <c r="H1"/>
      <c r="I1"/>
      <c r="J1"/>
      <c r="K1"/>
      <c r="L1"/>
      <c r="M1"/>
      <c r="N1"/>
      <c r="O1"/>
      <c r="P1"/>
      <c r="Q1"/>
      <c r="R1"/>
      <c r="S1"/>
      <c r="T1"/>
      <c r="U1"/>
      <c r="V1"/>
      <c r="W1"/>
      <c r="X1"/>
      <c r="Y1"/>
      <c r="Z1"/>
      <c r="AA1"/>
      <c r="AB1"/>
      <c r="AC1"/>
      <c r="AD1"/>
      <c r="AE1"/>
      <c r="AF1"/>
      <c r="AG1"/>
      <c r="AH1"/>
      <c r="AI1"/>
      <c r="AJ1"/>
    </row>
    <row r="2" spans="1:36" ht="23.25" customHeight="1" x14ac:dyDescent="0.25">
      <c r="A2" s="881" t="s">
        <v>469</v>
      </c>
      <c r="B2" s="900"/>
      <c r="C2" s="686"/>
      <c r="D2" s="687"/>
      <c r="E2" s="688"/>
      <c r="F2" s="689"/>
      <c r="G2" s="71"/>
      <c r="H2"/>
      <c r="I2"/>
      <c r="J2"/>
      <c r="K2"/>
      <c r="L2"/>
      <c r="M2"/>
      <c r="N2"/>
      <c r="O2"/>
      <c r="P2"/>
      <c r="Q2"/>
      <c r="R2"/>
      <c r="S2"/>
      <c r="T2"/>
      <c r="U2"/>
      <c r="V2"/>
      <c r="W2"/>
      <c r="X2"/>
      <c r="Y2"/>
      <c r="Z2"/>
      <c r="AA2"/>
      <c r="AB2"/>
      <c r="AC2"/>
      <c r="AD2"/>
      <c r="AE2"/>
      <c r="AF2"/>
      <c r="AG2"/>
      <c r="AH2"/>
      <c r="AI2"/>
      <c r="AJ2"/>
    </row>
    <row r="3" spans="1:36" ht="62.25" customHeight="1" x14ac:dyDescent="0.2">
      <c r="A3" s="731" t="str">
        <f>'Variante Vorgaben'!A3</f>
        <v>Definition Variante:</v>
      </c>
      <c r="B3" s="1419" t="str">
        <f>'Variante Vorgaben'!B3:H3</f>
        <v>Zeitgemässe Tafelapfelanlage auf schwachwachsender Unterlage. Werte sind ausgelegt auf gemischtwirtschaftlichen Betriebe mit 2 - 5 ha Obstfläche, an geeignetem Standort in einem der Hauptproduktionsgebiete der Schweiz.</v>
      </c>
      <c r="C3" s="1427"/>
      <c r="D3" s="1427"/>
      <c r="E3" s="1427"/>
      <c r="F3" s="1427"/>
      <c r="G3" s="882"/>
      <c r="H3"/>
      <c r="I3"/>
      <c r="J3"/>
      <c r="K3"/>
      <c r="L3"/>
      <c r="M3"/>
      <c r="N3"/>
      <c r="O3"/>
      <c r="P3"/>
      <c r="Q3"/>
      <c r="R3"/>
      <c r="S3"/>
      <c r="T3"/>
      <c r="U3"/>
      <c r="V3"/>
      <c r="W3"/>
      <c r="X3"/>
      <c r="Y3"/>
      <c r="Z3"/>
      <c r="AA3"/>
      <c r="AB3"/>
      <c r="AC3"/>
      <c r="AD3"/>
      <c r="AE3"/>
      <c r="AF3"/>
      <c r="AG3"/>
      <c r="AH3"/>
      <c r="AI3"/>
      <c r="AJ3"/>
    </row>
    <row r="4" spans="1:36" s="1" customFormat="1" ht="21.6" customHeight="1" x14ac:dyDescent="0.25">
      <c r="A4" s="733"/>
      <c r="B4" s="733"/>
      <c r="C4" s="686"/>
      <c r="D4" s="687"/>
      <c r="E4" s="688"/>
      <c r="F4" s="689"/>
      <c r="G4" s="71"/>
    </row>
    <row r="5" spans="1:36" ht="30.6" customHeight="1" x14ac:dyDescent="0.4">
      <c r="A5" s="373" t="s">
        <v>434</v>
      </c>
      <c r="B5" s="374"/>
      <c r="C5" s="374"/>
      <c r="D5" s="374"/>
      <c r="E5" s="374"/>
      <c r="F5" s="374"/>
      <c r="G5" s="115"/>
    </row>
    <row r="6" spans="1:36" ht="15.75" x14ac:dyDescent="0.25">
      <c r="A6" s="19"/>
      <c r="B6" s="596"/>
      <c r="C6" s="228"/>
      <c r="F6" s="443" t="s">
        <v>450</v>
      </c>
      <c r="G6" s="1"/>
    </row>
    <row r="7" spans="1:36" s="12" customFormat="1" ht="20.100000000000001" customHeight="1" x14ac:dyDescent="0.2">
      <c r="A7" s="1"/>
      <c r="B7" s="3"/>
      <c r="C7" s="18" t="s">
        <v>11</v>
      </c>
      <c r="D7" s="18" t="s">
        <v>12</v>
      </c>
      <c r="E7" s="87" t="s">
        <v>13</v>
      </c>
      <c r="F7" s="268" t="s">
        <v>384</v>
      </c>
      <c r="G7" s="270"/>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row>
    <row r="8" spans="1:36" x14ac:dyDescent="0.2">
      <c r="A8" s="734" t="s">
        <v>8</v>
      </c>
      <c r="B8" s="19"/>
      <c r="C8" s="127">
        <f>'Variante Vorgaben'!B24</f>
        <v>3000</v>
      </c>
      <c r="D8" s="44">
        <f>'Variante Vorgaben'!C31</f>
        <v>8.5</v>
      </c>
      <c r="E8" s="81">
        <f>C8*D8</f>
        <v>25500</v>
      </c>
      <c r="F8" s="649">
        <f>E8/$E$83</f>
        <v>0.3369061103313607</v>
      </c>
    </row>
    <row r="9" spans="1:36" x14ac:dyDescent="0.2">
      <c r="A9" s="40"/>
      <c r="B9" s="19"/>
      <c r="C9" s="127"/>
      <c r="D9" s="44"/>
      <c r="E9" s="81"/>
      <c r="F9" s="644"/>
    </row>
    <row r="10" spans="1:36" x14ac:dyDescent="0.2">
      <c r="A10" s="1430" t="s">
        <v>140</v>
      </c>
      <c r="B10" s="19" t="str">
        <f>'Variante Hagel'!B9</f>
        <v>Stützpfahl je B.</v>
      </c>
      <c r="C10" s="127">
        <f>'Variante Hagel'!C9</f>
        <v>2000</v>
      </c>
      <c r="D10" s="44">
        <f>'Variante Hagel'!D9</f>
        <v>2.5</v>
      </c>
      <c r="E10" s="45">
        <f>C10*D10</f>
        <v>5000</v>
      </c>
      <c r="F10" s="644">
        <f>E10/$E$83</f>
        <v>6.6060021633600141E-2</v>
      </c>
      <c r="G10" s="79"/>
    </row>
    <row r="11" spans="1:36" x14ac:dyDescent="0.2">
      <c r="A11" s="1430"/>
      <c r="B11" s="19" t="str">
        <f>'Variante Hagel'!B10</f>
        <v xml:space="preserve">Spanndraht 3 mm </v>
      </c>
      <c r="C11" s="127">
        <f>'Variante Hagel'!C10</f>
        <v>2530</v>
      </c>
      <c r="D11" s="44">
        <f>'Variante Hagel'!D10</f>
        <v>0.35</v>
      </c>
      <c r="E11" s="45">
        <f>C11*D11</f>
        <v>885.5</v>
      </c>
      <c r="F11" s="644">
        <f>E11/$E$83</f>
        <v>1.1699229831310585E-2</v>
      </c>
      <c r="G11" s="79"/>
    </row>
    <row r="12" spans="1:36" x14ac:dyDescent="0.2">
      <c r="A12" s="1430"/>
      <c r="B12" s="19" t="str">
        <f>'Variante Hagel'!B11</f>
        <v xml:space="preserve">Agraffen </v>
      </c>
      <c r="C12" s="127">
        <f>'Variante Hagel'!C11</f>
        <v>6</v>
      </c>
      <c r="D12" s="44">
        <f>'Variante Hagel'!D11</f>
        <v>6.4899999999999993</v>
      </c>
      <c r="E12" s="45">
        <f>C12*D12</f>
        <v>38.94</v>
      </c>
      <c r="F12" s="644">
        <f>E12/$E$83</f>
        <v>5.1447544848247785E-4</v>
      </c>
      <c r="G12" s="79"/>
    </row>
    <row r="13" spans="1:36" ht="13.5" thickBot="1" x14ac:dyDescent="0.25">
      <c r="A13" s="1430"/>
      <c r="B13" s="19" t="str">
        <f>'Variante Hagel'!B12</f>
        <v>Klemmfix</v>
      </c>
      <c r="C13" s="127">
        <f>'Variante Hagel'!C12</f>
        <v>2000</v>
      </c>
      <c r="D13" s="44">
        <f>'Variante Hagel'!D12</f>
        <v>0.2</v>
      </c>
      <c r="E13" s="420">
        <f>C13*D13</f>
        <v>400</v>
      </c>
      <c r="F13" s="644">
        <f>E13/$E$83</f>
        <v>5.2848017306880105E-3</v>
      </c>
      <c r="G13" s="79"/>
    </row>
    <row r="14" spans="1:36" x14ac:dyDescent="0.2">
      <c r="A14" s="40"/>
      <c r="B14" s="19"/>
      <c r="C14" s="127"/>
      <c r="D14" s="44"/>
      <c r="E14" s="500">
        <f>SUM(E9:E13)</f>
        <v>6324.44</v>
      </c>
      <c r="F14" s="649">
        <f>E14/$E$83</f>
        <v>8.3558528644081198E-2</v>
      </c>
      <c r="G14" s="79"/>
    </row>
    <row r="15" spans="1:36" ht="13.7" customHeight="1" x14ac:dyDescent="0.2">
      <c r="A15" s="40"/>
      <c r="B15" s="19"/>
      <c r="C15" s="256"/>
      <c r="D15" s="105"/>
      <c r="E15" s="500"/>
      <c r="F15" s="644"/>
      <c r="G15" s="79"/>
    </row>
    <row r="16" spans="1:36" ht="13.7" customHeight="1" x14ac:dyDescent="0.2">
      <c r="A16" s="1430" t="s">
        <v>336</v>
      </c>
      <c r="B16" s="19" t="str">
        <f>'Variante Hagel'!B14</f>
        <v>3-fädige Standardbreite m2</v>
      </c>
      <c r="C16" s="46">
        <f>'Variante Hagel'!C14</f>
        <v>9800</v>
      </c>
      <c r="D16" s="44">
        <f>'Variante Hagel'!D14</f>
        <v>0.6843999999999999</v>
      </c>
      <c r="E16" s="204">
        <f t="shared" ref="E16:E26" si="0">C16*D16</f>
        <v>6707.119999999999</v>
      </c>
      <c r="F16" s="644">
        <f t="shared" ref="F16:F27" si="1">E16/$E$83</f>
        <v>8.861449845983041E-2</v>
      </c>
      <c r="G16" s="79"/>
    </row>
    <row r="17" spans="1:7" ht="13.7" customHeight="1" x14ac:dyDescent="0.2">
      <c r="A17" s="1430"/>
      <c r="B17" s="19" t="str">
        <f>'Variante Hagel'!B15</f>
        <v>Firstplaketten</v>
      </c>
      <c r="C17" s="46">
        <f>'Variante Hagel'!C15</f>
        <v>1200</v>
      </c>
      <c r="D17" s="44">
        <f>'Variante Hagel'!D15</f>
        <v>0.33040000000000003</v>
      </c>
      <c r="E17" s="204">
        <f t="shared" si="0"/>
        <v>396.48</v>
      </c>
      <c r="F17" s="644">
        <f t="shared" si="1"/>
        <v>5.2382954754579564E-3</v>
      </c>
      <c r="G17" s="79"/>
    </row>
    <row r="18" spans="1:7" ht="13.7" customHeight="1" x14ac:dyDescent="0.2">
      <c r="A18" s="1430"/>
      <c r="B18" s="19" t="str">
        <f>'Variante Hagel'!B16</f>
        <v>Traufenplaketten FRUSTAR 1</v>
      </c>
      <c r="C18" s="46">
        <f>'Variante Hagel'!C16</f>
        <v>1750</v>
      </c>
      <c r="D18" s="44">
        <f>'Variante Hagel'!D16</f>
        <v>0.97939999999999994</v>
      </c>
      <c r="E18" s="204">
        <f t="shared" si="0"/>
        <v>1713.9499999999998</v>
      </c>
      <c r="F18" s="644">
        <f t="shared" si="1"/>
        <v>2.2644714815781789E-2</v>
      </c>
      <c r="G18" s="79"/>
    </row>
    <row r="19" spans="1:7" ht="13.7" customHeight="1" x14ac:dyDescent="0.2">
      <c r="A19" s="1430"/>
      <c r="B19" s="19" t="str">
        <f>'Variante Hagel'!B17</f>
        <v>Plaketten Standart inkl. S-Hacken</v>
      </c>
      <c r="C19" s="46">
        <f>'Variante Hagel'!C17</f>
        <v>100</v>
      </c>
      <c r="D19" s="44">
        <f>'Variante Hagel'!D17</f>
        <v>0.64900000000000002</v>
      </c>
      <c r="E19" s="204">
        <f t="shared" si="0"/>
        <v>64.900000000000006</v>
      </c>
      <c r="F19" s="644">
        <f t="shared" si="1"/>
        <v>8.5745908080412986E-4</v>
      </c>
      <c r="G19" s="79"/>
    </row>
    <row r="20" spans="1:7" ht="13.7" customHeight="1" x14ac:dyDescent="0.2">
      <c r="A20" s="1430"/>
      <c r="B20" s="19" t="str">
        <f>'Variante Hagel'!B18</f>
        <v xml:space="preserve">Stirnseil 9.5 mm </v>
      </c>
      <c r="C20" s="46">
        <f>'Variante Hagel'!C18</f>
        <v>165</v>
      </c>
      <c r="D20" s="44">
        <f>'Variante Hagel'!D18</f>
        <v>1.4041999999999999</v>
      </c>
      <c r="E20" s="204">
        <f t="shared" si="0"/>
        <v>231.69299999999998</v>
      </c>
      <c r="F20" s="644">
        <f t="shared" si="1"/>
        <v>3.0611289184707428E-3</v>
      </c>
      <c r="G20" s="79"/>
    </row>
    <row r="21" spans="1:7" ht="13.7" customHeight="1" x14ac:dyDescent="0.2">
      <c r="A21" s="1430"/>
      <c r="B21" s="19" t="str">
        <f>'Variante Hagel'!B19</f>
        <v>Ankerseil 9.5 mm</v>
      </c>
      <c r="C21" s="46">
        <f>'Variante Hagel'!C19</f>
        <v>310</v>
      </c>
      <c r="D21" s="44">
        <f>'Variante Hagel'!D19</f>
        <v>1.4041999999999999</v>
      </c>
      <c r="E21" s="204">
        <f t="shared" si="0"/>
        <v>435.30199999999996</v>
      </c>
      <c r="F21" s="644">
        <f t="shared" si="1"/>
        <v>5.7512119074298804E-3</v>
      </c>
      <c r="G21" s="79"/>
    </row>
    <row r="22" spans="1:7" ht="13.7" customHeight="1" x14ac:dyDescent="0.2">
      <c r="A22" s="1430"/>
      <c r="B22" s="19" t="str">
        <f>'Variante Hagel'!B20</f>
        <v>Querseil 9mm</v>
      </c>
      <c r="C22" s="46">
        <f>'Variante Hagel'!C20</f>
        <v>810</v>
      </c>
      <c r="D22" s="44">
        <f>'Variante Hagel'!D20</f>
        <v>0.82599999999999996</v>
      </c>
      <c r="E22" s="204">
        <f t="shared" si="0"/>
        <v>669.06</v>
      </c>
      <c r="F22" s="644">
        <f t="shared" si="1"/>
        <v>8.8396236148353003E-3</v>
      </c>
      <c r="G22" s="79"/>
    </row>
    <row r="23" spans="1:7" ht="13.7" customHeight="1" x14ac:dyDescent="0.2">
      <c r="A23" s="1430"/>
      <c r="B23" s="19" t="str">
        <f>'Variante Hagel'!B21</f>
        <v>Firstdraht</v>
      </c>
      <c r="C23" s="46">
        <f>'Variante Hagel'!C21</f>
        <v>3100</v>
      </c>
      <c r="D23" s="44">
        <f>'Variante Hagel'!D21</f>
        <v>0.35399999999999998</v>
      </c>
      <c r="E23" s="204">
        <f t="shared" si="0"/>
        <v>1097.3999999999999</v>
      </c>
      <c r="F23" s="644">
        <f t="shared" si="1"/>
        <v>1.4498853548142556E-2</v>
      </c>
      <c r="G23" s="79"/>
    </row>
    <row r="24" spans="1:7" ht="13.7" customHeight="1" x14ac:dyDescent="0.2">
      <c r="A24" s="1430"/>
      <c r="B24" s="19" t="str">
        <f>'Variante Hagel'!B22</f>
        <v>Netzschnur</v>
      </c>
      <c r="C24" s="46">
        <f>'Variante Hagel'!C22</f>
        <v>3400</v>
      </c>
      <c r="D24" s="44">
        <f>'Variante Hagel'!D22</f>
        <v>0.11799999999999999</v>
      </c>
      <c r="E24" s="204">
        <f t="shared" si="0"/>
        <v>401.2</v>
      </c>
      <c r="F24" s="644">
        <f t="shared" si="1"/>
        <v>5.3006561358800745E-3</v>
      </c>
      <c r="G24" s="79"/>
    </row>
    <row r="25" spans="1:7" ht="13.7" customHeight="1" x14ac:dyDescent="0.2">
      <c r="A25" s="1430"/>
      <c r="B25" s="19" t="str">
        <f>'Variante Hagel'!B23</f>
        <v>Drahtspanner</v>
      </c>
      <c r="C25" s="46">
        <f>'Variante Hagel'!C23</f>
        <v>26</v>
      </c>
      <c r="D25" s="44">
        <f>'Variante Hagel'!D23</f>
        <v>10.797000000000001</v>
      </c>
      <c r="E25" s="204">
        <f t="shared" si="0"/>
        <v>280.72200000000004</v>
      </c>
      <c r="F25" s="644">
        <f t="shared" si="1"/>
        <v>3.7089002786055E-3</v>
      </c>
      <c r="G25" s="79"/>
    </row>
    <row r="26" spans="1:7" ht="13.7" customHeight="1" thickBot="1" x14ac:dyDescent="0.25">
      <c r="A26" s="1430"/>
      <c r="B26" s="19" t="str">
        <f>'Variante Hagel'!B24</f>
        <v>Kleinmaterial</v>
      </c>
      <c r="C26" s="46">
        <f>'Variante Hagel'!C24</f>
        <v>0</v>
      </c>
      <c r="D26" s="44">
        <f>'Variante Hagel'!D24</f>
        <v>0</v>
      </c>
      <c r="E26" s="499">
        <f t="shared" si="0"/>
        <v>0</v>
      </c>
      <c r="F26" s="644">
        <f t="shared" si="1"/>
        <v>0</v>
      </c>
      <c r="G26" s="79"/>
    </row>
    <row r="27" spans="1:7" ht="13.7" customHeight="1" x14ac:dyDescent="0.2">
      <c r="A27" s="40"/>
      <c r="B27" s="19"/>
      <c r="C27" s="43"/>
      <c r="D27" s="44"/>
      <c r="E27" s="575">
        <f>SUM(E16:E26)</f>
        <v>11997.826999999997</v>
      </c>
      <c r="F27" s="649">
        <f t="shared" si="1"/>
        <v>0.15851534223523833</v>
      </c>
      <c r="G27" s="79"/>
    </row>
    <row r="28" spans="1:7" ht="13.7" customHeight="1" x14ac:dyDescent="0.2">
      <c r="A28" s="40"/>
      <c r="B28" s="19"/>
      <c r="C28" s="43"/>
      <c r="D28" s="44"/>
      <c r="E28" s="204"/>
      <c r="F28" s="644"/>
      <c r="G28" s="79"/>
    </row>
    <row r="29" spans="1:7" ht="13.7" customHeight="1" x14ac:dyDescent="0.2">
      <c r="A29" s="1430" t="s">
        <v>372</v>
      </c>
      <c r="B29" s="19" t="str">
        <f>'Variante Hagel'!B26</f>
        <v>Reihenpfähle 4 m 8/10 10m Abstand</v>
      </c>
      <c r="C29" s="46">
        <f>'Variante Hagel'!C26</f>
        <v>240</v>
      </c>
      <c r="D29" s="44">
        <f>'Variante Hagel'!D26</f>
        <v>21.83</v>
      </c>
      <c r="E29" s="204">
        <f>C29*D29</f>
        <v>5239.2</v>
      </c>
      <c r="F29" s="644">
        <f t="shared" ref="F29:F34" si="2">E29/$E$83</f>
        <v>6.9220333068551562E-2</v>
      </c>
      <c r="G29" s="79"/>
    </row>
    <row r="30" spans="1:7" ht="13.7" customHeight="1" x14ac:dyDescent="0.2">
      <c r="A30" s="1430"/>
      <c r="B30" s="19" t="str">
        <f>'Variante Hagel'!B27</f>
        <v>Endpfähle 4.20 m 10/1210</v>
      </c>
      <c r="C30" s="46">
        <f>'Variante Hagel'!C27</f>
        <v>44</v>
      </c>
      <c r="D30" s="44">
        <f>'Variante Hagel'!D27</f>
        <v>31.86</v>
      </c>
      <c r="E30" s="204">
        <f>C30*D30</f>
        <v>1401.84</v>
      </c>
      <c r="F30" s="644">
        <f t="shared" si="2"/>
        <v>1.85211161453692E-2</v>
      </c>
      <c r="G30" s="79"/>
    </row>
    <row r="31" spans="1:7" ht="13.7" customHeight="1" x14ac:dyDescent="0.2">
      <c r="A31" s="1430"/>
      <c r="B31" s="19" t="str">
        <f>'Variante Hagel'!B28</f>
        <v>Eckpfähle 4.50 m 13/15</v>
      </c>
      <c r="C31" s="46">
        <f>'Variante Hagel'!C28</f>
        <v>4</v>
      </c>
      <c r="D31" s="44">
        <f>'Variante Hagel'!D28</f>
        <v>69.560999999999993</v>
      </c>
      <c r="E31" s="204">
        <f>C31*D31</f>
        <v>278.24399999999997</v>
      </c>
      <c r="F31" s="644">
        <f t="shared" si="2"/>
        <v>3.6761609318838868E-3</v>
      </c>
      <c r="G31" s="79"/>
    </row>
    <row r="32" spans="1:7" ht="13.7" customHeight="1" x14ac:dyDescent="0.2">
      <c r="A32" s="1430"/>
      <c r="B32" s="19" t="str">
        <f>'Variante Hagel'!B29</f>
        <v>Anker</v>
      </c>
      <c r="C32" s="46">
        <f>'Variante Hagel'!C29</f>
        <v>72</v>
      </c>
      <c r="D32" s="44">
        <f>'Variante Hagel'!D29</f>
        <v>23.776999999999997</v>
      </c>
      <c r="E32" s="204">
        <f>C32*D32</f>
        <v>1711.9439999999997</v>
      </c>
      <c r="F32" s="644">
        <f t="shared" si="2"/>
        <v>2.2618211535102385E-2</v>
      </c>
      <c r="G32" s="79"/>
    </row>
    <row r="33" spans="1:36" ht="13.7" customHeight="1" thickBot="1" x14ac:dyDescent="0.25">
      <c r="A33" s="1430"/>
      <c r="B33" s="19" t="str">
        <f>'Variante Hagel'!B30</f>
        <v>Pfahlhüte</v>
      </c>
      <c r="C33" s="46">
        <f>'Variante Hagel'!C30</f>
        <v>68</v>
      </c>
      <c r="D33" s="44">
        <f>'Variante Hagel'!D30</f>
        <v>1.18</v>
      </c>
      <c r="E33" s="499">
        <f>C33*D33</f>
        <v>80.239999999999995</v>
      </c>
      <c r="F33" s="644">
        <f t="shared" si="2"/>
        <v>1.0601312271760149E-3</v>
      </c>
      <c r="G33" s="79"/>
    </row>
    <row r="34" spans="1:36" ht="13.7" customHeight="1" x14ac:dyDescent="0.2">
      <c r="A34" s="40"/>
      <c r="B34" s="19"/>
      <c r="C34" s="46"/>
      <c r="D34" s="44"/>
      <c r="E34" s="500">
        <f>SUM(E29:E33)</f>
        <v>8711.4679999999989</v>
      </c>
      <c r="F34" s="649">
        <f t="shared" si="2"/>
        <v>0.11509595290808304</v>
      </c>
      <c r="G34" s="79"/>
    </row>
    <row r="35" spans="1:36" ht="13.7" customHeight="1" x14ac:dyDescent="0.2">
      <c r="A35" s="40"/>
      <c r="B35" s="19"/>
      <c r="C35" s="256"/>
      <c r="D35" s="105"/>
      <c r="E35" s="500"/>
      <c r="F35" s="644"/>
      <c r="G35" s="79"/>
    </row>
    <row r="36" spans="1:36" x14ac:dyDescent="0.2">
      <c r="A36" s="1430" t="s">
        <v>17</v>
      </c>
      <c r="B36" s="19" t="s">
        <v>34</v>
      </c>
      <c r="C36" s="255">
        <f>'Variante Hagel'!C33</f>
        <v>40</v>
      </c>
      <c r="D36" s="44">
        <f>'Variante Hagel'!D33</f>
        <v>8.4960000000000004</v>
      </c>
      <c r="E36" s="45">
        <f>C36*D36</f>
        <v>339.84000000000003</v>
      </c>
      <c r="F36" s="644">
        <f>E36/E83</f>
        <v>4.4899675503925346E-3</v>
      </c>
      <c r="G36" s="5"/>
    </row>
    <row r="37" spans="1:36" x14ac:dyDescent="0.2">
      <c r="A37" s="1430"/>
      <c r="B37" s="19" t="s">
        <v>18</v>
      </c>
      <c r="C37" s="256"/>
      <c r="D37" s="43"/>
      <c r="E37" s="44">
        <f>'Variante Hagel'!E34</f>
        <v>150</v>
      </c>
      <c r="F37" s="644">
        <f>E37/E83</f>
        <v>1.9818006490080042E-3</v>
      </c>
      <c r="G37" s="5"/>
    </row>
    <row r="38" spans="1:36" ht="13.5" thickBot="1" x14ac:dyDescent="0.25">
      <c r="A38" s="1430"/>
      <c r="B38" s="19" t="s">
        <v>141</v>
      </c>
      <c r="C38" s="256"/>
      <c r="D38" s="43"/>
      <c r="E38" s="376">
        <f>'Variante Hagel'!E35</f>
        <v>550</v>
      </c>
      <c r="F38" s="644">
        <f>E38/E83</f>
        <v>7.2666023796960147E-3</v>
      </c>
      <c r="G38" s="5"/>
    </row>
    <row r="39" spans="1:36" x14ac:dyDescent="0.2">
      <c r="A39" s="19"/>
      <c r="B39" s="19"/>
      <c r="C39" s="19"/>
      <c r="D39" s="44"/>
      <c r="E39" s="81">
        <f>SUM(E36:E38)</f>
        <v>1039.8400000000001</v>
      </c>
      <c r="F39" s="649">
        <f>E39/E83</f>
        <v>1.3738370579096555E-2</v>
      </c>
      <c r="G39" s="5"/>
    </row>
    <row r="40" spans="1:36" s="1" customFormat="1" x14ac:dyDescent="0.2">
      <c r="A40" s="19"/>
      <c r="B40" s="19"/>
      <c r="C40" s="19"/>
      <c r="D40" s="44"/>
      <c r="E40" s="81"/>
      <c r="F40" s="201"/>
      <c r="G40" s="5"/>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row>
    <row r="41" spans="1:36" s="1" customFormat="1" x14ac:dyDescent="0.2">
      <c r="A41" s="19" t="str">
        <f>'Variante Hagel'!A57</f>
        <v>Einsparung an Gerüstkosten durch Hagelnetzerstellung</v>
      </c>
      <c r="B41" s="19"/>
      <c r="C41" s="19"/>
      <c r="D41" s="44"/>
      <c r="E41" s="81"/>
      <c r="F41" s="201"/>
      <c r="G41" s="5"/>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row>
    <row r="42" spans="1:36" s="1" customFormat="1" x14ac:dyDescent="0.2">
      <c r="A42" s="19"/>
      <c r="B42" s="19" t="str">
        <f>'Variante Hagel'!B58</f>
        <v>Endpfähle</v>
      </c>
      <c r="C42" s="46">
        <f>'Variante Hagel'!C58</f>
        <v>45</v>
      </c>
      <c r="D42" s="44">
        <f>'Variante Hagel'!D58</f>
        <v>16.52</v>
      </c>
      <c r="E42" s="146">
        <f>C42*D42</f>
        <v>743.4</v>
      </c>
      <c r="F42" s="201"/>
      <c r="G42" s="5"/>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row>
    <row r="43" spans="1:36" s="1" customFormat="1" x14ac:dyDescent="0.2">
      <c r="A43" s="19"/>
      <c r="B43" s="19" t="str">
        <f>'Variante Hagel'!B59</f>
        <v>Zwischenpfähle</v>
      </c>
      <c r="C43" s="46">
        <f>'Variante Hagel'!C59</f>
        <v>336</v>
      </c>
      <c r="D43" s="44">
        <f>'Variante Hagel'!D59</f>
        <v>11.799999999999999</v>
      </c>
      <c r="E43" s="146">
        <f>C43*D43</f>
        <v>3964.7999999999997</v>
      </c>
      <c r="F43" s="201"/>
      <c r="G43" s="5"/>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row>
    <row r="44" spans="1:36" s="1" customFormat="1" ht="13.5" thickBot="1" x14ac:dyDescent="0.25">
      <c r="A44" s="19"/>
      <c r="B44" s="19" t="str">
        <f>'Variante Hagel'!B60</f>
        <v>Telleranker</v>
      </c>
      <c r="C44" s="46">
        <f>'Variante Hagel'!C60</f>
        <v>45</v>
      </c>
      <c r="D44" s="44">
        <f>'Variante Hagel'!D60</f>
        <v>6.1360000000000001</v>
      </c>
      <c r="E44" s="501">
        <f>C44*D44</f>
        <v>276.12</v>
      </c>
      <c r="F44" s="201"/>
      <c r="G44" s="5"/>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row>
    <row r="45" spans="1:36" s="1" customFormat="1" x14ac:dyDescent="0.2">
      <c r="A45" s="19"/>
      <c r="B45" s="19"/>
      <c r="C45" s="19"/>
      <c r="D45" s="44"/>
      <c r="E45" s="83">
        <f>SUM(E42:E44)</f>
        <v>4984.32</v>
      </c>
      <c r="F45" s="201"/>
      <c r="G45" s="5"/>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row>
    <row r="46" spans="1:36" s="1" customFormat="1" x14ac:dyDescent="0.2">
      <c r="D46" s="47"/>
      <c r="E46" s="53"/>
      <c r="F46" s="145"/>
      <c r="G46" s="5"/>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row>
    <row r="47" spans="1:36" ht="20.100000000000001" customHeight="1" x14ac:dyDescent="0.25">
      <c r="A47" s="514" t="s">
        <v>210</v>
      </c>
      <c r="B47" s="440"/>
      <c r="C47" s="597"/>
      <c r="D47" s="516"/>
      <c r="E47" s="598">
        <f>E39+E14+E8+E27+E34-E45</f>
        <v>48589.254999999997</v>
      </c>
      <c r="F47" s="599">
        <f>E47/E83</f>
        <v>0.64196144729210269</v>
      </c>
      <c r="G47" s="5"/>
    </row>
    <row r="48" spans="1:36" s="1" customFormat="1" ht="20.100000000000001" customHeight="1" x14ac:dyDescent="0.25">
      <c r="A48" s="2"/>
      <c r="C48" s="6"/>
      <c r="D48" s="47"/>
      <c r="E48" s="271"/>
      <c r="F48" s="88"/>
      <c r="G48" s="5"/>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row>
    <row r="49" spans="1:7" x14ac:dyDescent="0.2">
      <c r="A49" s="40"/>
      <c r="B49" s="19"/>
      <c r="C49" s="272" t="s">
        <v>75</v>
      </c>
      <c r="D49" s="273" t="s">
        <v>21</v>
      </c>
      <c r="E49" s="274" t="s">
        <v>13</v>
      </c>
      <c r="F49" s="735"/>
      <c r="G49" s="5"/>
    </row>
    <row r="50" spans="1:7" x14ac:dyDescent="0.2">
      <c r="A50" s="40"/>
      <c r="B50" s="19"/>
      <c r="C50" s="39"/>
      <c r="D50" s="44"/>
      <c r="E50" s="45"/>
      <c r="F50" s="132"/>
      <c r="G50" s="5"/>
    </row>
    <row r="51" spans="1:7" x14ac:dyDescent="0.2">
      <c r="A51" s="40" t="s">
        <v>23</v>
      </c>
      <c r="B51" s="19" t="str">
        <f>'Variante Vorgaben'!B144</f>
        <v>Pflug 2scharig</v>
      </c>
      <c r="C51" s="39">
        <f>'Variante Vorgaben'!C144</f>
        <v>3.8</v>
      </c>
      <c r="D51" s="408">
        <f>'Variante Vorgaben'!$D$144*(1+Eingabeseite!$C$30)</f>
        <v>23</v>
      </c>
      <c r="E51" s="45">
        <f t="shared" ref="E51:E60" si="3">C51*D51</f>
        <v>87.399999999999991</v>
      </c>
      <c r="F51" s="652">
        <f>E51/E83</f>
        <v>1.1547291781553303E-3</v>
      </c>
      <c r="G51" s="5"/>
    </row>
    <row r="52" spans="1:7" x14ac:dyDescent="0.2">
      <c r="A52" s="736"/>
      <c r="B52" s="19" t="str">
        <f>'Variante Vorgaben'!B145</f>
        <v>Kreiselegge mit Packerwalze 3m</v>
      </c>
      <c r="C52" s="39">
        <f>'Variante Vorgaben'!C145</f>
        <v>1.8</v>
      </c>
      <c r="D52" s="408">
        <f>'Variante Vorgaben'!D145*(1+Eingabeseite!$C$30)</f>
        <v>101</v>
      </c>
      <c r="E52" s="45">
        <f t="shared" si="3"/>
        <v>181.8</v>
      </c>
      <c r="F52" s="652">
        <f>E52/E83</f>
        <v>2.4019423865977011E-3</v>
      </c>
      <c r="G52" s="5"/>
    </row>
    <row r="53" spans="1:7" x14ac:dyDescent="0.2">
      <c r="A53" s="19"/>
      <c r="B53" s="19" t="str">
        <f>'Variante Vorgaben'!B146</f>
        <v>Sämaschine 3 m</v>
      </c>
      <c r="C53" s="39">
        <f>'Variante Vorgaben'!C146</f>
        <v>1.6</v>
      </c>
      <c r="D53" s="408">
        <f>'Variante Vorgaben'!D146*(1+Eingabeseite!$C$30)</f>
        <v>90</v>
      </c>
      <c r="E53" s="45">
        <f t="shared" si="3"/>
        <v>144</v>
      </c>
      <c r="F53" s="652">
        <f>E53/E83</f>
        <v>1.9025286230476839E-3</v>
      </c>
      <c r="G53" s="5"/>
    </row>
    <row r="54" spans="1:7" x14ac:dyDescent="0.2">
      <c r="A54" s="19"/>
      <c r="B54" s="19" t="str">
        <f>'Variante Vorgaben'!B147</f>
        <v>Pneuwagen 2achsig, 3 t</v>
      </c>
      <c r="C54" s="477">
        <v>15</v>
      </c>
      <c r="D54" s="95">
        <f>'Variante Vorgaben'!D147*(1+Eingabeseite!$C$30)</f>
        <v>14.1</v>
      </c>
      <c r="E54" s="45">
        <f t="shared" si="3"/>
        <v>211.5</v>
      </c>
      <c r="F54" s="652">
        <f>E54/E83</f>
        <v>2.7943389151012859E-3</v>
      </c>
      <c r="G54" s="5"/>
    </row>
    <row r="55" spans="1:7" x14ac:dyDescent="0.2">
      <c r="A55" s="19"/>
      <c r="B55" s="142" t="s">
        <v>386</v>
      </c>
      <c r="C55" s="39">
        <f>'Variante Hagel'!C39</f>
        <v>20</v>
      </c>
      <c r="D55" s="95">
        <f>'Variante Vorgaben'!D148*(1+Eingabeseite!$C$30)</f>
        <v>23.5</v>
      </c>
      <c r="E55" s="45">
        <f t="shared" si="3"/>
        <v>470</v>
      </c>
      <c r="F55" s="652">
        <f>E55/E83</f>
        <v>6.2096420335584126E-3</v>
      </c>
      <c r="G55" s="5"/>
    </row>
    <row r="56" spans="1:7" x14ac:dyDescent="0.2">
      <c r="A56" s="19"/>
      <c r="B56" s="142" t="str">
        <f>'Variante Vorgaben'!B150</f>
        <v>Hebebühne schwer, selbstfahrend, elektrisch</v>
      </c>
      <c r="C56" s="39">
        <f>'Variante Hagel'!C40</f>
        <v>20</v>
      </c>
      <c r="D56" s="95">
        <f>'Variante Vorgaben'!D150*(1+Eingabeseite!$C$30)</f>
        <v>17.5</v>
      </c>
      <c r="E56" s="45">
        <f t="shared" si="3"/>
        <v>350</v>
      </c>
      <c r="F56" s="652">
        <f>E56/E83</f>
        <v>4.6242015143520094E-3</v>
      </c>
      <c r="G56" s="5"/>
    </row>
    <row r="57" spans="1:7" x14ac:dyDescent="0.2">
      <c r="A57" s="19"/>
      <c r="B57" s="19" t="s">
        <v>390</v>
      </c>
      <c r="C57" s="477">
        <v>20</v>
      </c>
      <c r="D57" s="44">
        <f>'Variante Vorgaben'!D143*(1+Eingabeseite!$C$30)</f>
        <v>41</v>
      </c>
      <c r="E57" s="45">
        <f t="shared" si="3"/>
        <v>820</v>
      </c>
      <c r="F57" s="652">
        <f>E57/E83</f>
        <v>1.0833843547910423E-2</v>
      </c>
      <c r="G57" s="5"/>
    </row>
    <row r="58" spans="1:7" ht="13.5" thickBot="1" x14ac:dyDescent="0.25">
      <c r="A58" s="19"/>
      <c r="B58" s="19" t="s">
        <v>391</v>
      </c>
      <c r="C58" s="903">
        <f>SUM(C51:C57)*0.1</f>
        <v>8.2200000000000006</v>
      </c>
      <c r="D58" s="44">
        <f>'Variante Vorgaben'!D143*(1+Eingabeseite!$C$30)</f>
        <v>41</v>
      </c>
      <c r="E58" s="45">
        <f t="shared" si="3"/>
        <v>337.02000000000004</v>
      </c>
      <c r="F58" s="652">
        <f>E58/E83</f>
        <v>4.4527096981911837E-3</v>
      </c>
      <c r="G58" s="5"/>
    </row>
    <row r="59" spans="1:7" x14ac:dyDescent="0.2">
      <c r="A59" s="40" t="s">
        <v>389</v>
      </c>
      <c r="B59" s="85" t="str">
        <f>'Variante Vorgaben'!B143</f>
        <v>Obstbautraktor 4-Rad (45-54 kW, 61-73 PS)</v>
      </c>
      <c r="C59" s="325">
        <f>SUM(C51:C58)</f>
        <v>90.42</v>
      </c>
      <c r="D59" s="95">
        <f>'Variante Vorgaben'!D143*(1+Eingabeseite!$C$30)</f>
        <v>41</v>
      </c>
      <c r="E59" s="83">
        <f>C59*D59</f>
        <v>3707.2200000000003</v>
      </c>
      <c r="F59" s="652">
        <f>E59/E83</f>
        <v>4.8979806680103023E-2</v>
      </c>
      <c r="G59" s="5"/>
    </row>
    <row r="60" spans="1:7" x14ac:dyDescent="0.2">
      <c r="A60" s="40"/>
      <c r="B60" s="19" t="s">
        <v>375</v>
      </c>
      <c r="C60" s="39">
        <f>'Variante Hagel'!C38</f>
        <v>15</v>
      </c>
      <c r="D60" s="95">
        <f>'Variante Vorgaben'!D149*(1+Eingabeseite!$C$30)</f>
        <v>150</v>
      </c>
      <c r="E60" s="45">
        <f t="shared" si="3"/>
        <v>2250</v>
      </c>
      <c r="F60" s="652">
        <f>E60/E83</f>
        <v>2.9727009735120061E-2</v>
      </c>
      <c r="G60" s="5"/>
    </row>
    <row r="61" spans="1:7" ht="13.5" thickBot="1" x14ac:dyDescent="0.25">
      <c r="A61" s="19"/>
      <c r="B61" s="19" t="s">
        <v>25</v>
      </c>
      <c r="C61" s="39"/>
      <c r="D61" s="44"/>
      <c r="E61" s="420">
        <f>'Variante Vorgaben'!D151*(1+Eingabeseite!$C$30)</f>
        <v>500</v>
      </c>
      <c r="F61" s="652">
        <f>E61/E83</f>
        <v>6.6060021633600136E-3</v>
      </c>
      <c r="G61" s="5"/>
    </row>
    <row r="62" spans="1:7" x14ac:dyDescent="0.2">
      <c r="A62" s="40" t="s">
        <v>26</v>
      </c>
      <c r="B62" s="19"/>
      <c r="C62" s="39"/>
      <c r="D62" s="44"/>
      <c r="E62" s="83">
        <f>SUM(E51:E61)</f>
        <v>9058.94</v>
      </c>
      <c r="F62" s="649">
        <f>E62/E83</f>
        <v>0.11968675447549713</v>
      </c>
      <c r="G62" s="5"/>
    </row>
    <row r="63" spans="1:7" x14ac:dyDescent="0.2">
      <c r="A63" s="1"/>
      <c r="B63" s="1"/>
      <c r="C63" s="36"/>
      <c r="D63" s="47"/>
      <c r="E63" s="45"/>
      <c r="F63" s="645"/>
      <c r="G63" s="5"/>
    </row>
    <row r="64" spans="1:7" x14ac:dyDescent="0.2">
      <c r="A64" s="1"/>
      <c r="B64" s="1"/>
      <c r="C64" s="36"/>
      <c r="D64" s="47"/>
      <c r="E64" s="45"/>
      <c r="F64" s="645"/>
      <c r="G64" s="5"/>
    </row>
    <row r="65" spans="1:7" x14ac:dyDescent="0.2">
      <c r="A65" s="19"/>
      <c r="B65" s="19"/>
      <c r="C65" s="272" t="s">
        <v>27</v>
      </c>
      <c r="D65" s="273" t="s">
        <v>21</v>
      </c>
      <c r="E65" s="274" t="s">
        <v>22</v>
      </c>
      <c r="F65" s="738"/>
      <c r="G65" s="5"/>
    </row>
    <row r="66" spans="1:7" x14ac:dyDescent="0.2">
      <c r="A66" s="40" t="s">
        <v>28</v>
      </c>
      <c r="B66" s="19" t="s">
        <v>163</v>
      </c>
      <c r="C66" s="39">
        <f>C51</f>
        <v>3.8</v>
      </c>
      <c r="D66" s="44">
        <f>'Variante Vorgaben'!$C$36</f>
        <v>32.700000000000003</v>
      </c>
      <c r="E66" s="45">
        <f t="shared" ref="E66:E79" si="4">C66*D66</f>
        <v>124.26</v>
      </c>
      <c r="F66" s="652">
        <f>E66/E83</f>
        <v>1.6417236576382306E-3</v>
      </c>
      <c r="G66" s="5"/>
    </row>
    <row r="67" spans="1:7" x14ac:dyDescent="0.2">
      <c r="A67" s="19"/>
      <c r="B67" s="19" t="s">
        <v>164</v>
      </c>
      <c r="C67" s="39">
        <f>C52</f>
        <v>1.8</v>
      </c>
      <c r="D67" s="44">
        <f>'Variante Vorgaben'!$C$36</f>
        <v>32.700000000000003</v>
      </c>
      <c r="E67" s="45">
        <f t="shared" si="4"/>
        <v>58.860000000000007</v>
      </c>
      <c r="F67" s="652">
        <f>E67/E83</f>
        <v>7.7765857467074087E-4</v>
      </c>
      <c r="G67" s="5"/>
    </row>
    <row r="68" spans="1:7" x14ac:dyDescent="0.2">
      <c r="A68" s="19"/>
      <c r="B68" s="19" t="s">
        <v>29</v>
      </c>
      <c r="C68" s="477">
        <v>0</v>
      </c>
      <c r="D68" s="44">
        <f>'Variante Vorgaben'!$C$36</f>
        <v>32.700000000000003</v>
      </c>
      <c r="E68" s="45">
        <f t="shared" si="4"/>
        <v>0</v>
      </c>
      <c r="F68" s="652">
        <f>E68/E83</f>
        <v>0</v>
      </c>
      <c r="G68" s="5"/>
    </row>
    <row r="69" spans="1:7" x14ac:dyDescent="0.2">
      <c r="A69" s="19"/>
      <c r="B69" s="19" t="s">
        <v>30</v>
      </c>
      <c r="C69" s="39">
        <f>'Variante Hagel'!C44</f>
        <v>1</v>
      </c>
      <c r="D69" s="44">
        <f>'Variante Vorgaben'!$C$36</f>
        <v>32.700000000000003</v>
      </c>
      <c r="E69" s="45">
        <f t="shared" si="4"/>
        <v>32.700000000000003</v>
      </c>
      <c r="F69" s="652">
        <f>E69/E83</f>
        <v>4.3203254148374494E-4</v>
      </c>
      <c r="G69" s="5"/>
    </row>
    <row r="70" spans="1:7" x14ac:dyDescent="0.2">
      <c r="A70" s="19"/>
      <c r="B70" s="19" t="s">
        <v>31</v>
      </c>
      <c r="C70" s="39">
        <f>'Variante Hagel'!C45</f>
        <v>7.5</v>
      </c>
      <c r="D70" s="44">
        <f>'Variante Vorgaben'!$C$36</f>
        <v>32.700000000000003</v>
      </c>
      <c r="E70" s="45">
        <f t="shared" si="4"/>
        <v>245.25000000000003</v>
      </c>
      <c r="F70" s="652">
        <f>E70/E83</f>
        <v>3.2402440611280872E-3</v>
      </c>
      <c r="G70" s="5"/>
    </row>
    <row r="71" spans="1:7" x14ac:dyDescent="0.2">
      <c r="A71" s="739"/>
      <c r="B71" s="19" t="s">
        <v>32</v>
      </c>
      <c r="C71" s="39">
        <f>'Variante Hagel'!C46</f>
        <v>75</v>
      </c>
      <c r="D71" s="44">
        <f>'Variante Vorgaben'!$C$36</f>
        <v>32.700000000000003</v>
      </c>
      <c r="E71" s="45">
        <f t="shared" si="4"/>
        <v>2452.5</v>
      </c>
      <c r="F71" s="652">
        <f>E71/E83</f>
        <v>3.2402440611280864E-2</v>
      </c>
      <c r="G71" s="5"/>
    </row>
    <row r="72" spans="1:7" x14ac:dyDescent="0.2">
      <c r="A72" s="739"/>
      <c r="B72" s="19" t="s">
        <v>142</v>
      </c>
      <c r="C72" s="39">
        <f>'Variante Hagel'!C47</f>
        <v>10</v>
      </c>
      <c r="D72" s="44">
        <f>'Variante Vorgaben'!$C$36</f>
        <v>32.700000000000003</v>
      </c>
      <c r="E72" s="45">
        <f t="shared" si="4"/>
        <v>327</v>
      </c>
      <c r="F72" s="652">
        <f>E72/$E$83</f>
        <v>4.320325414837449E-3</v>
      </c>
      <c r="G72" s="5"/>
    </row>
    <row r="73" spans="1:7" x14ac:dyDescent="0.2">
      <c r="A73" s="739"/>
      <c r="B73" s="19" t="s">
        <v>279</v>
      </c>
      <c r="C73" s="39">
        <f>'Variante Hagel'!C48</f>
        <v>70</v>
      </c>
      <c r="D73" s="44">
        <f>'Variante Vorgaben'!$C$36</f>
        <v>32.700000000000003</v>
      </c>
      <c r="E73" s="45">
        <f t="shared" si="4"/>
        <v>2289</v>
      </c>
      <c r="F73" s="652">
        <f>E73/$E$83</f>
        <v>3.0242277903862143E-2</v>
      </c>
      <c r="G73" s="5"/>
    </row>
    <row r="74" spans="1:7" x14ac:dyDescent="0.2">
      <c r="A74" s="19"/>
      <c r="B74" s="19" t="s">
        <v>34</v>
      </c>
      <c r="C74" s="39">
        <f>C53</f>
        <v>1.6</v>
      </c>
      <c r="D74" s="44">
        <f>'Variante Vorgaben'!$C$36</f>
        <v>32.700000000000003</v>
      </c>
      <c r="E74" s="45">
        <f t="shared" si="4"/>
        <v>52.320000000000007</v>
      </c>
      <c r="F74" s="652">
        <f>E74/E83</f>
        <v>6.9125206637399186E-4</v>
      </c>
      <c r="G74" s="5"/>
    </row>
    <row r="75" spans="1:7" x14ac:dyDescent="0.2">
      <c r="A75" s="19"/>
      <c r="B75" s="19" t="s">
        <v>392</v>
      </c>
      <c r="C75" s="39">
        <f>'Variante Hagel'!C51</f>
        <v>15</v>
      </c>
      <c r="D75" s="44">
        <f>'Variante Vorgaben'!$C$36</f>
        <v>32.700000000000003</v>
      </c>
      <c r="E75" s="45">
        <f t="shared" si="4"/>
        <v>490.50000000000006</v>
      </c>
      <c r="F75" s="652">
        <f>E75/E83</f>
        <v>6.4804881222561743E-3</v>
      </c>
      <c r="G75" s="5"/>
    </row>
    <row r="76" spans="1:7" x14ac:dyDescent="0.2">
      <c r="A76" s="19"/>
      <c r="B76" s="19" t="s">
        <v>393</v>
      </c>
      <c r="C76" s="39">
        <f>'Variante Hagel'!C52</f>
        <v>100</v>
      </c>
      <c r="D76" s="44">
        <f>'Variante Vorgaben'!$C$36</f>
        <v>32.700000000000003</v>
      </c>
      <c r="E76" s="45">
        <f t="shared" si="4"/>
        <v>3270.0000000000005</v>
      </c>
      <c r="F76" s="652">
        <f>E76/E83</f>
        <v>4.3203254148374497E-2</v>
      </c>
      <c r="G76" s="5"/>
    </row>
    <row r="77" spans="1:7" x14ac:dyDescent="0.2">
      <c r="A77" s="19"/>
      <c r="B77" s="19" t="s">
        <v>379</v>
      </c>
      <c r="C77" s="39">
        <f>'Variante Hagel'!C53</f>
        <v>175</v>
      </c>
      <c r="D77" s="44">
        <f>'Variante Vorgaben'!$C$36</f>
        <v>32.700000000000003</v>
      </c>
      <c r="E77" s="45">
        <f t="shared" si="4"/>
        <v>5722.5000000000009</v>
      </c>
      <c r="F77" s="652">
        <f>E77/E83</f>
        <v>7.5605694759655367E-2</v>
      </c>
      <c r="G77" s="5"/>
    </row>
    <row r="78" spans="1:7" x14ac:dyDescent="0.2">
      <c r="A78" s="19"/>
      <c r="B78" s="19" t="s">
        <v>391</v>
      </c>
      <c r="C78" s="39">
        <f>'Variante Hagel'!C54</f>
        <v>29</v>
      </c>
      <c r="D78" s="44">
        <f>'Variante Vorgaben'!$C$36</f>
        <v>32.700000000000003</v>
      </c>
      <c r="E78" s="45">
        <f t="shared" si="4"/>
        <v>948.30000000000007</v>
      </c>
      <c r="F78" s="652">
        <f>E78/E83</f>
        <v>1.2528943703028603E-2</v>
      </c>
      <c r="G78" s="5"/>
    </row>
    <row r="79" spans="1:7" ht="13.5" thickBot="1" x14ac:dyDescent="0.25">
      <c r="A79" s="19"/>
      <c r="B79" s="19" t="s">
        <v>394</v>
      </c>
      <c r="C79" s="647">
        <f>SUM(C66:C78) * 0.1</f>
        <v>48.97</v>
      </c>
      <c r="D79" s="44">
        <f>'Variante Vorgaben'!$C$32</f>
        <v>41.4</v>
      </c>
      <c r="E79" s="420">
        <f t="shared" si="4"/>
        <v>2027.3579999999999</v>
      </c>
      <c r="F79" s="652">
        <f>E79/E83</f>
        <v>2.6785462667810459E-2</v>
      </c>
      <c r="G79" s="5"/>
    </row>
    <row r="80" spans="1:7" x14ac:dyDescent="0.2">
      <c r="A80" s="19"/>
      <c r="B80" s="19"/>
      <c r="C80" s="740">
        <f>SUM(C66:C79)</f>
        <v>538.66999999999996</v>
      </c>
      <c r="D80" s="44"/>
      <c r="E80" s="81">
        <f>SUM(E66:E79)</f>
        <v>18040.547999999999</v>
      </c>
      <c r="F80" s="741">
        <f>E80/E83</f>
        <v>0.23835179823240032</v>
      </c>
      <c r="G80" s="5"/>
    </row>
    <row r="81" spans="1:36" s="16" customFormat="1" ht="18" customHeight="1" x14ac:dyDescent="0.25">
      <c r="A81" s="514" t="s">
        <v>35</v>
      </c>
      <c r="B81" s="520"/>
      <c r="C81" s="521"/>
      <c r="D81" s="522"/>
      <c r="E81" s="598">
        <f>E80+E62</f>
        <v>27099.487999999998</v>
      </c>
      <c r="F81" s="646">
        <f>E81/E83</f>
        <v>0.35803855270789742</v>
      </c>
      <c r="G81" s="21"/>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row>
    <row r="82" spans="1:36" s="20" customFormat="1" ht="20.25" x14ac:dyDescent="0.3">
      <c r="A82" s="508" t="s">
        <v>573</v>
      </c>
      <c r="B82" s="520"/>
      <c r="C82" s="521"/>
      <c r="D82" s="522"/>
      <c r="E82" s="512">
        <f>E8+E14+E39+E45+SUM(E51:E55,E59:E61,E66:E74,E79)+E58</f>
        <v>53346.787999999993</v>
      </c>
      <c r="F82" s="600"/>
      <c r="G82" s="2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1"/>
      <c r="AI82" s="111"/>
      <c r="AJ82" s="111"/>
    </row>
    <row r="83" spans="1:36" s="23" customFormat="1" ht="20.25" x14ac:dyDescent="0.3">
      <c r="A83" s="508" t="s">
        <v>395</v>
      </c>
      <c r="B83" s="509"/>
      <c r="C83" s="510"/>
      <c r="D83" s="511"/>
      <c r="E83" s="512">
        <f>E81+E47</f>
        <v>75688.742999999988</v>
      </c>
      <c r="F83" s="513">
        <f>E83/E83</f>
        <v>1</v>
      </c>
      <c r="G83" s="22"/>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s="16" customFormat="1" ht="17.100000000000001" customHeight="1" x14ac:dyDescent="0.3">
      <c r="A84" s="515" t="s">
        <v>574</v>
      </c>
      <c r="B84" s="524"/>
      <c r="C84" s="526"/>
      <c r="D84" s="528"/>
      <c r="E84" s="512">
        <f>E83-E82</f>
        <v>22341.954999999994</v>
      </c>
      <c r="F84" s="513">
        <f>E84/E84</f>
        <v>1</v>
      </c>
      <c r="G84" s="20"/>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row>
    <row r="85" spans="1:36" ht="20.45" customHeight="1" x14ac:dyDescent="0.2"/>
    <row r="86" spans="1:36" ht="19.5" customHeight="1" x14ac:dyDescent="0.25">
      <c r="A86" s="275" t="s">
        <v>14</v>
      </c>
      <c r="B86" s="13"/>
      <c r="C86" s="92" t="s">
        <v>11</v>
      </c>
      <c r="D86" s="92" t="s">
        <v>12</v>
      </c>
      <c r="E86" s="92" t="s">
        <v>13</v>
      </c>
      <c r="F86" s="38"/>
    </row>
    <row r="87" spans="1:36" ht="15" customHeight="1" x14ac:dyDescent="0.2">
      <c r="B87" s="1" t="s">
        <v>91</v>
      </c>
      <c r="C87" s="418">
        <f>('Variante Vorgaben'!B18+'Variante Vorgaben'!B19)*2-2*6</f>
        <v>398</v>
      </c>
      <c r="D87" s="47">
        <f>'Variante Vorgaben'!D165</f>
        <v>8.1174999999999997</v>
      </c>
      <c r="E87" s="34">
        <f t="shared" ref="E87:E93" si="5">C87*D87</f>
        <v>3230.7649999999999</v>
      </c>
      <c r="F87" s="645">
        <f>E87/E106</f>
        <v>0.45796558816548993</v>
      </c>
      <c r="G87" s="419"/>
    </row>
    <row r="88" spans="1:36" ht="15" customHeight="1" x14ac:dyDescent="0.2">
      <c r="B88" s="1" t="s">
        <v>443</v>
      </c>
      <c r="C88" s="94">
        <f>(C87/4)-(C87/4/5)</f>
        <v>79.599999999999994</v>
      </c>
      <c r="D88" s="47">
        <f>'Variante Vorgaben'!D166</f>
        <v>13.065999999999999</v>
      </c>
      <c r="E88" s="34">
        <f t="shared" si="5"/>
        <v>1040.0535999999997</v>
      </c>
      <c r="F88" s="645">
        <f>E88/E106</f>
        <v>0.14742909454808228</v>
      </c>
      <c r="G88" s="419"/>
    </row>
    <row r="89" spans="1:36" ht="15" customHeight="1" x14ac:dyDescent="0.2">
      <c r="B89" s="1" t="s">
        <v>444</v>
      </c>
      <c r="C89" s="94">
        <f>(C87/4)/5</f>
        <v>19.899999999999999</v>
      </c>
      <c r="D89" s="47">
        <f>'Variante Vorgaben'!D167</f>
        <v>20.757999999999999</v>
      </c>
      <c r="E89" s="34">
        <f t="shared" si="5"/>
        <v>413.08419999999995</v>
      </c>
      <c r="F89" s="645">
        <f>E89/E106</f>
        <v>5.8555279822231222E-2</v>
      </c>
      <c r="G89" s="419"/>
    </row>
    <row r="90" spans="1:36" ht="15" customHeight="1" x14ac:dyDescent="0.2">
      <c r="B90" s="1" t="s">
        <v>444</v>
      </c>
      <c r="C90" s="94">
        <f>'Standard Vorgaben'!C169</f>
        <v>6</v>
      </c>
      <c r="D90" s="47">
        <f>'Variante Vorgaben'!D168</f>
        <v>26.75</v>
      </c>
      <c r="E90" s="34">
        <f t="shared" si="5"/>
        <v>160.5</v>
      </c>
      <c r="F90" s="645">
        <f>E90/E106</f>
        <v>2.2751105976621985E-2</v>
      </c>
      <c r="G90" s="419"/>
    </row>
    <row r="91" spans="1:36" ht="15" customHeight="1" x14ac:dyDescent="0.2">
      <c r="B91" s="1" t="s">
        <v>15</v>
      </c>
      <c r="C91" s="601">
        <f>'Standard Vorgaben'!C170</f>
        <v>2</v>
      </c>
      <c r="D91" s="47">
        <f>'Variante Vorgaben'!D169</f>
        <v>200</v>
      </c>
      <c r="E91" s="34">
        <f t="shared" si="5"/>
        <v>400</v>
      </c>
      <c r="F91" s="645">
        <f>E91/E106</f>
        <v>5.670057564267162E-2</v>
      </c>
      <c r="G91" s="419"/>
    </row>
    <row r="92" spans="1:36" ht="15" customHeight="1" x14ac:dyDescent="0.2">
      <c r="B92" s="1" t="s">
        <v>92</v>
      </c>
      <c r="C92" s="213">
        <f>'Standard Vorgaben'!C172</f>
        <v>3</v>
      </c>
      <c r="D92" s="47">
        <f>'Variante Vorgaben'!D171</f>
        <v>14.3</v>
      </c>
      <c r="E92" s="45">
        <f t="shared" si="5"/>
        <v>42.900000000000006</v>
      </c>
      <c r="F92" s="645">
        <f>E92/E106</f>
        <v>6.0811367376765318E-3</v>
      </c>
      <c r="G92" s="419"/>
    </row>
    <row r="93" spans="1:36" ht="15" customHeight="1" thickBot="1" x14ac:dyDescent="0.25">
      <c r="B93" s="1" t="str">
        <f>'Standard Vorgaben'!B171</f>
        <v>Spanndraht 3mm</v>
      </c>
      <c r="C93" s="417">
        <f>C87/18</f>
        <v>22.111111111111111</v>
      </c>
      <c r="D93" s="47">
        <f>'Variante Vorgaben'!D170</f>
        <v>6.9</v>
      </c>
      <c r="E93" s="420">
        <f t="shared" si="5"/>
        <v>152.56666666666666</v>
      </c>
      <c r="F93" s="645">
        <f>E93/E106</f>
        <v>2.1626544559708999E-2</v>
      </c>
      <c r="G93" s="419"/>
    </row>
    <row r="94" spans="1:36" ht="15" customHeight="1" x14ac:dyDescent="0.2">
      <c r="B94" s="1"/>
      <c r="C94" s="417"/>
      <c r="D94" s="47"/>
      <c r="E94" s="130">
        <f>SUM(E87:E93)</f>
        <v>5439.8694666666661</v>
      </c>
      <c r="F94" s="645">
        <f>E94/E106</f>
        <v>0.77110932545248256</v>
      </c>
      <c r="G94" s="419"/>
    </row>
    <row r="95" spans="1:36" ht="15" customHeight="1" thickBot="1" x14ac:dyDescent="0.25">
      <c r="B95" s="1" t="s">
        <v>399</v>
      </c>
      <c r="C95" s="94"/>
      <c r="D95" s="89">
        <f>'Variante Vorgaben'!D172</f>
        <v>0.25</v>
      </c>
      <c r="E95" s="650">
        <f>E94*D95*(-1)</f>
        <v>-1359.9673666666665</v>
      </c>
      <c r="F95" s="645">
        <f>E95/$E$106</f>
        <v>-0.19277733136312064</v>
      </c>
    </row>
    <row r="96" spans="1:36" ht="15" customHeight="1" x14ac:dyDescent="0.2">
      <c r="B96" s="1"/>
      <c r="C96" s="94"/>
      <c r="D96" s="132"/>
      <c r="E96" s="83">
        <f>SUM(E94:E95)</f>
        <v>4079.9020999999993</v>
      </c>
      <c r="F96" s="648">
        <f>E96/$E$106</f>
        <v>0.57833199408936187</v>
      </c>
    </row>
    <row r="97" spans="1:36" s="1" customFormat="1" ht="15" customHeight="1" x14ac:dyDescent="0.2">
      <c r="B97" s="1" t="s">
        <v>94</v>
      </c>
      <c r="C97" s="94"/>
      <c r="D97" s="89"/>
      <c r="E97" s="83">
        <f>'Variante Vorgaben'!E174</f>
        <v>300</v>
      </c>
      <c r="F97" s="648">
        <f>E97/$E$106</f>
        <v>4.2525431732003717E-2</v>
      </c>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row>
    <row r="98" spans="1:36" ht="15" customHeight="1" x14ac:dyDescent="0.25">
      <c r="A98" s="514" t="s">
        <v>19</v>
      </c>
      <c r="B98" s="440"/>
      <c r="C98" s="495"/>
      <c r="D98" s="516"/>
      <c r="E98" s="517">
        <f>E96+E97</f>
        <v>4379.9020999999993</v>
      </c>
      <c r="F98" s="518">
        <f>E98/E106</f>
        <v>0.6208574258213656</v>
      </c>
    </row>
    <row r="99" spans="1:36" ht="19.5" customHeight="1" x14ac:dyDescent="0.2">
      <c r="A99" s="3" t="s">
        <v>23</v>
      </c>
      <c r="C99" s="118" t="s">
        <v>75</v>
      </c>
      <c r="D99" s="291" t="s">
        <v>21</v>
      </c>
      <c r="E99" s="289" t="s">
        <v>13</v>
      </c>
      <c r="F99" s="507"/>
    </row>
    <row r="100" spans="1:36" ht="16.5" customHeight="1" x14ac:dyDescent="0.2">
      <c r="A100" s="13"/>
      <c r="B100" s="1" t="s">
        <v>89</v>
      </c>
      <c r="C100" s="39">
        <f>'Variante Vorgaben'!C147*C104</f>
        <v>7</v>
      </c>
      <c r="D100" s="95">
        <f>D54</f>
        <v>14.1</v>
      </c>
      <c r="E100" s="45">
        <f>C100*D100</f>
        <v>98.7</v>
      </c>
      <c r="F100" s="645">
        <f>E100/E106</f>
        <v>1.3990867039829222E-2</v>
      </c>
      <c r="G100" s="5"/>
    </row>
    <row r="101" spans="1:36" ht="16.5" customHeight="1" thickBot="1" x14ac:dyDescent="0.25">
      <c r="A101" s="13"/>
      <c r="B101" s="1" t="s">
        <v>86</v>
      </c>
      <c r="C101" s="39">
        <f>C100</f>
        <v>7</v>
      </c>
      <c r="D101" s="95">
        <f>D59</f>
        <v>41</v>
      </c>
      <c r="E101" s="420">
        <f>C101*D101</f>
        <v>287</v>
      </c>
      <c r="F101" s="645">
        <f>E101/E106</f>
        <v>4.0682663023616887E-2</v>
      </c>
      <c r="G101" s="5"/>
    </row>
    <row r="102" spans="1:36" ht="16.5" customHeight="1" x14ac:dyDescent="0.2">
      <c r="A102" s="13"/>
      <c r="B102" s="1"/>
      <c r="C102" s="39"/>
      <c r="D102" s="95"/>
      <c r="E102" s="83">
        <f>SUM(E100:E101)</f>
        <v>385.7</v>
      </c>
      <c r="F102" s="648">
        <f>E102/E106</f>
        <v>5.4673530063446107E-2</v>
      </c>
      <c r="G102" s="5"/>
    </row>
    <row r="103" spans="1:36" ht="16.5" customHeight="1" x14ac:dyDescent="0.2">
      <c r="A103" s="3" t="s">
        <v>28</v>
      </c>
      <c r="C103" s="118" t="s">
        <v>27</v>
      </c>
      <c r="D103" s="291" t="s">
        <v>21</v>
      </c>
      <c r="E103" s="289" t="s">
        <v>22</v>
      </c>
      <c r="F103" s="737"/>
      <c r="G103" s="5"/>
    </row>
    <row r="104" spans="1:36" ht="16.5" customHeight="1" x14ac:dyDescent="0.2">
      <c r="B104" s="1" t="s">
        <v>33</v>
      </c>
      <c r="C104" s="325">
        <f>'Variante Vorgaben'!C177</f>
        <v>70</v>
      </c>
      <c r="D104" s="44">
        <f>'Standard Vorgaben'!$C$36</f>
        <v>32.700000000000003</v>
      </c>
      <c r="E104" s="83">
        <f>C104*D104</f>
        <v>2289</v>
      </c>
      <c r="F104" s="648">
        <f>E104/E106</f>
        <v>0.32446904411518834</v>
      </c>
      <c r="G104" s="5"/>
    </row>
    <row r="105" spans="1:36" s="16" customFormat="1" ht="15.75" x14ac:dyDescent="0.25">
      <c r="A105" s="514" t="s">
        <v>35</v>
      </c>
      <c r="B105" s="520"/>
      <c r="C105" s="521"/>
      <c r="D105" s="522"/>
      <c r="E105" s="598">
        <f>E102+E104</f>
        <v>2674.7</v>
      </c>
      <c r="F105" s="518">
        <f>E105/E106</f>
        <v>0.3791425741786344</v>
      </c>
      <c r="G105" s="21"/>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row>
    <row r="106" spans="1:36" s="23" customFormat="1" ht="18" customHeight="1" x14ac:dyDescent="0.25">
      <c r="A106" s="523" t="s">
        <v>93</v>
      </c>
      <c r="B106" s="524"/>
      <c r="C106" s="525"/>
      <c r="D106" s="526"/>
      <c r="E106" s="527">
        <f>E98+E105</f>
        <v>7054.6020999999992</v>
      </c>
      <c r="F106" s="518">
        <f>E106/E106</f>
        <v>1</v>
      </c>
      <c r="G106" s="22"/>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s="102" customFormat="1" ht="13.5" customHeight="1" x14ac:dyDescent="0.25">
      <c r="A107" s="96"/>
      <c r="B107" s="97"/>
      <c r="C107" s="98"/>
      <c r="D107" s="99"/>
      <c r="E107" s="100"/>
      <c r="F107" s="89"/>
      <c r="G107" s="22"/>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row>
    <row r="108" spans="1:36" s="102" customFormat="1" ht="20.45" customHeight="1" x14ac:dyDescent="0.25">
      <c r="A108" s="275" t="s">
        <v>400</v>
      </c>
      <c r="B108" s="97"/>
      <c r="C108" s="98"/>
      <c r="D108" s="99"/>
      <c r="E108" s="276">
        <f>E106-E96</f>
        <v>2974.7</v>
      </c>
      <c r="F108" s="89"/>
      <c r="G108" s="22"/>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row>
    <row r="109" spans="1:36" s="102" customFormat="1" ht="20.45" customHeight="1" x14ac:dyDescent="0.25">
      <c r="A109" s="96"/>
      <c r="B109" s="97"/>
      <c r="C109" s="98"/>
      <c r="D109" s="99"/>
      <c r="E109" s="100"/>
      <c r="F109" s="89"/>
      <c r="G109" s="22"/>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row>
    <row r="111" spans="1:36" ht="18" x14ac:dyDescent="0.25">
      <c r="A111" s="275" t="s">
        <v>568</v>
      </c>
      <c r="C111" t="s">
        <v>475</v>
      </c>
    </row>
    <row r="112" spans="1:36" x14ac:dyDescent="0.2">
      <c r="C112" s="118" t="s">
        <v>11</v>
      </c>
      <c r="D112" s="291" t="s">
        <v>12</v>
      </c>
      <c r="E112" s="289" t="s">
        <v>13</v>
      </c>
      <c r="F112" s="289"/>
    </row>
    <row r="113" spans="1:6" x14ac:dyDescent="0.2">
      <c r="A113" t="s">
        <v>476</v>
      </c>
      <c r="B113" t="s">
        <v>477</v>
      </c>
      <c r="E113" s="45">
        <f>'Variante Bewässerung'!H14</f>
        <v>5831.4</v>
      </c>
      <c r="F113" s="89">
        <f>E113/$E$117</f>
        <v>0.6461027089911916</v>
      </c>
    </row>
    <row r="114" spans="1:6" x14ac:dyDescent="0.2">
      <c r="B114" t="s">
        <v>478</v>
      </c>
      <c r="E114" s="45">
        <f>'Variante Bewässerung'!H19</f>
        <v>1807.6</v>
      </c>
      <c r="F114" s="89">
        <f t="shared" ref="F114:F119" si="6">E114/$E$117</f>
        <v>0.2002769929643787</v>
      </c>
    </row>
    <row r="115" spans="1:6" x14ac:dyDescent="0.2">
      <c r="B115" t="s">
        <v>479</v>
      </c>
      <c r="E115" s="45">
        <f>'Variante Bewässerung'!H27</f>
        <v>1386.5</v>
      </c>
      <c r="F115" s="89">
        <f t="shared" si="6"/>
        <v>0.15362029804442967</v>
      </c>
    </row>
    <row r="116" spans="1:6" x14ac:dyDescent="0.2">
      <c r="E116" s="45"/>
      <c r="F116" s="89">
        <f t="shared" si="6"/>
        <v>0</v>
      </c>
    </row>
    <row r="117" spans="1:6" x14ac:dyDescent="0.2">
      <c r="E117" s="946">
        <f>SUM(E113:E115)</f>
        <v>9025.5</v>
      </c>
      <c r="F117" s="89">
        <f t="shared" si="6"/>
        <v>1</v>
      </c>
    </row>
    <row r="118" spans="1:6" x14ac:dyDescent="0.2">
      <c r="A118" t="s">
        <v>535</v>
      </c>
      <c r="E118" s="960">
        <f>'Variante Bewässerung'!H45</f>
        <v>2650</v>
      </c>
      <c r="F118" s="89">
        <f t="shared" si="6"/>
        <v>0.29361254224142708</v>
      </c>
    </row>
    <row r="119" spans="1:6" x14ac:dyDescent="0.2">
      <c r="A119" t="s">
        <v>536</v>
      </c>
      <c r="B119" s="10"/>
      <c r="E119" s="960">
        <f>'Variante Bewässerung'!H46</f>
        <v>4280.76</v>
      </c>
      <c r="F119" s="89">
        <f t="shared" si="6"/>
        <v>0.47429616087751375</v>
      </c>
    </row>
    <row r="120" spans="1:6" ht="18" x14ac:dyDescent="0.25">
      <c r="A120" s="515" t="s">
        <v>482</v>
      </c>
      <c r="B120" s="524"/>
      <c r="C120" s="526"/>
      <c r="D120" s="977">
        <f>'Variante Vorgaben'!C185</f>
        <v>1</v>
      </c>
      <c r="E120" s="528">
        <f>E117+E118+E119</f>
        <v>15956.26</v>
      </c>
      <c r="F120" s="518">
        <f>E120/E120</f>
        <v>1</v>
      </c>
    </row>
    <row r="121" spans="1:6" ht="18" x14ac:dyDescent="0.25">
      <c r="A121" s="275" t="s">
        <v>474</v>
      </c>
      <c r="C121" t="s">
        <v>475</v>
      </c>
    </row>
    <row r="122" spans="1:6" x14ac:dyDescent="0.2">
      <c r="C122" s="118" t="s">
        <v>11</v>
      </c>
      <c r="D122" s="291" t="s">
        <v>12</v>
      </c>
      <c r="E122" s="289" t="s">
        <v>13</v>
      </c>
      <c r="F122" s="289"/>
    </row>
    <row r="123" spans="1:6" x14ac:dyDescent="0.2">
      <c r="A123" t="s">
        <v>476</v>
      </c>
      <c r="B123" t="s">
        <v>477</v>
      </c>
      <c r="E123" s="45">
        <f>'Variante Bewässerung'!H66</f>
        <v>9270.0969999999998</v>
      </c>
      <c r="F123" s="980">
        <f t="shared" ref="F123:F128" si="7">E123/$E$129</f>
        <v>0.44480402125498003</v>
      </c>
    </row>
    <row r="124" spans="1:6" x14ac:dyDescent="0.2">
      <c r="B124" t="s">
        <v>478</v>
      </c>
      <c r="E124" s="45">
        <f>'Variante Bewässerung'!H71</f>
        <v>1725</v>
      </c>
      <c r="F124" s="980">
        <f t="shared" si="7"/>
        <v>8.2770108734012235E-2</v>
      </c>
    </row>
    <row r="125" spans="1:6" ht="13.5" thickBot="1" x14ac:dyDescent="0.25">
      <c r="B125" t="s">
        <v>479</v>
      </c>
      <c r="E125" s="45">
        <f>'Variante Bewässerung'!H79</f>
        <v>1929</v>
      </c>
      <c r="F125" s="980">
        <f t="shared" si="7"/>
        <v>9.2558573766904115E-2</v>
      </c>
    </row>
    <row r="126" spans="1:6" x14ac:dyDescent="0.2">
      <c r="E126" s="949">
        <f>SUM(E123:E125)</f>
        <v>12924.097</v>
      </c>
      <c r="F126" s="980">
        <f t="shared" si="7"/>
        <v>0.62013270375589635</v>
      </c>
    </row>
    <row r="127" spans="1:6" x14ac:dyDescent="0.2">
      <c r="A127" t="s">
        <v>535</v>
      </c>
      <c r="E127" s="960">
        <f>'Variante Bewässerung'!H98</f>
        <v>3180.6</v>
      </c>
      <c r="F127" s="980">
        <f t="shared" si="7"/>
        <v>0.15261368570399961</v>
      </c>
    </row>
    <row r="128" spans="1:6" x14ac:dyDescent="0.2">
      <c r="A128" t="s">
        <v>536</v>
      </c>
      <c r="B128" s="10"/>
      <c r="E128" s="960">
        <f>'Variante Bewässerung'!H99</f>
        <v>4736.16</v>
      </c>
      <c r="F128" s="980">
        <f t="shared" si="7"/>
        <v>0.22725361054010398</v>
      </c>
    </row>
    <row r="129" spans="1:6" ht="18" x14ac:dyDescent="0.25">
      <c r="A129" s="515"/>
      <c r="B129" s="524"/>
      <c r="C129" s="526"/>
      <c r="D129" s="977">
        <f>'Variante Vorgaben'!C186</f>
        <v>0</v>
      </c>
      <c r="E129" s="528">
        <f>SUM(E126:E128)</f>
        <v>20840.857</v>
      </c>
      <c r="F129" s="518"/>
    </row>
    <row r="130" spans="1:6" x14ac:dyDescent="0.2">
      <c r="A130" s="961"/>
      <c r="B130" s="961"/>
      <c r="C130" s="961"/>
      <c r="D130" s="961"/>
      <c r="E130" s="961"/>
      <c r="F130" s="961"/>
    </row>
    <row r="131" spans="1:6" ht="23.25" x14ac:dyDescent="0.35">
      <c r="A131" s="515" t="s">
        <v>581</v>
      </c>
      <c r="B131" s="524"/>
      <c r="C131" s="977">
        <f>IF(C135=0,1,0)</f>
        <v>0</v>
      </c>
      <c r="D131" s="528">
        <f>E82+E106</f>
        <v>60401.39009999999</v>
      </c>
      <c r="E131" s="528">
        <f>C131*D131</f>
        <v>0</v>
      </c>
      <c r="F131" s="978"/>
    </row>
    <row r="132" spans="1:6" ht="23.25" x14ac:dyDescent="0.35">
      <c r="A132" s="515" t="s">
        <v>582</v>
      </c>
      <c r="B132" s="524"/>
      <c r="C132" s="977">
        <f>IF('Variante Vorgaben'!C187=1,0,'Variante Vorgaben'!C179)</f>
        <v>0</v>
      </c>
      <c r="D132" s="528">
        <f>E83+E106</f>
        <v>82743.345099999991</v>
      </c>
      <c r="E132" s="528">
        <f>C132*D132</f>
        <v>0</v>
      </c>
      <c r="F132" s="978"/>
    </row>
    <row r="133" spans="1:6" ht="23.25" x14ac:dyDescent="0.35">
      <c r="A133" s="515" t="s">
        <v>569</v>
      </c>
      <c r="B133" s="524"/>
      <c r="C133" s="977">
        <f>IF('Variante Vorgaben'!C190=2,1,0)</f>
        <v>1</v>
      </c>
      <c r="D133" s="528">
        <f>D120*E120+D129*E129</f>
        <v>15956.26</v>
      </c>
      <c r="E133" s="528">
        <f>(D133+E83+E106)*C133</f>
        <v>98699.605099999986</v>
      </c>
      <c r="F133" s="978"/>
    </row>
    <row r="134" spans="1:6" ht="23.25" x14ac:dyDescent="0.35">
      <c r="A134" s="515" t="s">
        <v>578</v>
      </c>
      <c r="B134" s="524"/>
      <c r="C134" s="977">
        <f>IF(C133=1,0,'Variante Vorgaben'!C187)</f>
        <v>0</v>
      </c>
      <c r="D134" s="528">
        <f>D120*E120+D129*E129</f>
        <v>15956.26</v>
      </c>
      <c r="E134" s="528">
        <f>(E82+E106+D134)*C134</f>
        <v>0</v>
      </c>
      <c r="F134" s="978"/>
    </row>
    <row r="135" spans="1:6" x14ac:dyDescent="0.2">
      <c r="C135" s="982">
        <f>SUM(C132:C134)</f>
        <v>1</v>
      </c>
    </row>
    <row r="136" spans="1:6" ht="18" x14ac:dyDescent="0.25">
      <c r="A136" s="515" t="s">
        <v>570</v>
      </c>
      <c r="B136" s="440"/>
      <c r="C136" s="440"/>
      <c r="D136" s="440"/>
      <c r="E136" s="528">
        <f>SUM(E131:E134)</f>
        <v>98699.605099999986</v>
      </c>
      <c r="F136" s="440"/>
    </row>
    <row r="137" spans="1:6" x14ac:dyDescent="0.2">
      <c r="C137" s="13"/>
      <c r="D137" s="13"/>
      <c r="E137" s="13"/>
      <c r="F137" s="13"/>
    </row>
  </sheetData>
  <mergeCells count="5">
    <mergeCell ref="B3:F3"/>
    <mergeCell ref="A36:A38"/>
    <mergeCell ref="A10:A13"/>
    <mergeCell ref="A16:A26"/>
    <mergeCell ref="A29:A33"/>
  </mergeCells>
  <phoneticPr fontId="0" type="noConversion"/>
  <printOptions gridLines="1" gridLinesSet="0"/>
  <pageMargins left="0.78740157480314965" right="0.39370078740157483" top="0.59055118110236227" bottom="0.39370078740157483" header="0.51181102362204722" footer="0.51181102362204722"/>
  <pageSetup paperSize="9" scale="60" orientation="portrait" r:id="rId1"/>
  <headerFooter alignWithMargins="0">
    <oddFooter>&amp;LArbokost 2008&amp;RAgroscope Changins - Wädenswil ACW</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tandardStandjahre1">
    <tabColor indexed="8"/>
  </sheetPr>
  <dimension ref="A1:DK95"/>
  <sheetViews>
    <sheetView topLeftCell="K13" zoomScale="50" zoomScaleNormal="50" workbookViewId="0">
      <selection activeCell="T85" sqref="T85"/>
    </sheetView>
  </sheetViews>
  <sheetFormatPr baseColWidth="10" defaultRowHeight="14.25" x14ac:dyDescent="0.2"/>
  <cols>
    <col min="1" max="1" width="69.85546875" style="12" bestFit="1" customWidth="1"/>
    <col min="2" max="2" width="25.5703125" style="15" customWidth="1"/>
    <col min="3" max="3" width="18.42578125" style="10" customWidth="1"/>
    <col min="4" max="4" width="12.85546875" style="10" customWidth="1"/>
    <col min="5" max="5" width="13.42578125" style="24" customWidth="1"/>
    <col min="6" max="6" width="20.140625" style="25" customWidth="1"/>
    <col min="7" max="7" width="10.7109375" style="10" customWidth="1"/>
    <col min="8" max="8" width="37.42578125" style="315" customWidth="1"/>
    <col min="9" max="9" width="25.5703125" style="10" customWidth="1"/>
    <col min="10" max="10" width="18.42578125" customWidth="1"/>
    <col min="11" max="11" width="12.85546875" customWidth="1"/>
    <col min="12" max="12" width="13.42578125" customWidth="1"/>
    <col min="13" max="13" width="25" customWidth="1"/>
    <col min="14" max="14" width="10.7109375" style="1" customWidth="1"/>
    <col min="15" max="15" width="37.42578125" style="198" customWidth="1"/>
    <col min="16" max="16" width="25.5703125" customWidth="1"/>
    <col min="17" max="17" width="18.42578125" customWidth="1"/>
    <col min="18" max="18" width="12.85546875" style="26" customWidth="1"/>
    <col min="19" max="19" width="13.42578125" customWidth="1"/>
    <col min="20" max="20" width="20.28515625" customWidth="1"/>
    <col min="21" max="21" width="10.7109375" style="319" customWidth="1"/>
    <col min="22" max="22" width="37.42578125" style="198" customWidth="1"/>
    <col min="23" max="23" width="25.5703125" customWidth="1"/>
    <col min="24" max="24" width="18.42578125" customWidth="1"/>
    <col min="25" max="25" width="12.85546875" customWidth="1"/>
    <col min="26" max="26" width="13.42578125" customWidth="1"/>
    <col min="27" max="27" width="19.140625" customWidth="1"/>
    <col min="28" max="28" width="10.7109375" style="1" customWidth="1"/>
    <col min="29" max="29" width="37.42578125" style="198" customWidth="1"/>
    <col min="30" max="30" width="25.5703125" customWidth="1"/>
    <col min="31" max="31" width="18.42578125" customWidth="1"/>
    <col min="32" max="32" width="12.85546875" customWidth="1"/>
    <col min="33" max="33" width="13.42578125" customWidth="1"/>
    <col min="34" max="34" width="19.28515625" customWidth="1"/>
    <col min="35" max="35" width="10.7109375" style="1" customWidth="1"/>
    <col min="36" max="36" width="37.42578125" style="198" customWidth="1"/>
    <col min="37" max="37" width="25.5703125" customWidth="1"/>
    <col min="38" max="38" width="18.42578125" customWidth="1"/>
    <col min="39" max="39" width="12.85546875" customWidth="1"/>
    <col min="40" max="40" width="13.42578125" customWidth="1"/>
    <col min="41" max="41" width="20.85546875" customWidth="1"/>
    <col min="42" max="42" width="10.7109375" style="1" customWidth="1"/>
    <col min="43" max="43" width="37.42578125" style="198" customWidth="1"/>
    <col min="44" max="44" width="25.5703125" customWidth="1"/>
    <col min="45" max="45" width="18.42578125" customWidth="1"/>
    <col min="46" max="46" width="12.85546875" customWidth="1"/>
    <col min="47" max="47" width="13.42578125" customWidth="1"/>
    <col min="48" max="48" width="19.85546875" customWidth="1"/>
    <col min="49" max="49" width="10.7109375" style="1" customWidth="1"/>
    <col min="50" max="50" width="37.42578125" style="198" customWidth="1"/>
    <col min="51" max="51" width="25.5703125" customWidth="1"/>
    <col min="52" max="52" width="18.42578125" customWidth="1"/>
    <col min="53" max="53" width="12.85546875" customWidth="1"/>
    <col min="54" max="54" width="13.42578125" customWidth="1"/>
    <col min="55" max="55" width="20.42578125" customWidth="1"/>
    <col min="56" max="56" width="10.7109375" style="1" customWidth="1"/>
    <col min="57" max="57" width="37.42578125" style="198" customWidth="1"/>
    <col min="58" max="58" width="25.5703125" customWidth="1"/>
    <col min="59" max="59" width="18.42578125" customWidth="1"/>
    <col min="60" max="60" width="12.85546875" customWidth="1"/>
    <col min="61" max="61" width="13.42578125" customWidth="1"/>
    <col min="62" max="62" width="21.28515625" customWidth="1"/>
    <col min="63" max="63" width="10.7109375" style="1" customWidth="1"/>
    <col min="64" max="64" width="37.42578125" style="198" customWidth="1"/>
    <col min="65" max="65" width="25.5703125" customWidth="1"/>
    <col min="66" max="66" width="18.42578125" customWidth="1"/>
    <col min="67" max="67" width="12.85546875" customWidth="1"/>
    <col min="68" max="68" width="13.42578125" customWidth="1"/>
    <col min="69" max="69" width="19.7109375" customWidth="1"/>
    <col min="70" max="70" width="10.7109375" style="1" customWidth="1"/>
    <col min="71" max="71" width="37.42578125" style="198" customWidth="1"/>
    <col min="72" max="72" width="25.5703125" customWidth="1"/>
    <col min="73" max="73" width="18.42578125" customWidth="1"/>
    <col min="74" max="74" width="12.85546875" customWidth="1"/>
    <col min="75" max="75" width="13.42578125" customWidth="1"/>
    <col min="76" max="76" width="21" customWidth="1"/>
    <col min="77" max="77" width="10.7109375" style="1" customWidth="1"/>
    <col min="78" max="78" width="37.42578125" style="198" customWidth="1"/>
    <col min="79" max="79" width="25.5703125" customWidth="1"/>
    <col min="80" max="80" width="18.42578125" customWidth="1"/>
    <col min="81" max="81" width="12.85546875" customWidth="1"/>
    <col min="82" max="82" width="13.42578125" customWidth="1"/>
    <col min="83" max="83" width="21.85546875" customWidth="1"/>
    <col min="84" max="84" width="10.7109375" style="1" customWidth="1"/>
    <col min="85" max="85" width="37.42578125" style="198" customWidth="1"/>
    <col min="86" max="86" width="25.5703125" customWidth="1"/>
    <col min="87" max="87" width="18.42578125" customWidth="1"/>
    <col min="88" max="88" width="12.85546875" customWidth="1"/>
    <col min="89" max="89" width="13.42578125" customWidth="1"/>
    <col min="90" max="90" width="20.140625" customWidth="1"/>
    <col min="91" max="91" width="10.7109375" style="1" customWidth="1"/>
    <col min="92" max="92" width="37.42578125" style="198" customWidth="1"/>
    <col min="93" max="93" width="25.5703125" customWidth="1"/>
    <col min="94" max="94" width="18.42578125" customWidth="1"/>
    <col min="95" max="95" width="12.85546875" customWidth="1"/>
    <col min="96" max="96" width="13.42578125" customWidth="1"/>
    <col min="97" max="97" width="20.7109375" customWidth="1"/>
    <col min="98" max="98" width="10.7109375" style="1" customWidth="1"/>
    <col min="99" max="99" width="37.42578125" style="198" customWidth="1"/>
    <col min="100" max="100" width="25.5703125" customWidth="1"/>
    <col min="101" max="101" width="18.42578125" customWidth="1"/>
    <col min="102" max="102" width="12.85546875" customWidth="1"/>
    <col min="103" max="103" width="13.42578125" customWidth="1"/>
    <col min="104" max="104" width="24.28515625" customWidth="1"/>
    <col min="105" max="105" width="10.7109375" style="19" customWidth="1"/>
    <col min="106" max="256" width="9.140625" customWidth="1"/>
  </cols>
  <sheetData>
    <row r="1" spans="1:105" s="13" customFormat="1" ht="42" customHeight="1" x14ac:dyDescent="0.4">
      <c r="A1" s="1135" t="str">
        <f>'Variante Erstellung'!$A$1</f>
        <v>Arbokost 2023</v>
      </c>
      <c r="B1" s="1432" t="str">
        <f>'Variante Vorgaben'!B8</f>
        <v>Gala</v>
      </c>
      <c r="C1" s="1432"/>
      <c r="D1" s="888"/>
      <c r="E1" s="889"/>
      <c r="F1" s="890"/>
      <c r="G1" s="891"/>
      <c r="H1" s="744"/>
      <c r="I1" s="744"/>
      <c r="J1" s="744"/>
      <c r="K1" s="744"/>
      <c r="L1" s="744"/>
      <c r="M1" s="744"/>
      <c r="N1" s="744"/>
      <c r="O1" s="744"/>
      <c r="P1" s="744"/>
      <c r="Q1" s="744"/>
      <c r="R1" s="744"/>
      <c r="S1" s="744"/>
      <c r="T1" s="744"/>
      <c r="U1" s="744"/>
      <c r="V1" s="744"/>
      <c r="W1" s="744"/>
      <c r="X1" s="744"/>
      <c r="Y1" s="744"/>
      <c r="Z1" s="744"/>
      <c r="AA1" s="744"/>
      <c r="AB1" s="744"/>
      <c r="AC1" s="744"/>
      <c r="AD1" s="744"/>
      <c r="AE1" s="744"/>
      <c r="AF1" s="744"/>
      <c r="AG1" s="744"/>
      <c r="AH1" s="744"/>
      <c r="AI1" s="744"/>
      <c r="AJ1" s="744"/>
      <c r="AK1" s="744"/>
      <c r="AL1" s="744"/>
      <c r="AM1" s="744"/>
      <c r="AN1" s="744"/>
      <c r="AO1" s="744"/>
      <c r="AP1" s="744"/>
      <c r="AQ1" s="744"/>
      <c r="AR1" s="744"/>
      <c r="AS1" s="744"/>
      <c r="AT1" s="744"/>
      <c r="AU1" s="744"/>
      <c r="AV1" s="744"/>
      <c r="AW1" s="744"/>
      <c r="AX1" s="744"/>
      <c r="AY1" s="744"/>
      <c r="AZ1" s="744"/>
      <c r="BA1" s="744"/>
      <c r="BB1" s="744"/>
      <c r="BC1" s="744"/>
      <c r="BD1" s="744"/>
      <c r="BE1" s="744"/>
      <c r="BF1" s="744"/>
      <c r="BG1" s="744"/>
      <c r="BH1" s="744"/>
      <c r="BI1" s="744"/>
      <c r="BJ1" s="744"/>
      <c r="BK1" s="744"/>
      <c r="BL1" s="744"/>
      <c r="BM1" s="744"/>
      <c r="BN1" s="744"/>
      <c r="BO1" s="744"/>
      <c r="BP1" s="744"/>
      <c r="BQ1" s="744"/>
      <c r="BR1" s="744"/>
      <c r="BS1" s="744"/>
      <c r="BT1" s="744"/>
      <c r="BU1" s="744"/>
      <c r="BV1" s="744"/>
      <c r="BW1" s="744"/>
      <c r="BX1" s="744"/>
      <c r="BY1" s="744"/>
      <c r="BZ1" s="744"/>
      <c r="CA1" s="744"/>
      <c r="CB1" s="744"/>
      <c r="CC1" s="744"/>
      <c r="CD1" s="744"/>
      <c r="CE1" s="744"/>
      <c r="CF1" s="744"/>
      <c r="CG1" s="744"/>
      <c r="CH1" s="744"/>
      <c r="CI1" s="744"/>
      <c r="CJ1" s="744"/>
      <c r="CK1" s="744"/>
      <c r="CL1" s="744"/>
      <c r="CM1" s="744"/>
      <c r="CN1" s="744"/>
      <c r="CO1" s="744"/>
      <c r="CP1" s="744"/>
      <c r="CQ1" s="744"/>
      <c r="CR1" s="744"/>
      <c r="CS1" s="744"/>
      <c r="CT1" s="744"/>
      <c r="CU1" s="744"/>
      <c r="CV1" s="744"/>
      <c r="CW1" s="744"/>
      <c r="CX1" s="744"/>
      <c r="CY1" s="744"/>
      <c r="CZ1" s="744"/>
      <c r="DA1" s="744"/>
    </row>
    <row r="2" spans="1:105" s="13" customFormat="1" ht="12.75" customHeight="1" x14ac:dyDescent="0.6">
      <c r="A2" s="729"/>
      <c r="B2" s="904"/>
      <c r="C2" s="887"/>
      <c r="D2" s="888"/>
      <c r="E2" s="889"/>
      <c r="F2" s="890"/>
      <c r="G2" s="891"/>
      <c r="H2" s="744"/>
      <c r="I2" s="744"/>
      <c r="J2" s="744"/>
      <c r="K2" s="744"/>
      <c r="L2" s="744"/>
      <c r="M2" s="744"/>
      <c r="N2" s="744"/>
      <c r="O2" s="744"/>
      <c r="P2" s="744"/>
      <c r="Q2" s="744"/>
      <c r="R2" s="744"/>
      <c r="S2" s="744"/>
      <c r="T2" s="744"/>
      <c r="U2" s="744"/>
      <c r="V2" s="744"/>
      <c r="W2" s="744"/>
      <c r="X2" s="744"/>
      <c r="Y2" s="744"/>
      <c r="Z2" s="744"/>
      <c r="AA2" s="744"/>
      <c r="AB2" s="744"/>
      <c r="AC2" s="744"/>
      <c r="AD2" s="744"/>
      <c r="AE2" s="744"/>
      <c r="AF2" s="744"/>
      <c r="AG2" s="744"/>
      <c r="AH2" s="744"/>
      <c r="AI2" s="744"/>
      <c r="AJ2" s="744"/>
      <c r="AK2" s="744"/>
      <c r="AL2" s="744"/>
      <c r="AM2" s="744"/>
      <c r="AN2" s="744"/>
      <c r="AO2" s="744"/>
      <c r="AP2" s="744"/>
      <c r="AQ2" s="744"/>
      <c r="AR2" s="744"/>
      <c r="AS2" s="744"/>
      <c r="AT2" s="744"/>
      <c r="AU2" s="744"/>
      <c r="AV2" s="744"/>
      <c r="AW2" s="744"/>
      <c r="AX2" s="744"/>
      <c r="AY2" s="744"/>
      <c r="AZ2" s="744"/>
      <c r="BA2" s="744"/>
      <c r="BB2" s="744"/>
      <c r="BC2" s="744"/>
      <c r="BD2" s="744"/>
      <c r="BE2" s="744"/>
      <c r="BF2" s="744"/>
      <c r="BG2" s="744"/>
      <c r="BH2" s="744"/>
      <c r="BI2" s="744"/>
      <c r="BJ2" s="744"/>
      <c r="BK2" s="744"/>
      <c r="BL2" s="744"/>
      <c r="BM2" s="744"/>
      <c r="BN2" s="744"/>
      <c r="BO2" s="744"/>
      <c r="BP2" s="744"/>
      <c r="BQ2" s="744"/>
      <c r="BR2" s="744"/>
      <c r="BS2" s="744"/>
      <c r="BT2" s="744"/>
      <c r="BU2" s="744"/>
      <c r="BV2" s="744"/>
      <c r="BW2" s="744"/>
      <c r="BX2" s="744"/>
      <c r="BY2" s="744"/>
      <c r="BZ2" s="744"/>
      <c r="CA2" s="744"/>
      <c r="CB2" s="744"/>
      <c r="CC2" s="744"/>
      <c r="CD2" s="744"/>
      <c r="CE2" s="744"/>
      <c r="CF2" s="744"/>
      <c r="CG2" s="744"/>
      <c r="CH2" s="744"/>
      <c r="CI2" s="744"/>
      <c r="CJ2" s="744"/>
      <c r="CK2" s="744"/>
      <c r="CL2" s="744"/>
      <c r="CM2" s="744"/>
      <c r="CN2" s="744"/>
      <c r="CO2" s="744"/>
      <c r="CP2" s="744"/>
      <c r="CQ2" s="744"/>
      <c r="CR2" s="744"/>
      <c r="CS2" s="744"/>
      <c r="CT2" s="744"/>
      <c r="CU2" s="744"/>
      <c r="CV2" s="744"/>
      <c r="CW2" s="744"/>
      <c r="CX2" s="744"/>
      <c r="CY2" s="744"/>
      <c r="CZ2" s="744"/>
      <c r="DA2" s="744"/>
    </row>
    <row r="3" spans="1:105" s="13" customFormat="1" ht="18" customHeight="1" x14ac:dyDescent="0.6">
      <c r="A3" s="729"/>
      <c r="B3" s="904"/>
      <c r="C3" s="887"/>
      <c r="D3" s="888"/>
      <c r="E3" s="889"/>
      <c r="F3" s="890"/>
      <c r="G3" s="891"/>
      <c r="H3" s="744"/>
      <c r="I3" s="744"/>
      <c r="J3" s="744"/>
      <c r="K3" s="744"/>
      <c r="L3" s="744"/>
      <c r="M3" s="744"/>
      <c r="N3" s="744"/>
      <c r="O3" s="744"/>
      <c r="P3" s="744"/>
      <c r="Q3" s="744"/>
      <c r="R3" s="744"/>
      <c r="S3" s="744"/>
      <c r="T3" s="744"/>
      <c r="U3" s="744"/>
      <c r="V3" s="744"/>
      <c r="W3" s="744"/>
      <c r="X3" s="744"/>
      <c r="Y3" s="744"/>
      <c r="Z3" s="744"/>
      <c r="AA3" s="744"/>
      <c r="AB3" s="744"/>
      <c r="AC3" s="744"/>
      <c r="AD3" s="744"/>
      <c r="AE3" s="744"/>
      <c r="AF3" s="744"/>
      <c r="AG3" s="744"/>
      <c r="AH3" s="744"/>
      <c r="AI3" s="744"/>
      <c r="AJ3" s="744"/>
      <c r="AK3" s="744"/>
      <c r="AL3" s="744"/>
      <c r="AM3" s="744"/>
      <c r="AN3" s="744"/>
      <c r="AO3" s="744"/>
      <c r="AP3" s="744"/>
      <c r="AQ3" s="744"/>
      <c r="AR3" s="744"/>
      <c r="AS3" s="744"/>
      <c r="AT3" s="744"/>
      <c r="AU3" s="744"/>
      <c r="AV3" s="744"/>
      <c r="AW3" s="744"/>
      <c r="AX3" s="744"/>
      <c r="AY3" s="744"/>
      <c r="AZ3" s="744"/>
      <c r="BA3" s="744"/>
      <c r="BB3" s="744"/>
      <c r="BC3" s="744"/>
      <c r="BD3" s="744"/>
      <c r="BE3" s="744"/>
      <c r="BF3" s="744"/>
      <c r="BG3" s="744"/>
      <c r="BH3" s="744"/>
      <c r="BI3" s="744"/>
      <c r="BJ3" s="744"/>
      <c r="BK3" s="744"/>
      <c r="BL3" s="744"/>
      <c r="BM3" s="744"/>
      <c r="BN3" s="744"/>
      <c r="BO3" s="744"/>
      <c r="BP3" s="744"/>
      <c r="BQ3" s="744"/>
      <c r="BR3" s="744"/>
      <c r="BS3" s="744"/>
      <c r="BT3" s="744"/>
      <c r="BU3" s="744"/>
      <c r="BV3" s="744"/>
      <c r="BW3" s="744"/>
      <c r="BX3" s="744"/>
      <c r="BY3" s="744"/>
      <c r="BZ3" s="744"/>
      <c r="CA3" s="744"/>
      <c r="CB3" s="744"/>
      <c r="CC3" s="744"/>
      <c r="CD3" s="744"/>
      <c r="CE3" s="744"/>
      <c r="CF3" s="744"/>
      <c r="CG3" s="744"/>
      <c r="CH3" s="744"/>
      <c r="CI3" s="744"/>
      <c r="CJ3" s="744"/>
      <c r="CK3" s="744"/>
      <c r="CL3" s="744"/>
      <c r="CM3" s="744"/>
      <c r="CN3" s="744"/>
      <c r="CO3" s="744"/>
      <c r="CP3" s="744"/>
      <c r="CQ3" s="744"/>
      <c r="CR3" s="744"/>
      <c r="CS3" s="744"/>
      <c r="CT3" s="744"/>
      <c r="CU3" s="744"/>
      <c r="CV3" s="744"/>
      <c r="CW3" s="744"/>
      <c r="CX3" s="744"/>
      <c r="CY3" s="744"/>
      <c r="CZ3" s="744"/>
      <c r="DA3" s="744"/>
    </row>
    <row r="4" spans="1:105" s="13" customFormat="1" ht="12.75" x14ac:dyDescent="0.2">
      <c r="A4" s="820"/>
      <c r="B4" s="892"/>
      <c r="C4" s="745"/>
      <c r="D4" s="745"/>
      <c r="E4" s="893"/>
      <c r="F4" s="894"/>
      <c r="G4" s="745"/>
      <c r="H4" s="745"/>
      <c r="I4" s="745"/>
      <c r="J4" s="744"/>
      <c r="K4" s="744"/>
      <c r="L4" s="744"/>
      <c r="M4" s="744"/>
      <c r="N4" s="744"/>
      <c r="O4" s="745"/>
      <c r="P4" s="745"/>
      <c r="Q4" s="744"/>
      <c r="R4" s="744"/>
      <c r="S4" s="744"/>
      <c r="T4" s="744"/>
      <c r="U4" s="744"/>
      <c r="V4" s="745"/>
      <c r="W4" s="745"/>
      <c r="X4" s="744"/>
      <c r="Y4" s="744"/>
      <c r="Z4" s="744"/>
      <c r="AA4" s="744"/>
      <c r="AB4" s="744"/>
      <c r="AC4" s="745"/>
      <c r="AD4" s="745"/>
      <c r="AE4" s="744"/>
      <c r="AF4" s="744"/>
      <c r="AG4" s="744"/>
      <c r="AH4" s="744"/>
      <c r="AI4" s="744"/>
      <c r="AJ4" s="745"/>
      <c r="AK4" s="745"/>
      <c r="AL4" s="744"/>
      <c r="AM4" s="744"/>
      <c r="AN4" s="744"/>
      <c r="AO4" s="744"/>
      <c r="AP4" s="744"/>
      <c r="AQ4" s="745"/>
      <c r="AR4" s="745"/>
      <c r="AS4" s="744"/>
      <c r="AT4" s="744"/>
      <c r="AU4" s="744"/>
      <c r="AV4" s="744"/>
      <c r="AW4" s="744"/>
      <c r="AX4" s="745"/>
      <c r="AY4" s="745"/>
      <c r="AZ4" s="744"/>
      <c r="BA4" s="744"/>
      <c r="BB4" s="744"/>
      <c r="BC4" s="744"/>
      <c r="BD4" s="744"/>
      <c r="BE4" s="745"/>
      <c r="BF4" s="745"/>
      <c r="BG4" s="744"/>
      <c r="BH4" s="744"/>
      <c r="BI4" s="744"/>
      <c r="BJ4" s="744"/>
      <c r="BK4" s="744"/>
      <c r="BL4" s="745"/>
      <c r="BM4" s="745"/>
      <c r="BN4" s="744"/>
      <c r="BO4" s="744"/>
      <c r="BP4" s="744"/>
      <c r="BQ4" s="744"/>
      <c r="BR4" s="744"/>
      <c r="BS4" s="745"/>
      <c r="BT4" s="745"/>
      <c r="BU4" s="744"/>
      <c r="BV4" s="744"/>
      <c r="BW4" s="744"/>
      <c r="BX4" s="744"/>
      <c r="BY4" s="744"/>
      <c r="BZ4" s="745"/>
      <c r="CA4" s="745"/>
      <c r="CB4" s="744"/>
      <c r="CC4" s="744"/>
      <c r="CD4" s="744"/>
      <c r="CE4" s="744"/>
      <c r="CF4" s="744"/>
      <c r="CG4" s="745"/>
      <c r="CH4" s="745"/>
      <c r="CI4" s="744"/>
      <c r="CJ4" s="744"/>
      <c r="CK4" s="744"/>
      <c r="CL4" s="744"/>
      <c r="CM4" s="744"/>
      <c r="CN4" s="745"/>
      <c r="CO4" s="745"/>
      <c r="CP4" s="744"/>
      <c r="CQ4" s="744"/>
      <c r="CR4" s="744"/>
      <c r="CS4" s="744"/>
      <c r="CT4" s="744"/>
      <c r="CU4" s="745"/>
      <c r="CV4" s="745"/>
      <c r="CW4" s="744"/>
      <c r="CX4" s="744"/>
      <c r="CY4" s="744"/>
      <c r="CZ4" s="744"/>
      <c r="DA4" s="744"/>
    </row>
    <row r="5" spans="1:105" s="691" customFormat="1" ht="20.25" x14ac:dyDescent="0.3">
      <c r="A5" s="663" t="s">
        <v>300</v>
      </c>
      <c r="B5" s="665"/>
      <c r="C5" s="662"/>
      <c r="D5" s="663"/>
      <c r="E5" s="905" t="s">
        <v>450</v>
      </c>
      <c r="F5" s="906"/>
      <c r="G5" s="665"/>
      <c r="H5" s="663" t="s">
        <v>300</v>
      </c>
      <c r="I5" s="665"/>
      <c r="J5" s="662"/>
      <c r="K5" s="663"/>
      <c r="L5" s="664"/>
      <c r="M5" s="663"/>
      <c r="N5" s="665"/>
      <c r="O5" s="663" t="s">
        <v>300</v>
      </c>
      <c r="P5" s="665"/>
      <c r="Q5" s="662"/>
      <c r="R5" s="663"/>
      <c r="S5" s="664"/>
      <c r="T5" s="663"/>
      <c r="U5" s="665"/>
      <c r="V5" s="663" t="s">
        <v>300</v>
      </c>
      <c r="W5" s="665"/>
      <c r="X5" s="662"/>
      <c r="Y5" s="663"/>
      <c r="Z5" s="664"/>
      <c r="AA5" s="663"/>
      <c r="AB5" s="665"/>
      <c r="AC5" s="663" t="s">
        <v>300</v>
      </c>
      <c r="AD5" s="665"/>
      <c r="AE5" s="662"/>
      <c r="AF5" s="663"/>
      <c r="AG5" s="664"/>
      <c r="AH5" s="663"/>
      <c r="AI5" s="665"/>
      <c r="AJ5" s="663" t="s">
        <v>300</v>
      </c>
      <c r="AK5" s="665"/>
      <c r="AL5" s="662"/>
      <c r="AM5" s="663"/>
      <c r="AN5" s="664"/>
      <c r="AO5" s="663"/>
      <c r="AP5" s="665"/>
      <c r="AQ5" s="663" t="s">
        <v>300</v>
      </c>
      <c r="AR5" s="665"/>
      <c r="AS5" s="662"/>
      <c r="AT5" s="663"/>
      <c r="AU5" s="664"/>
      <c r="AV5" s="663"/>
      <c r="AW5" s="665"/>
      <c r="AX5" s="663" t="s">
        <v>300</v>
      </c>
      <c r="AY5" s="665"/>
      <c r="AZ5" s="662"/>
      <c r="BA5" s="663"/>
      <c r="BB5" s="664"/>
      <c r="BC5" s="663"/>
      <c r="BD5" s="665"/>
      <c r="BE5" s="663" t="s">
        <v>300</v>
      </c>
      <c r="BF5" s="665"/>
      <c r="BG5" s="662"/>
      <c r="BH5" s="663"/>
      <c r="BI5" s="664"/>
      <c r="BJ5" s="663"/>
      <c r="BK5" s="665"/>
      <c r="BL5" s="663" t="s">
        <v>300</v>
      </c>
      <c r="BM5" s="665"/>
      <c r="BN5" s="662"/>
      <c r="BO5" s="663"/>
      <c r="BP5" s="664"/>
      <c r="BQ5" s="663"/>
      <c r="BR5" s="665"/>
      <c r="BS5" s="663" t="s">
        <v>300</v>
      </c>
      <c r="BT5" s="665"/>
      <c r="BU5" s="662"/>
      <c r="BV5" s="663"/>
      <c r="BW5" s="664"/>
      <c r="BX5" s="663"/>
      <c r="BY5" s="665"/>
      <c r="BZ5" s="663" t="s">
        <v>300</v>
      </c>
      <c r="CA5" s="665"/>
      <c r="CB5" s="662"/>
      <c r="CC5" s="663"/>
      <c r="CD5" s="664"/>
      <c r="CE5" s="663"/>
      <c r="CF5" s="665"/>
      <c r="CG5" s="663" t="s">
        <v>300</v>
      </c>
      <c r="CH5" s="665"/>
      <c r="CI5" s="662"/>
      <c r="CJ5" s="663"/>
      <c r="CK5" s="664"/>
      <c r="CL5" s="663"/>
      <c r="CM5" s="665"/>
      <c r="CN5" s="663" t="s">
        <v>300</v>
      </c>
      <c r="CO5" s="665"/>
      <c r="CP5" s="662"/>
      <c r="CQ5" s="663"/>
      <c r="CR5" s="664"/>
      <c r="CS5" s="663"/>
      <c r="CT5" s="665"/>
      <c r="CU5" s="663" t="s">
        <v>300</v>
      </c>
      <c r="CV5" s="665"/>
      <c r="CW5" s="662"/>
      <c r="CX5" s="663"/>
      <c r="CY5" s="664"/>
      <c r="CZ5" s="663"/>
      <c r="DA5" s="665"/>
    </row>
    <row r="6" spans="1:105" s="17" customFormat="1" ht="29.25" customHeight="1" x14ac:dyDescent="0.3">
      <c r="A6" s="895" t="s">
        <v>39</v>
      </c>
      <c r="B6" s="896">
        <f>'Variante Vorgaben'!B24</f>
        <v>3000</v>
      </c>
      <c r="C6" s="1437"/>
      <c r="D6" s="1437"/>
      <c r="E6" s="1437"/>
      <c r="F6" s="1437"/>
      <c r="G6" s="1437"/>
      <c r="H6" s="895" t="s">
        <v>40</v>
      </c>
      <c r="I6" s="896">
        <f>'Variante Vorgaben'!B24</f>
        <v>3000</v>
      </c>
      <c r="J6" s="1437"/>
      <c r="K6" s="1438"/>
      <c r="L6" s="1438"/>
      <c r="M6" s="1438"/>
      <c r="N6" s="1438"/>
      <c r="O6" s="895" t="s">
        <v>41</v>
      </c>
      <c r="P6" s="896">
        <f>'Variante Vorgaben'!B24</f>
        <v>3000</v>
      </c>
      <c r="Q6" s="1437"/>
      <c r="R6" s="1437"/>
      <c r="S6" s="1437"/>
      <c r="T6" s="1437"/>
      <c r="U6" s="1437"/>
      <c r="V6" s="895" t="s">
        <v>42</v>
      </c>
      <c r="W6" s="896">
        <f>'Variante Vorgaben'!B24</f>
        <v>3000</v>
      </c>
      <c r="X6" s="1437"/>
      <c r="Y6" s="1437"/>
      <c r="Z6" s="1437"/>
      <c r="AA6" s="1437"/>
      <c r="AB6" s="1437"/>
      <c r="AC6" s="895" t="s">
        <v>43</v>
      </c>
      <c r="AD6" s="896">
        <f>'Variante Vorgaben'!B24</f>
        <v>3000</v>
      </c>
      <c r="AE6" s="1437"/>
      <c r="AF6" s="1437"/>
      <c r="AG6" s="1437"/>
      <c r="AH6" s="1437"/>
      <c r="AI6" s="1437"/>
      <c r="AJ6" s="895" t="s">
        <v>44</v>
      </c>
      <c r="AK6" s="896">
        <f>'Variante Vorgaben'!B24</f>
        <v>3000</v>
      </c>
      <c r="AL6" s="1437"/>
      <c r="AM6" s="1437"/>
      <c r="AN6" s="1437"/>
      <c r="AO6" s="1437"/>
      <c r="AP6" s="1437"/>
      <c r="AQ6" s="895" t="s">
        <v>45</v>
      </c>
      <c r="AR6" s="896">
        <f>'Variante Vorgaben'!B24</f>
        <v>3000</v>
      </c>
      <c r="AS6" s="1437"/>
      <c r="AT6" s="1437"/>
      <c r="AU6" s="1437"/>
      <c r="AV6" s="1437"/>
      <c r="AW6" s="1437"/>
      <c r="AX6" s="895" t="s">
        <v>46</v>
      </c>
      <c r="AY6" s="896">
        <f>'Variante Vorgaben'!B24</f>
        <v>3000</v>
      </c>
      <c r="AZ6" s="1437"/>
      <c r="BA6" s="1437"/>
      <c r="BB6" s="1437"/>
      <c r="BC6" s="1437"/>
      <c r="BD6" s="1437"/>
      <c r="BE6" s="895" t="s">
        <v>47</v>
      </c>
      <c r="BF6" s="896">
        <f>'Variante Vorgaben'!B24</f>
        <v>3000</v>
      </c>
      <c r="BG6" s="1437"/>
      <c r="BH6" s="1437"/>
      <c r="BI6" s="1437"/>
      <c r="BJ6" s="1437"/>
      <c r="BK6" s="1437"/>
      <c r="BL6" s="895" t="s">
        <v>48</v>
      </c>
      <c r="BM6" s="896">
        <f>'Variante Vorgaben'!B24</f>
        <v>3000</v>
      </c>
      <c r="BN6" s="1437"/>
      <c r="BO6" s="1437"/>
      <c r="BP6" s="1437"/>
      <c r="BQ6" s="1437"/>
      <c r="BR6" s="1437"/>
      <c r="BS6" s="895" t="s">
        <v>49</v>
      </c>
      <c r="BT6" s="896">
        <f>'Variante Vorgaben'!B24</f>
        <v>3000</v>
      </c>
      <c r="BU6" s="1437"/>
      <c r="BV6" s="1437"/>
      <c r="BW6" s="1437"/>
      <c r="BX6" s="1437"/>
      <c r="BY6" s="1437"/>
      <c r="BZ6" s="895" t="s">
        <v>50</v>
      </c>
      <c r="CA6" s="896">
        <f>'Variante Vorgaben'!B24</f>
        <v>3000</v>
      </c>
      <c r="CB6" s="1437"/>
      <c r="CC6" s="1437"/>
      <c r="CD6" s="1437"/>
      <c r="CE6" s="1437"/>
      <c r="CF6" s="1437"/>
      <c r="CG6" s="895" t="s">
        <v>51</v>
      </c>
      <c r="CH6" s="896">
        <f>'Variante Vorgaben'!B24</f>
        <v>3000</v>
      </c>
      <c r="CI6" s="1437"/>
      <c r="CJ6" s="1437"/>
      <c r="CK6" s="1437"/>
      <c r="CL6" s="1437"/>
      <c r="CM6" s="1437"/>
      <c r="CN6" s="895" t="s">
        <v>52</v>
      </c>
      <c r="CO6" s="896">
        <f>'Variante Vorgaben'!B24</f>
        <v>3000</v>
      </c>
      <c r="CP6" s="1437"/>
      <c r="CQ6" s="1437"/>
      <c r="CR6" s="1437"/>
      <c r="CS6" s="1437"/>
      <c r="CT6" s="1437"/>
      <c r="CU6" s="895" t="s">
        <v>53</v>
      </c>
      <c r="CV6" s="896">
        <f>'Variante Vorgaben'!B24</f>
        <v>3000</v>
      </c>
      <c r="CW6" s="1437"/>
      <c r="CX6" s="1437"/>
      <c r="CY6" s="1437"/>
      <c r="CZ6" s="1437"/>
      <c r="DA6" s="1437"/>
    </row>
    <row r="7" spans="1:105" s="3" customFormat="1" ht="21.2" customHeight="1" x14ac:dyDescent="0.25">
      <c r="A7" s="375" t="s">
        <v>202</v>
      </c>
      <c r="B7" s="666"/>
      <c r="C7" s="1434" t="s">
        <v>363</v>
      </c>
      <c r="D7" s="1434"/>
      <c r="E7" s="84" t="s">
        <v>404</v>
      </c>
      <c r="F7" s="732" t="s">
        <v>365</v>
      </c>
      <c r="G7" s="1435" t="s">
        <v>411</v>
      </c>
      <c r="H7" s="375" t="s">
        <v>202</v>
      </c>
      <c r="I7" s="666"/>
      <c r="J7" s="1434" t="s">
        <v>363</v>
      </c>
      <c r="K7" s="1434"/>
      <c r="L7" s="84" t="s">
        <v>404</v>
      </c>
      <c r="M7" s="732" t="s">
        <v>365</v>
      </c>
      <c r="N7" s="1435" t="s">
        <v>411</v>
      </c>
      <c r="O7" s="375" t="s">
        <v>202</v>
      </c>
      <c r="P7" s="666"/>
      <c r="Q7" s="1434" t="s">
        <v>363</v>
      </c>
      <c r="R7" s="1434"/>
      <c r="S7" s="84" t="s">
        <v>404</v>
      </c>
      <c r="T7" s="732" t="s">
        <v>365</v>
      </c>
      <c r="U7" s="1435" t="s">
        <v>411</v>
      </c>
      <c r="V7" s="375" t="s">
        <v>202</v>
      </c>
      <c r="W7" s="666"/>
      <c r="X7" s="1434" t="s">
        <v>363</v>
      </c>
      <c r="Y7" s="1434"/>
      <c r="Z7" s="84" t="s">
        <v>404</v>
      </c>
      <c r="AA7" s="732" t="s">
        <v>365</v>
      </c>
      <c r="AB7" s="1435" t="s">
        <v>411</v>
      </c>
      <c r="AC7" s="375" t="s">
        <v>202</v>
      </c>
      <c r="AD7" s="666"/>
      <c r="AE7" s="1434" t="s">
        <v>363</v>
      </c>
      <c r="AF7" s="1434"/>
      <c r="AG7" s="84" t="s">
        <v>404</v>
      </c>
      <c r="AH7" s="732" t="s">
        <v>365</v>
      </c>
      <c r="AI7" s="1435" t="s">
        <v>411</v>
      </c>
      <c r="AJ7" s="375" t="s">
        <v>202</v>
      </c>
      <c r="AK7" s="666"/>
      <c r="AL7" s="1434" t="s">
        <v>363</v>
      </c>
      <c r="AM7" s="1434"/>
      <c r="AN7" s="84" t="s">
        <v>404</v>
      </c>
      <c r="AO7" s="732" t="s">
        <v>365</v>
      </c>
      <c r="AP7" s="1435" t="s">
        <v>411</v>
      </c>
      <c r="AQ7" s="375" t="s">
        <v>202</v>
      </c>
      <c r="AR7" s="666"/>
      <c r="AS7" s="1434" t="s">
        <v>363</v>
      </c>
      <c r="AT7" s="1434"/>
      <c r="AU7" s="84" t="s">
        <v>404</v>
      </c>
      <c r="AV7" s="732" t="s">
        <v>365</v>
      </c>
      <c r="AW7" s="1435" t="s">
        <v>411</v>
      </c>
      <c r="AX7" s="375" t="s">
        <v>202</v>
      </c>
      <c r="AY7" s="666"/>
      <c r="AZ7" s="1434" t="s">
        <v>363</v>
      </c>
      <c r="BA7" s="1434"/>
      <c r="BB7" s="84" t="s">
        <v>404</v>
      </c>
      <c r="BC7" s="732" t="s">
        <v>365</v>
      </c>
      <c r="BD7" s="1435" t="s">
        <v>411</v>
      </c>
      <c r="BE7" s="375" t="s">
        <v>202</v>
      </c>
      <c r="BF7" s="666"/>
      <c r="BG7" s="1434" t="s">
        <v>363</v>
      </c>
      <c r="BH7" s="1434"/>
      <c r="BI7" s="84" t="s">
        <v>404</v>
      </c>
      <c r="BJ7" s="732" t="s">
        <v>365</v>
      </c>
      <c r="BK7" s="1435" t="s">
        <v>411</v>
      </c>
      <c r="BL7" s="375" t="s">
        <v>202</v>
      </c>
      <c r="BM7" s="666"/>
      <c r="BN7" s="1434" t="s">
        <v>363</v>
      </c>
      <c r="BO7" s="1434"/>
      <c r="BP7" s="84" t="s">
        <v>404</v>
      </c>
      <c r="BQ7" s="732" t="s">
        <v>365</v>
      </c>
      <c r="BR7" s="1435" t="s">
        <v>411</v>
      </c>
      <c r="BS7" s="375" t="s">
        <v>202</v>
      </c>
      <c r="BT7" s="666"/>
      <c r="BU7" s="1434" t="s">
        <v>363</v>
      </c>
      <c r="BV7" s="1434"/>
      <c r="BW7" s="84" t="s">
        <v>404</v>
      </c>
      <c r="BX7" s="732" t="s">
        <v>365</v>
      </c>
      <c r="BY7" s="1435" t="s">
        <v>411</v>
      </c>
      <c r="BZ7" s="375" t="s">
        <v>202</v>
      </c>
      <c r="CA7" s="666"/>
      <c r="CB7" s="1434" t="s">
        <v>363</v>
      </c>
      <c r="CC7" s="1434"/>
      <c r="CD7" s="84" t="s">
        <v>404</v>
      </c>
      <c r="CE7" s="732" t="s">
        <v>365</v>
      </c>
      <c r="CF7" s="1435" t="s">
        <v>411</v>
      </c>
      <c r="CG7" s="375" t="s">
        <v>202</v>
      </c>
      <c r="CH7" s="666"/>
      <c r="CI7" s="1434" t="s">
        <v>363</v>
      </c>
      <c r="CJ7" s="1434"/>
      <c r="CK7" s="84" t="s">
        <v>404</v>
      </c>
      <c r="CL7" s="732" t="s">
        <v>365</v>
      </c>
      <c r="CM7" s="1435" t="s">
        <v>411</v>
      </c>
      <c r="CN7" s="375" t="s">
        <v>202</v>
      </c>
      <c r="CO7" s="666"/>
      <c r="CP7" s="1434" t="s">
        <v>363</v>
      </c>
      <c r="CQ7" s="1434"/>
      <c r="CR7" s="84" t="s">
        <v>404</v>
      </c>
      <c r="CS7" s="732" t="s">
        <v>365</v>
      </c>
      <c r="CT7" s="1435" t="s">
        <v>411</v>
      </c>
      <c r="CU7" s="375" t="s">
        <v>202</v>
      </c>
      <c r="CV7" s="666"/>
      <c r="CW7" s="1434" t="s">
        <v>363</v>
      </c>
      <c r="CX7" s="1434"/>
      <c r="CY7" s="84" t="s">
        <v>404</v>
      </c>
      <c r="CZ7" s="732" t="s">
        <v>365</v>
      </c>
      <c r="DA7" s="1435" t="s">
        <v>411</v>
      </c>
    </row>
    <row r="8" spans="1:105" s="12" customFormat="1" ht="12.75" customHeight="1" x14ac:dyDescent="0.2">
      <c r="B8" s="41"/>
      <c r="C8" s="184" t="s">
        <v>54</v>
      </c>
      <c r="D8" s="184" t="s">
        <v>55</v>
      </c>
      <c r="E8" s="206" t="s">
        <v>152</v>
      </c>
      <c r="F8" s="659" t="s">
        <v>22</v>
      </c>
      <c r="G8" s="1435"/>
      <c r="I8" s="41"/>
      <c r="J8" s="184" t="s">
        <v>54</v>
      </c>
      <c r="K8" s="184" t="s">
        <v>55</v>
      </c>
      <c r="L8" s="206" t="s">
        <v>152</v>
      </c>
      <c r="M8" s="659" t="s">
        <v>22</v>
      </c>
      <c r="N8" s="1436"/>
      <c r="P8" s="41"/>
      <c r="Q8" s="184" t="s">
        <v>54</v>
      </c>
      <c r="R8" s="184" t="s">
        <v>55</v>
      </c>
      <c r="S8" s="206" t="s">
        <v>152</v>
      </c>
      <c r="T8" s="659" t="s">
        <v>22</v>
      </c>
      <c r="U8" s="1435"/>
      <c r="W8" s="41"/>
      <c r="X8" s="184" t="s">
        <v>54</v>
      </c>
      <c r="Y8" s="184" t="s">
        <v>55</v>
      </c>
      <c r="Z8" s="206" t="s">
        <v>152</v>
      </c>
      <c r="AA8" s="659" t="s">
        <v>22</v>
      </c>
      <c r="AB8" s="1435"/>
      <c r="AD8" s="41"/>
      <c r="AE8" s="184" t="s">
        <v>54</v>
      </c>
      <c r="AF8" s="184" t="s">
        <v>55</v>
      </c>
      <c r="AG8" s="206" t="s">
        <v>152</v>
      </c>
      <c r="AH8" s="659" t="s">
        <v>22</v>
      </c>
      <c r="AI8" s="1435"/>
      <c r="AK8" s="41"/>
      <c r="AL8" s="184" t="s">
        <v>54</v>
      </c>
      <c r="AM8" s="184" t="s">
        <v>55</v>
      </c>
      <c r="AN8" s="206" t="s">
        <v>152</v>
      </c>
      <c r="AO8" s="659" t="s">
        <v>22</v>
      </c>
      <c r="AP8" s="1435"/>
      <c r="AR8" s="41"/>
      <c r="AS8" s="184" t="s">
        <v>54</v>
      </c>
      <c r="AT8" s="184" t="s">
        <v>55</v>
      </c>
      <c r="AU8" s="206" t="s">
        <v>152</v>
      </c>
      <c r="AV8" s="659" t="s">
        <v>22</v>
      </c>
      <c r="AW8" s="1435"/>
      <c r="AY8" s="41"/>
      <c r="AZ8" s="184" t="s">
        <v>54</v>
      </c>
      <c r="BA8" s="184" t="s">
        <v>55</v>
      </c>
      <c r="BB8" s="206" t="s">
        <v>152</v>
      </c>
      <c r="BC8" s="659" t="s">
        <v>22</v>
      </c>
      <c r="BD8" s="1435"/>
      <c r="BF8" s="41"/>
      <c r="BG8" s="184" t="s">
        <v>54</v>
      </c>
      <c r="BH8" s="184" t="s">
        <v>55</v>
      </c>
      <c r="BI8" s="206" t="s">
        <v>152</v>
      </c>
      <c r="BJ8" s="659" t="s">
        <v>22</v>
      </c>
      <c r="BK8" s="1435"/>
      <c r="BM8" s="41"/>
      <c r="BN8" s="184" t="s">
        <v>54</v>
      </c>
      <c r="BO8" s="184" t="s">
        <v>55</v>
      </c>
      <c r="BP8" s="206" t="s">
        <v>152</v>
      </c>
      <c r="BQ8" s="659" t="s">
        <v>22</v>
      </c>
      <c r="BR8" s="1435"/>
      <c r="BT8" s="41"/>
      <c r="BU8" s="184" t="s">
        <v>54</v>
      </c>
      <c r="BV8" s="184" t="s">
        <v>55</v>
      </c>
      <c r="BW8" s="206" t="s">
        <v>152</v>
      </c>
      <c r="BX8" s="659" t="s">
        <v>22</v>
      </c>
      <c r="BY8" s="1435"/>
      <c r="CA8" s="41"/>
      <c r="CB8" s="184" t="s">
        <v>54</v>
      </c>
      <c r="CC8" s="184" t="s">
        <v>55</v>
      </c>
      <c r="CD8" s="206" t="s">
        <v>152</v>
      </c>
      <c r="CE8" s="659" t="s">
        <v>22</v>
      </c>
      <c r="CF8" s="1435"/>
      <c r="CH8" s="41"/>
      <c r="CI8" s="184" t="s">
        <v>54</v>
      </c>
      <c r="CJ8" s="184" t="s">
        <v>55</v>
      </c>
      <c r="CK8" s="206" t="s">
        <v>152</v>
      </c>
      <c r="CL8" s="659" t="s">
        <v>22</v>
      </c>
      <c r="CM8" s="1435"/>
      <c r="CO8" s="41"/>
      <c r="CP8" s="184" t="s">
        <v>54</v>
      </c>
      <c r="CQ8" s="184" t="s">
        <v>55</v>
      </c>
      <c r="CR8" s="206" t="s">
        <v>152</v>
      </c>
      <c r="CS8" s="659" t="s">
        <v>22</v>
      </c>
      <c r="CT8" s="1435"/>
      <c r="CV8" s="41"/>
      <c r="CW8" s="184" t="s">
        <v>54</v>
      </c>
      <c r="CX8" s="184" t="s">
        <v>55</v>
      </c>
      <c r="CY8" s="206" t="s">
        <v>152</v>
      </c>
      <c r="CZ8" s="659" t="s">
        <v>22</v>
      </c>
      <c r="DA8" s="1435"/>
    </row>
    <row r="9" spans="1:105" s="85" customFormat="1" ht="15.75" customHeight="1" x14ac:dyDescent="0.2">
      <c r="A9" s="73"/>
      <c r="B9" s="85" t="str">
        <f>'Variante Vorgaben'!$B$47</f>
        <v>Klasse I</v>
      </c>
      <c r="C9" s="658">
        <f>D9/B6</f>
        <v>0</v>
      </c>
      <c r="D9" s="203">
        <f>G9*D12</f>
        <v>0</v>
      </c>
      <c r="E9" s="200">
        <f>'Variante Vorgaben'!B48</f>
        <v>1.1200000000000001</v>
      </c>
      <c r="F9" s="146">
        <f>D9*E9</f>
        <v>0</v>
      </c>
      <c r="G9" s="644">
        <f>'Variante Vorgaben'!B71</f>
        <v>0.7</v>
      </c>
      <c r="H9" s="73"/>
      <c r="I9" s="85" t="str">
        <f>'Variante Vorgaben'!$B$47</f>
        <v>Klasse I</v>
      </c>
      <c r="J9" s="658">
        <f>K9/I6</f>
        <v>2.94</v>
      </c>
      <c r="K9" s="203">
        <f>N9*K12</f>
        <v>8820</v>
      </c>
      <c r="L9" s="200">
        <f>'Variante Vorgaben'!B49</f>
        <v>1.1200000000000001</v>
      </c>
      <c r="M9" s="146">
        <f>K9*L9</f>
        <v>9878.4000000000015</v>
      </c>
      <c r="N9" s="644">
        <f>'Variante Vorgaben'!B72</f>
        <v>0.7</v>
      </c>
      <c r="O9" s="73"/>
      <c r="P9" s="85" t="str">
        <f>'Variante Vorgaben'!$B$47</f>
        <v>Klasse I</v>
      </c>
      <c r="Q9" s="658">
        <f>R9/P6</f>
        <v>3.6749999999999998</v>
      </c>
      <c r="R9" s="203">
        <f>U9*R12</f>
        <v>11025</v>
      </c>
      <c r="S9" s="200">
        <f>'Variante Vorgaben'!B50</f>
        <v>1.1200000000000001</v>
      </c>
      <c r="T9" s="146">
        <f>R9*S9</f>
        <v>12348.000000000002</v>
      </c>
      <c r="U9" s="644">
        <f>'Variante Vorgaben'!B73</f>
        <v>0.7</v>
      </c>
      <c r="V9" s="73"/>
      <c r="W9" s="85" t="str">
        <f>'Variante Vorgaben'!$B$47</f>
        <v>Klasse I</v>
      </c>
      <c r="X9" s="658">
        <f>Y9/W6</f>
        <v>6.37</v>
      </c>
      <c r="Y9" s="203">
        <f>AB9*Y12</f>
        <v>19110</v>
      </c>
      <c r="Z9" s="200">
        <f>'Variante Vorgaben'!B51</f>
        <v>1.1200000000000001</v>
      </c>
      <c r="AA9" s="146">
        <f>Y9*Z9</f>
        <v>21403.200000000001</v>
      </c>
      <c r="AB9" s="644">
        <f>'Variante Vorgaben'!B74</f>
        <v>0.7</v>
      </c>
      <c r="AC9" s="73"/>
      <c r="AD9" s="85" t="str">
        <f>'Variante Vorgaben'!$B$47</f>
        <v>Klasse I</v>
      </c>
      <c r="AE9" s="658">
        <f>AF9/AD6</f>
        <v>8.5749999999999993</v>
      </c>
      <c r="AF9" s="203">
        <f>AI9*AF12</f>
        <v>25725</v>
      </c>
      <c r="AG9" s="200">
        <f>'Variante Vorgaben'!B52</f>
        <v>1.1200000000000001</v>
      </c>
      <c r="AH9" s="146">
        <f>AF9*AG9</f>
        <v>28812.000000000004</v>
      </c>
      <c r="AI9" s="644">
        <f>'Variante Vorgaben'!B75</f>
        <v>0.7</v>
      </c>
      <c r="AJ9" s="73"/>
      <c r="AK9" s="85" t="str">
        <f>'Variante Vorgaben'!$B$47</f>
        <v>Klasse I</v>
      </c>
      <c r="AL9" s="658">
        <f>AM9/AK6</f>
        <v>10.78</v>
      </c>
      <c r="AM9" s="203">
        <f>AP9*AM12</f>
        <v>32339.999999999996</v>
      </c>
      <c r="AN9" s="200">
        <f>'Variante Vorgaben'!B53</f>
        <v>1.1200000000000001</v>
      </c>
      <c r="AO9" s="146">
        <f>AM9*AN9</f>
        <v>36220.800000000003</v>
      </c>
      <c r="AP9" s="644">
        <f>'Variante Vorgaben'!B76</f>
        <v>0.7</v>
      </c>
      <c r="AQ9" s="73"/>
      <c r="AR9" s="85" t="str">
        <f>'Variante Vorgaben'!$B$47</f>
        <v>Klasse I</v>
      </c>
      <c r="AS9" s="658">
        <f>AT9/AR6</f>
        <v>8.7893749999999997</v>
      </c>
      <c r="AT9" s="203">
        <f>AW9*AT12</f>
        <v>26368.125</v>
      </c>
      <c r="AU9" s="200">
        <f>'Variante Vorgaben'!B54</f>
        <v>1.1200000000000001</v>
      </c>
      <c r="AV9" s="146">
        <f>AT9*AU9</f>
        <v>29532.300000000003</v>
      </c>
      <c r="AW9" s="644">
        <f>'Variante Vorgaben'!B77</f>
        <v>0.7</v>
      </c>
      <c r="AX9" s="73"/>
      <c r="AY9" s="85" t="str">
        <f>'Variante Vorgaben'!$B$47</f>
        <v>Klasse I</v>
      </c>
      <c r="AZ9" s="658">
        <f>BA9/AY6</f>
        <v>8.7893749999999997</v>
      </c>
      <c r="BA9" s="203">
        <f>BD9*BA12</f>
        <v>26368.125</v>
      </c>
      <c r="BB9" s="200">
        <f>'Variante Vorgaben'!B55</f>
        <v>1.1200000000000001</v>
      </c>
      <c r="BC9" s="146">
        <f>BA9*BB9</f>
        <v>29532.300000000003</v>
      </c>
      <c r="BD9" s="644">
        <f>'Variante Vorgaben'!B78</f>
        <v>0.7</v>
      </c>
      <c r="BE9" s="73"/>
      <c r="BF9" s="85" t="str">
        <f>'Variante Vorgaben'!$B$47</f>
        <v>Klasse I</v>
      </c>
      <c r="BG9" s="658">
        <f>BH9/B6</f>
        <v>12.74</v>
      </c>
      <c r="BH9" s="203">
        <f>BK9*BH12</f>
        <v>38220</v>
      </c>
      <c r="BI9" s="200">
        <f>'Variante Vorgaben'!B56</f>
        <v>1.1200000000000001</v>
      </c>
      <c r="BJ9" s="146">
        <f>BH9*BI9</f>
        <v>42806.400000000001</v>
      </c>
      <c r="BK9" s="644">
        <f>'Variante Vorgaben'!B78</f>
        <v>0.7</v>
      </c>
      <c r="BL9" s="73"/>
      <c r="BM9" s="85" t="str">
        <f>'Variante Vorgaben'!$B$47</f>
        <v>Klasse I</v>
      </c>
      <c r="BN9" s="658">
        <f>BO9/B6</f>
        <v>13.475</v>
      </c>
      <c r="BO9" s="203">
        <f>BR9*BO12</f>
        <v>40425</v>
      </c>
      <c r="BP9" s="200">
        <f>'Variante Vorgaben'!B57</f>
        <v>1.1200000000000001</v>
      </c>
      <c r="BQ9" s="146">
        <f>BO9*BP9</f>
        <v>45276.000000000007</v>
      </c>
      <c r="BR9" s="644">
        <f>'Variante Vorgaben'!B80</f>
        <v>0.7</v>
      </c>
      <c r="BS9" s="73"/>
      <c r="BT9" s="85" t="str">
        <f>'Variante Vorgaben'!$B$47</f>
        <v>Klasse I</v>
      </c>
      <c r="BU9" s="658">
        <f>BV9/B6</f>
        <v>10.841249999999999</v>
      </c>
      <c r="BV9" s="203">
        <f>BY9*BV12</f>
        <v>32523.749999999996</v>
      </c>
      <c r="BW9" s="200">
        <f>'Variante Vorgaben'!B58</f>
        <v>1.1200000000000001</v>
      </c>
      <c r="BX9" s="146">
        <f>BV9*BW9</f>
        <v>36426.6</v>
      </c>
      <c r="BY9" s="644">
        <f>'Variante Vorgaben'!B81</f>
        <v>0.7</v>
      </c>
      <c r="BZ9" s="73"/>
      <c r="CA9" s="85" t="str">
        <f>'Variante Vorgaben'!$B$47</f>
        <v>Klasse I</v>
      </c>
      <c r="CB9" s="658">
        <f>CC9/B6</f>
        <v>8.82</v>
      </c>
      <c r="CC9" s="203">
        <f>CF9*CC12</f>
        <v>26460</v>
      </c>
      <c r="CD9" s="200">
        <f>'Variante Vorgaben'!B59</f>
        <v>1.1200000000000001</v>
      </c>
      <c r="CE9" s="146">
        <f>CC9*CD9</f>
        <v>29635.200000000004</v>
      </c>
      <c r="CF9" s="644">
        <f>'Variante Vorgaben'!B82</f>
        <v>0.7</v>
      </c>
      <c r="CG9" s="73"/>
      <c r="CH9" s="85" t="str">
        <f>'Variante Vorgaben'!$B$47</f>
        <v>Klasse I</v>
      </c>
      <c r="CI9" s="658">
        <f>CJ9/B6</f>
        <v>9.7999999999999989</v>
      </c>
      <c r="CJ9" s="203">
        <f>CM9*CJ12</f>
        <v>29399.999999999996</v>
      </c>
      <c r="CK9" s="200">
        <f>'Variante Vorgaben'!B60</f>
        <v>1.1200000000000001</v>
      </c>
      <c r="CL9" s="146">
        <f>CJ9*CK9</f>
        <v>32928</v>
      </c>
      <c r="CM9" s="644">
        <f>'Variante Vorgaben'!B83</f>
        <v>0.7</v>
      </c>
      <c r="CN9" s="73"/>
      <c r="CO9" s="85" t="str">
        <f>'Variante Vorgaben'!$B$47</f>
        <v>Klasse I</v>
      </c>
      <c r="CP9" s="658">
        <f>CQ9/B6</f>
        <v>10.044999999999998</v>
      </c>
      <c r="CQ9" s="203">
        <f>CT9*CQ12</f>
        <v>30134.999999999996</v>
      </c>
      <c r="CR9" s="200">
        <f>'Variante Vorgaben'!B61</f>
        <v>1.1200000000000001</v>
      </c>
      <c r="CS9" s="146">
        <f>CQ9*CR9</f>
        <v>33751.199999999997</v>
      </c>
      <c r="CT9" s="644">
        <f>'Variante Vorgaben'!B84</f>
        <v>0.7</v>
      </c>
      <c r="CU9" s="73"/>
      <c r="CV9" s="85" t="str">
        <f>'Variante Vorgaben'!$B$47</f>
        <v>Klasse I</v>
      </c>
      <c r="CW9" s="658">
        <f>CX9/B6</f>
        <v>8.5749999999999993</v>
      </c>
      <c r="CX9" s="203">
        <f>DA9*CX12</f>
        <v>25725</v>
      </c>
      <c r="CY9" s="200">
        <f>'Variante Vorgaben'!B62</f>
        <v>1.1200000000000001</v>
      </c>
      <c r="CZ9" s="146">
        <f>CX9*CY9</f>
        <v>28812.000000000004</v>
      </c>
      <c r="DA9" s="644">
        <f>'Variante Vorgaben'!B85</f>
        <v>0.7</v>
      </c>
    </row>
    <row r="10" spans="1:105" s="85" customFormat="1" ht="13.7" customHeight="1" x14ac:dyDescent="0.2">
      <c r="B10" s="85" t="str">
        <f>'Variante Vorgaben'!$C$47</f>
        <v>Klasse II</v>
      </c>
      <c r="C10" s="658">
        <f>D10/B6</f>
        <v>0</v>
      </c>
      <c r="D10" s="203">
        <f>G10*D12</f>
        <v>0</v>
      </c>
      <c r="E10" s="200">
        <f>'Variante Vorgaben'!C48</f>
        <v>0.45</v>
      </c>
      <c r="F10" s="146">
        <f>D10*E10</f>
        <v>0</v>
      </c>
      <c r="G10" s="644">
        <f>'Variante Vorgaben'!C71</f>
        <v>0.2</v>
      </c>
      <c r="I10" s="85" t="str">
        <f>'Variante Vorgaben'!$C$47</f>
        <v>Klasse II</v>
      </c>
      <c r="J10" s="658">
        <f>K10/I6</f>
        <v>0.84</v>
      </c>
      <c r="K10" s="203">
        <f>N10*K12</f>
        <v>2520</v>
      </c>
      <c r="L10" s="200">
        <f>'Variante Vorgaben'!C49</f>
        <v>0.45</v>
      </c>
      <c r="M10" s="146">
        <f>K10*L10</f>
        <v>1134</v>
      </c>
      <c r="N10" s="644">
        <f>'Variante Vorgaben'!C72</f>
        <v>0.2</v>
      </c>
      <c r="P10" s="85" t="str">
        <f>'Variante Vorgaben'!$C$47</f>
        <v>Klasse II</v>
      </c>
      <c r="Q10" s="658">
        <f>R10/P6</f>
        <v>1.05</v>
      </c>
      <c r="R10" s="203">
        <f>U10*R12</f>
        <v>3150</v>
      </c>
      <c r="S10" s="200">
        <f>'Variante Vorgaben'!C50</f>
        <v>0.45</v>
      </c>
      <c r="T10" s="146">
        <f>R10*S10</f>
        <v>1417.5</v>
      </c>
      <c r="U10" s="644">
        <f>'Variante Vorgaben'!C73</f>
        <v>0.2</v>
      </c>
      <c r="W10" s="85" t="str">
        <f>'Variante Vorgaben'!$C$47</f>
        <v>Klasse II</v>
      </c>
      <c r="X10" s="658">
        <f>Y10/W6</f>
        <v>1.82</v>
      </c>
      <c r="Y10" s="203">
        <f>AB10*Y12</f>
        <v>5460</v>
      </c>
      <c r="Z10" s="200">
        <f>'Variante Vorgaben'!C51</f>
        <v>0.45</v>
      </c>
      <c r="AA10" s="146">
        <f>Y10*Z10</f>
        <v>2457</v>
      </c>
      <c r="AB10" s="644">
        <f>'Variante Vorgaben'!C74</f>
        <v>0.2</v>
      </c>
      <c r="AD10" s="85" t="str">
        <f>'Variante Vorgaben'!$C$47</f>
        <v>Klasse II</v>
      </c>
      <c r="AE10" s="658">
        <f>AF10/AD6</f>
        <v>2.4500000000000002</v>
      </c>
      <c r="AF10" s="203">
        <f>AI10*AF12</f>
        <v>7350</v>
      </c>
      <c r="AG10" s="200">
        <f>'Variante Vorgaben'!C52</f>
        <v>0.45</v>
      </c>
      <c r="AH10" s="146">
        <f>AF10*AG10</f>
        <v>3307.5</v>
      </c>
      <c r="AI10" s="644">
        <f>'Variante Vorgaben'!C75</f>
        <v>0.2</v>
      </c>
      <c r="AK10" s="85" t="str">
        <f>'Variante Vorgaben'!$C$47</f>
        <v>Klasse II</v>
      </c>
      <c r="AL10" s="658">
        <f>AM10/AK6</f>
        <v>3.08</v>
      </c>
      <c r="AM10" s="203">
        <f>AP10*AM12</f>
        <v>9240</v>
      </c>
      <c r="AN10" s="200">
        <f>'Variante Vorgaben'!C53</f>
        <v>0.45</v>
      </c>
      <c r="AO10" s="146">
        <f>AM10*AN10</f>
        <v>4158</v>
      </c>
      <c r="AP10" s="644">
        <f>'Variante Vorgaben'!C76</f>
        <v>0.2</v>
      </c>
      <c r="AR10" s="85" t="str">
        <f>'Variante Vorgaben'!$C$47</f>
        <v>Klasse II</v>
      </c>
      <c r="AS10" s="658">
        <f>AT10/AR6</f>
        <v>2.51125</v>
      </c>
      <c r="AT10" s="203">
        <f>AW10*AT12</f>
        <v>7533.75</v>
      </c>
      <c r="AU10" s="200">
        <f>'Variante Vorgaben'!C54</f>
        <v>0.45</v>
      </c>
      <c r="AV10" s="146">
        <f>AT10*AU10</f>
        <v>3390.1875</v>
      </c>
      <c r="AW10" s="644">
        <f>'Variante Vorgaben'!C77</f>
        <v>0.2</v>
      </c>
      <c r="AY10" s="85" t="str">
        <f>'Variante Vorgaben'!$C$47</f>
        <v>Klasse II</v>
      </c>
      <c r="AZ10" s="658">
        <f>BA10/AY6</f>
        <v>2.51125</v>
      </c>
      <c r="BA10" s="203">
        <f>BD10*BA12</f>
        <v>7533.75</v>
      </c>
      <c r="BB10" s="200">
        <f>'Variante Vorgaben'!C55</f>
        <v>0.45</v>
      </c>
      <c r="BC10" s="146">
        <f>BA10*BB10</f>
        <v>3390.1875</v>
      </c>
      <c r="BD10" s="644">
        <f>'Variante Vorgaben'!C78</f>
        <v>0.2</v>
      </c>
      <c r="BF10" s="85" t="str">
        <f>'Variante Vorgaben'!$C$47</f>
        <v>Klasse II</v>
      </c>
      <c r="BG10" s="658">
        <f>BH10/B6</f>
        <v>3.64</v>
      </c>
      <c r="BH10" s="203">
        <f>BK10*BH12</f>
        <v>10920</v>
      </c>
      <c r="BI10" s="200">
        <f>'Variante Vorgaben'!C56</f>
        <v>0.45</v>
      </c>
      <c r="BJ10" s="146">
        <f>BH10*BI10</f>
        <v>4914</v>
      </c>
      <c r="BK10" s="644">
        <f>'Variante Vorgaben'!C79</f>
        <v>0.2</v>
      </c>
      <c r="BM10" s="85" t="str">
        <f>'Variante Vorgaben'!$C$47</f>
        <v>Klasse II</v>
      </c>
      <c r="BN10" s="658">
        <f>BO10/B6</f>
        <v>3.85</v>
      </c>
      <c r="BO10" s="203">
        <f>BR10*BO12</f>
        <v>11550</v>
      </c>
      <c r="BP10" s="200">
        <f>'Variante Vorgaben'!C57</f>
        <v>0.45</v>
      </c>
      <c r="BQ10" s="146">
        <f>BO10*BP10</f>
        <v>5197.5</v>
      </c>
      <c r="BR10" s="644">
        <f>'Variante Vorgaben'!C80</f>
        <v>0.2</v>
      </c>
      <c r="BT10" s="85" t="str">
        <f>'Variante Vorgaben'!$C$47</f>
        <v>Klasse II</v>
      </c>
      <c r="BU10" s="658">
        <f>BV10/B6</f>
        <v>3.0975000000000001</v>
      </c>
      <c r="BV10" s="203">
        <f>BY10*BV12</f>
        <v>9292.5</v>
      </c>
      <c r="BW10" s="200">
        <f>'Variante Vorgaben'!C57</f>
        <v>0.45</v>
      </c>
      <c r="BX10" s="146">
        <f>BV10*BW10</f>
        <v>4181.625</v>
      </c>
      <c r="BY10" s="644">
        <f>'Variante Vorgaben'!C81</f>
        <v>0.2</v>
      </c>
      <c r="CA10" s="85" t="str">
        <f>'Variante Vorgaben'!$C$47</f>
        <v>Klasse II</v>
      </c>
      <c r="CB10" s="658">
        <f>CC10/B6</f>
        <v>2.52</v>
      </c>
      <c r="CC10" s="203">
        <f>CF10*CC12</f>
        <v>7560</v>
      </c>
      <c r="CD10" s="200">
        <f>'Variante Vorgaben'!C59</f>
        <v>0.45</v>
      </c>
      <c r="CE10" s="146">
        <f>CC10*CD10</f>
        <v>3402</v>
      </c>
      <c r="CF10" s="644">
        <f>'Variante Vorgaben'!C82</f>
        <v>0.2</v>
      </c>
      <c r="CH10" s="85" t="str">
        <f>'Variante Vorgaben'!$C$47</f>
        <v>Klasse II</v>
      </c>
      <c r="CI10" s="658">
        <f>CJ10/B6</f>
        <v>2.8</v>
      </c>
      <c r="CJ10" s="203">
        <f>CM10*CJ12</f>
        <v>8400</v>
      </c>
      <c r="CK10" s="200">
        <f>'Variante Vorgaben'!C60</f>
        <v>0.45</v>
      </c>
      <c r="CL10" s="146">
        <f>CJ10*CK10</f>
        <v>3780</v>
      </c>
      <c r="CM10" s="644">
        <f>'Variante Vorgaben'!C83</f>
        <v>0.2</v>
      </c>
      <c r="CO10" s="85" t="str">
        <f>'Variante Vorgaben'!$C$47</f>
        <v>Klasse II</v>
      </c>
      <c r="CP10" s="658">
        <f>CQ10/B6</f>
        <v>2.87</v>
      </c>
      <c r="CQ10" s="203">
        <f>CT10*CQ12</f>
        <v>8610</v>
      </c>
      <c r="CR10" s="200">
        <f>'Variante Vorgaben'!C61</f>
        <v>0.45</v>
      </c>
      <c r="CS10" s="146">
        <f>CQ10*CR10</f>
        <v>3874.5</v>
      </c>
      <c r="CT10" s="644">
        <f>'Variante Vorgaben'!C84</f>
        <v>0.2</v>
      </c>
      <c r="CV10" s="85" t="str">
        <f>'Variante Vorgaben'!$C$47</f>
        <v>Klasse II</v>
      </c>
      <c r="CW10" s="658">
        <f>CX10/B6</f>
        <v>2.4500000000000002</v>
      </c>
      <c r="CX10" s="203">
        <f>DA10*CX12</f>
        <v>7350</v>
      </c>
      <c r="CY10" s="200">
        <f>'Variante Vorgaben'!C62</f>
        <v>0.45</v>
      </c>
      <c r="CZ10" s="146">
        <f>CX10*CY10</f>
        <v>3307.5</v>
      </c>
      <c r="DA10" s="644">
        <f>'Variante Vorgaben'!C85</f>
        <v>0.2</v>
      </c>
    </row>
    <row r="11" spans="1:105" s="85" customFormat="1" ht="13.7" customHeight="1" thickBot="1" x14ac:dyDescent="0.25">
      <c r="B11" s="85" t="str">
        <f>'Variante Vorgaben'!$D$47</f>
        <v>Most</v>
      </c>
      <c r="C11" s="660"/>
      <c r="D11" s="661">
        <f>D12*G11</f>
        <v>0</v>
      </c>
      <c r="E11" s="594">
        <f>'Variante Vorgaben'!D48</f>
        <v>0.23</v>
      </c>
      <c r="F11" s="501">
        <f>D11*E11</f>
        <v>0</v>
      </c>
      <c r="G11" s="644">
        <f>'Variante Vorgaben'!F71</f>
        <v>0.1</v>
      </c>
      <c r="I11" s="85" t="str">
        <f>'Variante Vorgaben'!$D$47</f>
        <v>Most</v>
      </c>
      <c r="J11" s="660">
        <f>K11/$B$6</f>
        <v>0.42</v>
      </c>
      <c r="K11" s="661">
        <f>K12*N11</f>
        <v>1260</v>
      </c>
      <c r="L11" s="594">
        <f>'Variante Vorgaben'!D49</f>
        <v>0.23</v>
      </c>
      <c r="M11" s="501">
        <f>K11*L11</f>
        <v>289.8</v>
      </c>
      <c r="N11" s="644">
        <f>'Variante Vorgaben'!F72</f>
        <v>0.1</v>
      </c>
      <c r="P11" s="85" t="str">
        <f>'Variante Vorgaben'!$D$47</f>
        <v>Most</v>
      </c>
      <c r="Q11" s="660">
        <f>R11/$B$6</f>
        <v>0.52500000000000002</v>
      </c>
      <c r="R11" s="661">
        <f>R12*U11</f>
        <v>1575</v>
      </c>
      <c r="S11" s="594">
        <f>'Variante Vorgaben'!D50</f>
        <v>0.23</v>
      </c>
      <c r="T11" s="501">
        <f>R11*S11</f>
        <v>362.25</v>
      </c>
      <c r="U11" s="644">
        <f>'Variante Vorgaben'!F73</f>
        <v>0.1</v>
      </c>
      <c r="W11" s="85" t="str">
        <f>'Variante Vorgaben'!$D$47</f>
        <v>Most</v>
      </c>
      <c r="X11" s="660">
        <f>Y11/$B$6</f>
        <v>0.91</v>
      </c>
      <c r="Y11" s="661">
        <f>Y12*AB11</f>
        <v>2730</v>
      </c>
      <c r="Z11" s="594">
        <f>'Variante Vorgaben'!D51</f>
        <v>0.23</v>
      </c>
      <c r="AA11" s="501">
        <f>Y11*Z11</f>
        <v>627.9</v>
      </c>
      <c r="AB11" s="644">
        <f>'Variante Vorgaben'!F74</f>
        <v>0.1</v>
      </c>
      <c r="AD11" s="85" t="str">
        <f>'Variante Vorgaben'!$D$47</f>
        <v>Most</v>
      </c>
      <c r="AE11" s="660">
        <f>AF11/$B$6</f>
        <v>1.2250000000000001</v>
      </c>
      <c r="AF11" s="661">
        <f>AF12*AI11</f>
        <v>3675</v>
      </c>
      <c r="AG11" s="594">
        <f>'Variante Vorgaben'!D52</f>
        <v>0.23</v>
      </c>
      <c r="AH11" s="501">
        <f>AF11*AG11</f>
        <v>845.25</v>
      </c>
      <c r="AI11" s="644">
        <f>'Variante Vorgaben'!F75</f>
        <v>0.1</v>
      </c>
      <c r="AK11" s="85" t="str">
        <f>'Variante Vorgaben'!$D$47</f>
        <v>Most</v>
      </c>
      <c r="AL11" s="660">
        <f>AM11/$B$6</f>
        <v>1.54</v>
      </c>
      <c r="AM11" s="661">
        <f>AM12*AP11</f>
        <v>4620</v>
      </c>
      <c r="AN11" s="594">
        <f>'Variante Vorgaben'!D53</f>
        <v>0.23</v>
      </c>
      <c r="AO11" s="501">
        <f>AM11*AN11</f>
        <v>1062.6000000000001</v>
      </c>
      <c r="AP11" s="644">
        <f>'Variante Vorgaben'!F76</f>
        <v>0.1</v>
      </c>
      <c r="AR11" s="85" t="str">
        <f>'Variante Vorgaben'!$D$47</f>
        <v>Most</v>
      </c>
      <c r="AS11" s="660">
        <f>AT11/$B$6</f>
        <v>1.255625</v>
      </c>
      <c r="AT11" s="661">
        <f>AT12*AW11</f>
        <v>3766.875</v>
      </c>
      <c r="AU11" s="594">
        <f>'Variante Vorgaben'!D54</f>
        <v>0.23</v>
      </c>
      <c r="AV11" s="501">
        <f>AT11*AU11</f>
        <v>866.38125000000002</v>
      </c>
      <c r="AW11" s="644">
        <f>'Variante Vorgaben'!F77</f>
        <v>0.1</v>
      </c>
      <c r="AY11" s="85" t="str">
        <f>'Variante Vorgaben'!$D$47</f>
        <v>Most</v>
      </c>
      <c r="AZ11" s="660">
        <f>BA11/$B$6</f>
        <v>1.255625</v>
      </c>
      <c r="BA11" s="661">
        <f>BA12*BD11</f>
        <v>3766.875</v>
      </c>
      <c r="BB11" s="594">
        <f>'Variante Vorgaben'!D55</f>
        <v>0.23</v>
      </c>
      <c r="BC11" s="501">
        <f>BA11*BB11</f>
        <v>866.38125000000002</v>
      </c>
      <c r="BD11" s="644">
        <f>'Variante Vorgaben'!F78</f>
        <v>0.1</v>
      </c>
      <c r="BF11" s="85" t="str">
        <f>'Variante Vorgaben'!$D$47</f>
        <v>Most</v>
      </c>
      <c r="BG11" s="660">
        <f>BH11/$B$6</f>
        <v>1.82</v>
      </c>
      <c r="BH11" s="661">
        <f>BH12*BK11</f>
        <v>5460</v>
      </c>
      <c r="BI11" s="594">
        <f>'Variante Vorgaben'!D56</f>
        <v>0.23</v>
      </c>
      <c r="BJ11" s="501">
        <f>BH11*BI11</f>
        <v>1255.8</v>
      </c>
      <c r="BK11" s="644">
        <f>'Variante Vorgaben'!F79</f>
        <v>0.1</v>
      </c>
      <c r="BM11" s="85" t="str">
        <f>'Variante Vorgaben'!$D$47</f>
        <v>Most</v>
      </c>
      <c r="BN11" s="660">
        <f>BO11/$B$6</f>
        <v>1.925</v>
      </c>
      <c r="BO11" s="661">
        <f>BO12*BR11</f>
        <v>5775</v>
      </c>
      <c r="BP11" s="594">
        <f>'Variante Vorgaben'!D57</f>
        <v>0.23</v>
      </c>
      <c r="BQ11" s="501">
        <f>BO11*BP11</f>
        <v>1328.25</v>
      </c>
      <c r="BR11" s="644">
        <f>'Variante Vorgaben'!F80</f>
        <v>0.1</v>
      </c>
      <c r="BT11" s="85" t="str">
        <f>'Variante Vorgaben'!$D$47</f>
        <v>Most</v>
      </c>
      <c r="BU11" s="660">
        <f>BV11/$B$6</f>
        <v>1.5487500000000001</v>
      </c>
      <c r="BV11" s="661">
        <f>BV12*BY11</f>
        <v>4646.25</v>
      </c>
      <c r="BW11" s="594">
        <f>'Variante Vorgaben'!D58</f>
        <v>0.23</v>
      </c>
      <c r="BX11" s="501">
        <f>BV11*BW11</f>
        <v>1068.6375</v>
      </c>
      <c r="BY11" s="644">
        <f>'Variante Vorgaben'!F81</f>
        <v>0.1</v>
      </c>
      <c r="CA11" s="85" t="str">
        <f>'Variante Vorgaben'!$D$47</f>
        <v>Most</v>
      </c>
      <c r="CB11" s="660">
        <f>CC11/$B$6</f>
        <v>1.26</v>
      </c>
      <c r="CC11" s="661">
        <f>CC12*CF11</f>
        <v>3780</v>
      </c>
      <c r="CD11" s="594">
        <f>'Variante Vorgaben'!D59</f>
        <v>0.23</v>
      </c>
      <c r="CE11" s="501">
        <f>CC11*CD11</f>
        <v>869.40000000000009</v>
      </c>
      <c r="CF11" s="644">
        <f>'Variante Vorgaben'!F82</f>
        <v>0.1</v>
      </c>
      <c r="CH11" s="85" t="str">
        <f>'Variante Vorgaben'!$D$47</f>
        <v>Most</v>
      </c>
      <c r="CI11" s="660">
        <f>CJ11/$B$6</f>
        <v>1.4</v>
      </c>
      <c r="CJ11" s="661">
        <f>CJ12*CM11</f>
        <v>4200</v>
      </c>
      <c r="CK11" s="594">
        <f>'Variante Vorgaben'!D60</f>
        <v>0.23</v>
      </c>
      <c r="CL11" s="501">
        <f>CJ11*CK11</f>
        <v>966</v>
      </c>
      <c r="CM11" s="644">
        <f>'Variante Vorgaben'!F83</f>
        <v>0.1</v>
      </c>
      <c r="CO11" s="85" t="str">
        <f>'Variante Vorgaben'!$D$47</f>
        <v>Most</v>
      </c>
      <c r="CP11" s="660">
        <f>CQ11/$B$6</f>
        <v>1.4350000000000001</v>
      </c>
      <c r="CQ11" s="661">
        <f>CQ12*CT11</f>
        <v>4305</v>
      </c>
      <c r="CR11" s="594">
        <f>'Variante Vorgaben'!D61</f>
        <v>0.23</v>
      </c>
      <c r="CS11" s="501">
        <f>CQ11*CR11</f>
        <v>990.15000000000009</v>
      </c>
      <c r="CT11" s="644">
        <f>'Variante Vorgaben'!F84</f>
        <v>0.1</v>
      </c>
      <c r="CV11" s="85" t="str">
        <f>'Variante Vorgaben'!$D$47</f>
        <v>Most</v>
      </c>
      <c r="CW11" s="660">
        <f>CX11/$B$6</f>
        <v>1.2250000000000001</v>
      </c>
      <c r="CX11" s="661">
        <f>CX12*DA11</f>
        <v>3675</v>
      </c>
      <c r="CY11" s="594">
        <f>'Variante Vorgaben'!D62</f>
        <v>0.23</v>
      </c>
      <c r="CZ11" s="501">
        <f>CX11*CY11</f>
        <v>845.25</v>
      </c>
      <c r="DA11" s="644">
        <f>'Variante Vorgaben'!F85</f>
        <v>0.1</v>
      </c>
    </row>
    <row r="12" spans="1:105" s="85" customFormat="1" ht="12.75" x14ac:dyDescent="0.2">
      <c r="B12" s="142"/>
      <c r="C12" s="296">
        <f>SUM(C9:C11)</f>
        <v>0</v>
      </c>
      <c r="D12" s="297">
        <f>'Variante Vorgaben'!E48</f>
        <v>0</v>
      </c>
      <c r="E12" s="277">
        <v>0</v>
      </c>
      <c r="F12" s="83">
        <f>SUM(F9:F11)</f>
        <v>0</v>
      </c>
      <c r="G12" s="644">
        <f>SUM(G9:G11)</f>
        <v>0.99999999999999989</v>
      </c>
      <c r="I12" s="142"/>
      <c r="J12" s="296">
        <f>SUM(J9:J11)</f>
        <v>4.2</v>
      </c>
      <c r="K12" s="297">
        <f>'Variante Vorgaben'!E49</f>
        <v>12600</v>
      </c>
      <c r="L12" s="277">
        <f>M12/K12</f>
        <v>0.89700000000000002</v>
      </c>
      <c r="M12" s="83">
        <f>SUM(M9:M11)</f>
        <v>11302.2</v>
      </c>
      <c r="N12" s="644">
        <f>SUM(N9:N11)</f>
        <v>0.99999999999999989</v>
      </c>
      <c r="P12" s="142"/>
      <c r="Q12" s="296">
        <f>SUM(Q9:Q11)</f>
        <v>5.25</v>
      </c>
      <c r="R12" s="297">
        <f>'Variante Vorgaben'!E50</f>
        <v>15750</v>
      </c>
      <c r="S12" s="277">
        <f>T12/R12</f>
        <v>0.89700000000000013</v>
      </c>
      <c r="T12" s="83">
        <f>SUM(T9:T11)</f>
        <v>14127.750000000002</v>
      </c>
      <c r="U12" s="644">
        <f>SUM(U9:U11)</f>
        <v>0.99999999999999989</v>
      </c>
      <c r="W12" s="142"/>
      <c r="X12" s="296">
        <f>SUM(X9:X11)</f>
        <v>9.1</v>
      </c>
      <c r="Y12" s="297">
        <f>'Variante Vorgaben'!E51</f>
        <v>27300</v>
      </c>
      <c r="Z12" s="277">
        <f>AA12/Y12</f>
        <v>0.89700000000000013</v>
      </c>
      <c r="AA12" s="83">
        <f>SUM(AA9:AA11)</f>
        <v>24488.100000000002</v>
      </c>
      <c r="AB12" s="644">
        <f>SUM(AB9:AB11)</f>
        <v>0.99999999999999989</v>
      </c>
      <c r="AD12" s="142"/>
      <c r="AE12" s="296">
        <f>SUM(AE9:AE11)</f>
        <v>12.249999999999998</v>
      </c>
      <c r="AF12" s="297">
        <f>'Variante Vorgaben'!E52</f>
        <v>36750</v>
      </c>
      <c r="AG12" s="277">
        <f>AH12/AF12</f>
        <v>0.89700000000000002</v>
      </c>
      <c r="AH12" s="83">
        <f>SUM(AH9:AH11)</f>
        <v>32964.75</v>
      </c>
      <c r="AI12" s="644">
        <f>SUM(AI9:AI11)</f>
        <v>0.99999999999999989</v>
      </c>
      <c r="AK12" s="142"/>
      <c r="AL12" s="296">
        <f>SUM(AL9:AL11)</f>
        <v>15.399999999999999</v>
      </c>
      <c r="AM12" s="297">
        <f>'Variante Vorgaben'!E53</f>
        <v>46200</v>
      </c>
      <c r="AN12" s="277">
        <f>AO12/AM12</f>
        <v>0.89700000000000002</v>
      </c>
      <c r="AO12" s="83">
        <f>SUM(AO9:AO11)</f>
        <v>41441.4</v>
      </c>
      <c r="AP12" s="644">
        <f>SUM(AP9:AP11)</f>
        <v>0.99999999999999989</v>
      </c>
      <c r="AR12" s="142"/>
      <c r="AS12" s="296">
        <f>SUM(AS9:AS11)</f>
        <v>12.55625</v>
      </c>
      <c r="AT12" s="297">
        <f>'Variante Vorgaben'!E54</f>
        <v>37668.75</v>
      </c>
      <c r="AU12" s="277">
        <f>AV12/AT12</f>
        <v>0.89700000000000002</v>
      </c>
      <c r="AV12" s="83">
        <f>SUM(AV9:AV11)</f>
        <v>33788.868750000001</v>
      </c>
      <c r="AW12" s="644">
        <f>SUM(AW9:AW11)</f>
        <v>0.99999999999999989</v>
      </c>
      <c r="AY12" s="142"/>
      <c r="AZ12" s="296">
        <f>SUM(AZ9:AZ11)</f>
        <v>12.55625</v>
      </c>
      <c r="BA12" s="297">
        <f>'Variante Vorgaben'!E55</f>
        <v>37668.75</v>
      </c>
      <c r="BB12" s="277">
        <f>BC12/BA12</f>
        <v>0.89700000000000002</v>
      </c>
      <c r="BC12" s="83">
        <f>SUM(BC9:BC11)</f>
        <v>33788.868750000001</v>
      </c>
      <c r="BD12" s="644">
        <f>SUM(BD9:BD11)</f>
        <v>0.99999999999999989</v>
      </c>
      <c r="BF12" s="142"/>
      <c r="BG12" s="296">
        <f>SUM(BG9:BG11)</f>
        <v>18.2</v>
      </c>
      <c r="BH12" s="297">
        <f>'Variante Vorgaben'!E56</f>
        <v>54600</v>
      </c>
      <c r="BI12" s="277">
        <f>BJ12/BH12</f>
        <v>0.89700000000000013</v>
      </c>
      <c r="BJ12" s="83">
        <f>SUM(BJ9:BJ11)</f>
        <v>48976.200000000004</v>
      </c>
      <c r="BK12" s="644">
        <f>SUM(BK9:BK11)</f>
        <v>0.99999999999999989</v>
      </c>
      <c r="BM12" s="142"/>
      <c r="BN12" s="296">
        <f>SUM(BN9:BN11)</f>
        <v>19.25</v>
      </c>
      <c r="BO12" s="297">
        <f>'Variante Vorgaben'!E57</f>
        <v>57750</v>
      </c>
      <c r="BP12" s="277">
        <f>BQ12/BO12</f>
        <v>0.89700000000000013</v>
      </c>
      <c r="BQ12" s="83">
        <f>SUM(BQ9:BQ11)</f>
        <v>51801.750000000007</v>
      </c>
      <c r="BR12" s="644">
        <f>SUM(BR9:BR11)</f>
        <v>0.99999999999999989</v>
      </c>
      <c r="BT12" s="142"/>
      <c r="BU12" s="296">
        <f>SUM(BU9:BU11)</f>
        <v>15.487499999999999</v>
      </c>
      <c r="BV12" s="297">
        <f>'Variante Vorgaben'!E58</f>
        <v>46462.5</v>
      </c>
      <c r="BW12" s="277">
        <f>BX12/BV12</f>
        <v>0.89699999999999991</v>
      </c>
      <c r="BX12" s="83">
        <f>SUM(BX9:BX11)</f>
        <v>41676.862499999996</v>
      </c>
      <c r="BY12" s="644">
        <f>SUM(BY9:BY11)</f>
        <v>0.99999999999999989</v>
      </c>
      <c r="CA12" s="142"/>
      <c r="CB12" s="296">
        <f>SUM(CB9:CB11)</f>
        <v>12.6</v>
      </c>
      <c r="CC12" s="297">
        <f>'Variante Vorgaben'!E59</f>
        <v>37800</v>
      </c>
      <c r="CD12" s="277">
        <f>CE12/CC12</f>
        <v>0.89700000000000013</v>
      </c>
      <c r="CE12" s="83">
        <f>SUM(CE9:CE11)</f>
        <v>33906.600000000006</v>
      </c>
      <c r="CF12" s="644">
        <f>SUM(CF9:CF11)</f>
        <v>0.99999999999999989</v>
      </c>
      <c r="CH12" s="142"/>
      <c r="CI12" s="296">
        <f>SUM(CI9:CI11)</f>
        <v>13.999999999999998</v>
      </c>
      <c r="CJ12" s="297">
        <f>'Variante Vorgaben'!E60</f>
        <v>42000</v>
      </c>
      <c r="CK12" s="277">
        <f>CL12/CJ12</f>
        <v>0.89700000000000002</v>
      </c>
      <c r="CL12" s="83">
        <f>SUM(CL9:CL11)</f>
        <v>37674</v>
      </c>
      <c r="CM12" s="644">
        <f>SUM(CM9:CM11)</f>
        <v>0.99999999999999989</v>
      </c>
      <c r="CO12" s="142"/>
      <c r="CP12" s="296">
        <f>SUM(CP9:CP11)</f>
        <v>14.35</v>
      </c>
      <c r="CQ12" s="297">
        <f>'Variante Vorgaben'!E61</f>
        <v>43050</v>
      </c>
      <c r="CR12" s="277">
        <f>CS12/CQ12</f>
        <v>0.89700000000000002</v>
      </c>
      <c r="CS12" s="83">
        <f>SUM(CS9:CS11)</f>
        <v>38615.85</v>
      </c>
      <c r="CT12" s="644">
        <f>SUM(CT9:CT11)</f>
        <v>0.99999999999999989</v>
      </c>
      <c r="CV12" s="142"/>
      <c r="CW12" s="296">
        <f>SUM(CW9:CW11)</f>
        <v>12.249999999999998</v>
      </c>
      <c r="CX12" s="297">
        <f>'Variante Vorgaben'!E62</f>
        <v>36750</v>
      </c>
      <c r="CY12" s="277">
        <f>CZ12/CX12</f>
        <v>0.89700000000000002</v>
      </c>
      <c r="CZ12" s="83">
        <f>SUM(CZ9:CZ11)</f>
        <v>32964.75</v>
      </c>
      <c r="DA12" s="644">
        <f>SUM(DA9:DA11)</f>
        <v>0.99999999999999989</v>
      </c>
    </row>
    <row r="13" spans="1:105" s="85" customFormat="1" ht="12.75" x14ac:dyDescent="0.2">
      <c r="B13" s="142"/>
      <c r="C13" s="296"/>
      <c r="D13" s="297"/>
      <c r="E13" s="277"/>
      <c r="F13" s="83"/>
      <c r="G13" s="201"/>
      <c r="I13" s="142"/>
      <c r="J13" s="296"/>
      <c r="K13" s="297"/>
      <c r="L13" s="277"/>
      <c r="M13" s="83"/>
      <c r="N13" s="201"/>
      <c r="P13" s="142"/>
      <c r="Q13" s="296"/>
      <c r="R13" s="297"/>
      <c r="S13" s="277"/>
      <c r="T13" s="83"/>
      <c r="U13" s="201"/>
      <c r="W13" s="142"/>
      <c r="X13" s="296"/>
      <c r="Y13" s="297"/>
      <c r="Z13" s="277"/>
      <c r="AA13" s="83"/>
      <c r="AB13" s="201"/>
      <c r="AD13" s="142"/>
      <c r="AE13" s="296"/>
      <c r="AF13" s="297"/>
      <c r="AG13" s="277"/>
      <c r="AH13" s="83"/>
      <c r="AI13" s="201"/>
      <c r="AK13" s="142"/>
      <c r="AL13" s="296"/>
      <c r="AM13" s="297"/>
      <c r="AN13" s="277"/>
      <c r="AO13" s="83"/>
      <c r="AP13" s="201"/>
      <c r="AR13" s="142"/>
      <c r="AS13" s="296"/>
      <c r="AT13" s="297"/>
      <c r="AU13" s="277"/>
      <c r="AV13" s="83"/>
      <c r="AW13" s="201"/>
      <c r="AY13" s="142"/>
      <c r="AZ13" s="296"/>
      <c r="BA13" s="297"/>
      <c r="BB13" s="277"/>
      <c r="BC13" s="83"/>
      <c r="BD13" s="201"/>
      <c r="BF13" s="142"/>
      <c r="BG13" s="296"/>
      <c r="BH13" s="297"/>
      <c r="BI13" s="277"/>
      <c r="BJ13" s="83"/>
      <c r="BK13" s="201"/>
      <c r="BM13" s="142"/>
      <c r="BN13" s="296"/>
      <c r="BO13" s="297"/>
      <c r="BP13" s="277"/>
      <c r="BQ13" s="83"/>
      <c r="BR13" s="201"/>
      <c r="BT13" s="142"/>
      <c r="BU13" s="296"/>
      <c r="BV13" s="297"/>
      <c r="BW13" s="277"/>
      <c r="BX13" s="83"/>
      <c r="BY13" s="201"/>
      <c r="CA13" s="142"/>
      <c r="CB13" s="296"/>
      <c r="CC13" s="297"/>
      <c r="CD13" s="277"/>
      <c r="CE13" s="83"/>
      <c r="CF13" s="201"/>
      <c r="CH13" s="142"/>
      <c r="CI13" s="296"/>
      <c r="CJ13" s="297"/>
      <c r="CK13" s="277"/>
      <c r="CL13" s="83"/>
      <c r="CM13" s="201"/>
      <c r="CO13" s="142"/>
      <c r="CP13" s="296"/>
      <c r="CQ13" s="297"/>
      <c r="CR13" s="277"/>
      <c r="CS13" s="83"/>
      <c r="CT13" s="201"/>
      <c r="CV13" s="142"/>
      <c r="CW13" s="296"/>
      <c r="CX13" s="297"/>
      <c r="CY13" s="277"/>
      <c r="CZ13" s="83"/>
      <c r="DA13" s="201"/>
    </row>
    <row r="14" spans="1:105" s="85" customFormat="1" ht="12.75" x14ac:dyDescent="0.2">
      <c r="B14" s="85" t="str">
        <f>'Variante Vorgaben'!$A$39</f>
        <v>Direktzahlungen ÖLN</v>
      </c>
      <c r="C14" s="296"/>
      <c r="D14" s="297"/>
      <c r="E14" s="277"/>
      <c r="F14" s="146">
        <f>'Variante Vorgaben'!$C$39</f>
        <v>1100</v>
      </c>
      <c r="G14" s="201"/>
      <c r="I14" s="85" t="str">
        <f>'Variante Vorgaben'!$A$39</f>
        <v>Direktzahlungen ÖLN</v>
      </c>
      <c r="J14" s="296"/>
      <c r="K14" s="297"/>
      <c r="L14" s="277"/>
      <c r="M14" s="146">
        <f>'Variante Vorgaben'!$C$39</f>
        <v>1100</v>
      </c>
      <c r="N14" s="201"/>
      <c r="P14" s="85" t="str">
        <f>'Variante Vorgaben'!$A$39</f>
        <v>Direktzahlungen ÖLN</v>
      </c>
      <c r="Q14" s="296"/>
      <c r="R14" s="297"/>
      <c r="S14" s="277"/>
      <c r="T14" s="146">
        <f>'Variante Vorgaben'!$C$39</f>
        <v>1100</v>
      </c>
      <c r="U14" s="201"/>
      <c r="W14" s="85" t="str">
        <f>'Variante Vorgaben'!$A$39</f>
        <v>Direktzahlungen ÖLN</v>
      </c>
      <c r="X14" s="296"/>
      <c r="Y14" s="297"/>
      <c r="Z14" s="277"/>
      <c r="AA14" s="146">
        <f>'Variante Vorgaben'!$C$39</f>
        <v>1100</v>
      </c>
      <c r="AB14" s="201"/>
      <c r="AD14" s="85" t="str">
        <f>'Variante Vorgaben'!$A$39</f>
        <v>Direktzahlungen ÖLN</v>
      </c>
      <c r="AE14" s="296"/>
      <c r="AF14" s="297"/>
      <c r="AG14" s="277"/>
      <c r="AH14" s="146">
        <f>'Variante Vorgaben'!$C$39</f>
        <v>1100</v>
      </c>
      <c r="AI14" s="201"/>
      <c r="AK14" s="85" t="str">
        <f>'Variante Vorgaben'!$A$39</f>
        <v>Direktzahlungen ÖLN</v>
      </c>
      <c r="AL14" s="296"/>
      <c r="AM14" s="297"/>
      <c r="AN14" s="277"/>
      <c r="AO14" s="146">
        <f>'Variante Vorgaben'!$C$39</f>
        <v>1100</v>
      </c>
      <c r="AP14" s="201"/>
      <c r="AR14" s="85" t="str">
        <f>'Variante Vorgaben'!$A$39</f>
        <v>Direktzahlungen ÖLN</v>
      </c>
      <c r="AS14" s="296"/>
      <c r="AT14" s="297"/>
      <c r="AU14" s="277"/>
      <c r="AV14" s="146">
        <f>'Variante Vorgaben'!$C$39</f>
        <v>1100</v>
      </c>
      <c r="AW14" s="201"/>
      <c r="AY14" s="85" t="str">
        <f>'Variante Vorgaben'!$A$39</f>
        <v>Direktzahlungen ÖLN</v>
      </c>
      <c r="AZ14" s="296"/>
      <c r="BA14" s="297"/>
      <c r="BB14" s="277"/>
      <c r="BC14" s="146">
        <f>'Variante Vorgaben'!$C$39</f>
        <v>1100</v>
      </c>
      <c r="BD14" s="201"/>
      <c r="BF14" s="85" t="str">
        <f>'Variante Vorgaben'!$A$39</f>
        <v>Direktzahlungen ÖLN</v>
      </c>
      <c r="BG14" s="296"/>
      <c r="BH14" s="297"/>
      <c r="BI14" s="277"/>
      <c r="BJ14" s="146">
        <f>'Variante Vorgaben'!$C$39</f>
        <v>1100</v>
      </c>
      <c r="BK14" s="201"/>
      <c r="BM14" s="85" t="str">
        <f>'Variante Vorgaben'!$A$39</f>
        <v>Direktzahlungen ÖLN</v>
      </c>
      <c r="BN14" s="296"/>
      <c r="BO14" s="297"/>
      <c r="BP14" s="277"/>
      <c r="BQ14" s="146">
        <f>'Variante Vorgaben'!$C$39</f>
        <v>1100</v>
      </c>
      <c r="BR14" s="201"/>
      <c r="BT14" s="85" t="str">
        <f>'Variante Vorgaben'!$A$39</f>
        <v>Direktzahlungen ÖLN</v>
      </c>
      <c r="BU14" s="296"/>
      <c r="BV14" s="297"/>
      <c r="BW14" s="277"/>
      <c r="BX14" s="146">
        <f>'Variante Vorgaben'!$C$39</f>
        <v>1100</v>
      </c>
      <c r="BY14" s="201"/>
      <c r="CA14" s="85" t="str">
        <f>'Variante Vorgaben'!$A$39</f>
        <v>Direktzahlungen ÖLN</v>
      </c>
      <c r="CB14" s="296"/>
      <c r="CC14" s="297"/>
      <c r="CD14" s="277"/>
      <c r="CE14" s="146">
        <f>'Variante Vorgaben'!$C$39</f>
        <v>1100</v>
      </c>
      <c r="CF14" s="201"/>
      <c r="CH14" s="85" t="str">
        <f>'Variante Vorgaben'!$A$39</f>
        <v>Direktzahlungen ÖLN</v>
      </c>
      <c r="CI14" s="296"/>
      <c r="CJ14" s="297"/>
      <c r="CK14" s="277"/>
      <c r="CL14" s="146">
        <f>'Variante Vorgaben'!$C$39</f>
        <v>1100</v>
      </c>
      <c r="CM14" s="201"/>
      <c r="CO14" s="85" t="str">
        <f>'Variante Vorgaben'!$A$39</f>
        <v>Direktzahlungen ÖLN</v>
      </c>
      <c r="CP14" s="296"/>
      <c r="CQ14" s="297"/>
      <c r="CR14" s="277"/>
      <c r="CS14" s="146">
        <f>'Variante Vorgaben'!$C$39</f>
        <v>1100</v>
      </c>
      <c r="CT14" s="201"/>
      <c r="CV14" s="85" t="str">
        <f>'Variante Vorgaben'!$A$39</f>
        <v>Direktzahlungen ÖLN</v>
      </c>
      <c r="CW14" s="296"/>
      <c r="CX14" s="297"/>
      <c r="CY14" s="277"/>
      <c r="CZ14" s="146">
        <f>'Variante Vorgaben'!$C$39</f>
        <v>1100</v>
      </c>
      <c r="DA14" s="201"/>
    </row>
    <row r="15" spans="1:105" s="691" customFormat="1" ht="23.25" customHeight="1" x14ac:dyDescent="0.3">
      <c r="A15" s="656" t="s">
        <v>212</v>
      </c>
      <c r="B15" s="657"/>
      <c r="C15" s="657"/>
      <c r="D15" s="657"/>
      <c r="E15" s="657"/>
      <c r="F15" s="512">
        <f>SUM(F12:F14)</f>
        <v>1100</v>
      </c>
      <c r="G15" s="606"/>
      <c r="H15" s="656" t="s">
        <v>212</v>
      </c>
      <c r="I15" s="657"/>
      <c r="J15" s="657"/>
      <c r="K15" s="657"/>
      <c r="L15" s="657"/>
      <c r="M15" s="512">
        <f>SUM(M12:M14)</f>
        <v>12402.2</v>
      </c>
      <c r="N15" s="606"/>
      <c r="O15" s="656" t="s">
        <v>212</v>
      </c>
      <c r="P15" s="657"/>
      <c r="Q15" s="657"/>
      <c r="R15" s="657"/>
      <c r="S15" s="657"/>
      <c r="T15" s="512">
        <f>SUM(T12:T14)</f>
        <v>15227.750000000002</v>
      </c>
      <c r="U15" s="606"/>
      <c r="V15" s="656" t="s">
        <v>212</v>
      </c>
      <c r="W15" s="657"/>
      <c r="X15" s="657"/>
      <c r="Y15" s="657"/>
      <c r="Z15" s="657"/>
      <c r="AA15" s="512">
        <f>SUM(AA12:AA14)</f>
        <v>25588.100000000002</v>
      </c>
      <c r="AB15" s="606"/>
      <c r="AC15" s="656" t="s">
        <v>212</v>
      </c>
      <c r="AD15" s="657"/>
      <c r="AE15" s="657"/>
      <c r="AF15" s="657"/>
      <c r="AG15" s="657"/>
      <c r="AH15" s="512">
        <f>SUM(AH12:AH14)</f>
        <v>34064.75</v>
      </c>
      <c r="AI15" s="606"/>
      <c r="AJ15" s="656" t="s">
        <v>212</v>
      </c>
      <c r="AK15" s="657"/>
      <c r="AL15" s="657"/>
      <c r="AM15" s="657"/>
      <c r="AN15" s="657"/>
      <c r="AO15" s="512">
        <f>SUM(AO12:AO14)</f>
        <v>42541.4</v>
      </c>
      <c r="AP15" s="606"/>
      <c r="AQ15" s="656" t="s">
        <v>212</v>
      </c>
      <c r="AR15" s="657"/>
      <c r="AS15" s="657"/>
      <c r="AT15" s="657"/>
      <c r="AU15" s="657"/>
      <c r="AV15" s="512">
        <f>SUM(AV12:AV14)</f>
        <v>34888.868750000001</v>
      </c>
      <c r="AW15" s="606"/>
      <c r="AX15" s="656" t="s">
        <v>212</v>
      </c>
      <c r="AY15" s="657"/>
      <c r="AZ15" s="657"/>
      <c r="BA15" s="657"/>
      <c r="BB15" s="657"/>
      <c r="BC15" s="512">
        <f>SUM(BC12:BC14)</f>
        <v>34888.868750000001</v>
      </c>
      <c r="BD15" s="606"/>
      <c r="BE15" s="656" t="s">
        <v>212</v>
      </c>
      <c r="BF15" s="657"/>
      <c r="BG15" s="657"/>
      <c r="BH15" s="657"/>
      <c r="BI15" s="657"/>
      <c r="BJ15" s="512">
        <f>SUM(BJ12:BJ14)</f>
        <v>50076.200000000004</v>
      </c>
      <c r="BK15" s="606"/>
      <c r="BL15" s="656" t="s">
        <v>212</v>
      </c>
      <c r="BM15" s="657"/>
      <c r="BN15" s="657"/>
      <c r="BO15" s="657"/>
      <c r="BP15" s="657"/>
      <c r="BQ15" s="512">
        <f>SUM(BQ12:BQ14)</f>
        <v>52901.750000000007</v>
      </c>
      <c r="BR15" s="606"/>
      <c r="BS15" s="656" t="s">
        <v>212</v>
      </c>
      <c r="BT15" s="657"/>
      <c r="BU15" s="657"/>
      <c r="BV15" s="657"/>
      <c r="BW15" s="657"/>
      <c r="BX15" s="512">
        <f>SUM(BX12:BX14)</f>
        <v>42776.862499999996</v>
      </c>
      <c r="BY15" s="606"/>
      <c r="BZ15" s="656" t="s">
        <v>212</v>
      </c>
      <c r="CA15" s="657"/>
      <c r="CB15" s="657"/>
      <c r="CC15" s="657"/>
      <c r="CD15" s="657"/>
      <c r="CE15" s="512">
        <f>SUM(CE12:CE14)</f>
        <v>35006.600000000006</v>
      </c>
      <c r="CF15" s="606"/>
      <c r="CG15" s="656" t="s">
        <v>212</v>
      </c>
      <c r="CH15" s="657"/>
      <c r="CI15" s="657"/>
      <c r="CJ15" s="657"/>
      <c r="CK15" s="657"/>
      <c r="CL15" s="512">
        <f>SUM(CL12:CL14)</f>
        <v>38774</v>
      </c>
      <c r="CM15" s="606"/>
      <c r="CN15" s="656" t="s">
        <v>212</v>
      </c>
      <c r="CO15" s="657"/>
      <c r="CP15" s="657"/>
      <c r="CQ15" s="657"/>
      <c r="CR15" s="657"/>
      <c r="CS15" s="512">
        <f>SUM(CS12:CS14)</f>
        <v>39715.85</v>
      </c>
      <c r="CT15" s="606"/>
      <c r="CU15" s="656" t="s">
        <v>212</v>
      </c>
      <c r="CV15" s="657"/>
      <c r="CW15" s="657"/>
      <c r="CX15" s="657"/>
      <c r="CY15" s="657"/>
      <c r="CZ15" s="512">
        <f>SUM(CZ12:CZ14)</f>
        <v>34064.75</v>
      </c>
      <c r="DA15" s="606"/>
    </row>
    <row r="16" spans="1:105" s="15" customFormat="1" ht="12.75" x14ac:dyDescent="0.2">
      <c r="A16" s="41"/>
      <c r="B16" s="4"/>
      <c r="C16" s="27" t="s">
        <v>11</v>
      </c>
      <c r="D16" s="27" t="s">
        <v>55</v>
      </c>
      <c r="E16" s="28" t="s">
        <v>56</v>
      </c>
      <c r="F16" s="33" t="s">
        <v>13</v>
      </c>
      <c r="G16" s="651" t="s">
        <v>57</v>
      </c>
      <c r="H16" s="41"/>
      <c r="I16" s="4"/>
      <c r="J16" s="27" t="s">
        <v>11</v>
      </c>
      <c r="K16" s="27" t="s">
        <v>55</v>
      </c>
      <c r="L16" s="28" t="s">
        <v>56</v>
      </c>
      <c r="M16" s="33" t="s">
        <v>13</v>
      </c>
      <c r="N16" s="651" t="s">
        <v>57</v>
      </c>
      <c r="O16" s="41"/>
      <c r="P16" s="4"/>
      <c r="Q16" s="27" t="s">
        <v>11</v>
      </c>
      <c r="R16" s="27" t="s">
        <v>55</v>
      </c>
      <c r="S16" s="28" t="s">
        <v>56</v>
      </c>
      <c r="T16" s="33" t="s">
        <v>13</v>
      </c>
      <c r="U16" s="651" t="s">
        <v>57</v>
      </c>
      <c r="V16" s="41"/>
      <c r="W16" s="4"/>
      <c r="X16" s="27" t="s">
        <v>11</v>
      </c>
      <c r="Y16" s="27" t="s">
        <v>55</v>
      </c>
      <c r="Z16" s="28" t="s">
        <v>56</v>
      </c>
      <c r="AA16" s="33" t="s">
        <v>13</v>
      </c>
      <c r="AB16" s="651" t="s">
        <v>57</v>
      </c>
      <c r="AC16" s="41"/>
      <c r="AD16" s="4"/>
      <c r="AE16" s="27" t="s">
        <v>11</v>
      </c>
      <c r="AF16" s="27" t="s">
        <v>55</v>
      </c>
      <c r="AG16" s="28" t="s">
        <v>56</v>
      </c>
      <c r="AH16" s="33" t="s">
        <v>13</v>
      </c>
      <c r="AI16" s="651" t="s">
        <v>57</v>
      </c>
      <c r="AJ16" s="41"/>
      <c r="AK16" s="4"/>
      <c r="AL16" s="27" t="s">
        <v>11</v>
      </c>
      <c r="AM16" s="27" t="s">
        <v>55</v>
      </c>
      <c r="AN16" s="28" t="s">
        <v>56</v>
      </c>
      <c r="AO16" s="33" t="s">
        <v>13</v>
      </c>
      <c r="AP16" s="651" t="s">
        <v>57</v>
      </c>
      <c r="AQ16" s="41"/>
      <c r="AR16" s="4"/>
      <c r="AS16" s="27" t="s">
        <v>11</v>
      </c>
      <c r="AT16" s="27" t="s">
        <v>55</v>
      </c>
      <c r="AU16" s="28" t="s">
        <v>56</v>
      </c>
      <c r="AV16" s="33" t="s">
        <v>13</v>
      </c>
      <c r="AW16" s="651" t="s">
        <v>57</v>
      </c>
      <c r="AX16" s="41"/>
      <c r="AY16" s="4"/>
      <c r="AZ16" s="27" t="s">
        <v>11</v>
      </c>
      <c r="BA16" s="27" t="s">
        <v>55</v>
      </c>
      <c r="BB16" s="28" t="s">
        <v>56</v>
      </c>
      <c r="BC16" s="33" t="s">
        <v>13</v>
      </c>
      <c r="BD16" s="651" t="s">
        <v>57</v>
      </c>
      <c r="BE16" s="41"/>
      <c r="BF16" s="4"/>
      <c r="BG16" s="27" t="s">
        <v>11</v>
      </c>
      <c r="BH16" s="27" t="s">
        <v>55</v>
      </c>
      <c r="BI16" s="28" t="s">
        <v>56</v>
      </c>
      <c r="BJ16" s="33" t="s">
        <v>13</v>
      </c>
      <c r="BK16" s="651" t="s">
        <v>57</v>
      </c>
      <c r="BL16" s="41"/>
      <c r="BM16" s="4"/>
      <c r="BN16" s="27" t="s">
        <v>11</v>
      </c>
      <c r="BO16" s="27" t="s">
        <v>55</v>
      </c>
      <c r="BP16" s="28" t="s">
        <v>56</v>
      </c>
      <c r="BQ16" s="33" t="s">
        <v>13</v>
      </c>
      <c r="BR16" s="651" t="s">
        <v>57</v>
      </c>
      <c r="BS16" s="41"/>
      <c r="BT16" s="4"/>
      <c r="BU16" s="27" t="s">
        <v>11</v>
      </c>
      <c r="BV16" s="27" t="s">
        <v>55</v>
      </c>
      <c r="BW16" s="28" t="s">
        <v>56</v>
      </c>
      <c r="BX16" s="33" t="s">
        <v>13</v>
      </c>
      <c r="BY16" s="651" t="s">
        <v>57</v>
      </c>
      <c r="BZ16" s="41"/>
      <c r="CA16" s="4"/>
      <c r="CB16" s="27" t="s">
        <v>11</v>
      </c>
      <c r="CC16" s="27" t="s">
        <v>55</v>
      </c>
      <c r="CD16" s="28" t="s">
        <v>56</v>
      </c>
      <c r="CE16" s="33" t="s">
        <v>13</v>
      </c>
      <c r="CF16" s="651" t="s">
        <v>57</v>
      </c>
      <c r="CG16" s="41"/>
      <c r="CH16" s="4"/>
      <c r="CI16" s="27" t="s">
        <v>11</v>
      </c>
      <c r="CJ16" s="27" t="s">
        <v>55</v>
      </c>
      <c r="CK16" s="28" t="s">
        <v>56</v>
      </c>
      <c r="CL16" s="33" t="s">
        <v>13</v>
      </c>
      <c r="CM16" s="651" t="s">
        <v>57</v>
      </c>
      <c r="CN16" s="41"/>
      <c r="CO16" s="4"/>
      <c r="CP16" s="27" t="s">
        <v>11</v>
      </c>
      <c r="CQ16" s="27" t="s">
        <v>55</v>
      </c>
      <c r="CR16" s="28" t="s">
        <v>56</v>
      </c>
      <c r="CS16" s="33" t="s">
        <v>13</v>
      </c>
      <c r="CT16" s="651" t="s">
        <v>57</v>
      </c>
      <c r="CU16" s="41"/>
      <c r="CV16" s="4"/>
      <c r="CW16" s="27" t="s">
        <v>11</v>
      </c>
      <c r="CX16" s="27" t="s">
        <v>55</v>
      </c>
      <c r="CY16" s="28" t="s">
        <v>56</v>
      </c>
      <c r="CZ16" s="33" t="s">
        <v>13</v>
      </c>
      <c r="DA16" s="651" t="s">
        <v>57</v>
      </c>
    </row>
    <row r="17" spans="1:105" s="4" customFormat="1" ht="12.75" x14ac:dyDescent="0.2">
      <c r="A17" s="40" t="s">
        <v>29</v>
      </c>
      <c r="B17" s="41"/>
      <c r="C17" s="42"/>
      <c r="D17" s="42"/>
      <c r="E17" s="541"/>
      <c r="F17" s="421"/>
      <c r="G17" s="651"/>
      <c r="H17" s="40" t="s">
        <v>29</v>
      </c>
      <c r="I17" s="41"/>
      <c r="J17" s="42"/>
      <c r="K17" s="42"/>
      <c r="L17" s="541"/>
      <c r="M17" s="421"/>
      <c r="N17" s="651"/>
      <c r="O17" s="40" t="s">
        <v>29</v>
      </c>
      <c r="P17" s="41"/>
      <c r="Q17" s="42"/>
      <c r="R17" s="42"/>
      <c r="S17" s="541"/>
      <c r="T17" s="421"/>
      <c r="U17" s="651"/>
      <c r="V17" s="40" t="s">
        <v>29</v>
      </c>
      <c r="W17" s="41"/>
      <c r="X17" s="42"/>
      <c r="Y17" s="42"/>
      <c r="Z17" s="541"/>
      <c r="AA17" s="421"/>
      <c r="AB17" s="651"/>
      <c r="AC17" s="40" t="s">
        <v>29</v>
      </c>
      <c r="AD17" s="41"/>
      <c r="AE17" s="42"/>
      <c r="AF17" s="42"/>
      <c r="AG17" s="541"/>
      <c r="AH17" s="421"/>
      <c r="AI17" s="651"/>
      <c r="AJ17" s="40" t="s">
        <v>29</v>
      </c>
      <c r="AK17" s="41"/>
      <c r="AL17" s="42"/>
      <c r="AM17" s="42"/>
      <c r="AN17" s="541"/>
      <c r="AO17" s="421"/>
      <c r="AP17" s="651"/>
      <c r="AQ17" s="40" t="s">
        <v>29</v>
      </c>
      <c r="AR17" s="41"/>
      <c r="AS17" s="42"/>
      <c r="AT17" s="42"/>
      <c r="AU17" s="541"/>
      <c r="AV17" s="421"/>
      <c r="AW17" s="651"/>
      <c r="AX17" s="40" t="s">
        <v>29</v>
      </c>
      <c r="AY17" s="41"/>
      <c r="AZ17" s="42"/>
      <c r="BA17" s="42"/>
      <c r="BB17" s="541"/>
      <c r="BC17" s="421"/>
      <c r="BD17" s="651"/>
      <c r="BE17" s="40" t="s">
        <v>29</v>
      </c>
      <c r="BF17" s="41"/>
      <c r="BG17" s="42"/>
      <c r="BH17" s="42"/>
      <c r="BI17" s="541"/>
      <c r="BJ17" s="421"/>
      <c r="BK17" s="651"/>
      <c r="BL17" s="40" t="s">
        <v>29</v>
      </c>
      <c r="BM17" s="41"/>
      <c r="BN17" s="42"/>
      <c r="BO17" s="42"/>
      <c r="BP17" s="541"/>
      <c r="BQ17" s="421"/>
      <c r="BR17" s="651"/>
      <c r="BS17" s="40" t="s">
        <v>29</v>
      </c>
      <c r="BT17" s="41"/>
      <c r="BU17" s="42"/>
      <c r="BV17" s="42"/>
      <c r="BW17" s="541"/>
      <c r="BX17" s="421"/>
      <c r="BY17" s="651"/>
      <c r="BZ17" s="40" t="s">
        <v>29</v>
      </c>
      <c r="CA17" s="41"/>
      <c r="CB17" s="42"/>
      <c r="CC17" s="42"/>
      <c r="CD17" s="541"/>
      <c r="CE17" s="421"/>
      <c r="CF17" s="651"/>
      <c r="CG17" s="40" t="s">
        <v>29</v>
      </c>
      <c r="CH17" s="41"/>
      <c r="CI17" s="42"/>
      <c r="CJ17" s="42"/>
      <c r="CK17" s="541"/>
      <c r="CL17" s="421"/>
      <c r="CM17" s="651"/>
      <c r="CN17" s="40" t="s">
        <v>29</v>
      </c>
      <c r="CO17" s="41"/>
      <c r="CP17" s="42"/>
      <c r="CQ17" s="42"/>
      <c r="CR17" s="541"/>
      <c r="CS17" s="421"/>
      <c r="CT17" s="651"/>
      <c r="CU17" s="40" t="s">
        <v>29</v>
      </c>
      <c r="CV17" s="41"/>
      <c r="CW17" s="42"/>
      <c r="CX17" s="42"/>
      <c r="CY17" s="541"/>
      <c r="CZ17" s="421"/>
      <c r="DA17" s="651"/>
    </row>
    <row r="18" spans="1:105" s="1" customFormat="1" ht="12.75" x14ac:dyDescent="0.2">
      <c r="A18" s="40"/>
      <c r="B18" s="29" t="str">
        <f>'Variante Vorgaben'!$B$100</f>
        <v>Stickstoff</v>
      </c>
      <c r="C18" s="667">
        <f>'Variante Vorgaben'!B106</f>
        <v>0</v>
      </c>
      <c r="D18" s="104">
        <f>'Variante Vorgaben'!B105</f>
        <v>50</v>
      </c>
      <c r="E18" s="105">
        <f>'Variante Vorgaben'!$B$101*(1+Eingabeseite!$C$32)</f>
        <v>0.95</v>
      </c>
      <c r="F18" s="30">
        <f>D18*E18*C18</f>
        <v>0</v>
      </c>
      <c r="G18" s="652">
        <f>F18/$F$81</f>
        <v>0</v>
      </c>
      <c r="H18" s="40"/>
      <c r="I18" s="29" t="str">
        <f>'Variante Vorgaben'!$B$100</f>
        <v>Stickstoff</v>
      </c>
      <c r="J18" s="667">
        <f>'Variante Vorgaben'!B108</f>
        <v>1</v>
      </c>
      <c r="K18" s="104">
        <f>'Variante Vorgaben'!B107</f>
        <v>100</v>
      </c>
      <c r="L18" s="105">
        <f>'Variante Vorgaben'!$B$101*(1+Eingabeseite!$C$32)</f>
        <v>0.95</v>
      </c>
      <c r="M18" s="30">
        <f>K18*L18</f>
        <v>95</v>
      </c>
      <c r="N18" s="652">
        <f>M18/$M$81</f>
        <v>5.8518090969757732E-3</v>
      </c>
      <c r="O18" s="40"/>
      <c r="P18" s="29" t="str">
        <f>'Variante Vorgaben'!B100</f>
        <v>Stickstoff</v>
      </c>
      <c r="Q18" s="667">
        <f>'Variante Vorgaben'!B110</f>
        <v>1</v>
      </c>
      <c r="R18" s="104">
        <f>'Variante Vorgaben'!B109</f>
        <v>150</v>
      </c>
      <c r="S18" s="105">
        <f>'Variante Vorgaben'!$B$101*(1+Eingabeseite!$C$32)</f>
        <v>0.95</v>
      </c>
      <c r="T18" s="30">
        <f>R18*S18</f>
        <v>142.5</v>
      </c>
      <c r="U18" s="652">
        <f>T18/$T$81</f>
        <v>4.7917666727955608E-3</v>
      </c>
      <c r="V18" s="40"/>
      <c r="W18" s="29" t="str">
        <f>'Variante Vorgaben'!B100</f>
        <v>Stickstoff</v>
      </c>
      <c r="X18" s="667">
        <f>'Variante Vorgaben'!B112</f>
        <v>2</v>
      </c>
      <c r="Y18" s="104">
        <f>'Variante Vorgaben'!B111</f>
        <v>200</v>
      </c>
      <c r="Z18" s="105">
        <f>'Variante Vorgaben'!$B$101*(1+Eingabeseite!$C$32)</f>
        <v>0.95</v>
      </c>
      <c r="AA18" s="30">
        <f>Y18*Z18</f>
        <v>190</v>
      </c>
      <c r="AB18" s="652">
        <f>AA18/$AA$81</f>
        <v>5.7082743906686087E-3</v>
      </c>
      <c r="AC18" s="40"/>
      <c r="AD18" s="29" t="str">
        <f>'Variante Vorgaben'!B100</f>
        <v>Stickstoff</v>
      </c>
      <c r="AE18" s="667">
        <f>'Variante Vorgaben'!B112</f>
        <v>2</v>
      </c>
      <c r="AF18" s="104">
        <f>'Variante Vorgaben'!B111</f>
        <v>200</v>
      </c>
      <c r="AG18" s="105">
        <f>'Variante Vorgaben'!$B$101*(1+Eingabeseite!$C$32)</f>
        <v>0.95</v>
      </c>
      <c r="AH18" s="30">
        <f>AF18*AG18</f>
        <v>190</v>
      </c>
      <c r="AI18" s="652">
        <f>AH18/$AH$81</f>
        <v>5.3716150134322732E-3</v>
      </c>
      <c r="AJ18" s="40"/>
      <c r="AK18" s="29" t="str">
        <f>'Variante Vorgaben'!B100</f>
        <v>Stickstoff</v>
      </c>
      <c r="AL18" s="667">
        <f>'Variante Vorgaben'!B112</f>
        <v>2</v>
      </c>
      <c r="AM18" s="104">
        <f>'Variante Vorgaben'!B111</f>
        <v>200</v>
      </c>
      <c r="AN18" s="105">
        <f>'Variante Vorgaben'!$B$101*(1+Eingabeseite!$C$32)</f>
        <v>0.95</v>
      </c>
      <c r="AO18" s="30">
        <f>AM18*AN18</f>
        <v>190</v>
      </c>
      <c r="AP18" s="652">
        <f>AO18/$AO$81</f>
        <v>5.0802553071847036E-3</v>
      </c>
      <c r="AQ18" s="40"/>
      <c r="AR18" s="29" t="str">
        <f>'Variante Vorgaben'!B100</f>
        <v>Stickstoff</v>
      </c>
      <c r="AS18" s="667">
        <f>'Variante Vorgaben'!B112</f>
        <v>2</v>
      </c>
      <c r="AT18" s="104">
        <f>'Variante Vorgaben'!B111</f>
        <v>200</v>
      </c>
      <c r="AU18" s="105">
        <f>'Variante Vorgaben'!$B$101*(1+Eingabeseite!$C$32)</f>
        <v>0.95</v>
      </c>
      <c r="AV18" s="30">
        <f>AT18*AU18</f>
        <v>190</v>
      </c>
      <c r="AW18" s="652">
        <f>AV18/$AV$81</f>
        <v>5.3471910238022304E-3</v>
      </c>
      <c r="AX18" s="40"/>
      <c r="AY18" s="29" t="str">
        <f>'Variante Vorgaben'!B100</f>
        <v>Stickstoff</v>
      </c>
      <c r="AZ18" s="667">
        <f>'Variante Vorgaben'!B112</f>
        <v>2</v>
      </c>
      <c r="BA18" s="104">
        <f>'Variante Vorgaben'!B111</f>
        <v>200</v>
      </c>
      <c r="BB18" s="105">
        <f>'Variante Vorgaben'!$B$101*(1+Eingabeseite!$C$32)</f>
        <v>0.95</v>
      </c>
      <c r="BC18" s="30">
        <f>BA18*BB18</f>
        <v>190</v>
      </c>
      <c r="BD18" s="652">
        <f>BC18/$BC$81</f>
        <v>5.3463192083164643E-3</v>
      </c>
      <c r="BE18" s="40"/>
      <c r="BF18" s="29" t="str">
        <f>'Variante Vorgaben'!B100</f>
        <v>Stickstoff</v>
      </c>
      <c r="BG18" s="667">
        <f>'Variante Vorgaben'!B112</f>
        <v>2</v>
      </c>
      <c r="BH18" s="104">
        <f>'Variante Vorgaben'!B111</f>
        <v>200</v>
      </c>
      <c r="BI18" s="105">
        <f>'Variante Vorgaben'!$B$101*(1+Eingabeseite!$C$32)</f>
        <v>0.95</v>
      </c>
      <c r="BJ18" s="30">
        <f>BH18*BI18</f>
        <v>190</v>
      </c>
      <c r="BK18" s="652">
        <f>BJ18/$BJ$81</f>
        <v>4.8521630138722727E-3</v>
      </c>
      <c r="BL18" s="40"/>
      <c r="BM18" s="29" t="str">
        <f>'Variante Vorgaben'!B100</f>
        <v>Stickstoff</v>
      </c>
      <c r="BN18" s="667">
        <f>'Variante Vorgaben'!B112</f>
        <v>2</v>
      </c>
      <c r="BO18" s="104">
        <f>'Variante Vorgaben'!B111</f>
        <v>200</v>
      </c>
      <c r="BP18" s="105">
        <f>'Variante Vorgaben'!$B$101*(1+Eingabeseite!$C$32)</f>
        <v>0.95</v>
      </c>
      <c r="BQ18" s="30">
        <f>BO18*BP18</f>
        <v>190</v>
      </c>
      <c r="BR18" s="652">
        <f>BQ18/$BQ$81</f>
        <v>4.7820633190198336E-3</v>
      </c>
      <c r="BS18" s="40"/>
      <c r="BT18" s="29" t="str">
        <f>'Variante Vorgaben'!B100</f>
        <v>Stickstoff</v>
      </c>
      <c r="BU18" s="667">
        <f>'Variante Vorgaben'!B112</f>
        <v>2</v>
      </c>
      <c r="BV18" s="104">
        <f>'Variante Vorgaben'!B111</f>
        <v>200</v>
      </c>
      <c r="BW18" s="105">
        <f>'Variante Vorgaben'!$B$101*(1+Eingabeseite!$C$32)</f>
        <v>0.95</v>
      </c>
      <c r="BX18" s="30">
        <f>BV18*BW18</f>
        <v>190</v>
      </c>
      <c r="BY18" s="652">
        <f>BX18/$BX$81</f>
        <v>5.1069381752432896E-3</v>
      </c>
      <c r="BZ18" s="40"/>
      <c r="CA18" s="29" t="str">
        <f>'Variante Vorgaben'!B100</f>
        <v>Stickstoff</v>
      </c>
      <c r="CB18" s="667">
        <f>'Variante Vorgaben'!B112</f>
        <v>2</v>
      </c>
      <c r="CC18" s="104">
        <f>'Variante Vorgaben'!B111</f>
        <v>200</v>
      </c>
      <c r="CD18" s="105">
        <f>'Variante Vorgaben'!$B$101*(1+Eingabeseite!$C$32)</f>
        <v>0.95</v>
      </c>
      <c r="CE18" s="30">
        <f>CC18*CD18</f>
        <v>190</v>
      </c>
      <c r="CF18" s="652">
        <f>CE18/$CE$81</f>
        <v>5.3816162688685608E-3</v>
      </c>
      <c r="CG18" s="40"/>
      <c r="CH18" s="29" t="str">
        <f>'Variante Vorgaben'!B100</f>
        <v>Stickstoff</v>
      </c>
      <c r="CI18" s="667">
        <f>'Variante Vorgaben'!B112</f>
        <v>2</v>
      </c>
      <c r="CJ18" s="104">
        <f>'Variante Vorgaben'!B111</f>
        <v>200</v>
      </c>
      <c r="CK18" s="105">
        <f>'Variante Vorgaben'!$B$101*(1+Eingabeseite!$C$32)</f>
        <v>0.95</v>
      </c>
      <c r="CL18" s="30">
        <f>CJ18*CK18</f>
        <v>190</v>
      </c>
      <c r="CM18" s="652">
        <f>CL18/$CL$81</f>
        <v>5.2479759211188221E-3</v>
      </c>
      <c r="CN18" s="40"/>
      <c r="CO18" s="29" t="str">
        <f>'Variante Vorgaben'!B100</f>
        <v>Stickstoff</v>
      </c>
      <c r="CP18" s="667">
        <f>'Variante Vorgaben'!B112</f>
        <v>2</v>
      </c>
      <c r="CQ18" s="104">
        <f>'Variante Vorgaben'!B111</f>
        <v>200</v>
      </c>
      <c r="CR18" s="105">
        <f>'Variante Vorgaben'!$B$101*(1+Eingabeseite!$C$32)</f>
        <v>0.95</v>
      </c>
      <c r="CS18" s="30">
        <f>CQ18*CR18</f>
        <v>190</v>
      </c>
      <c r="CT18" s="652">
        <f>CS18/$CS$81</f>
        <v>5.2190059704541681E-3</v>
      </c>
      <c r="CU18" s="40"/>
      <c r="CV18" s="29" t="str">
        <f>'Variante Vorgaben'!B100</f>
        <v>Stickstoff</v>
      </c>
      <c r="CW18" s="667">
        <f>'Variante Vorgaben'!B112</f>
        <v>2</v>
      </c>
      <c r="CX18" s="104">
        <f>'Variante Vorgaben'!B111</f>
        <v>200</v>
      </c>
      <c r="CY18" s="105">
        <f>'Variante Vorgaben'!$B$101*(1+Eingabeseite!$C$32)</f>
        <v>0.95</v>
      </c>
      <c r="CZ18" s="30">
        <f>CX18*CY18</f>
        <v>190</v>
      </c>
      <c r="DA18" s="652">
        <f>CZ18/$CZ$81</f>
        <v>4.6306388243180872E-3</v>
      </c>
    </row>
    <row r="19" spans="1:105" s="1" customFormat="1" ht="12.75" x14ac:dyDescent="0.2">
      <c r="A19" s="17"/>
      <c r="B19" s="29" t="str">
        <f>'Variante Vorgaben'!$C$100</f>
        <v>Grundüngung</v>
      </c>
      <c r="C19" s="667">
        <f>'Variante Vorgaben'!C106</f>
        <v>0</v>
      </c>
      <c r="D19" s="104">
        <f>'Variante Vorgaben'!C105</f>
        <v>50</v>
      </c>
      <c r="E19" s="105">
        <f>'Variante Vorgaben'!$C$101*(1+Eingabeseite!$C$32)</f>
        <v>0.43</v>
      </c>
      <c r="F19" s="30">
        <f>D19*E19*C19</f>
        <v>0</v>
      </c>
      <c r="G19" s="652">
        <f>F19/$F$81</f>
        <v>0</v>
      </c>
      <c r="H19" s="17"/>
      <c r="I19" s="29" t="str">
        <f>'Variante Vorgaben'!$C$100</f>
        <v>Grundüngung</v>
      </c>
      <c r="J19" s="667">
        <f>'Variante Vorgaben'!C108</f>
        <v>0</v>
      </c>
      <c r="K19" s="104">
        <f>'Variante Vorgaben'!C107</f>
        <v>125</v>
      </c>
      <c r="L19" s="105">
        <f>'Variante Vorgaben'!$C$101*(1+Eingabeseite!$C$32)</f>
        <v>0.43</v>
      </c>
      <c r="M19" s="30">
        <f>K19*L19</f>
        <v>53.75</v>
      </c>
      <c r="N19" s="652">
        <f>M19/$M$81</f>
        <v>3.310891989078398E-3</v>
      </c>
      <c r="O19" s="17"/>
      <c r="P19" s="29" t="str">
        <f>'Variante Vorgaben'!C100</f>
        <v>Grundüngung</v>
      </c>
      <c r="Q19" s="667">
        <f>'Variante Vorgaben'!C110</f>
        <v>1</v>
      </c>
      <c r="R19" s="104">
        <f>'Variante Vorgaben'!C109</f>
        <v>200</v>
      </c>
      <c r="S19" s="105">
        <f>'Variante Vorgaben'!$C$101*(1+Eingabeseite!$C$32)</f>
        <v>0.43</v>
      </c>
      <c r="T19" s="30">
        <f>R19*S19</f>
        <v>86</v>
      </c>
      <c r="U19" s="652">
        <f>T19/$T$81</f>
        <v>2.8918732200731104E-3</v>
      </c>
      <c r="V19" s="17"/>
      <c r="W19" s="29" t="str">
        <f>'Variante Vorgaben'!C100</f>
        <v>Grundüngung</v>
      </c>
      <c r="X19" s="667">
        <f>'Variante Vorgaben'!C112</f>
        <v>1</v>
      </c>
      <c r="Y19" s="104">
        <f>'Variante Vorgaben'!C111</f>
        <v>400</v>
      </c>
      <c r="Z19" s="105">
        <f>'Variante Vorgaben'!$C$101*(1+Eingabeseite!$C$32)</f>
        <v>0.43</v>
      </c>
      <c r="AA19" s="30">
        <f>Y19*Z19</f>
        <v>172</v>
      </c>
      <c r="AB19" s="652">
        <f>AA19/$AA$81</f>
        <v>5.1674905010263188E-3</v>
      </c>
      <c r="AC19" s="17"/>
      <c r="AD19" s="29" t="str">
        <f>'Variante Vorgaben'!C100</f>
        <v>Grundüngung</v>
      </c>
      <c r="AE19" s="667">
        <f>'Variante Vorgaben'!C112</f>
        <v>1</v>
      </c>
      <c r="AF19" s="104">
        <f>'Variante Vorgaben'!C111</f>
        <v>400</v>
      </c>
      <c r="AG19" s="105">
        <f>'Variante Vorgaben'!$C$101*(1+Eingabeseite!$C$32)</f>
        <v>0.43</v>
      </c>
      <c r="AH19" s="30">
        <f>AF19*AG19</f>
        <v>172</v>
      </c>
      <c r="AI19" s="652">
        <f>AH19/$AH$81</f>
        <v>4.8627251700544792E-3</v>
      </c>
      <c r="AJ19" s="17"/>
      <c r="AK19" s="29" t="str">
        <f>'Variante Vorgaben'!C100</f>
        <v>Grundüngung</v>
      </c>
      <c r="AL19" s="667">
        <f>'Variante Vorgaben'!C112</f>
        <v>1</v>
      </c>
      <c r="AM19" s="104">
        <f>'Variante Vorgaben'!C111</f>
        <v>400</v>
      </c>
      <c r="AN19" s="105">
        <f>'Variante Vorgaben'!$C$101*(1+Eingabeseite!$C$32)</f>
        <v>0.43</v>
      </c>
      <c r="AO19" s="30">
        <f>AM19*AN19</f>
        <v>172</v>
      </c>
      <c r="AP19" s="652">
        <f>AO19/$AO$81</f>
        <v>4.5989679622935216E-3</v>
      </c>
      <c r="AQ19" s="17"/>
      <c r="AR19" s="29" t="str">
        <f>'Variante Vorgaben'!C100</f>
        <v>Grundüngung</v>
      </c>
      <c r="AS19" s="667">
        <f>'Variante Vorgaben'!C112</f>
        <v>1</v>
      </c>
      <c r="AT19" s="104">
        <f>'Variante Vorgaben'!C111</f>
        <v>400</v>
      </c>
      <c r="AU19" s="105">
        <f>'Variante Vorgaben'!$C$101*(1+Eingabeseite!$C$32)</f>
        <v>0.43</v>
      </c>
      <c r="AV19" s="30">
        <f>AT19*AU19</f>
        <v>172</v>
      </c>
      <c r="AW19" s="652">
        <f>AV19/$AV$81</f>
        <v>4.8406150320735976E-3</v>
      </c>
      <c r="AX19" s="17"/>
      <c r="AY19" s="29" t="str">
        <f>'Variante Vorgaben'!C100</f>
        <v>Grundüngung</v>
      </c>
      <c r="AZ19" s="667">
        <f>'Variante Vorgaben'!C112</f>
        <v>1</v>
      </c>
      <c r="BA19" s="104">
        <f>'Variante Vorgaben'!C111</f>
        <v>400</v>
      </c>
      <c r="BB19" s="105">
        <f>'Variante Vorgaben'!$C$101*(1+Eingabeseite!$C$32)</f>
        <v>0.43</v>
      </c>
      <c r="BC19" s="30">
        <f>BA19*BB19</f>
        <v>172</v>
      </c>
      <c r="BD19" s="652">
        <f>BC19/$BC$81</f>
        <v>4.839825809633852E-3</v>
      </c>
      <c r="BE19" s="17"/>
      <c r="BF19" s="29" t="str">
        <f>'Variante Vorgaben'!C100</f>
        <v>Grundüngung</v>
      </c>
      <c r="BG19" s="667">
        <f>'Variante Vorgaben'!C112</f>
        <v>1</v>
      </c>
      <c r="BH19" s="104">
        <f>'Variante Vorgaben'!C111</f>
        <v>400</v>
      </c>
      <c r="BI19" s="105">
        <f>'Variante Vorgaben'!$C$101*(1+Eingabeseite!$C$32)</f>
        <v>0.43</v>
      </c>
      <c r="BJ19" s="30">
        <f>BH19*BI19</f>
        <v>172</v>
      </c>
      <c r="BK19" s="652">
        <f>BJ19/$BJ$81</f>
        <v>4.3924844125580575E-3</v>
      </c>
      <c r="BL19" s="17"/>
      <c r="BM19" s="29" t="str">
        <f>'Variante Vorgaben'!C100</f>
        <v>Grundüngung</v>
      </c>
      <c r="BN19" s="667">
        <f>'Variante Vorgaben'!C112</f>
        <v>1</v>
      </c>
      <c r="BO19" s="104">
        <f>'Variante Vorgaben'!C111</f>
        <v>400</v>
      </c>
      <c r="BP19" s="105">
        <f>'Variante Vorgaben'!$C$101*(1+Eingabeseite!$C$32)</f>
        <v>0.43</v>
      </c>
      <c r="BQ19" s="30">
        <f>BO19*BP19</f>
        <v>172</v>
      </c>
      <c r="BR19" s="652">
        <f>BQ19/$BQ$81</f>
        <v>4.3290257414284805E-3</v>
      </c>
      <c r="BS19" s="17"/>
      <c r="BT19" s="29" t="str">
        <f>'Variante Vorgaben'!C100</f>
        <v>Grundüngung</v>
      </c>
      <c r="BU19" s="667">
        <f>'Variante Vorgaben'!C112</f>
        <v>1</v>
      </c>
      <c r="BV19" s="104">
        <f>'Variante Vorgaben'!C111</f>
        <v>400</v>
      </c>
      <c r="BW19" s="105">
        <f>'Variante Vorgaben'!$C$101*(1+Eingabeseite!$C$32)</f>
        <v>0.43</v>
      </c>
      <c r="BX19" s="30">
        <f>BV19*BW19</f>
        <v>172</v>
      </c>
      <c r="BY19" s="652">
        <f>BX19/$BX$81</f>
        <v>4.6231229796939253E-3</v>
      </c>
      <c r="BZ19" s="17"/>
      <c r="CA19" s="29" t="str">
        <f>'Variante Vorgaben'!C100</f>
        <v>Grundüngung</v>
      </c>
      <c r="CB19" s="667">
        <f>'Variante Vorgaben'!C112</f>
        <v>1</v>
      </c>
      <c r="CC19" s="104">
        <f>'Variante Vorgaben'!C111</f>
        <v>400</v>
      </c>
      <c r="CD19" s="105">
        <f>'Variante Vorgaben'!$C$101*(1+Eingabeseite!$C$32)</f>
        <v>0.43</v>
      </c>
      <c r="CE19" s="30">
        <f>CC19*CD19</f>
        <v>172</v>
      </c>
      <c r="CF19" s="652">
        <f>CE19/$CE$81</f>
        <v>4.8717789381336439E-3</v>
      </c>
      <c r="CG19" s="17"/>
      <c r="CH19" s="29" t="str">
        <f>'Variante Vorgaben'!C100</f>
        <v>Grundüngung</v>
      </c>
      <c r="CI19" s="667">
        <f>'Variante Vorgaben'!C112</f>
        <v>1</v>
      </c>
      <c r="CJ19" s="104">
        <f>'Variante Vorgaben'!C111</f>
        <v>400</v>
      </c>
      <c r="CK19" s="105">
        <f>'Variante Vorgaben'!$C$101*(1+Eingabeseite!$C$32)</f>
        <v>0.43</v>
      </c>
      <c r="CL19" s="30">
        <f>CJ19*CK19</f>
        <v>172</v>
      </c>
      <c r="CM19" s="652">
        <f>CL19/$CL$81</f>
        <v>4.7507992549075655E-3</v>
      </c>
      <c r="CN19" s="17"/>
      <c r="CO19" s="29" t="str">
        <f>'Variante Vorgaben'!C100</f>
        <v>Grundüngung</v>
      </c>
      <c r="CP19" s="667">
        <f>'Variante Vorgaben'!C112</f>
        <v>1</v>
      </c>
      <c r="CQ19" s="104">
        <f>'Variante Vorgaben'!C111</f>
        <v>400</v>
      </c>
      <c r="CR19" s="105">
        <f>'Variante Vorgaben'!$C$101*(1+Eingabeseite!$C$32)</f>
        <v>0.43</v>
      </c>
      <c r="CS19" s="30">
        <f>CQ19*CR19</f>
        <v>172</v>
      </c>
      <c r="CT19" s="652">
        <f>CS19/$CS$81</f>
        <v>4.7245738258848259E-3</v>
      </c>
      <c r="CU19" s="17"/>
      <c r="CV19" s="29" t="str">
        <f>'Variante Vorgaben'!C100</f>
        <v>Grundüngung</v>
      </c>
      <c r="CW19" s="667">
        <f>'Variante Vorgaben'!C112</f>
        <v>1</v>
      </c>
      <c r="CX19" s="104">
        <f>'Variante Vorgaben'!C111</f>
        <v>400</v>
      </c>
      <c r="CY19" s="105">
        <f>'Variante Vorgaben'!$C$101*(1+Eingabeseite!$C$32)</f>
        <v>0.43</v>
      </c>
      <c r="CZ19" s="30">
        <f>CX19*CY19</f>
        <v>172</v>
      </c>
      <c r="DA19" s="652">
        <f>CZ19/$CZ$81</f>
        <v>4.191946725172163E-3</v>
      </c>
    </row>
    <row r="20" spans="1:105" s="1" customFormat="1" ht="13.5" thickBot="1" x14ac:dyDescent="0.25">
      <c r="A20" s="17"/>
      <c r="B20" s="29" t="str">
        <f>'Variante Vorgaben'!$D$100</f>
        <v>Hühnermist</v>
      </c>
      <c r="C20" s="655">
        <f>'Variante Vorgaben'!D106</f>
        <v>0</v>
      </c>
      <c r="D20" s="1360">
        <f>'Variante Vorgaben'!D105</f>
        <v>0</v>
      </c>
      <c r="E20" s="1361">
        <f>'Variante Vorgaben'!D101</f>
        <v>0.35</v>
      </c>
      <c r="F20" s="677">
        <f>D20*E20*C20</f>
        <v>0</v>
      </c>
      <c r="G20" s="652"/>
      <c r="H20" s="17"/>
      <c r="I20" s="29" t="str">
        <f>'Variante Vorgaben'!$D$100</f>
        <v>Hühnermist</v>
      </c>
      <c r="J20" s="655">
        <f>'Variante Vorgaben'!D108</f>
        <v>0</v>
      </c>
      <c r="K20" s="1360">
        <f>'Variante Vorgaben'!D107</f>
        <v>0</v>
      </c>
      <c r="L20" s="1361">
        <f>'Variante Vorgaben'!$D$101</f>
        <v>0.35</v>
      </c>
      <c r="M20" s="677">
        <f>K20*L20*J20</f>
        <v>0</v>
      </c>
      <c r="N20" s="652"/>
      <c r="O20" s="17"/>
      <c r="P20" s="29" t="str">
        <f>'Variante Vorgaben'!$D$100</f>
        <v>Hühnermist</v>
      </c>
      <c r="Q20" s="655">
        <f>'Variante Vorgaben'!D110</f>
        <v>0</v>
      </c>
      <c r="R20" s="1360">
        <f>'Variante Vorgaben'!D109</f>
        <v>0</v>
      </c>
      <c r="S20" s="1361">
        <f>'Variante Vorgaben'!$D$101</f>
        <v>0.35</v>
      </c>
      <c r="T20" s="677">
        <f>S20*Q20*R20</f>
        <v>0</v>
      </c>
      <c r="U20" s="652"/>
      <c r="V20" s="17"/>
      <c r="W20" s="29" t="str">
        <f>'Variante Vorgaben'!$D$100</f>
        <v>Hühnermist</v>
      </c>
      <c r="X20" s="655">
        <f>'Variante Vorgaben'!$D$112</f>
        <v>1</v>
      </c>
      <c r="Y20" s="1360">
        <f>'Variante Vorgaben'!$D$111</f>
        <v>1000</v>
      </c>
      <c r="Z20" s="1361">
        <f>'Variante Vorgaben'!$D$101</f>
        <v>0.35</v>
      </c>
      <c r="AA20" s="677">
        <f>X20*Y20*Z20</f>
        <v>350</v>
      </c>
      <c r="AB20" s="652"/>
      <c r="AC20" s="17"/>
      <c r="AD20" s="29" t="str">
        <f>'Variante Vorgaben'!$D$100</f>
        <v>Hühnermist</v>
      </c>
      <c r="AE20" s="655">
        <f>'Variante Vorgaben'!$D$112</f>
        <v>1</v>
      </c>
      <c r="AF20" s="1360">
        <f>'Variante Vorgaben'!$D$111</f>
        <v>1000</v>
      </c>
      <c r="AG20" s="1361">
        <f>'Variante Vorgaben'!$D$101</f>
        <v>0.35</v>
      </c>
      <c r="AH20" s="677">
        <f>AE20*AF20*AG20</f>
        <v>350</v>
      </c>
      <c r="AI20" s="652"/>
      <c r="AJ20" s="17"/>
      <c r="AK20" s="29" t="str">
        <f>'Variante Vorgaben'!$D$100</f>
        <v>Hühnermist</v>
      </c>
      <c r="AL20" s="655">
        <f>'Variante Vorgaben'!$D$112</f>
        <v>1</v>
      </c>
      <c r="AM20" s="1360">
        <f>'Variante Vorgaben'!$D$111</f>
        <v>1000</v>
      </c>
      <c r="AN20" s="1361">
        <f>'Variante Vorgaben'!$D$101</f>
        <v>0.35</v>
      </c>
      <c r="AO20" s="677">
        <f>AL20*AM20*AN20</f>
        <v>350</v>
      </c>
      <c r="AP20" s="652"/>
      <c r="AQ20" s="17"/>
      <c r="AR20" s="29" t="str">
        <f>'Variante Vorgaben'!$D$100</f>
        <v>Hühnermist</v>
      </c>
      <c r="AS20" s="655">
        <f>'Variante Vorgaben'!$D$112</f>
        <v>1</v>
      </c>
      <c r="AT20" s="1360">
        <f>'Variante Vorgaben'!$D$111</f>
        <v>1000</v>
      </c>
      <c r="AU20" s="1361">
        <f>'Variante Vorgaben'!$D$101</f>
        <v>0.35</v>
      </c>
      <c r="AV20" s="677">
        <f>AS20*AT20*AU20</f>
        <v>350</v>
      </c>
      <c r="AW20" s="652"/>
      <c r="AX20" s="17"/>
      <c r="AY20" s="29" t="str">
        <f>'Variante Vorgaben'!$D$100</f>
        <v>Hühnermist</v>
      </c>
      <c r="AZ20" s="655">
        <f>'Variante Vorgaben'!$D$112</f>
        <v>1</v>
      </c>
      <c r="BA20" s="1360">
        <f>'Variante Vorgaben'!$D$111</f>
        <v>1000</v>
      </c>
      <c r="BB20" s="1361">
        <f>'Variante Vorgaben'!$D$101</f>
        <v>0.35</v>
      </c>
      <c r="BC20" s="677">
        <f>AZ20*BA20*BB20</f>
        <v>350</v>
      </c>
      <c r="BD20" s="652"/>
      <c r="BE20" s="17"/>
      <c r="BF20" s="29" t="str">
        <f>'Variante Vorgaben'!$D$100</f>
        <v>Hühnermist</v>
      </c>
      <c r="BG20" s="655">
        <f>'Variante Vorgaben'!$D$112</f>
        <v>1</v>
      </c>
      <c r="BH20" s="1360">
        <f>'Variante Vorgaben'!$D$111</f>
        <v>1000</v>
      </c>
      <c r="BI20" s="1361">
        <f>'Variante Vorgaben'!$D$101</f>
        <v>0.35</v>
      </c>
      <c r="BJ20" s="677">
        <f>BG20*BH20*BI20</f>
        <v>350</v>
      </c>
      <c r="BK20" s="652"/>
      <c r="BL20" s="17"/>
      <c r="BM20" s="29" t="str">
        <f>'Variante Vorgaben'!$D$100</f>
        <v>Hühnermist</v>
      </c>
      <c r="BN20" s="655">
        <f>'Variante Vorgaben'!$D$112</f>
        <v>1</v>
      </c>
      <c r="BO20" s="1360">
        <f>'Variante Vorgaben'!$D$111</f>
        <v>1000</v>
      </c>
      <c r="BP20" s="1361">
        <f>'Variante Vorgaben'!$D$101</f>
        <v>0.35</v>
      </c>
      <c r="BQ20" s="677">
        <f>BN20*BO20*BP20</f>
        <v>350</v>
      </c>
      <c r="BR20" s="652"/>
      <c r="BS20" s="17"/>
      <c r="BT20" s="29" t="str">
        <f>'Variante Vorgaben'!$D$100</f>
        <v>Hühnermist</v>
      </c>
      <c r="BU20" s="655">
        <f>'Variante Vorgaben'!$D$112</f>
        <v>1</v>
      </c>
      <c r="BV20" s="1360">
        <f>'Variante Vorgaben'!$D$111</f>
        <v>1000</v>
      </c>
      <c r="BW20" s="1361">
        <f>'Variante Vorgaben'!$D$101</f>
        <v>0.35</v>
      </c>
      <c r="BX20" s="677">
        <f>BU20*BV20*BW20</f>
        <v>350</v>
      </c>
      <c r="BY20" s="652"/>
      <c r="BZ20" s="17"/>
      <c r="CA20" s="29" t="str">
        <f>'Variante Vorgaben'!$D$100</f>
        <v>Hühnermist</v>
      </c>
      <c r="CB20" s="655">
        <f>'Variante Vorgaben'!$D$112</f>
        <v>1</v>
      </c>
      <c r="CC20" s="1360">
        <f>'Variante Vorgaben'!$D$111</f>
        <v>1000</v>
      </c>
      <c r="CD20" s="1361">
        <f>'Variante Vorgaben'!$D$101</f>
        <v>0.35</v>
      </c>
      <c r="CE20" s="677">
        <f>CB20*CC20*CD20</f>
        <v>350</v>
      </c>
      <c r="CF20" s="652"/>
      <c r="CG20" s="17"/>
      <c r="CH20" s="29" t="str">
        <f>'Variante Vorgaben'!$D$100</f>
        <v>Hühnermist</v>
      </c>
      <c r="CI20" s="655">
        <f>'Variante Vorgaben'!$D$112</f>
        <v>1</v>
      </c>
      <c r="CJ20" s="1360">
        <f>'Variante Vorgaben'!$D$111</f>
        <v>1000</v>
      </c>
      <c r="CK20" s="1361">
        <f>'Variante Vorgaben'!$D$101</f>
        <v>0.35</v>
      </c>
      <c r="CL20" s="677">
        <f>CI20*CJ20*CK20</f>
        <v>350</v>
      </c>
      <c r="CM20" s="652"/>
      <c r="CN20" s="17"/>
      <c r="CO20" s="29" t="str">
        <f>'Variante Vorgaben'!$D$100</f>
        <v>Hühnermist</v>
      </c>
      <c r="CP20" s="655">
        <f>'Variante Vorgaben'!$D$112</f>
        <v>1</v>
      </c>
      <c r="CQ20" s="1360">
        <f>'Variante Vorgaben'!$D$111</f>
        <v>1000</v>
      </c>
      <c r="CR20" s="1361">
        <f>'Variante Vorgaben'!$D$101</f>
        <v>0.35</v>
      </c>
      <c r="CS20" s="677">
        <f>CP20*CQ20*CR20</f>
        <v>350</v>
      </c>
      <c r="CT20" s="652"/>
      <c r="CU20" s="17"/>
      <c r="CV20" s="29" t="str">
        <f>'Variante Vorgaben'!$D$100</f>
        <v>Hühnermist</v>
      </c>
      <c r="CW20" s="655">
        <f>'Variante Vorgaben'!$D$112</f>
        <v>1</v>
      </c>
      <c r="CX20" s="1360">
        <f>'Variante Vorgaben'!$D$111</f>
        <v>1000</v>
      </c>
      <c r="CY20" s="1361">
        <f>'Variante Vorgaben'!$D$101</f>
        <v>0.35</v>
      </c>
      <c r="CZ20" s="677">
        <f>CW20*CX20*CY20</f>
        <v>350</v>
      </c>
      <c r="DA20" s="652"/>
    </row>
    <row r="21" spans="1:105" s="1" customFormat="1" ht="12.75" x14ac:dyDescent="0.2">
      <c r="A21" s="40"/>
      <c r="B21" s="41"/>
      <c r="C21" s="43">
        <f>SUM(C18:C20)</f>
        <v>0</v>
      </c>
      <c r="D21" s="43"/>
      <c r="E21" s="44"/>
      <c r="F21" s="81">
        <f>SUM(F18:F20)</f>
        <v>0</v>
      </c>
      <c r="G21" s="649">
        <f>F21/$F$81</f>
        <v>0</v>
      </c>
      <c r="H21" s="40"/>
      <c r="I21" s="41"/>
      <c r="J21" s="43">
        <f>SUM(J18:J19)</f>
        <v>1</v>
      </c>
      <c r="K21" s="43"/>
      <c r="L21" s="44"/>
      <c r="M21" s="81">
        <f>SUM(M18:M20)</f>
        <v>148.75</v>
      </c>
      <c r="N21" s="649">
        <f>M21/$M$81</f>
        <v>9.1627010860541713E-3</v>
      </c>
      <c r="O21" s="40"/>
      <c r="P21" s="41"/>
      <c r="Q21" s="43">
        <f>SUM(Q18:Q20)</f>
        <v>2</v>
      </c>
      <c r="R21" s="43"/>
      <c r="S21" s="44"/>
      <c r="T21" s="81">
        <f>SUM(T18:T20)</f>
        <v>228.5</v>
      </c>
      <c r="U21" s="649">
        <f>T21/$T$81</f>
        <v>7.6836398928686713E-3</v>
      </c>
      <c r="V21" s="40"/>
      <c r="W21" s="41"/>
      <c r="X21" s="43">
        <f>SUM(X18:X20)</f>
        <v>4</v>
      </c>
      <c r="Y21" s="43"/>
      <c r="Z21" s="44"/>
      <c r="AA21" s="81">
        <f>SUM(AA18:AA20)</f>
        <v>712</v>
      </c>
      <c r="AB21" s="649">
        <f>AA21/$AA$81</f>
        <v>2.1391007190294995E-2</v>
      </c>
      <c r="AC21" s="40"/>
      <c r="AD21" s="41"/>
      <c r="AE21" s="43">
        <f>SUM(AE18:AE20)</f>
        <v>4</v>
      </c>
      <c r="AF21" s="43"/>
      <c r="AG21" s="44"/>
      <c r="AH21" s="81">
        <f>SUM(AH18:AH20)</f>
        <v>712</v>
      </c>
      <c r="AI21" s="649">
        <f>AH21/$AH$81</f>
        <v>2.0129420471388309E-2</v>
      </c>
      <c r="AJ21" s="40"/>
      <c r="AK21" s="41"/>
      <c r="AL21" s="43">
        <f>SUM(AL18:AL20)</f>
        <v>4</v>
      </c>
      <c r="AM21" s="43"/>
      <c r="AN21" s="44"/>
      <c r="AO21" s="81">
        <f>SUM(AO18:AO20)</f>
        <v>712</v>
      </c>
      <c r="AP21" s="649">
        <f>AO21/$AO$81</f>
        <v>1.9037588309028994E-2</v>
      </c>
      <c r="AQ21" s="40"/>
      <c r="AR21" s="41"/>
      <c r="AS21" s="43">
        <f>SUM(AS18:AS20)</f>
        <v>4</v>
      </c>
      <c r="AT21" s="43"/>
      <c r="AU21" s="44"/>
      <c r="AV21" s="81">
        <f>SUM(AV18:AV20)</f>
        <v>712</v>
      </c>
      <c r="AW21" s="649">
        <f>AV21/$AV$81</f>
        <v>2.0037894783932569E-2</v>
      </c>
      <c r="AX21" s="40"/>
      <c r="AY21" s="41"/>
      <c r="AZ21" s="43">
        <f>SUM(AZ18:AZ20)</f>
        <v>4</v>
      </c>
      <c r="BA21" s="43"/>
      <c r="BB21" s="44"/>
      <c r="BC21" s="81">
        <f>SUM(BC18:BC20)</f>
        <v>712</v>
      </c>
      <c r="BD21" s="649">
        <f>BC21/$BC$81</f>
        <v>2.0034627770112223E-2</v>
      </c>
      <c r="BE21" s="40"/>
      <c r="BF21" s="41"/>
      <c r="BG21" s="43">
        <f>SUM(BG18:BG20)</f>
        <v>4</v>
      </c>
      <c r="BH21" s="43"/>
      <c r="BI21" s="44"/>
      <c r="BJ21" s="81">
        <f>SUM(BJ18:BJ20)</f>
        <v>712</v>
      </c>
      <c r="BK21" s="649">
        <f>BJ21/$BJ$81</f>
        <v>1.8182842451984517E-2</v>
      </c>
      <c r="BL21" s="40"/>
      <c r="BM21" s="41"/>
      <c r="BN21" s="43">
        <f>SUM(BN18:BN20)</f>
        <v>4</v>
      </c>
      <c r="BO21" s="43"/>
      <c r="BP21" s="44"/>
      <c r="BQ21" s="81">
        <f>SUM(BQ18:BQ20)</f>
        <v>712</v>
      </c>
      <c r="BR21" s="649">
        <f>BQ21/$BQ$81</f>
        <v>1.7920153069169061E-2</v>
      </c>
      <c r="BS21" s="40"/>
      <c r="BT21" s="41"/>
      <c r="BU21" s="43">
        <f>SUM(BU18:BU20)</f>
        <v>4</v>
      </c>
      <c r="BV21" s="43"/>
      <c r="BW21" s="44"/>
      <c r="BX21" s="81">
        <f>SUM(BX18:BX20)</f>
        <v>712</v>
      </c>
      <c r="BY21" s="649">
        <f>BX21/$BX$81</f>
        <v>1.9137578846174855E-2</v>
      </c>
      <c r="BZ21" s="40"/>
      <c r="CA21" s="41"/>
      <c r="CB21" s="43">
        <f>SUM(CB18:CB20)</f>
        <v>4</v>
      </c>
      <c r="CC21" s="43"/>
      <c r="CD21" s="44"/>
      <c r="CE21" s="81">
        <f>SUM(CE18:CE20)</f>
        <v>712</v>
      </c>
      <c r="CF21" s="649">
        <f>CE21/$CE$81</f>
        <v>2.0166898860181134E-2</v>
      </c>
      <c r="CG21" s="40"/>
      <c r="CH21" s="41"/>
      <c r="CI21" s="43">
        <f>SUM(CI18:CI20)</f>
        <v>4</v>
      </c>
      <c r="CJ21" s="43"/>
      <c r="CK21" s="44"/>
      <c r="CL21" s="81">
        <f>SUM(CL18:CL20)</f>
        <v>712</v>
      </c>
      <c r="CM21" s="649">
        <f>CL21/$CL$81</f>
        <v>1.9666099241245273E-2</v>
      </c>
      <c r="CN21" s="40"/>
      <c r="CO21" s="41"/>
      <c r="CP21" s="43">
        <f>SUM(CP18:CP20)</f>
        <v>4</v>
      </c>
      <c r="CQ21" s="43"/>
      <c r="CR21" s="44"/>
      <c r="CS21" s="81">
        <f>SUM(CS18:CS20)</f>
        <v>712</v>
      </c>
      <c r="CT21" s="649">
        <f>CS21/$CS$81</f>
        <v>1.9557538162965092E-2</v>
      </c>
      <c r="CU21" s="40"/>
      <c r="CV21" s="41"/>
      <c r="CW21" s="43">
        <f>SUM(CW18:CW20)</f>
        <v>4</v>
      </c>
      <c r="CX21" s="43"/>
      <c r="CY21" s="44"/>
      <c r="CZ21" s="81">
        <f>SUM(CZ18:CZ20)</f>
        <v>712</v>
      </c>
      <c r="DA21" s="649">
        <f>CZ21/$CZ$81</f>
        <v>1.7352709699549884E-2</v>
      </c>
    </row>
    <row r="22" spans="1:105" ht="12.75" x14ac:dyDescent="0.2">
      <c r="A22" s="17"/>
      <c r="B22" s="29"/>
      <c r="C22" s="11"/>
      <c r="D22" s="11"/>
      <c r="E22" s="105"/>
      <c r="F22" s="110"/>
      <c r="G22" s="652"/>
      <c r="H22" s="17"/>
      <c r="I22" s="29"/>
      <c r="J22" s="11"/>
      <c r="K22" s="11"/>
      <c r="L22" s="105"/>
      <c r="M22" s="110"/>
      <c r="N22" s="652"/>
      <c r="O22" s="17"/>
      <c r="P22" s="29"/>
      <c r="Q22" s="11"/>
      <c r="R22" s="11"/>
      <c r="S22" s="105"/>
      <c r="T22" s="110"/>
      <c r="U22" s="652"/>
      <c r="V22" s="17"/>
      <c r="W22" s="29"/>
      <c r="X22" s="11"/>
      <c r="Y22" s="11"/>
      <c r="Z22" s="105"/>
      <c r="AA22" s="110"/>
      <c r="AB22" s="652"/>
      <c r="AC22" s="17"/>
      <c r="AD22" s="29"/>
      <c r="AE22" s="11"/>
      <c r="AF22" s="11"/>
      <c r="AG22" s="105"/>
      <c r="AH22" s="110"/>
      <c r="AI22" s="652"/>
      <c r="AJ22" s="17"/>
      <c r="AK22" s="29"/>
      <c r="AL22" s="11"/>
      <c r="AM22" s="11"/>
      <c r="AN22" s="105"/>
      <c r="AO22" s="110"/>
      <c r="AP22" s="652"/>
      <c r="AQ22" s="17"/>
      <c r="AR22" s="29"/>
      <c r="AS22" s="11"/>
      <c r="AT22" s="11"/>
      <c r="AU22" s="105"/>
      <c r="AV22" s="110"/>
      <c r="AW22" s="652"/>
      <c r="AX22" s="17"/>
      <c r="AY22" s="29"/>
      <c r="AZ22" s="11"/>
      <c r="BA22" s="11"/>
      <c r="BB22" s="105"/>
      <c r="BC22" s="110"/>
      <c r="BD22" s="652"/>
      <c r="BE22" s="17"/>
      <c r="BF22" s="29"/>
      <c r="BG22" s="11"/>
      <c r="BH22" s="11"/>
      <c r="BI22" s="105"/>
      <c r="BJ22" s="110"/>
      <c r="BK22" s="652"/>
      <c r="BL22" s="17"/>
      <c r="BM22" s="29"/>
      <c r="BN22" s="11"/>
      <c r="BO22" s="11"/>
      <c r="BP22" s="105"/>
      <c r="BQ22" s="110"/>
      <c r="BR22" s="652"/>
      <c r="BS22" s="17"/>
      <c r="BT22" s="29"/>
      <c r="BU22" s="11"/>
      <c r="BV22" s="11"/>
      <c r="BW22" s="105"/>
      <c r="BX22" s="110"/>
      <c r="BY22" s="652"/>
      <c r="BZ22" s="17"/>
      <c r="CA22" s="29"/>
      <c r="CB22" s="11"/>
      <c r="CC22" s="11"/>
      <c r="CD22" s="105"/>
      <c r="CE22" s="110"/>
      <c r="CF22" s="652"/>
      <c r="CG22" s="17"/>
      <c r="CH22" s="29"/>
      <c r="CI22" s="11"/>
      <c r="CJ22" s="11"/>
      <c r="CK22" s="105"/>
      <c r="CL22" s="110"/>
      <c r="CM22" s="652"/>
      <c r="CN22" s="17"/>
      <c r="CO22" s="29"/>
      <c r="CP22" s="11"/>
      <c r="CQ22" s="11"/>
      <c r="CR22" s="105"/>
      <c r="CS22" s="110"/>
      <c r="CT22" s="652"/>
      <c r="CU22" s="17"/>
      <c r="CV22" s="29"/>
      <c r="CW22" s="11"/>
      <c r="CX22" s="11"/>
      <c r="CY22" s="105"/>
      <c r="CZ22" s="110"/>
      <c r="DA22" s="652"/>
    </row>
    <row r="23" spans="1:105" ht="12.75" x14ac:dyDescent="0.2">
      <c r="A23" s="17" t="str">
        <f>'Variante Vorgaben'!$A$114:$H$114</f>
        <v xml:space="preserve">Pflanzenschutzmittel, Wachstumstregulatoren und Blattdüngung                                                                          </v>
      </c>
      <c r="B23" s="29"/>
      <c r="C23" s="11"/>
      <c r="D23" s="11"/>
      <c r="E23" s="105"/>
      <c r="F23" s="110"/>
      <c r="G23" s="653"/>
      <c r="H23" s="17" t="s">
        <v>637</v>
      </c>
      <c r="I23" s="29"/>
      <c r="J23" s="11"/>
      <c r="K23" s="11"/>
      <c r="L23" s="105"/>
      <c r="M23" s="110"/>
      <c r="N23" s="653"/>
      <c r="O23" s="17" t="s">
        <v>637</v>
      </c>
      <c r="P23" s="29"/>
      <c r="Q23" s="11"/>
      <c r="R23" s="11"/>
      <c r="S23" s="105"/>
      <c r="T23" s="110"/>
      <c r="U23" s="653"/>
      <c r="V23" s="17" t="s">
        <v>637</v>
      </c>
      <c r="W23" s="29"/>
      <c r="X23" s="11"/>
      <c r="Y23" s="11"/>
      <c r="Z23" s="105"/>
      <c r="AA23" s="110"/>
      <c r="AB23" s="653"/>
      <c r="AC23" s="17" t="s">
        <v>637</v>
      </c>
      <c r="AD23" s="29"/>
      <c r="AE23" s="11"/>
      <c r="AF23" s="11"/>
      <c r="AG23" s="105"/>
      <c r="AH23" s="110"/>
      <c r="AI23" s="653"/>
      <c r="AJ23" s="17" t="s">
        <v>637</v>
      </c>
      <c r="AK23" s="29"/>
      <c r="AL23" s="11"/>
      <c r="AM23" s="11"/>
      <c r="AN23" s="105"/>
      <c r="AO23" s="110"/>
      <c r="AP23" s="653"/>
      <c r="AQ23" s="17" t="s">
        <v>637</v>
      </c>
      <c r="AR23" s="29"/>
      <c r="AS23" s="11"/>
      <c r="AT23" s="11"/>
      <c r="AU23" s="105"/>
      <c r="AV23" s="110"/>
      <c r="AW23" s="653"/>
      <c r="AX23" s="17" t="s">
        <v>637</v>
      </c>
      <c r="AY23" s="29"/>
      <c r="AZ23" s="11"/>
      <c r="BA23" s="11"/>
      <c r="BB23" s="105"/>
      <c r="BC23" s="110"/>
      <c r="BD23" s="653"/>
      <c r="BE23" s="17" t="s">
        <v>637</v>
      </c>
      <c r="BF23" s="29"/>
      <c r="BG23" s="11"/>
      <c r="BH23" s="11"/>
      <c r="BI23" s="105"/>
      <c r="BJ23" s="110"/>
      <c r="BK23" s="653"/>
      <c r="BL23" s="17" t="s">
        <v>637</v>
      </c>
      <c r="BM23" s="29"/>
      <c r="BN23" s="11"/>
      <c r="BO23" s="11"/>
      <c r="BP23" s="105"/>
      <c r="BQ23" s="110"/>
      <c r="BR23" s="653"/>
      <c r="BS23" s="17" t="s">
        <v>637</v>
      </c>
      <c r="BT23" s="29"/>
      <c r="BU23" s="11"/>
      <c r="BV23" s="11"/>
      <c r="BW23" s="105"/>
      <c r="BX23" s="110"/>
      <c r="BY23" s="653"/>
      <c r="BZ23" s="17" t="s">
        <v>637</v>
      </c>
      <c r="CA23" s="29"/>
      <c r="CB23" s="11"/>
      <c r="CC23" s="11"/>
      <c r="CD23" s="105"/>
      <c r="CE23" s="110"/>
      <c r="CF23" s="653"/>
      <c r="CG23" s="17" t="s">
        <v>637</v>
      </c>
      <c r="CH23" s="29"/>
      <c r="CI23" s="11"/>
      <c r="CJ23" s="11"/>
      <c r="CK23" s="105"/>
      <c r="CL23" s="110"/>
      <c r="CM23" s="653"/>
      <c r="CN23" s="17" t="s">
        <v>637</v>
      </c>
      <c r="CO23" s="29"/>
      <c r="CP23" s="11"/>
      <c r="CQ23" s="11"/>
      <c r="CR23" s="105"/>
      <c r="CS23" s="110"/>
      <c r="CT23" s="653"/>
      <c r="CU23" s="17" t="s">
        <v>637</v>
      </c>
      <c r="CV23" s="29"/>
      <c r="CW23" s="11"/>
      <c r="CX23" s="11"/>
      <c r="CY23" s="105"/>
      <c r="CZ23" s="110"/>
      <c r="DA23" s="653"/>
    </row>
    <row r="24" spans="1:105" ht="12.75" x14ac:dyDescent="0.2">
      <c r="A24" s="17"/>
      <c r="B24" s="29"/>
      <c r="C24" s="11"/>
      <c r="D24" s="11"/>
      <c r="E24" s="105"/>
      <c r="F24" s="110"/>
      <c r="G24" s="653"/>
      <c r="H24" s="17"/>
      <c r="I24" s="29"/>
      <c r="J24" s="11"/>
      <c r="K24" s="11"/>
      <c r="L24" s="105"/>
      <c r="M24" s="110"/>
      <c r="N24" s="653"/>
      <c r="O24" s="17"/>
      <c r="P24" s="29"/>
      <c r="Q24" s="11"/>
      <c r="R24" s="11"/>
      <c r="S24" s="105"/>
      <c r="T24" s="110"/>
      <c r="U24" s="653"/>
      <c r="V24" s="17"/>
      <c r="W24" s="29"/>
      <c r="X24" s="11"/>
      <c r="Y24" s="11"/>
      <c r="Z24" s="105"/>
      <c r="AA24" s="110"/>
      <c r="AB24" s="653"/>
      <c r="AC24" s="17"/>
      <c r="AD24" s="29"/>
      <c r="AE24" s="11"/>
      <c r="AF24" s="11"/>
      <c r="AG24" s="105"/>
      <c r="AH24" s="110"/>
      <c r="AI24" s="653"/>
      <c r="AJ24" s="17"/>
      <c r="AK24" s="29"/>
      <c r="AL24" s="11"/>
      <c r="AM24" s="11"/>
      <c r="AN24" s="105"/>
      <c r="AO24" s="110"/>
      <c r="AP24" s="653"/>
      <c r="AQ24" s="17"/>
      <c r="AR24" s="29"/>
      <c r="AS24" s="11"/>
      <c r="AT24" s="11"/>
      <c r="AU24" s="105"/>
      <c r="AV24" s="110"/>
      <c r="AW24" s="653"/>
      <c r="AX24" s="17"/>
      <c r="AY24" s="29"/>
      <c r="AZ24" s="11"/>
      <c r="BA24" s="11"/>
      <c r="BB24" s="105"/>
      <c r="BC24" s="110"/>
      <c r="BD24" s="653"/>
      <c r="BE24" s="17"/>
      <c r="BF24" s="29"/>
      <c r="BG24" s="11"/>
      <c r="BH24" s="11"/>
      <c r="BI24" s="105"/>
      <c r="BJ24" s="110"/>
      <c r="BK24" s="653"/>
      <c r="BL24" s="17"/>
      <c r="BM24" s="29"/>
      <c r="BN24" s="11"/>
      <c r="BO24" s="11"/>
      <c r="BP24" s="105"/>
      <c r="BQ24" s="110"/>
      <c r="BR24" s="653"/>
      <c r="BS24" s="17"/>
      <c r="BT24" s="29"/>
      <c r="BU24" s="11"/>
      <c r="BV24" s="11"/>
      <c r="BW24" s="105"/>
      <c r="BX24" s="110"/>
      <c r="BY24" s="653"/>
      <c r="BZ24" s="17"/>
      <c r="CA24" s="29"/>
      <c r="CB24" s="11"/>
      <c r="CC24" s="11"/>
      <c r="CD24" s="105"/>
      <c r="CE24" s="110"/>
      <c r="CF24" s="653"/>
      <c r="CG24" s="17"/>
      <c r="CH24" s="29"/>
      <c r="CI24" s="11"/>
      <c r="CJ24" s="11"/>
      <c r="CK24" s="105"/>
      <c r="CL24" s="110"/>
      <c r="CM24" s="653"/>
      <c r="CN24" s="17"/>
      <c r="CO24" s="29"/>
      <c r="CP24" s="11"/>
      <c r="CQ24" s="11"/>
      <c r="CR24" s="105"/>
      <c r="CS24" s="110"/>
      <c r="CT24" s="653"/>
      <c r="CU24" s="17"/>
      <c r="CV24" s="29"/>
      <c r="CW24" s="11"/>
      <c r="CX24" s="11"/>
      <c r="CY24" s="105"/>
      <c r="CZ24" s="110"/>
      <c r="DA24" s="653"/>
    </row>
    <row r="25" spans="1:105" ht="12.75" x14ac:dyDescent="0.2">
      <c r="A25" s="193" t="str">
        <f>'Variante Vorgaben'!$A$117</f>
        <v>Fungizide</v>
      </c>
      <c r="B25" s="29"/>
      <c r="C25" s="669"/>
      <c r="D25" s="669"/>
      <c r="E25" s="1346"/>
      <c r="F25" s="25">
        <f>'Variante Vorgaben'!B117*(1+Eingabeseite!$C$31)</f>
        <v>1209</v>
      </c>
      <c r="G25" s="653">
        <f>F25/$F$81</f>
        <v>9.482429956431368E-2</v>
      </c>
      <c r="H25" s="193" t="str">
        <f>'Variante Vorgaben'!$A$117</f>
        <v>Fungizide</v>
      </c>
      <c r="I25" s="29"/>
      <c r="J25" s="669"/>
      <c r="K25" s="669"/>
      <c r="L25" s="1346"/>
      <c r="M25" s="25">
        <f>'Variante Vorgaben'!C117*(1+Eingabeseite!$C$31)</f>
        <v>1209</v>
      </c>
      <c r="N25" s="653">
        <f>M25/$F$81</f>
        <v>9.482429956431368E-2</v>
      </c>
      <c r="O25" s="193" t="str">
        <f>'Variante Vorgaben'!$A$117</f>
        <v>Fungizide</v>
      </c>
      <c r="P25" s="29"/>
      <c r="Q25" s="13"/>
      <c r="R25" s="13"/>
      <c r="S25" s="357"/>
      <c r="T25" s="25">
        <f>'Variante Vorgaben'!$D$117*(1+Eingabeseite!$C$31)</f>
        <v>2844</v>
      </c>
      <c r="U25" s="653">
        <f>T25/$F$81</f>
        <v>0.22306063520339792</v>
      </c>
      <c r="V25" s="193" t="str">
        <f>'Variante Vorgaben'!$A$117</f>
        <v>Fungizide</v>
      </c>
      <c r="W25" s="29"/>
      <c r="X25" s="13"/>
      <c r="Y25" s="13"/>
      <c r="Z25" s="357"/>
      <c r="AA25" s="25">
        <f>'Variante Vorgaben'!$D$117*(1+Eingabeseite!$C$31)</f>
        <v>2844</v>
      </c>
      <c r="AB25" s="653">
        <f>AA25/$F$81</f>
        <v>0.22306063520339792</v>
      </c>
      <c r="AC25" s="193" t="str">
        <f>'Variante Vorgaben'!$A$117</f>
        <v>Fungizide</v>
      </c>
      <c r="AD25" s="29"/>
      <c r="AE25" s="13"/>
      <c r="AF25" s="13"/>
      <c r="AG25" s="357"/>
      <c r="AH25" s="25">
        <f>'Variante Vorgaben'!$D$117*(1+Eingabeseite!$C$31)</f>
        <v>2844</v>
      </c>
      <c r="AI25" s="653">
        <f>AH25/$F$81</f>
        <v>0.22306063520339792</v>
      </c>
      <c r="AJ25" s="193" t="str">
        <f>'Variante Vorgaben'!$A$117</f>
        <v>Fungizide</v>
      </c>
      <c r="AK25" s="29"/>
      <c r="AL25" s="13"/>
      <c r="AM25" s="13"/>
      <c r="AN25" s="357"/>
      <c r="AO25" s="25">
        <f>'Variante Vorgaben'!$D$117*(1+Eingabeseite!$C$31)</f>
        <v>2844</v>
      </c>
      <c r="AP25" s="653">
        <f>AO25/$F$81</f>
        <v>0.22306063520339792</v>
      </c>
      <c r="AQ25" s="193" t="str">
        <f>'Variante Vorgaben'!$A$117</f>
        <v>Fungizide</v>
      </c>
      <c r="AR25" s="29"/>
      <c r="AS25" s="13"/>
      <c r="AT25" s="13"/>
      <c r="AU25" s="357"/>
      <c r="AV25" s="25">
        <f>'Variante Vorgaben'!$D$117*(1+Eingabeseite!$C$31)</f>
        <v>2844</v>
      </c>
      <c r="AW25" s="653">
        <f>AV25/$F$81</f>
        <v>0.22306063520339792</v>
      </c>
      <c r="AX25" s="193" t="str">
        <f>'Variante Vorgaben'!$A$117</f>
        <v>Fungizide</v>
      </c>
      <c r="AY25" s="29"/>
      <c r="AZ25" s="13"/>
      <c r="BA25" s="13"/>
      <c r="BB25" s="357"/>
      <c r="BC25" s="25">
        <f>'Variante Vorgaben'!$D$117*(1+Eingabeseite!$C$31)</f>
        <v>2844</v>
      </c>
      <c r="BD25" s="653">
        <f>BC25/$F$81</f>
        <v>0.22306063520339792</v>
      </c>
      <c r="BE25" s="193" t="str">
        <f>'Variante Vorgaben'!$A$117</f>
        <v>Fungizide</v>
      </c>
      <c r="BF25" s="29"/>
      <c r="BG25" s="13"/>
      <c r="BH25" s="13"/>
      <c r="BI25" s="357"/>
      <c r="BJ25" s="25">
        <f>'Variante Vorgaben'!$D$117*(1+Eingabeseite!$C$31)</f>
        <v>2844</v>
      </c>
      <c r="BK25" s="653">
        <f>BJ25/$F$81</f>
        <v>0.22306063520339792</v>
      </c>
      <c r="BL25" s="193" t="str">
        <f>'Variante Vorgaben'!$A$117</f>
        <v>Fungizide</v>
      </c>
      <c r="BM25" s="29"/>
      <c r="BN25" s="13"/>
      <c r="BO25" s="13"/>
      <c r="BP25" s="357"/>
      <c r="BQ25" s="25">
        <f>'Variante Vorgaben'!$D$117*(1+Eingabeseite!$C$31)</f>
        <v>2844</v>
      </c>
      <c r="BR25" s="653">
        <f>BQ25/$F$81</f>
        <v>0.22306063520339792</v>
      </c>
      <c r="BS25" s="193" t="str">
        <f>'Variante Vorgaben'!$A$117</f>
        <v>Fungizide</v>
      </c>
      <c r="BT25" s="29"/>
      <c r="BU25" s="13"/>
      <c r="BV25" s="13"/>
      <c r="BW25" s="357"/>
      <c r="BX25" s="25">
        <f>'Variante Vorgaben'!$D$117*(1+Eingabeseite!$C$31)</f>
        <v>2844</v>
      </c>
      <c r="BY25" s="653">
        <f>BX25/$F$81</f>
        <v>0.22306063520339792</v>
      </c>
      <c r="BZ25" s="193" t="str">
        <f>'Variante Vorgaben'!$A$117</f>
        <v>Fungizide</v>
      </c>
      <c r="CA25" s="29"/>
      <c r="CB25" s="13"/>
      <c r="CC25" s="13"/>
      <c r="CD25" s="357"/>
      <c r="CE25" s="25">
        <f>'Variante Vorgaben'!$D$117*(1+Eingabeseite!$C$31)</f>
        <v>2844</v>
      </c>
      <c r="CF25" s="653">
        <f>CE25/$F$81</f>
        <v>0.22306063520339792</v>
      </c>
      <c r="CG25" s="193" t="str">
        <f>'Variante Vorgaben'!$A$117</f>
        <v>Fungizide</v>
      </c>
      <c r="CH25" s="29"/>
      <c r="CI25" s="13"/>
      <c r="CJ25" s="13"/>
      <c r="CK25" s="357"/>
      <c r="CL25" s="25">
        <f>'Variante Vorgaben'!$D$117*(1+Eingabeseite!$C$31)</f>
        <v>2844</v>
      </c>
      <c r="CM25" s="653">
        <f>CL25/$F$81</f>
        <v>0.22306063520339792</v>
      </c>
      <c r="CN25" s="193" t="str">
        <f>'Variante Vorgaben'!$A$117</f>
        <v>Fungizide</v>
      </c>
      <c r="CO25" s="29"/>
      <c r="CP25" s="13"/>
      <c r="CQ25" s="13"/>
      <c r="CR25" s="357"/>
      <c r="CS25" s="25">
        <f>'Variante Vorgaben'!$D$117*(1+Eingabeseite!$C$31)</f>
        <v>2844</v>
      </c>
      <c r="CT25" s="653">
        <f>CS25/$F$81</f>
        <v>0.22306063520339792</v>
      </c>
      <c r="CU25" s="193" t="str">
        <f>'Variante Vorgaben'!$A$117</f>
        <v>Fungizide</v>
      </c>
      <c r="CV25" s="29"/>
      <c r="CW25" s="13"/>
      <c r="CX25" s="13"/>
      <c r="CY25" s="357"/>
      <c r="CZ25" s="25">
        <f>'Variante Vorgaben'!$D$117*(1+Eingabeseite!$C$31)</f>
        <v>2844</v>
      </c>
      <c r="DA25" s="653">
        <f>CZ25/$F$81</f>
        <v>0.22306063520339792</v>
      </c>
    </row>
    <row r="26" spans="1:105" ht="12.75" x14ac:dyDescent="0.2">
      <c r="A26" s="193" t="str">
        <f>'Variante Vorgaben'!$A$118</f>
        <v>Feuerbrandbekämpfung</v>
      </c>
      <c r="B26" s="29"/>
      <c r="C26" s="669"/>
      <c r="D26" s="669"/>
      <c r="E26" s="1346"/>
      <c r="F26" s="25">
        <f>'Variante Vorgaben'!B118*(1+Eingabeseite!$C$31)</f>
        <v>0</v>
      </c>
      <c r="G26" s="653">
        <f>F26/$F$81</f>
        <v>0</v>
      </c>
      <c r="H26" s="193" t="str">
        <f>'Variante Vorgaben'!$A$118</f>
        <v>Feuerbrandbekämpfung</v>
      </c>
      <c r="I26" s="29"/>
      <c r="J26" s="669"/>
      <c r="K26" s="669"/>
      <c r="L26" s="1346"/>
      <c r="M26" s="25">
        <f>'Variante Vorgaben'!C118*(1+Eingabeseite!$C$31)</f>
        <v>0</v>
      </c>
      <c r="N26" s="653">
        <f>M26/$F$81</f>
        <v>0</v>
      </c>
      <c r="O26" s="193" t="str">
        <f>'Variante Vorgaben'!$A$118</f>
        <v>Feuerbrandbekämpfung</v>
      </c>
      <c r="P26" s="29"/>
      <c r="Q26" s="13"/>
      <c r="R26" s="13"/>
      <c r="S26" s="357"/>
      <c r="T26" s="25">
        <f>'Variante Vorgaben'!$D$118*(1+Eingabeseite!$C$31)</f>
        <v>1057</v>
      </c>
      <c r="U26" s="653">
        <f>T26/$F$81</f>
        <v>8.2902634110404924E-2</v>
      </c>
      <c r="V26" s="193" t="str">
        <f>'Variante Vorgaben'!$A$118</f>
        <v>Feuerbrandbekämpfung</v>
      </c>
      <c r="W26" s="29"/>
      <c r="X26" s="13"/>
      <c r="Y26" s="13"/>
      <c r="Z26" s="357"/>
      <c r="AA26" s="25">
        <f>'Variante Vorgaben'!$D$118*(1+Eingabeseite!$C$31)</f>
        <v>1057</v>
      </c>
      <c r="AB26" s="653">
        <f>AA26/$F$81</f>
        <v>8.2902634110404924E-2</v>
      </c>
      <c r="AC26" s="193" t="str">
        <f>'Variante Vorgaben'!$A$118</f>
        <v>Feuerbrandbekämpfung</v>
      </c>
      <c r="AD26" s="29"/>
      <c r="AE26" s="13"/>
      <c r="AF26" s="13"/>
      <c r="AG26" s="357"/>
      <c r="AH26" s="25">
        <f>'Variante Vorgaben'!$D$118*(1+Eingabeseite!$C$31)</f>
        <v>1057</v>
      </c>
      <c r="AI26" s="653">
        <f>AH26/$F$81</f>
        <v>8.2902634110404924E-2</v>
      </c>
      <c r="AJ26" s="193" t="str">
        <f>'Variante Vorgaben'!$A$118</f>
        <v>Feuerbrandbekämpfung</v>
      </c>
      <c r="AK26" s="29"/>
      <c r="AL26" s="13"/>
      <c r="AM26" s="13"/>
      <c r="AN26" s="357"/>
      <c r="AO26" s="25">
        <f>'Variante Vorgaben'!$D$118*(1+Eingabeseite!$C$31)</f>
        <v>1057</v>
      </c>
      <c r="AP26" s="653">
        <f>AO26/$F$81</f>
        <v>8.2902634110404924E-2</v>
      </c>
      <c r="AQ26" s="193" t="str">
        <f>'Variante Vorgaben'!$A$118</f>
        <v>Feuerbrandbekämpfung</v>
      </c>
      <c r="AR26" s="29"/>
      <c r="AS26" s="13"/>
      <c r="AT26" s="13"/>
      <c r="AU26" s="357"/>
      <c r="AV26" s="25">
        <f>'Variante Vorgaben'!$D$118*(1+Eingabeseite!$C$31)</f>
        <v>1057</v>
      </c>
      <c r="AW26" s="653">
        <f>AV26/$F$81</f>
        <v>8.2902634110404924E-2</v>
      </c>
      <c r="AX26" s="193" t="str">
        <f>'Variante Vorgaben'!$A$118</f>
        <v>Feuerbrandbekämpfung</v>
      </c>
      <c r="AY26" s="29"/>
      <c r="AZ26" s="13"/>
      <c r="BA26" s="13"/>
      <c r="BB26" s="357"/>
      <c r="BC26" s="25">
        <f>'Variante Vorgaben'!$D$118*(1+Eingabeseite!$C$31)</f>
        <v>1057</v>
      </c>
      <c r="BD26" s="653">
        <f>BC26/$F$81</f>
        <v>8.2902634110404924E-2</v>
      </c>
      <c r="BE26" s="193" t="str">
        <f>'Variante Vorgaben'!$A$118</f>
        <v>Feuerbrandbekämpfung</v>
      </c>
      <c r="BF26" s="29"/>
      <c r="BG26" s="13"/>
      <c r="BH26" s="13"/>
      <c r="BI26" s="357"/>
      <c r="BJ26" s="25">
        <f>'Variante Vorgaben'!$D$118*(1+Eingabeseite!$C$31)</f>
        <v>1057</v>
      </c>
      <c r="BK26" s="653">
        <f>BJ26/$F$81</f>
        <v>8.2902634110404924E-2</v>
      </c>
      <c r="BL26" s="193" t="str">
        <f>'Variante Vorgaben'!$A$118</f>
        <v>Feuerbrandbekämpfung</v>
      </c>
      <c r="BM26" s="29"/>
      <c r="BN26" s="13"/>
      <c r="BO26" s="13"/>
      <c r="BP26" s="357"/>
      <c r="BQ26" s="25">
        <f>'Variante Vorgaben'!$D$118*(1+Eingabeseite!$C$31)</f>
        <v>1057</v>
      </c>
      <c r="BR26" s="653">
        <f>BQ26/$F$81</f>
        <v>8.2902634110404924E-2</v>
      </c>
      <c r="BS26" s="193" t="str">
        <f>'Variante Vorgaben'!$A$118</f>
        <v>Feuerbrandbekämpfung</v>
      </c>
      <c r="BT26" s="29"/>
      <c r="BU26" s="13"/>
      <c r="BV26" s="13"/>
      <c r="BW26" s="357"/>
      <c r="BX26" s="25">
        <f>'Variante Vorgaben'!$D$118*(1+Eingabeseite!$C$31)</f>
        <v>1057</v>
      </c>
      <c r="BY26" s="653">
        <f>BX26/$F$81</f>
        <v>8.2902634110404924E-2</v>
      </c>
      <c r="BZ26" s="193" t="str">
        <f>'Variante Vorgaben'!$A$118</f>
        <v>Feuerbrandbekämpfung</v>
      </c>
      <c r="CA26" s="29"/>
      <c r="CB26" s="13"/>
      <c r="CC26" s="13"/>
      <c r="CD26" s="357"/>
      <c r="CE26" s="25">
        <f>'Variante Vorgaben'!$D$118*(1+Eingabeseite!$C$31)</f>
        <v>1057</v>
      </c>
      <c r="CF26" s="653">
        <f>CE26/$F$81</f>
        <v>8.2902634110404924E-2</v>
      </c>
      <c r="CG26" s="193" t="str">
        <f>'Variante Vorgaben'!$A$118</f>
        <v>Feuerbrandbekämpfung</v>
      </c>
      <c r="CH26" s="29"/>
      <c r="CI26" s="13"/>
      <c r="CJ26" s="13"/>
      <c r="CK26" s="357"/>
      <c r="CL26" s="25">
        <f>'Variante Vorgaben'!$D$118*(1+Eingabeseite!$C$31)</f>
        <v>1057</v>
      </c>
      <c r="CM26" s="653">
        <f>CL26/$F$81</f>
        <v>8.2902634110404924E-2</v>
      </c>
      <c r="CN26" s="193" t="str">
        <f>'Variante Vorgaben'!$A$118</f>
        <v>Feuerbrandbekämpfung</v>
      </c>
      <c r="CO26" s="29"/>
      <c r="CP26" s="13"/>
      <c r="CQ26" s="13"/>
      <c r="CR26" s="357"/>
      <c r="CS26" s="25">
        <f>'Variante Vorgaben'!$D$118*(1+Eingabeseite!$C$31)</f>
        <v>1057</v>
      </c>
      <c r="CT26" s="653">
        <f>CS26/$F$81</f>
        <v>8.2902634110404924E-2</v>
      </c>
      <c r="CU26" s="193" t="str">
        <f>'Variante Vorgaben'!$A$118</f>
        <v>Feuerbrandbekämpfung</v>
      </c>
      <c r="CV26" s="29"/>
      <c r="CW26" s="13"/>
      <c r="CX26" s="13"/>
      <c r="CY26" s="357"/>
      <c r="CZ26" s="25">
        <f>'Variante Vorgaben'!$D$118*(1+Eingabeseite!$C$31)</f>
        <v>1057</v>
      </c>
      <c r="DA26" s="653">
        <f>CZ26/$F$81</f>
        <v>8.2902634110404924E-2</v>
      </c>
    </row>
    <row r="27" spans="1:105" ht="12.75" x14ac:dyDescent="0.2">
      <c r="A27" s="193" t="str">
        <f>'Variante Vorgaben'!$A$119</f>
        <v>Insektizide</v>
      </c>
      <c r="B27" s="29"/>
      <c r="C27" s="669"/>
      <c r="D27" s="669"/>
      <c r="E27" s="1346"/>
      <c r="F27" s="25">
        <f>'Variante Vorgaben'!B119*(1+Eingabeseite!$C$31)</f>
        <v>491</v>
      </c>
      <c r="G27" s="653">
        <f>F27/$F$81</f>
        <v>3.8510116696507869E-2</v>
      </c>
      <c r="H27" s="193" t="str">
        <f>'Variante Vorgaben'!$A$119</f>
        <v>Insektizide</v>
      </c>
      <c r="I27" s="29"/>
      <c r="J27" s="669"/>
      <c r="K27" s="669"/>
      <c r="L27" s="1346"/>
      <c r="M27" s="25">
        <f>'Variante Vorgaben'!C119*(1+Eingabeseite!$C$31)</f>
        <v>491</v>
      </c>
      <c r="N27" s="653">
        <f>M27/$F$81</f>
        <v>3.8510116696507869E-2</v>
      </c>
      <c r="O27" s="193" t="str">
        <f>'Variante Vorgaben'!$A$119</f>
        <v>Insektizide</v>
      </c>
      <c r="P27" s="29"/>
      <c r="Q27" s="13"/>
      <c r="R27" s="13"/>
      <c r="S27" s="357"/>
      <c r="T27" s="25">
        <f>'Variante Vorgaben'!$D$119*(1+Eingabeseite!$C$31)</f>
        <v>1241</v>
      </c>
      <c r="U27" s="653">
        <f>T27/$F$81</f>
        <v>9.7334123870399733E-2</v>
      </c>
      <c r="V27" s="193" t="str">
        <f>'Variante Vorgaben'!$A$119</f>
        <v>Insektizide</v>
      </c>
      <c r="W27" s="29"/>
      <c r="X27" s="13"/>
      <c r="Y27" s="13"/>
      <c r="Z27" s="357"/>
      <c r="AA27" s="25">
        <f>'Variante Vorgaben'!$D$119*(1+Eingabeseite!$C$31)</f>
        <v>1241</v>
      </c>
      <c r="AB27" s="653">
        <f>AA27/$F$81</f>
        <v>9.7334123870399733E-2</v>
      </c>
      <c r="AC27" s="193" t="str">
        <f>'Variante Vorgaben'!$A$119</f>
        <v>Insektizide</v>
      </c>
      <c r="AD27" s="29"/>
      <c r="AE27" s="13"/>
      <c r="AF27" s="13"/>
      <c r="AG27" s="357"/>
      <c r="AH27" s="25">
        <f>'Variante Vorgaben'!$D$119*(1+Eingabeseite!$C$31)</f>
        <v>1241</v>
      </c>
      <c r="AI27" s="653">
        <f>AH27/$F$81</f>
        <v>9.7334123870399733E-2</v>
      </c>
      <c r="AJ27" s="193" t="str">
        <f>'Variante Vorgaben'!$A$119</f>
        <v>Insektizide</v>
      </c>
      <c r="AK27" s="29"/>
      <c r="AL27" s="13"/>
      <c r="AM27" s="13"/>
      <c r="AN27" s="357"/>
      <c r="AO27" s="25">
        <f>'Variante Vorgaben'!$D$119*(1+Eingabeseite!$C$31)</f>
        <v>1241</v>
      </c>
      <c r="AP27" s="653">
        <f>AO27/$F$81</f>
        <v>9.7334123870399733E-2</v>
      </c>
      <c r="AQ27" s="193" t="str">
        <f>'Variante Vorgaben'!$A$119</f>
        <v>Insektizide</v>
      </c>
      <c r="AR27" s="29"/>
      <c r="AS27" s="13"/>
      <c r="AT27" s="13"/>
      <c r="AU27" s="357"/>
      <c r="AV27" s="25">
        <f>'Variante Vorgaben'!$D$119*(1+Eingabeseite!$C$31)</f>
        <v>1241</v>
      </c>
      <c r="AW27" s="653">
        <f>AV27/$F$81</f>
        <v>9.7334123870399733E-2</v>
      </c>
      <c r="AX27" s="193" t="str">
        <f>'Variante Vorgaben'!$A$119</f>
        <v>Insektizide</v>
      </c>
      <c r="AY27" s="29"/>
      <c r="AZ27" s="13"/>
      <c r="BA27" s="13"/>
      <c r="BB27" s="357"/>
      <c r="BC27" s="25">
        <f>'Variante Vorgaben'!$D$119*(1+Eingabeseite!$C$31)</f>
        <v>1241</v>
      </c>
      <c r="BD27" s="653">
        <f>BC27/$F$81</f>
        <v>9.7334123870399733E-2</v>
      </c>
      <c r="BE27" s="193" t="str">
        <f>'Variante Vorgaben'!$A$119</f>
        <v>Insektizide</v>
      </c>
      <c r="BF27" s="29"/>
      <c r="BG27" s="13"/>
      <c r="BH27" s="13"/>
      <c r="BI27" s="357"/>
      <c r="BJ27" s="25">
        <f>'Variante Vorgaben'!$D$119*(1+Eingabeseite!$C$31)</f>
        <v>1241</v>
      </c>
      <c r="BK27" s="653">
        <f>BJ27/$F$81</f>
        <v>9.7334123870399733E-2</v>
      </c>
      <c r="BL27" s="193" t="str">
        <f>'Variante Vorgaben'!$A$119</f>
        <v>Insektizide</v>
      </c>
      <c r="BM27" s="29"/>
      <c r="BN27" s="13"/>
      <c r="BO27" s="13"/>
      <c r="BP27" s="357"/>
      <c r="BQ27" s="25">
        <f>'Variante Vorgaben'!$D$119*(1+Eingabeseite!$C$31)</f>
        <v>1241</v>
      </c>
      <c r="BR27" s="653">
        <f>BQ27/$F$81</f>
        <v>9.7334123870399733E-2</v>
      </c>
      <c r="BS27" s="193" t="str">
        <f>'Variante Vorgaben'!$A$119</f>
        <v>Insektizide</v>
      </c>
      <c r="BT27" s="29"/>
      <c r="BU27" s="13"/>
      <c r="BV27" s="13"/>
      <c r="BW27" s="357"/>
      <c r="BX27" s="25">
        <f>'Variante Vorgaben'!$D$119*(1+Eingabeseite!$C$31)</f>
        <v>1241</v>
      </c>
      <c r="BY27" s="653">
        <f>BX27/$F$81</f>
        <v>9.7334123870399733E-2</v>
      </c>
      <c r="BZ27" s="193" t="str">
        <f>'Variante Vorgaben'!$A$119</f>
        <v>Insektizide</v>
      </c>
      <c r="CA27" s="29"/>
      <c r="CB27" s="13"/>
      <c r="CC27" s="13"/>
      <c r="CD27" s="357"/>
      <c r="CE27" s="25">
        <f>'Variante Vorgaben'!$D$119*(1+Eingabeseite!$C$31)</f>
        <v>1241</v>
      </c>
      <c r="CF27" s="653">
        <f>CE27/$F$81</f>
        <v>9.7334123870399733E-2</v>
      </c>
      <c r="CG27" s="193" t="str">
        <f>'Variante Vorgaben'!$A$119</f>
        <v>Insektizide</v>
      </c>
      <c r="CH27" s="29"/>
      <c r="CI27" s="13"/>
      <c r="CJ27" s="13"/>
      <c r="CK27" s="357"/>
      <c r="CL27" s="25">
        <f>'Variante Vorgaben'!$D$119*(1+Eingabeseite!$C$31)</f>
        <v>1241</v>
      </c>
      <c r="CM27" s="653">
        <f>CL27/$F$81</f>
        <v>9.7334123870399733E-2</v>
      </c>
      <c r="CN27" s="193" t="str">
        <f>'Variante Vorgaben'!$A$119</f>
        <v>Insektizide</v>
      </c>
      <c r="CO27" s="29"/>
      <c r="CP27" s="13"/>
      <c r="CQ27" s="13"/>
      <c r="CR27" s="357"/>
      <c r="CS27" s="25">
        <f>'Variante Vorgaben'!$D$119*(1+Eingabeseite!$C$31)</f>
        <v>1241</v>
      </c>
      <c r="CT27" s="653">
        <f>CS27/$F$81</f>
        <v>9.7334123870399733E-2</v>
      </c>
      <c r="CU27" s="193" t="str">
        <f>'Variante Vorgaben'!$A$119</f>
        <v>Insektizide</v>
      </c>
      <c r="CV27" s="29"/>
      <c r="CW27" s="13"/>
      <c r="CX27" s="13"/>
      <c r="CY27" s="357"/>
      <c r="CZ27" s="25">
        <f>'Variante Vorgaben'!$D$119*(1+Eingabeseite!$C$31)</f>
        <v>1241</v>
      </c>
      <c r="DA27" s="653">
        <f>CZ27/$F$81</f>
        <v>9.7334123870399733E-2</v>
      </c>
    </row>
    <row r="28" spans="1:105" ht="12.75" x14ac:dyDescent="0.2">
      <c r="A28" s="193" t="str">
        <f>'Variante Vorgaben'!$A$120</f>
        <v>Herbizide</v>
      </c>
      <c r="B28" s="29"/>
      <c r="C28" s="669"/>
      <c r="D28" s="669"/>
      <c r="E28" s="1346"/>
      <c r="F28" s="25">
        <f>'Variante Vorgaben'!B120*(1+Eingabeseite!$C$31)</f>
        <v>0</v>
      </c>
      <c r="G28" s="653">
        <f>F28/$F$81</f>
        <v>0</v>
      </c>
      <c r="H28" s="193" t="str">
        <f>'Variante Vorgaben'!$A$120</f>
        <v>Herbizide</v>
      </c>
      <c r="I28" s="29"/>
      <c r="J28" s="669"/>
      <c r="K28" s="669"/>
      <c r="L28" s="1346"/>
      <c r="M28" s="25">
        <f>'Variante Vorgaben'!C120*(1+Eingabeseite!$C$31)</f>
        <v>0</v>
      </c>
      <c r="N28" s="653">
        <f>M28/$F$81</f>
        <v>0</v>
      </c>
      <c r="O28" s="193" t="str">
        <f>'Variante Vorgaben'!$A$120</f>
        <v>Herbizide</v>
      </c>
      <c r="P28" s="29"/>
      <c r="Q28" s="13"/>
      <c r="R28" s="13"/>
      <c r="S28" s="357"/>
      <c r="T28" s="25">
        <f>'Variante Vorgaben'!$D$120*(1+Eingabeseite!$C$31)</f>
        <v>430</v>
      </c>
      <c r="U28" s="653">
        <f>T28/$F$81</f>
        <v>3.3725764113031333E-2</v>
      </c>
      <c r="V28" s="193" t="str">
        <f>'Variante Vorgaben'!$A$120</f>
        <v>Herbizide</v>
      </c>
      <c r="W28" s="29"/>
      <c r="X28" s="13"/>
      <c r="Y28" s="13"/>
      <c r="Z28" s="357"/>
      <c r="AA28" s="25">
        <f>'Variante Vorgaben'!$D$120*(1+Eingabeseite!$C$31)</f>
        <v>430</v>
      </c>
      <c r="AB28" s="653">
        <f>AA28/$F$81</f>
        <v>3.3725764113031333E-2</v>
      </c>
      <c r="AC28" s="193" t="str">
        <f>'Variante Vorgaben'!$A$120</f>
        <v>Herbizide</v>
      </c>
      <c r="AD28" s="29"/>
      <c r="AE28" s="13"/>
      <c r="AF28" s="13"/>
      <c r="AG28" s="357"/>
      <c r="AH28" s="25">
        <f>'Variante Vorgaben'!$D$120*(1+Eingabeseite!$C$31)</f>
        <v>430</v>
      </c>
      <c r="AI28" s="653">
        <f>AH28/$F$81</f>
        <v>3.3725764113031333E-2</v>
      </c>
      <c r="AJ28" s="193" t="str">
        <f>'Variante Vorgaben'!$A$120</f>
        <v>Herbizide</v>
      </c>
      <c r="AK28" s="29"/>
      <c r="AL28" s="13"/>
      <c r="AM28" s="13"/>
      <c r="AN28" s="357"/>
      <c r="AO28" s="25">
        <f>'Variante Vorgaben'!$D$120*(1+Eingabeseite!$C$31)</f>
        <v>430</v>
      </c>
      <c r="AP28" s="653">
        <f>AO28/$F$81</f>
        <v>3.3725764113031333E-2</v>
      </c>
      <c r="AQ28" s="193" t="str">
        <f>'Variante Vorgaben'!$A$120</f>
        <v>Herbizide</v>
      </c>
      <c r="AR28" s="29"/>
      <c r="AS28" s="13"/>
      <c r="AT28" s="13"/>
      <c r="AU28" s="357"/>
      <c r="AV28" s="25">
        <f>'Variante Vorgaben'!$D$120*(1+Eingabeseite!$C$31)</f>
        <v>430</v>
      </c>
      <c r="AW28" s="653">
        <f>AV28/$F$81</f>
        <v>3.3725764113031333E-2</v>
      </c>
      <c r="AX28" s="193" t="str">
        <f>'Variante Vorgaben'!$A$120</f>
        <v>Herbizide</v>
      </c>
      <c r="AY28" s="29"/>
      <c r="AZ28" s="13"/>
      <c r="BA28" s="13"/>
      <c r="BB28" s="357"/>
      <c r="BC28" s="25">
        <f>'Variante Vorgaben'!$D$120*(1+Eingabeseite!$C$31)</f>
        <v>430</v>
      </c>
      <c r="BD28" s="653">
        <f>BC28/$F$81</f>
        <v>3.3725764113031333E-2</v>
      </c>
      <c r="BE28" s="193" t="str">
        <f>'Variante Vorgaben'!$A$120</f>
        <v>Herbizide</v>
      </c>
      <c r="BF28" s="29"/>
      <c r="BG28" s="13"/>
      <c r="BH28" s="13"/>
      <c r="BI28" s="357"/>
      <c r="BJ28" s="25">
        <f>'Variante Vorgaben'!$D$120*(1+Eingabeseite!$C$31)</f>
        <v>430</v>
      </c>
      <c r="BK28" s="653">
        <f>BJ28/$F$81</f>
        <v>3.3725764113031333E-2</v>
      </c>
      <c r="BL28" s="193" t="str">
        <f>'Variante Vorgaben'!$A$120</f>
        <v>Herbizide</v>
      </c>
      <c r="BM28" s="29"/>
      <c r="BN28" s="13"/>
      <c r="BO28" s="13"/>
      <c r="BP28" s="357"/>
      <c r="BQ28" s="25">
        <f>'Variante Vorgaben'!$D$120*(1+Eingabeseite!$C$31)</f>
        <v>430</v>
      </c>
      <c r="BR28" s="653">
        <f>BQ28/$F$81</f>
        <v>3.3725764113031333E-2</v>
      </c>
      <c r="BS28" s="193" t="str">
        <f>'Variante Vorgaben'!$A$120</f>
        <v>Herbizide</v>
      </c>
      <c r="BT28" s="29"/>
      <c r="BU28" s="13"/>
      <c r="BV28" s="13"/>
      <c r="BW28" s="357"/>
      <c r="BX28" s="25">
        <f>'Variante Vorgaben'!$D$120*(1+Eingabeseite!$C$31)</f>
        <v>430</v>
      </c>
      <c r="BY28" s="653">
        <f>BX28/$F$81</f>
        <v>3.3725764113031333E-2</v>
      </c>
      <c r="BZ28" s="193" t="str">
        <f>'Variante Vorgaben'!$A$120</f>
        <v>Herbizide</v>
      </c>
      <c r="CA28" s="29"/>
      <c r="CB28" s="13"/>
      <c r="CC28" s="13"/>
      <c r="CD28" s="357"/>
      <c r="CE28" s="25">
        <f>'Variante Vorgaben'!$D$120*(1+Eingabeseite!$C$31)</f>
        <v>430</v>
      </c>
      <c r="CF28" s="653">
        <f>CE28/$F$81</f>
        <v>3.3725764113031333E-2</v>
      </c>
      <c r="CG28" s="193" t="str">
        <f>'Variante Vorgaben'!$A$120</f>
        <v>Herbizide</v>
      </c>
      <c r="CH28" s="29"/>
      <c r="CI28" s="13"/>
      <c r="CJ28" s="13"/>
      <c r="CK28" s="357"/>
      <c r="CL28" s="25">
        <f>'Variante Vorgaben'!$D$120*(1+Eingabeseite!$C$31)</f>
        <v>430</v>
      </c>
      <c r="CM28" s="653">
        <f>CL28/$F$81</f>
        <v>3.3725764113031333E-2</v>
      </c>
      <c r="CN28" s="193" t="str">
        <f>'Variante Vorgaben'!$A$120</f>
        <v>Herbizide</v>
      </c>
      <c r="CO28" s="29"/>
      <c r="CP28" s="13"/>
      <c r="CQ28" s="13"/>
      <c r="CR28" s="357"/>
      <c r="CS28" s="25">
        <f>'Variante Vorgaben'!$D$120*(1+Eingabeseite!$C$31)</f>
        <v>430</v>
      </c>
      <c r="CT28" s="653">
        <f>CS28/$F$81</f>
        <v>3.3725764113031333E-2</v>
      </c>
      <c r="CU28" s="193" t="str">
        <f>'Variante Vorgaben'!$A$120</f>
        <v>Herbizide</v>
      </c>
      <c r="CV28" s="29"/>
      <c r="CW28" s="13"/>
      <c r="CX28" s="13"/>
      <c r="CY28" s="357"/>
      <c r="CZ28" s="25">
        <f>'Variante Vorgaben'!$D$120*(1+Eingabeseite!$C$31)</f>
        <v>430</v>
      </c>
      <c r="DA28" s="653">
        <f>CZ28/$F$81</f>
        <v>3.3725764113031333E-2</v>
      </c>
    </row>
    <row r="29" spans="1:105" ht="12.75" x14ac:dyDescent="0.2">
      <c r="A29" s="193" t="str">
        <f>'Variante Vorgaben'!$A$121</f>
        <v>Behangsregulierung</v>
      </c>
      <c r="B29" s="29"/>
      <c r="C29" s="669"/>
      <c r="D29" s="669"/>
      <c r="E29" s="1346"/>
      <c r="F29" s="30">
        <f>'Variante Vorgaben'!B121*(1+Eingabeseite!$C$31)</f>
        <v>0</v>
      </c>
      <c r="G29" s="653">
        <f>F29/$F$81</f>
        <v>0</v>
      </c>
      <c r="H29" s="193" t="str">
        <f>'Variante Vorgaben'!$A$121</f>
        <v>Behangsregulierung</v>
      </c>
      <c r="I29" s="29"/>
      <c r="J29" s="669"/>
      <c r="K29" s="669"/>
      <c r="L29" s="1346"/>
      <c r="M29" s="30">
        <f>'Variante Vorgaben'!C121*(1+Eingabeseite!$C$31)</f>
        <v>0</v>
      </c>
      <c r="N29" s="653">
        <f>M29/$F$81</f>
        <v>0</v>
      </c>
      <c r="O29" s="193" t="str">
        <f>'Variante Vorgaben'!$A$121</f>
        <v>Behangsregulierung</v>
      </c>
      <c r="P29" s="29"/>
      <c r="Q29" s="13"/>
      <c r="R29" s="13"/>
      <c r="S29" s="357"/>
      <c r="T29" s="30">
        <f>'Variante Vorgaben'!$D$121*(1+Eingabeseite!$C$31)</f>
        <v>10</v>
      </c>
      <c r="U29" s="653">
        <f>T29/$F$81</f>
        <v>7.8432009565189149E-4</v>
      </c>
      <c r="V29" s="193" t="str">
        <f>'Variante Vorgaben'!$A$121</f>
        <v>Behangsregulierung</v>
      </c>
      <c r="W29" s="29"/>
      <c r="X29" s="13"/>
      <c r="Y29" s="13"/>
      <c r="Z29" s="357"/>
      <c r="AA29" s="30">
        <f>'Variante Vorgaben'!$D$121*(1+Eingabeseite!$C$31)</f>
        <v>10</v>
      </c>
      <c r="AB29" s="653">
        <f>AA29/$F$81</f>
        <v>7.8432009565189149E-4</v>
      </c>
      <c r="AC29" s="193" t="str">
        <f>'Variante Vorgaben'!$A$121</f>
        <v>Behangsregulierung</v>
      </c>
      <c r="AD29" s="29"/>
      <c r="AE29" s="13"/>
      <c r="AF29" s="13"/>
      <c r="AG29" s="357"/>
      <c r="AH29" s="30">
        <f>'Variante Vorgaben'!$D$121*(1+Eingabeseite!$C$31)</f>
        <v>10</v>
      </c>
      <c r="AI29" s="653">
        <f>AH29/$F$81</f>
        <v>7.8432009565189149E-4</v>
      </c>
      <c r="AJ29" s="193" t="str">
        <f>'Variante Vorgaben'!$A$121</f>
        <v>Behangsregulierung</v>
      </c>
      <c r="AK29" s="29"/>
      <c r="AL29" s="13"/>
      <c r="AM29" s="13"/>
      <c r="AN29" s="357"/>
      <c r="AO29" s="30">
        <f>'Variante Vorgaben'!$D$121*(1+Eingabeseite!$C$31)</f>
        <v>10</v>
      </c>
      <c r="AP29" s="653">
        <f>AO29/$F$81</f>
        <v>7.8432009565189149E-4</v>
      </c>
      <c r="AQ29" s="193" t="str">
        <f>'Variante Vorgaben'!$A$121</f>
        <v>Behangsregulierung</v>
      </c>
      <c r="AR29" s="29"/>
      <c r="AS29" s="13"/>
      <c r="AT29" s="13"/>
      <c r="AU29" s="357"/>
      <c r="AV29" s="30">
        <f>'Variante Vorgaben'!$D$121*(1+Eingabeseite!$C$31)</f>
        <v>10</v>
      </c>
      <c r="AW29" s="653">
        <f>AV29/$F$81</f>
        <v>7.8432009565189149E-4</v>
      </c>
      <c r="AX29" s="193" t="str">
        <f>'Variante Vorgaben'!$A$121</f>
        <v>Behangsregulierung</v>
      </c>
      <c r="AY29" s="29"/>
      <c r="AZ29" s="13"/>
      <c r="BA29" s="13"/>
      <c r="BB29" s="357"/>
      <c r="BC29" s="30">
        <f>'Variante Vorgaben'!$D$121*(1+Eingabeseite!$C$31)</f>
        <v>10</v>
      </c>
      <c r="BD29" s="653">
        <f>BC29/$F$81</f>
        <v>7.8432009565189149E-4</v>
      </c>
      <c r="BE29" s="193" t="str">
        <f>'Variante Vorgaben'!$A$121</f>
        <v>Behangsregulierung</v>
      </c>
      <c r="BF29" s="29"/>
      <c r="BG29" s="13"/>
      <c r="BH29" s="13"/>
      <c r="BI29" s="357"/>
      <c r="BJ29" s="30">
        <f>'Variante Vorgaben'!$D$121*(1+Eingabeseite!$C$31)</f>
        <v>10</v>
      </c>
      <c r="BK29" s="653">
        <f>BJ29/$F$81</f>
        <v>7.8432009565189149E-4</v>
      </c>
      <c r="BL29" s="193" t="str">
        <f>'Variante Vorgaben'!$A$121</f>
        <v>Behangsregulierung</v>
      </c>
      <c r="BM29" s="29"/>
      <c r="BN29" s="13"/>
      <c r="BO29" s="13"/>
      <c r="BP29" s="357"/>
      <c r="BQ29" s="30">
        <f>'Variante Vorgaben'!$D$121*(1+Eingabeseite!$C$31)</f>
        <v>10</v>
      </c>
      <c r="BR29" s="653">
        <f>BQ29/$F$81</f>
        <v>7.8432009565189149E-4</v>
      </c>
      <c r="BS29" s="193" t="str">
        <f>'Variante Vorgaben'!$A$121</f>
        <v>Behangsregulierung</v>
      </c>
      <c r="BT29" s="29"/>
      <c r="BU29" s="13"/>
      <c r="BV29" s="13"/>
      <c r="BW29" s="357"/>
      <c r="BX29" s="30">
        <f>'Variante Vorgaben'!$D$121*(1+Eingabeseite!$C$31)</f>
        <v>10</v>
      </c>
      <c r="BY29" s="653">
        <f>BX29/$F$81</f>
        <v>7.8432009565189149E-4</v>
      </c>
      <c r="BZ29" s="193" t="str">
        <f>'Variante Vorgaben'!$A$121</f>
        <v>Behangsregulierung</v>
      </c>
      <c r="CA29" s="29"/>
      <c r="CB29" s="13"/>
      <c r="CC29" s="13"/>
      <c r="CD29" s="357"/>
      <c r="CE29" s="30">
        <f>'Variante Vorgaben'!$D$121*(1+Eingabeseite!$C$31)</f>
        <v>10</v>
      </c>
      <c r="CF29" s="653">
        <f>CE29/$F$81</f>
        <v>7.8432009565189149E-4</v>
      </c>
      <c r="CG29" s="193" t="str">
        <f>'Variante Vorgaben'!$A$121</f>
        <v>Behangsregulierung</v>
      </c>
      <c r="CH29" s="29"/>
      <c r="CI29" s="13"/>
      <c r="CJ29" s="13"/>
      <c r="CK29" s="357"/>
      <c r="CL29" s="30">
        <f>'Variante Vorgaben'!$D$121*(1+Eingabeseite!$C$31)</f>
        <v>10</v>
      </c>
      <c r="CM29" s="653">
        <f>CL29/$F$81</f>
        <v>7.8432009565189149E-4</v>
      </c>
      <c r="CN29" s="193" t="str">
        <f>'Variante Vorgaben'!$A$121</f>
        <v>Behangsregulierung</v>
      </c>
      <c r="CO29" s="29"/>
      <c r="CP29" s="13"/>
      <c r="CQ29" s="13"/>
      <c r="CR29" s="357"/>
      <c r="CS29" s="30">
        <f>'Variante Vorgaben'!$D$121*(1+Eingabeseite!$C$31)</f>
        <v>10</v>
      </c>
      <c r="CT29" s="653">
        <f>CS29/$F$81</f>
        <v>7.8432009565189149E-4</v>
      </c>
      <c r="CU29" s="193" t="str">
        <f>'Variante Vorgaben'!$A$121</f>
        <v>Behangsregulierung</v>
      </c>
      <c r="CV29" s="29"/>
      <c r="CW29" s="13"/>
      <c r="CX29" s="13"/>
      <c r="CY29" s="357"/>
      <c r="CZ29" s="30">
        <f>'Variante Vorgaben'!$D$121*(1+Eingabeseite!$C$31)</f>
        <v>10</v>
      </c>
      <c r="DA29" s="653">
        <f>CZ29/$F$81</f>
        <v>7.8432009565189149E-4</v>
      </c>
    </row>
    <row r="30" spans="1:105" ht="13.5" thickBot="1" x14ac:dyDescent="0.25">
      <c r="A30" s="193" t="str">
        <f>'Variante Vorgaben'!$A$122</f>
        <v>Blattdüngung</v>
      </c>
      <c r="B30" s="29"/>
      <c r="C30" s="669"/>
      <c r="D30" s="669"/>
      <c r="E30" s="1346"/>
      <c r="F30" s="677">
        <f>'Variante Vorgaben'!B122*(1+Eingabeseite!$C$33)</f>
        <v>0</v>
      </c>
      <c r="G30" s="653"/>
      <c r="H30" s="193" t="str">
        <f>'Variante Vorgaben'!$A$122</f>
        <v>Blattdüngung</v>
      </c>
      <c r="I30" s="29"/>
      <c r="J30" s="669"/>
      <c r="K30" s="669"/>
      <c r="L30" s="1346"/>
      <c r="M30" s="677">
        <f>'Variante Vorgaben'!C122*(1+Eingabeseite!$C$33)</f>
        <v>0</v>
      </c>
      <c r="N30" s="653"/>
      <c r="O30" s="193" t="str">
        <f>'Variante Vorgaben'!$A$122</f>
        <v>Blattdüngung</v>
      </c>
      <c r="P30" s="29"/>
      <c r="Q30" s="13"/>
      <c r="R30" s="13"/>
      <c r="S30" s="357"/>
      <c r="T30" s="677">
        <f>'Variante Vorgaben'!$D$122*(1+Eingabeseite!$C$33)</f>
        <v>360</v>
      </c>
      <c r="U30" s="653"/>
      <c r="V30" s="193" t="str">
        <f>'Variante Vorgaben'!$A$122</f>
        <v>Blattdüngung</v>
      </c>
      <c r="W30" s="29"/>
      <c r="X30" s="13"/>
      <c r="Y30" s="13"/>
      <c r="Z30" s="357"/>
      <c r="AA30" s="677">
        <f>'Variante Vorgaben'!$D$122*(1+Eingabeseite!$C$33)</f>
        <v>360</v>
      </c>
      <c r="AB30" s="653"/>
      <c r="AC30" s="193" t="str">
        <f>'Variante Vorgaben'!$A$122</f>
        <v>Blattdüngung</v>
      </c>
      <c r="AD30" s="29"/>
      <c r="AE30" s="13"/>
      <c r="AF30" s="13"/>
      <c r="AG30" s="357"/>
      <c r="AH30" s="677">
        <f>'Variante Vorgaben'!$D$122*(1+Eingabeseite!$C$33)</f>
        <v>360</v>
      </c>
      <c r="AI30" s="653"/>
      <c r="AJ30" s="193" t="str">
        <f>'Variante Vorgaben'!$A$122</f>
        <v>Blattdüngung</v>
      </c>
      <c r="AK30" s="29"/>
      <c r="AL30" s="13"/>
      <c r="AM30" s="13"/>
      <c r="AN30" s="357"/>
      <c r="AO30" s="677">
        <f>'Variante Vorgaben'!$D$122*(1+Eingabeseite!$C$33)</f>
        <v>360</v>
      </c>
      <c r="AP30" s="653"/>
      <c r="AQ30" s="193" t="str">
        <f>'Variante Vorgaben'!$A$122</f>
        <v>Blattdüngung</v>
      </c>
      <c r="AR30" s="29"/>
      <c r="AS30" s="13"/>
      <c r="AT30" s="13"/>
      <c r="AU30" s="357"/>
      <c r="AV30" s="677">
        <f>'Variante Vorgaben'!$D$122*(1+Eingabeseite!$C$33)</f>
        <v>360</v>
      </c>
      <c r="AW30" s="653"/>
      <c r="AX30" s="193" t="str">
        <f>'Variante Vorgaben'!$A$122</f>
        <v>Blattdüngung</v>
      </c>
      <c r="AY30" s="29"/>
      <c r="AZ30" s="13"/>
      <c r="BA30" s="13"/>
      <c r="BB30" s="357"/>
      <c r="BC30" s="677">
        <f>'Variante Vorgaben'!$D$122*(1+Eingabeseite!$C$33)</f>
        <v>360</v>
      </c>
      <c r="BD30" s="653"/>
      <c r="BE30" s="193" t="str">
        <f>'Variante Vorgaben'!$A$122</f>
        <v>Blattdüngung</v>
      </c>
      <c r="BF30" s="29"/>
      <c r="BG30" s="13"/>
      <c r="BH30" s="13"/>
      <c r="BI30" s="357"/>
      <c r="BJ30" s="677">
        <f>'Variante Vorgaben'!$D$122*(1+Eingabeseite!$C$33)</f>
        <v>360</v>
      </c>
      <c r="BK30" s="653"/>
      <c r="BL30" s="193" t="str">
        <f>'Variante Vorgaben'!$A$122</f>
        <v>Blattdüngung</v>
      </c>
      <c r="BM30" s="29"/>
      <c r="BN30" s="13"/>
      <c r="BO30" s="13"/>
      <c r="BP30" s="357"/>
      <c r="BQ30" s="677">
        <f>'Variante Vorgaben'!$D$122*(1+Eingabeseite!$C$33)</f>
        <v>360</v>
      </c>
      <c r="BR30" s="653"/>
      <c r="BS30" s="193" t="str">
        <f>'Variante Vorgaben'!$A$122</f>
        <v>Blattdüngung</v>
      </c>
      <c r="BT30" s="29"/>
      <c r="BU30" s="13"/>
      <c r="BV30" s="13"/>
      <c r="BW30" s="357"/>
      <c r="BX30" s="677">
        <f>'Variante Vorgaben'!$D$122*(1+Eingabeseite!$C$33)</f>
        <v>360</v>
      </c>
      <c r="BY30" s="653"/>
      <c r="BZ30" s="193" t="str">
        <f>'Variante Vorgaben'!$A$122</f>
        <v>Blattdüngung</v>
      </c>
      <c r="CA30" s="29"/>
      <c r="CB30" s="13"/>
      <c r="CC30" s="13"/>
      <c r="CD30" s="357"/>
      <c r="CE30" s="677">
        <f>'Variante Vorgaben'!$D$122*(1+Eingabeseite!$C$33)</f>
        <v>360</v>
      </c>
      <c r="CF30" s="653"/>
      <c r="CG30" s="193" t="str">
        <f>'Variante Vorgaben'!$A$122</f>
        <v>Blattdüngung</v>
      </c>
      <c r="CH30" s="29"/>
      <c r="CI30" s="13"/>
      <c r="CJ30" s="13"/>
      <c r="CK30" s="357"/>
      <c r="CL30" s="677">
        <f>'Variante Vorgaben'!$D$122*(1+Eingabeseite!$C$33)</f>
        <v>360</v>
      </c>
      <c r="CM30" s="653"/>
      <c r="CN30" s="193" t="str">
        <f>'Variante Vorgaben'!$A$122</f>
        <v>Blattdüngung</v>
      </c>
      <c r="CO30" s="29"/>
      <c r="CP30" s="13"/>
      <c r="CQ30" s="13"/>
      <c r="CR30" s="357"/>
      <c r="CS30" s="677">
        <f>'Variante Vorgaben'!$D$122*(1+Eingabeseite!$C$33)</f>
        <v>360</v>
      </c>
      <c r="CT30" s="653"/>
      <c r="CU30" s="193" t="str">
        <f>'Variante Vorgaben'!$A$122</f>
        <v>Blattdüngung</v>
      </c>
      <c r="CV30" s="29"/>
      <c r="CW30" s="13"/>
      <c r="CX30" s="13"/>
      <c r="CY30" s="357"/>
      <c r="CZ30" s="677">
        <f>'Variante Vorgaben'!$D$122*(1+Eingabeseite!$C$33)</f>
        <v>360</v>
      </c>
      <c r="DA30" s="653"/>
    </row>
    <row r="31" spans="1:105" ht="12.75" x14ac:dyDescent="0.2">
      <c r="A31" s="193"/>
      <c r="B31" s="29"/>
      <c r="C31" s="669"/>
      <c r="D31" s="669"/>
      <c r="E31" s="1346"/>
      <c r="F31" s="25">
        <f>SUM(F25:F30)</f>
        <v>1700</v>
      </c>
      <c r="G31" s="653"/>
      <c r="H31" s="1366"/>
      <c r="I31" s="29"/>
      <c r="J31" s="669"/>
      <c r="K31" s="669"/>
      <c r="L31" s="1346"/>
      <c r="M31" s="25">
        <f>SUM(M25:M30)</f>
        <v>1700</v>
      </c>
      <c r="N31" s="653"/>
      <c r="O31" s="1365"/>
      <c r="P31" s="29"/>
      <c r="Q31" s="13"/>
      <c r="R31" s="13"/>
      <c r="S31" s="357"/>
      <c r="T31" s="25">
        <f>SUM(T25:T30)</f>
        <v>5942</v>
      </c>
      <c r="U31" s="653"/>
      <c r="V31" s="1365"/>
      <c r="W31" s="29"/>
      <c r="X31" s="13"/>
      <c r="Y31" s="13"/>
      <c r="Z31" s="357"/>
      <c r="AA31" s="25">
        <f>SUM(AA25:AA30)</f>
        <v>5942</v>
      </c>
      <c r="AB31" s="653"/>
      <c r="AC31" s="1365"/>
      <c r="AD31" s="29"/>
      <c r="AE31" s="13"/>
      <c r="AF31" s="13"/>
      <c r="AG31" s="357"/>
      <c r="AH31" s="25">
        <f>SUM(AH25:AH30)</f>
        <v>5942</v>
      </c>
      <c r="AI31" s="653"/>
      <c r="AJ31" s="1365"/>
      <c r="AK31" s="29"/>
      <c r="AL31" s="13"/>
      <c r="AM31" s="13"/>
      <c r="AN31" s="357"/>
      <c r="AO31" s="25">
        <f>SUM(AO25:AO30)</f>
        <v>5942</v>
      </c>
      <c r="AP31" s="653"/>
      <c r="AQ31" s="1365"/>
      <c r="AR31" s="29"/>
      <c r="AS31" s="13"/>
      <c r="AT31" s="13"/>
      <c r="AU31" s="357"/>
      <c r="AV31" s="25">
        <f>SUM(AV25:AV30)</f>
        <v>5942</v>
      </c>
      <c r="AW31" s="653"/>
      <c r="AX31" s="1365"/>
      <c r="AY31" s="29"/>
      <c r="AZ31" s="13"/>
      <c r="BA31" s="13"/>
      <c r="BB31" s="357"/>
      <c r="BC31" s="25">
        <f>SUM(BC25:BC30)</f>
        <v>5942</v>
      </c>
      <c r="BD31" s="653"/>
      <c r="BE31" s="1365"/>
      <c r="BF31" s="29"/>
      <c r="BG31" s="13"/>
      <c r="BH31" s="13"/>
      <c r="BI31" s="357"/>
      <c r="BJ31" s="25">
        <f>SUM(BJ25:BJ30)</f>
        <v>5942</v>
      </c>
      <c r="BK31" s="653"/>
      <c r="BL31" s="1365"/>
      <c r="BM31" s="29"/>
      <c r="BN31" s="13"/>
      <c r="BO31" s="13"/>
      <c r="BP31" s="357"/>
      <c r="BQ31" s="25">
        <f>SUM(BQ25:BQ30)</f>
        <v>5942</v>
      </c>
      <c r="BR31" s="653"/>
      <c r="BS31" s="1365"/>
      <c r="BT31" s="29"/>
      <c r="BU31" s="13"/>
      <c r="BV31" s="13"/>
      <c r="BW31" s="357"/>
      <c r="BX31" s="25">
        <f>SUM(BX25:BX30)</f>
        <v>5942</v>
      </c>
      <c r="BY31" s="653"/>
      <c r="BZ31" s="1365"/>
      <c r="CA31" s="29"/>
      <c r="CB31" s="13"/>
      <c r="CC31" s="13"/>
      <c r="CD31" s="357"/>
      <c r="CE31" s="25">
        <f>SUM(CE25:CE30)</f>
        <v>5942</v>
      </c>
      <c r="CF31" s="653"/>
      <c r="CG31" s="1365"/>
      <c r="CH31" s="29"/>
      <c r="CI31" s="13"/>
      <c r="CJ31" s="13"/>
      <c r="CK31" s="357"/>
      <c r="CL31" s="25">
        <f>SUM(CL25:CL30)</f>
        <v>5942</v>
      </c>
      <c r="CM31" s="653"/>
      <c r="CN31" s="1365"/>
      <c r="CO31" s="29"/>
      <c r="CP31" s="13"/>
      <c r="CQ31" s="13"/>
      <c r="CR31" s="357"/>
      <c r="CS31" s="25">
        <f>SUM(CS25:CS30)</f>
        <v>5942</v>
      </c>
      <c r="CT31" s="653"/>
      <c r="CU31" s="1365"/>
      <c r="CV31" s="29"/>
      <c r="CW31" s="13"/>
      <c r="CX31" s="13"/>
      <c r="CY31" s="357"/>
      <c r="CZ31" s="25">
        <f>SUM(CZ25:CZ30)</f>
        <v>5942</v>
      </c>
      <c r="DA31" s="653"/>
    </row>
    <row r="32" spans="1:105" ht="12.75" x14ac:dyDescent="0.2">
      <c r="A32" s="1335"/>
      <c r="B32" s="13"/>
      <c r="C32" s="11"/>
      <c r="D32" s="280"/>
      <c r="E32" s="105"/>
      <c r="F32" s="30"/>
      <c r="G32" s="653"/>
      <c r="H32" s="883"/>
      <c r="I32" s="13"/>
      <c r="J32" s="11"/>
      <c r="K32" s="280"/>
      <c r="L32" s="105"/>
      <c r="M32" s="30"/>
      <c r="N32" s="653"/>
      <c r="O32" s="883"/>
      <c r="P32" s="13"/>
      <c r="Q32" s="11"/>
      <c r="R32" s="280"/>
      <c r="S32" s="105"/>
      <c r="T32" s="30"/>
      <c r="U32" s="653"/>
      <c r="V32" s="883"/>
      <c r="W32" s="13"/>
      <c r="X32" s="11"/>
      <c r="Y32" s="280"/>
      <c r="Z32" s="105"/>
      <c r="AA32" s="30"/>
      <c r="AB32" s="653"/>
      <c r="AC32" s="883"/>
      <c r="AD32" s="13"/>
      <c r="AE32" s="11"/>
      <c r="AF32" s="280"/>
      <c r="AG32" s="105"/>
      <c r="AH32" s="30"/>
      <c r="AI32" s="653"/>
      <c r="AJ32" s="883"/>
      <c r="AK32" s="13"/>
      <c r="AL32" s="11"/>
      <c r="AM32" s="280"/>
      <c r="AN32" s="105"/>
      <c r="AO32" s="30"/>
      <c r="AP32" s="653"/>
      <c r="AQ32" s="883"/>
      <c r="AR32" s="13"/>
      <c r="AS32" s="11"/>
      <c r="AT32" s="280"/>
      <c r="AU32" s="105"/>
      <c r="AV32" s="30"/>
      <c r="AW32" s="653"/>
      <c r="AX32" s="883"/>
      <c r="AY32" s="13"/>
      <c r="AZ32" s="11"/>
      <c r="BA32" s="280"/>
      <c r="BB32" s="105"/>
      <c r="BC32" s="30"/>
      <c r="BD32" s="653"/>
      <c r="BE32" s="883"/>
      <c r="BF32" s="13"/>
      <c r="BG32" s="11"/>
      <c r="BH32" s="280"/>
      <c r="BI32" s="105"/>
      <c r="BJ32" s="30"/>
      <c r="BK32" s="653"/>
      <c r="BL32" s="883"/>
      <c r="BM32" s="13"/>
      <c r="BN32" s="11"/>
      <c r="BO32" s="280"/>
      <c r="BP32" s="105"/>
      <c r="BQ32" s="30"/>
      <c r="BR32" s="653"/>
      <c r="BS32" s="883"/>
      <c r="BT32" s="13"/>
      <c r="BU32" s="11"/>
      <c r="BV32" s="280"/>
      <c r="BW32" s="105"/>
      <c r="BX32" s="30"/>
      <c r="BY32" s="653"/>
      <c r="BZ32" s="883"/>
      <c r="CA32" s="13"/>
      <c r="CB32" s="11"/>
      <c r="CC32" s="280"/>
      <c r="CD32" s="105"/>
      <c r="CE32" s="30"/>
      <c r="CF32" s="653"/>
      <c r="CG32" s="883"/>
      <c r="CH32" s="13"/>
      <c r="CI32" s="11"/>
      <c r="CJ32" s="280"/>
      <c r="CK32" s="105"/>
      <c r="CL32" s="30"/>
      <c r="CM32" s="653"/>
      <c r="CN32" s="883"/>
      <c r="CO32" s="13"/>
      <c r="CP32" s="11"/>
      <c r="CQ32" s="280"/>
      <c r="CR32" s="105"/>
      <c r="CS32" s="30"/>
      <c r="CT32" s="653"/>
      <c r="CU32" s="883"/>
      <c r="CV32" s="13"/>
      <c r="CW32" s="11"/>
      <c r="CX32" s="280"/>
      <c r="CY32" s="105"/>
      <c r="CZ32" s="30"/>
      <c r="DA32" s="653"/>
    </row>
    <row r="33" spans="1:105" s="1" customFormat="1" ht="16.5" customHeight="1" x14ac:dyDescent="0.2">
      <c r="A33" s="142" t="str">
        <f>'Variante Hagel'!$A$75</f>
        <v>Hagelversicherung</v>
      </c>
      <c r="B33" s="984">
        <f>Eingabeseite!$D$35</f>
        <v>0</v>
      </c>
      <c r="C33" s="531">
        <f>'Variante Hagel'!$D78</f>
        <v>0.112</v>
      </c>
      <c r="D33" s="127">
        <f>'Variante Hagel'!$C78*(1+Eingabeseite!$C$35)</f>
        <v>0</v>
      </c>
      <c r="E33" s="128">
        <f>'Variante Hagel'!E78</f>
        <v>0.8</v>
      </c>
      <c r="F33" s="81">
        <f>B33*C33*D33*E33</f>
        <v>0</v>
      </c>
      <c r="G33" s="653"/>
      <c r="H33" s="142" t="str">
        <f>'Variante Hagel'!$A$75</f>
        <v>Hagelversicherung</v>
      </c>
      <c r="I33" s="984">
        <f>Eingabeseite!$D$35</f>
        <v>0</v>
      </c>
      <c r="J33" s="786">
        <f>'Variante Hagel'!$D79</f>
        <v>0.112</v>
      </c>
      <c r="K33" s="127">
        <f>'Variante Hagel'!$C79*(1+Eingabeseite!$C$35)</f>
        <v>9878.4000000000015</v>
      </c>
      <c r="L33" s="128">
        <f>'Variante Hagel'!E79</f>
        <v>0.8</v>
      </c>
      <c r="M33" s="81">
        <f>I33*J33*K33*L33</f>
        <v>0</v>
      </c>
      <c r="N33" s="653"/>
      <c r="O33" s="142" t="str">
        <f>'Variante Hagel'!$A$75</f>
        <v>Hagelversicherung</v>
      </c>
      <c r="P33" s="984">
        <f>Eingabeseite!$D$35</f>
        <v>0</v>
      </c>
      <c r="Q33" s="786">
        <f>'Variante Hagel'!$D80</f>
        <v>0.112</v>
      </c>
      <c r="R33" s="127">
        <f>'Variante Hagel'!$C80*(1+Eingabeseite!$C$35)</f>
        <v>12348</v>
      </c>
      <c r="S33" s="128">
        <f>'Variante Hagel'!E80</f>
        <v>0.8</v>
      </c>
      <c r="T33" s="81">
        <f>P33*Q33*R33*S33</f>
        <v>0</v>
      </c>
      <c r="U33" s="653"/>
      <c r="V33" s="142" t="str">
        <f>'Variante Hagel'!$A$75</f>
        <v>Hagelversicherung</v>
      </c>
      <c r="W33" s="984">
        <f>Eingabeseite!$D$35</f>
        <v>0</v>
      </c>
      <c r="X33" s="786">
        <f>'Variante Hagel'!$D81</f>
        <v>0.112</v>
      </c>
      <c r="Y33" s="127">
        <f>'Variante Hagel'!$C81*(1+Eingabeseite!$C$35)</f>
        <v>21403.200000000001</v>
      </c>
      <c r="Z33" s="128">
        <f>'Variante Hagel'!E81</f>
        <v>0.8</v>
      </c>
      <c r="AA33" s="81">
        <f>W33*X33*Y33*Z33</f>
        <v>0</v>
      </c>
      <c r="AB33" s="653"/>
      <c r="AC33" s="142" t="str">
        <f>'Variante Hagel'!$A$75</f>
        <v>Hagelversicherung</v>
      </c>
      <c r="AD33" s="984">
        <f>Eingabeseite!$D$35</f>
        <v>0</v>
      </c>
      <c r="AE33" s="786">
        <f>'Variante Hagel'!$D82</f>
        <v>0.112</v>
      </c>
      <c r="AF33" s="127">
        <f>'Variante Hagel'!$C82*(1+Eingabeseite!$C$35)</f>
        <v>28812.000000000004</v>
      </c>
      <c r="AG33" s="128">
        <f>'Variante Hagel'!E82</f>
        <v>0.8</v>
      </c>
      <c r="AH33" s="81">
        <f>AD33*AE33*AF33*AG33</f>
        <v>0</v>
      </c>
      <c r="AI33" s="653"/>
      <c r="AJ33" s="142" t="str">
        <f>'Variante Hagel'!$A$75</f>
        <v>Hagelversicherung</v>
      </c>
      <c r="AK33" s="984">
        <f>Eingabeseite!$D$35</f>
        <v>0</v>
      </c>
      <c r="AL33" s="786">
        <f>'Variante Hagel'!$D83</f>
        <v>0.112</v>
      </c>
      <c r="AM33" s="127">
        <f>'Variante Hagel'!$C83*(1+Eingabeseite!$C$35)</f>
        <v>36220.800000000003</v>
      </c>
      <c r="AN33" s="128">
        <f>'Variante Hagel'!E83</f>
        <v>0.8</v>
      </c>
      <c r="AO33" s="81">
        <f>AK33*AL33*AM33*AN33</f>
        <v>0</v>
      </c>
      <c r="AP33" s="653"/>
      <c r="AQ33" s="142" t="str">
        <f>'Variante Hagel'!$A$75</f>
        <v>Hagelversicherung</v>
      </c>
      <c r="AR33" s="984">
        <f>Eingabeseite!$D$35</f>
        <v>0</v>
      </c>
      <c r="AS33" s="786">
        <f>'Variante Hagel'!$D84</f>
        <v>0.112</v>
      </c>
      <c r="AT33" s="127">
        <f>'Variante Hagel'!$C84*(1+Eingabeseite!$C$35)</f>
        <v>29532.300000000003</v>
      </c>
      <c r="AU33" s="128">
        <f>'Variante Hagel'!E84</f>
        <v>0.8</v>
      </c>
      <c r="AV33" s="81">
        <f>AR33*AS33*AT33*AU33</f>
        <v>0</v>
      </c>
      <c r="AW33" s="653"/>
      <c r="AX33" s="142" t="str">
        <f>'Variante Hagel'!$A$75</f>
        <v>Hagelversicherung</v>
      </c>
      <c r="AY33" s="984">
        <f>Eingabeseite!$D$35</f>
        <v>0</v>
      </c>
      <c r="AZ33" s="786">
        <f>'Variante Hagel'!$D85</f>
        <v>0.112</v>
      </c>
      <c r="BA33" s="127">
        <f>'Variante Hagel'!$C85*(1+Eingabeseite!$C$35)</f>
        <v>29532.300000000003</v>
      </c>
      <c r="BB33" s="128">
        <f>'Variante Hagel'!E85</f>
        <v>0.8</v>
      </c>
      <c r="BC33" s="81">
        <f>AY33*AZ33*BA33*BB33</f>
        <v>0</v>
      </c>
      <c r="BD33" s="653"/>
      <c r="BE33" s="142" t="str">
        <f>'Variante Hagel'!$A$75</f>
        <v>Hagelversicherung</v>
      </c>
      <c r="BF33" s="984">
        <f>Eingabeseite!$D$35</f>
        <v>0</v>
      </c>
      <c r="BG33" s="786">
        <f>'Variante Hagel'!$D86</f>
        <v>0.112</v>
      </c>
      <c r="BH33" s="127">
        <f>'Variante Hagel'!$C86*(1+Eingabeseite!$C$35)</f>
        <v>42806.400000000001</v>
      </c>
      <c r="BI33" s="128">
        <f>'Variante Hagel'!E86</f>
        <v>0.8</v>
      </c>
      <c r="BJ33" s="81">
        <f>BF33*BG33*BH33*BI33</f>
        <v>0</v>
      </c>
      <c r="BK33" s="653"/>
      <c r="BL33" s="142" t="str">
        <f>'Variante Hagel'!$A$75</f>
        <v>Hagelversicherung</v>
      </c>
      <c r="BM33" s="984">
        <f>Eingabeseite!$D$35</f>
        <v>0</v>
      </c>
      <c r="BN33" s="786">
        <f>'Variante Hagel'!$D87</f>
        <v>0.112</v>
      </c>
      <c r="BO33" s="127">
        <f>'Variante Hagel'!$C87*(1+Eingabeseite!$C$35)</f>
        <v>45276</v>
      </c>
      <c r="BP33" s="128">
        <f>'Variante Hagel'!E87</f>
        <v>0.8</v>
      </c>
      <c r="BQ33" s="81">
        <f>BM33*BN33*BO33*BP33</f>
        <v>0</v>
      </c>
      <c r="BR33" s="653"/>
      <c r="BS33" s="142" t="str">
        <f>'Variante Hagel'!$A$75</f>
        <v>Hagelversicherung</v>
      </c>
      <c r="BT33" s="984">
        <f>Eingabeseite!$D$35</f>
        <v>0</v>
      </c>
      <c r="BU33" s="786">
        <f>'Variante Hagel'!$D88</f>
        <v>0.112</v>
      </c>
      <c r="BV33" s="127">
        <f>'Variante Hagel'!$C88*(1+Eingabeseite!$C$35)</f>
        <v>36426.600000000006</v>
      </c>
      <c r="BW33" s="128">
        <f>'Variante Hagel'!E88</f>
        <v>0.8</v>
      </c>
      <c r="BX33" s="81">
        <f>BT33*BU33*BV33*BW33</f>
        <v>0</v>
      </c>
      <c r="BY33" s="653"/>
      <c r="BZ33" s="142" t="str">
        <f>'Variante Hagel'!$A$75</f>
        <v>Hagelversicherung</v>
      </c>
      <c r="CA33" s="984">
        <f>Eingabeseite!$D$35</f>
        <v>0</v>
      </c>
      <c r="CB33" s="786">
        <f>'Variante Hagel'!$D89</f>
        <v>0.112</v>
      </c>
      <c r="CC33" s="127">
        <f>'Variante Hagel'!$C89*(1+Eingabeseite!$C$35)</f>
        <v>29635.200000000004</v>
      </c>
      <c r="CD33" s="128">
        <f>'Variante Hagel'!E89</f>
        <v>0.8</v>
      </c>
      <c r="CE33" s="81">
        <f>CA33*CB33*CC33*CD33</f>
        <v>0</v>
      </c>
      <c r="CF33" s="653"/>
      <c r="CG33" s="142" t="str">
        <f>'Variante Hagel'!$A$75</f>
        <v>Hagelversicherung</v>
      </c>
      <c r="CH33" s="984">
        <f>Eingabeseite!$D$35</f>
        <v>0</v>
      </c>
      <c r="CI33" s="786">
        <f>'Variante Hagel'!$D90</f>
        <v>0.112</v>
      </c>
      <c r="CJ33" s="127">
        <f>'Variante Hagel'!$C90*(1+Eingabeseite!$C$35)</f>
        <v>32928</v>
      </c>
      <c r="CK33" s="128">
        <f>'Variante Hagel'!E90</f>
        <v>0.8</v>
      </c>
      <c r="CL33" s="81">
        <f>CH33*CI33*CJ33*CK33</f>
        <v>0</v>
      </c>
      <c r="CM33" s="653"/>
      <c r="CN33" s="142" t="str">
        <f>'Variante Hagel'!$A$75</f>
        <v>Hagelversicherung</v>
      </c>
      <c r="CO33" s="984">
        <f>Eingabeseite!$D$35</f>
        <v>0</v>
      </c>
      <c r="CP33" s="786">
        <f>'Variante Hagel'!$D91</f>
        <v>0.112</v>
      </c>
      <c r="CQ33" s="127">
        <f>'Variante Hagel'!$C91*(1+Eingabeseite!$C$35)</f>
        <v>33751.200000000004</v>
      </c>
      <c r="CR33" s="128">
        <f>'Variante Hagel'!E91</f>
        <v>0.8</v>
      </c>
      <c r="CS33" s="81">
        <f>CO33*CP33*CQ33*CR33</f>
        <v>0</v>
      </c>
      <c r="CT33" s="653"/>
      <c r="CU33" s="142" t="str">
        <f>'Variante Hagel'!$A$75</f>
        <v>Hagelversicherung</v>
      </c>
      <c r="CV33" s="984">
        <f>Eingabeseite!$D$35</f>
        <v>0</v>
      </c>
      <c r="CW33" s="786">
        <f>'Variante Hagel'!$D92</f>
        <v>0.112</v>
      </c>
      <c r="CX33" s="127">
        <f>'Variante Hagel'!$C92*(1+Eingabeseite!$C$35)</f>
        <v>28812.000000000004</v>
      </c>
      <c r="CY33" s="128">
        <f>'Variante Hagel'!E92</f>
        <v>0.8</v>
      </c>
      <c r="CZ33" s="81">
        <f>CV33*CW33*CX33*CY33</f>
        <v>0</v>
      </c>
      <c r="DA33" s="653"/>
    </row>
    <row r="34" spans="1:105" s="1" customFormat="1" ht="16.5" customHeight="1" x14ac:dyDescent="0.2">
      <c r="A34" s="142" t="s">
        <v>598</v>
      </c>
      <c r="B34" s="984"/>
      <c r="C34" s="531"/>
      <c r="D34" s="127"/>
      <c r="E34" s="128"/>
      <c r="F34" s="81">
        <f>'Variante Vorgaben'!$C$188</f>
        <v>1317.8</v>
      </c>
      <c r="G34" s="653"/>
      <c r="H34" s="142" t="s">
        <v>598</v>
      </c>
      <c r="I34" s="984"/>
      <c r="J34" s="531"/>
      <c r="K34" s="127"/>
      <c r="L34" s="128"/>
      <c r="M34" s="81">
        <f>'Variante Vorgaben'!$C$188</f>
        <v>1317.8</v>
      </c>
      <c r="N34" s="653"/>
      <c r="O34" s="142" t="s">
        <v>598</v>
      </c>
      <c r="P34" s="984"/>
      <c r="Q34" s="531"/>
      <c r="R34" s="127"/>
      <c r="S34" s="128"/>
      <c r="T34" s="81">
        <f>'Variante Vorgaben'!$C$188</f>
        <v>1317.8</v>
      </c>
      <c r="U34" s="653"/>
      <c r="V34" s="142" t="s">
        <v>598</v>
      </c>
      <c r="W34" s="984"/>
      <c r="X34" s="531"/>
      <c r="Y34" s="127"/>
      <c r="Z34" s="128"/>
      <c r="AA34" s="81">
        <f>'Variante Vorgaben'!$C$188</f>
        <v>1317.8</v>
      </c>
      <c r="AB34" s="653"/>
      <c r="AC34" s="142" t="s">
        <v>598</v>
      </c>
      <c r="AD34" s="984"/>
      <c r="AE34" s="531"/>
      <c r="AF34" s="127"/>
      <c r="AG34" s="128"/>
      <c r="AH34" s="81">
        <f>'Variante Vorgaben'!$C$188</f>
        <v>1317.8</v>
      </c>
      <c r="AI34" s="653"/>
      <c r="AJ34" s="142" t="s">
        <v>598</v>
      </c>
      <c r="AK34" s="984"/>
      <c r="AL34" s="531"/>
      <c r="AM34" s="127"/>
      <c r="AN34" s="128"/>
      <c r="AO34" s="81">
        <f>'Variante Vorgaben'!$C$188</f>
        <v>1317.8</v>
      </c>
      <c r="AP34" s="653"/>
      <c r="AQ34" s="142" t="s">
        <v>598</v>
      </c>
      <c r="AR34" s="984"/>
      <c r="AS34" s="531"/>
      <c r="AT34" s="127"/>
      <c r="AU34" s="128"/>
      <c r="AV34" s="81">
        <f>'Variante Vorgaben'!$C$188</f>
        <v>1317.8</v>
      </c>
      <c r="AW34" s="653"/>
      <c r="AX34" s="142" t="s">
        <v>598</v>
      </c>
      <c r="AY34" s="984"/>
      <c r="AZ34" s="531"/>
      <c r="BA34" s="127"/>
      <c r="BB34" s="128"/>
      <c r="BC34" s="81">
        <f>'Variante Vorgaben'!$C$188</f>
        <v>1317.8</v>
      </c>
      <c r="BD34" s="653"/>
      <c r="BE34" s="142" t="s">
        <v>598</v>
      </c>
      <c r="BF34" s="984"/>
      <c r="BG34" s="531"/>
      <c r="BH34" s="127"/>
      <c r="BI34" s="128"/>
      <c r="BJ34" s="81">
        <f>'Variante Vorgaben'!$C$188</f>
        <v>1317.8</v>
      </c>
      <c r="BK34" s="653"/>
      <c r="BL34" s="142" t="s">
        <v>598</v>
      </c>
      <c r="BM34" s="984"/>
      <c r="BN34" s="531"/>
      <c r="BO34" s="127"/>
      <c r="BP34" s="128"/>
      <c r="BQ34" s="81">
        <f>'Variante Vorgaben'!$C$188</f>
        <v>1317.8</v>
      </c>
      <c r="BR34" s="653"/>
      <c r="BS34" s="142" t="s">
        <v>598</v>
      </c>
      <c r="BT34" s="984"/>
      <c r="BU34" s="531"/>
      <c r="BV34" s="127"/>
      <c r="BW34" s="128"/>
      <c r="BX34" s="81">
        <f>'Variante Vorgaben'!$C$188</f>
        <v>1317.8</v>
      </c>
      <c r="BY34" s="653"/>
      <c r="BZ34" s="142" t="s">
        <v>598</v>
      </c>
      <c r="CA34" s="984"/>
      <c r="CB34" s="531"/>
      <c r="CC34" s="127"/>
      <c r="CD34" s="128"/>
      <c r="CE34" s="81">
        <f>'Variante Vorgaben'!$C$188</f>
        <v>1317.8</v>
      </c>
      <c r="CF34" s="653"/>
      <c r="CG34" s="142" t="s">
        <v>598</v>
      </c>
      <c r="CH34" s="984"/>
      <c r="CI34" s="531"/>
      <c r="CJ34" s="127"/>
      <c r="CK34" s="128"/>
      <c r="CL34" s="81">
        <f>'Variante Vorgaben'!$C$188</f>
        <v>1317.8</v>
      </c>
      <c r="CM34" s="653"/>
      <c r="CN34" s="142" t="s">
        <v>598</v>
      </c>
      <c r="CO34" s="984"/>
      <c r="CP34" s="531"/>
      <c r="CQ34" s="127"/>
      <c r="CR34" s="128"/>
      <c r="CS34" s="81">
        <f>'Variante Vorgaben'!$C$188</f>
        <v>1317.8</v>
      </c>
      <c r="CT34" s="653"/>
      <c r="CU34" s="142" t="s">
        <v>598</v>
      </c>
      <c r="CV34" s="984"/>
      <c r="CW34" s="531"/>
      <c r="CX34" s="127"/>
      <c r="CY34" s="128"/>
      <c r="CZ34" s="81">
        <f>'Variante Vorgaben'!$C$188</f>
        <v>1317.8</v>
      </c>
      <c r="DA34" s="653"/>
    </row>
    <row r="35" spans="1:105" s="1" customFormat="1" ht="16.5" customHeight="1" x14ac:dyDescent="0.2">
      <c r="A35" s="70" t="s">
        <v>406</v>
      </c>
      <c r="B35" s="287"/>
      <c r="C35" s="11"/>
      <c r="D35" s="11"/>
      <c r="E35" s="105"/>
      <c r="F35" s="110"/>
      <c r="G35" s="653"/>
      <c r="H35" s="70" t="s">
        <v>406</v>
      </c>
      <c r="I35" s="287"/>
      <c r="J35" s="11"/>
      <c r="K35" s="11"/>
      <c r="L35" s="105"/>
      <c r="M35" s="110"/>
      <c r="N35" s="653"/>
      <c r="O35" s="70" t="s">
        <v>406</v>
      </c>
      <c r="P35" s="287"/>
      <c r="Q35" s="11"/>
      <c r="R35" s="11"/>
      <c r="S35" s="105"/>
      <c r="T35" s="110"/>
      <c r="U35" s="653"/>
      <c r="V35" s="70" t="s">
        <v>406</v>
      </c>
      <c r="W35" s="287"/>
      <c r="X35" s="11"/>
      <c r="Y35" s="11"/>
      <c r="Z35" s="105"/>
      <c r="AA35" s="110"/>
      <c r="AB35" s="653"/>
      <c r="AC35" s="70" t="s">
        <v>406</v>
      </c>
      <c r="AD35" s="287"/>
      <c r="AE35" s="11"/>
      <c r="AF35" s="11"/>
      <c r="AG35" s="105"/>
      <c r="AH35" s="110"/>
      <c r="AI35" s="653"/>
      <c r="AJ35" s="70" t="s">
        <v>406</v>
      </c>
      <c r="AK35" s="287"/>
      <c r="AL35" s="11"/>
      <c r="AM35" s="11"/>
      <c r="AN35" s="105"/>
      <c r="AO35" s="110"/>
      <c r="AP35" s="653"/>
      <c r="AQ35" s="70" t="s">
        <v>406</v>
      </c>
      <c r="AR35" s="287"/>
      <c r="AS35" s="11"/>
      <c r="AT35" s="11"/>
      <c r="AU35" s="105"/>
      <c r="AV35" s="110"/>
      <c r="AW35" s="653"/>
      <c r="AX35" s="70" t="s">
        <v>406</v>
      </c>
      <c r="AY35" s="287"/>
      <c r="AZ35" s="11"/>
      <c r="BA35" s="11"/>
      <c r="BB35" s="105"/>
      <c r="BC35" s="110"/>
      <c r="BD35" s="653"/>
      <c r="BE35" s="70" t="s">
        <v>406</v>
      </c>
      <c r="BF35" s="287"/>
      <c r="BG35" s="11"/>
      <c r="BH35" s="11"/>
      <c r="BI35" s="105"/>
      <c r="BJ35" s="110"/>
      <c r="BK35" s="653"/>
      <c r="BL35" s="70" t="s">
        <v>406</v>
      </c>
      <c r="BM35" s="287"/>
      <c r="BN35" s="11"/>
      <c r="BO35" s="11"/>
      <c r="BP35" s="105"/>
      <c r="BQ35" s="110"/>
      <c r="BR35" s="653"/>
      <c r="BS35" s="70" t="s">
        <v>406</v>
      </c>
      <c r="BT35" s="287"/>
      <c r="BU35" s="11"/>
      <c r="BV35" s="11"/>
      <c r="BW35" s="105"/>
      <c r="BX35" s="110"/>
      <c r="BY35" s="653"/>
      <c r="BZ35" s="70" t="s">
        <v>406</v>
      </c>
      <c r="CA35" s="287"/>
      <c r="CB35" s="11"/>
      <c r="CC35" s="11"/>
      <c r="CD35" s="105"/>
      <c r="CE35" s="110"/>
      <c r="CF35" s="653"/>
      <c r="CG35" s="70" t="s">
        <v>406</v>
      </c>
      <c r="CH35" s="287"/>
      <c r="CI35" s="11"/>
      <c r="CJ35" s="11"/>
      <c r="CK35" s="105"/>
      <c r="CL35" s="110"/>
      <c r="CM35" s="653"/>
      <c r="CN35" s="70" t="s">
        <v>406</v>
      </c>
      <c r="CO35" s="287"/>
      <c r="CP35" s="11"/>
      <c r="CQ35" s="11"/>
      <c r="CR35" s="105"/>
      <c r="CS35" s="110"/>
      <c r="CT35" s="653"/>
      <c r="CU35" s="70" t="s">
        <v>406</v>
      </c>
      <c r="CV35" s="287"/>
      <c r="CW35" s="11"/>
      <c r="CX35" s="11"/>
      <c r="CY35" s="105"/>
      <c r="CZ35" s="110"/>
      <c r="DA35" s="653"/>
    </row>
    <row r="36" spans="1:105" s="1" customFormat="1" ht="18" customHeight="1" x14ac:dyDescent="0.2">
      <c r="A36" s="1433" t="s">
        <v>608</v>
      </c>
      <c r="B36" s="19" t="str">
        <f>'Variante Vorgaben'!$F$38</f>
        <v>Klasse I+II</v>
      </c>
      <c r="C36" s="19"/>
      <c r="D36" s="41" t="s">
        <v>135</v>
      </c>
      <c r="E36" s="44">
        <f>'Variante Vorgaben'!$G$38</f>
        <v>325</v>
      </c>
      <c r="F36" s="945">
        <f>'Variante Vorgaben'!$G$38</f>
        <v>325</v>
      </c>
      <c r="G36" s="652">
        <f>F36/F81</f>
        <v>2.5490403108686471E-2</v>
      </c>
      <c r="H36" s="1433" t="s">
        <v>608</v>
      </c>
      <c r="I36" s="19" t="str">
        <f>'Variante Vorgaben'!$F$38</f>
        <v>Klasse I+II</v>
      </c>
      <c r="J36" s="19"/>
      <c r="K36" s="41" t="s">
        <v>58</v>
      </c>
      <c r="L36" s="44">
        <f>'Variante Vorgaben'!$G$38</f>
        <v>325</v>
      </c>
      <c r="M36" s="945">
        <f>'Variante Vorgaben'!$G$38</f>
        <v>325</v>
      </c>
      <c r="N36" s="652">
        <f>M36/M81</f>
        <v>2.001934691070659E-2</v>
      </c>
      <c r="O36" s="1433" t="s">
        <v>608</v>
      </c>
      <c r="P36" s="19" t="str">
        <f>'Variante Vorgaben'!$F$38</f>
        <v>Klasse I+II</v>
      </c>
      <c r="Q36" s="19"/>
      <c r="R36" s="41" t="s">
        <v>58</v>
      </c>
      <c r="S36" s="44">
        <f>'Variante Vorgaben'!$G$38</f>
        <v>325</v>
      </c>
      <c r="T36" s="945">
        <f>'Variante Vorgaben'!$G$38</f>
        <v>325</v>
      </c>
      <c r="U36" s="652">
        <f>T36/T81</f>
        <v>1.0928590657253033E-2</v>
      </c>
      <c r="V36" s="1433" t="s">
        <v>608</v>
      </c>
      <c r="W36" s="19" t="str">
        <f>'Variante Vorgaben'!$F$38</f>
        <v>Klasse I+II</v>
      </c>
      <c r="X36" s="19"/>
      <c r="Y36" s="41" t="s">
        <v>58</v>
      </c>
      <c r="Z36" s="44">
        <f>'Variante Vorgaben'!$G$38</f>
        <v>325</v>
      </c>
      <c r="AA36" s="945">
        <f>'Variante Vorgaben'!$G$38</f>
        <v>325</v>
      </c>
      <c r="AB36" s="652">
        <f>AA36/AA81</f>
        <v>9.7641535629857772E-3</v>
      </c>
      <c r="AC36" s="1433" t="s">
        <v>608</v>
      </c>
      <c r="AD36" s="19" t="str">
        <f>'Variante Vorgaben'!$F$38</f>
        <v>Klasse I+II</v>
      </c>
      <c r="AE36" s="19"/>
      <c r="AF36" s="41" t="s">
        <v>58</v>
      </c>
      <c r="AG36" s="44">
        <f>'Variante Vorgaben'!$G$38</f>
        <v>325</v>
      </c>
      <c r="AH36" s="945">
        <f>'Variante Vorgaben'!$G$38</f>
        <v>325</v>
      </c>
      <c r="AI36" s="652">
        <f>AH36/AH81</f>
        <v>9.1882888387657315E-3</v>
      </c>
      <c r="AJ36" s="1433" t="s">
        <v>608</v>
      </c>
      <c r="AK36" s="19" t="str">
        <f>'Variante Vorgaben'!$F$38</f>
        <v>Klasse I+II</v>
      </c>
      <c r="AL36" s="19"/>
      <c r="AM36" s="41" t="s">
        <v>58</v>
      </c>
      <c r="AN36" s="44">
        <f>'Variante Vorgaben'!$G$38</f>
        <v>325</v>
      </c>
      <c r="AO36" s="945">
        <f>'Variante Vorgaben'!$G$38</f>
        <v>325</v>
      </c>
      <c r="AP36" s="652">
        <f>AO36/AO81</f>
        <v>8.6899103938685718E-3</v>
      </c>
      <c r="AQ36" s="1433" t="s">
        <v>608</v>
      </c>
      <c r="AR36" s="19" t="str">
        <f>'Variante Vorgaben'!$F$38</f>
        <v>Klasse I+II</v>
      </c>
      <c r="AS36" s="19"/>
      <c r="AT36" s="41" t="s">
        <v>58</v>
      </c>
      <c r="AU36" s="44">
        <f>'Variante Vorgaben'!$G$38</f>
        <v>325</v>
      </c>
      <c r="AV36" s="945">
        <f>'Variante Vorgaben'!$G$38</f>
        <v>325</v>
      </c>
      <c r="AW36" s="652">
        <f>AV36/AV81</f>
        <v>9.1465109617669717E-3</v>
      </c>
      <c r="AX36" s="1433" t="s">
        <v>608</v>
      </c>
      <c r="AY36" s="19" t="str">
        <f>'Variante Vorgaben'!$F$38</f>
        <v>Klasse I+II</v>
      </c>
      <c r="AZ36" s="19"/>
      <c r="BA36" s="41" t="s">
        <v>58</v>
      </c>
      <c r="BB36" s="44">
        <f>'Variante Vorgaben'!$G$38</f>
        <v>325</v>
      </c>
      <c r="BC36" s="945">
        <f>'Variante Vorgaben'!$G$38</f>
        <v>325</v>
      </c>
      <c r="BD36" s="652">
        <f>BC36/BC81</f>
        <v>9.1450196984360563E-3</v>
      </c>
      <c r="BE36" s="1433" t="s">
        <v>608</v>
      </c>
      <c r="BF36" s="19" t="str">
        <f>'Variante Vorgaben'!$F$38</f>
        <v>Klasse I+II</v>
      </c>
      <c r="BG36" s="19"/>
      <c r="BH36" s="41" t="s">
        <v>58</v>
      </c>
      <c r="BI36" s="44">
        <f>'Variante Vorgaben'!$G$38</f>
        <v>325</v>
      </c>
      <c r="BJ36" s="945">
        <f>'Variante Vorgaben'!$G$38</f>
        <v>325</v>
      </c>
      <c r="BK36" s="652">
        <f>BJ36/BJ81</f>
        <v>8.2997525237288872E-3</v>
      </c>
      <c r="BL36" s="1433" t="s">
        <v>608</v>
      </c>
      <c r="BM36" s="19" t="str">
        <f>'Variante Vorgaben'!$F$38</f>
        <v>Klasse I+II</v>
      </c>
      <c r="BN36" s="19"/>
      <c r="BO36" s="41" t="s">
        <v>58</v>
      </c>
      <c r="BP36" s="44">
        <f>'Variante Vorgaben'!$G$38</f>
        <v>325</v>
      </c>
      <c r="BQ36" s="945">
        <f>'Variante Vorgaben'!$G$38</f>
        <v>325</v>
      </c>
      <c r="BR36" s="652">
        <f>BQ36/BQ81</f>
        <v>8.1798451509549792E-3</v>
      </c>
      <c r="BS36" s="1433" t="s">
        <v>608</v>
      </c>
      <c r="BT36" s="19" t="str">
        <f>'Variante Vorgaben'!$F$38</f>
        <v>Klasse I+II</v>
      </c>
      <c r="BU36" s="19"/>
      <c r="BV36" s="41" t="s">
        <v>58</v>
      </c>
      <c r="BW36" s="44">
        <f>'Variante Vorgaben'!$G$38</f>
        <v>325</v>
      </c>
      <c r="BX36" s="945">
        <f>'Variante Vorgaben'!$G$38</f>
        <v>325</v>
      </c>
      <c r="BY36" s="652">
        <f>BX36/BX81</f>
        <v>8.7355521418635215E-3</v>
      </c>
      <c r="BZ36" s="1433" t="s">
        <v>608</v>
      </c>
      <c r="CA36" s="19" t="str">
        <f>'Variante Vorgaben'!$F$38</f>
        <v>Klasse I+II</v>
      </c>
      <c r="CB36" s="19"/>
      <c r="CC36" s="41" t="s">
        <v>58</v>
      </c>
      <c r="CD36" s="44">
        <f>'Variante Vorgaben'!$G$38</f>
        <v>325</v>
      </c>
      <c r="CE36" s="945">
        <f>'Variante Vorgaben'!$G$38</f>
        <v>325</v>
      </c>
      <c r="CF36" s="652">
        <f>CE36/CE81</f>
        <v>9.2053962493804323E-3</v>
      </c>
      <c r="CG36" s="1433" t="s">
        <v>608</v>
      </c>
      <c r="CH36" s="19" t="str">
        <f>'Variante Vorgaben'!$F$38</f>
        <v>Klasse I+II</v>
      </c>
      <c r="CI36" s="19"/>
      <c r="CJ36" s="41" t="s">
        <v>58</v>
      </c>
      <c r="CK36" s="44">
        <f>'Variante Vorgaben'!$G$38</f>
        <v>325</v>
      </c>
      <c r="CL36" s="945">
        <f>'Variante Vorgaben'!$G$38</f>
        <v>325</v>
      </c>
      <c r="CM36" s="652">
        <f>CL36/CL81</f>
        <v>8.9768009177032485E-3</v>
      </c>
      <c r="CN36" s="1433" t="s">
        <v>608</v>
      </c>
      <c r="CO36" s="19" t="str">
        <f>'Variante Vorgaben'!$F$38</f>
        <v>Klasse I+II</v>
      </c>
      <c r="CP36" s="19"/>
      <c r="CQ36" s="41" t="s">
        <v>58</v>
      </c>
      <c r="CR36" s="44">
        <f>'Variante Vorgaben'!$G$38</f>
        <v>325</v>
      </c>
      <c r="CS36" s="945">
        <f>'Variante Vorgaben'!$G$38</f>
        <v>325</v>
      </c>
      <c r="CT36" s="652">
        <f>CS36/CS81</f>
        <v>8.9272470547242348E-3</v>
      </c>
      <c r="CU36" s="1433" t="s">
        <v>608</v>
      </c>
      <c r="CV36" s="19" t="str">
        <f>'Variante Vorgaben'!$F$38</f>
        <v>Klasse I+II</v>
      </c>
      <c r="CW36" s="19"/>
      <c r="CX36" s="41" t="s">
        <v>58</v>
      </c>
      <c r="CY36" s="44">
        <f>'Variante Vorgaben'!$G$38</f>
        <v>325</v>
      </c>
      <c r="CZ36" s="945">
        <f>'Variante Vorgaben'!$G$38</f>
        <v>325</v>
      </c>
      <c r="DA36" s="652">
        <f>CZ36/CZ81</f>
        <v>7.9208295679125164E-3</v>
      </c>
    </row>
    <row r="37" spans="1:105" s="1" customFormat="1" ht="18" customHeight="1" x14ac:dyDescent="0.2">
      <c r="A37" s="1433"/>
      <c r="B37" s="19" t="str">
        <f>'Variante Vorgaben'!$F$39</f>
        <v>Mostobst</v>
      </c>
      <c r="C37" s="19"/>
      <c r="D37" s="41" t="s">
        <v>58</v>
      </c>
      <c r="E37" s="44">
        <f>'Variante Vorgaben'!$G$39</f>
        <v>1</v>
      </c>
      <c r="F37" s="146">
        <f>E37*D11/100</f>
        <v>0</v>
      </c>
      <c r="G37" s="652">
        <f>F37/F81</f>
        <v>0</v>
      </c>
      <c r="H37" s="1433"/>
      <c r="I37" s="19" t="str">
        <f>'Variante Vorgaben'!$F$39</f>
        <v>Mostobst</v>
      </c>
      <c r="J37" s="19"/>
      <c r="K37" s="41" t="s">
        <v>58</v>
      </c>
      <c r="L37" s="44">
        <f>'Variante Vorgaben'!$G$39</f>
        <v>1</v>
      </c>
      <c r="M37" s="146">
        <f>L37*K11/100</f>
        <v>12.6</v>
      </c>
      <c r="N37" s="652">
        <f>M37/M81</f>
        <v>7.7613468023047096E-4</v>
      </c>
      <c r="O37" s="1433"/>
      <c r="P37" s="19" t="str">
        <f>'Variante Vorgaben'!$F$39</f>
        <v>Mostobst</v>
      </c>
      <c r="Q37" s="19"/>
      <c r="R37" s="41" t="s">
        <v>58</v>
      </c>
      <c r="S37" s="44">
        <f>'Variante Vorgaben'!$G$39</f>
        <v>1</v>
      </c>
      <c r="T37" s="146">
        <f>S37*R11/100</f>
        <v>15.75</v>
      </c>
      <c r="U37" s="652">
        <f>T37/T81</f>
        <v>5.2961631646687777E-4</v>
      </c>
      <c r="V37" s="1433"/>
      <c r="W37" s="19" t="str">
        <f>'Variante Vorgaben'!$F$39</f>
        <v>Mostobst</v>
      </c>
      <c r="X37" s="19"/>
      <c r="Y37" s="41" t="s">
        <v>58</v>
      </c>
      <c r="Z37" s="44">
        <f>'Variante Vorgaben'!$G$39</f>
        <v>1</v>
      </c>
      <c r="AA37" s="146">
        <f>Z37*Y11/100</f>
        <v>27.3</v>
      </c>
      <c r="AB37" s="652">
        <f>AA37/AA81</f>
        <v>8.2018889929080536E-4</v>
      </c>
      <c r="AC37" s="1433"/>
      <c r="AD37" s="19" t="str">
        <f>'Variante Vorgaben'!$F$39</f>
        <v>Mostobst</v>
      </c>
      <c r="AE37" s="19"/>
      <c r="AF37" s="41" t="s">
        <v>58</v>
      </c>
      <c r="AG37" s="44">
        <f>'Variante Vorgaben'!$G$39</f>
        <v>1</v>
      </c>
      <c r="AH37" s="146">
        <f>AG37*AF11/100</f>
        <v>36.75</v>
      </c>
      <c r="AI37" s="652">
        <f>AH37/AH81</f>
        <v>1.0389834302296634E-3</v>
      </c>
      <c r="AJ37" s="1433"/>
      <c r="AK37" s="19" t="str">
        <f>'Variante Vorgaben'!$F$39</f>
        <v>Mostobst</v>
      </c>
      <c r="AL37" s="19"/>
      <c r="AM37" s="41" t="s">
        <v>58</v>
      </c>
      <c r="AN37" s="44">
        <f>'Variante Vorgaben'!$G$39</f>
        <v>1</v>
      </c>
      <c r="AO37" s="146">
        <f>AN37*AM11/100</f>
        <v>46.2</v>
      </c>
      <c r="AP37" s="652">
        <f>AO37/AO81</f>
        <v>1.2353041852207016E-3</v>
      </c>
      <c r="AQ37" s="1433"/>
      <c r="AR37" s="19" t="str">
        <f>'Variante Vorgaben'!$F$39</f>
        <v>Mostobst</v>
      </c>
      <c r="AS37" s="19"/>
      <c r="AT37" s="41" t="s">
        <v>58</v>
      </c>
      <c r="AU37" s="44">
        <f>'Variante Vorgaben'!$G$39</f>
        <v>1</v>
      </c>
      <c r="AV37" s="146">
        <f>AU37*AT11/100</f>
        <v>37.668750000000003</v>
      </c>
      <c r="AW37" s="652">
        <f>AV37/AV81</f>
        <v>1.0601157993571067E-3</v>
      </c>
      <c r="AX37" s="1433"/>
      <c r="AY37" s="19" t="str">
        <f>'Variante Vorgaben'!$F$39</f>
        <v>Mostobst</v>
      </c>
      <c r="AZ37" s="19"/>
      <c r="BA37" s="41" t="s">
        <v>58</v>
      </c>
      <c r="BB37" s="44">
        <f>'Variante Vorgaben'!$G$39</f>
        <v>1</v>
      </c>
      <c r="BC37" s="146">
        <f>BB37*BA11/100</f>
        <v>37.668750000000003</v>
      </c>
      <c r="BD37" s="652">
        <f>BC37/BC81</f>
        <v>1.0599429562014255E-3</v>
      </c>
      <c r="BE37" s="1433"/>
      <c r="BF37" s="19" t="str">
        <f>'Variante Vorgaben'!$F$39</f>
        <v>Mostobst</v>
      </c>
      <c r="BG37" s="19"/>
      <c r="BH37" s="41" t="s">
        <v>58</v>
      </c>
      <c r="BI37" s="44">
        <f>'Variante Vorgaben'!$G$39</f>
        <v>1</v>
      </c>
      <c r="BJ37" s="146">
        <f>BI37*BH11/100</f>
        <v>54.6</v>
      </c>
      <c r="BK37" s="652">
        <f>BJ37/BJ81</f>
        <v>1.3943584239864532E-3</v>
      </c>
      <c r="BL37" s="1433"/>
      <c r="BM37" s="19" t="str">
        <f>'Variante Vorgaben'!$F$39</f>
        <v>Mostobst</v>
      </c>
      <c r="BN37" s="19"/>
      <c r="BO37" s="41" t="s">
        <v>58</v>
      </c>
      <c r="BP37" s="44">
        <f>'Variante Vorgaben'!$G$39</f>
        <v>1</v>
      </c>
      <c r="BQ37" s="146">
        <f>BP37*BO11/100</f>
        <v>57.75</v>
      </c>
      <c r="BR37" s="652">
        <f>BQ37/BQ81</f>
        <v>1.4534955614389231E-3</v>
      </c>
      <c r="BS37" s="1433"/>
      <c r="BT37" s="19" t="str">
        <f>'Variante Vorgaben'!$F$39</f>
        <v>Mostobst</v>
      </c>
      <c r="BU37" s="19"/>
      <c r="BV37" s="41" t="s">
        <v>58</v>
      </c>
      <c r="BW37" s="44">
        <f>'Variante Vorgaben'!$G$39</f>
        <v>1</v>
      </c>
      <c r="BX37" s="146">
        <f>BW37*BV11/100</f>
        <v>46.462499999999999</v>
      </c>
      <c r="BY37" s="652">
        <f>BX37/BX81</f>
        <v>1.2488479735117965E-3</v>
      </c>
      <c r="BZ37" s="1433"/>
      <c r="CA37" s="19" t="str">
        <f>'Variante Vorgaben'!$F$39</f>
        <v>Mostobst</v>
      </c>
      <c r="CB37" s="19"/>
      <c r="CC37" s="41" t="s">
        <v>58</v>
      </c>
      <c r="CD37" s="44">
        <f>'Variante Vorgaben'!$G$39</f>
        <v>1</v>
      </c>
      <c r="CE37" s="146">
        <f>CD37*CC11/100</f>
        <v>37.799999999999997</v>
      </c>
      <c r="CF37" s="652">
        <f>CE37/CE81</f>
        <v>1.0706583945433242E-3</v>
      </c>
      <c r="CG37" s="1433"/>
      <c r="CH37" s="19" t="str">
        <f>'Variante Vorgaben'!$F$39</f>
        <v>Mostobst</v>
      </c>
      <c r="CI37" s="19"/>
      <c r="CJ37" s="41" t="s">
        <v>58</v>
      </c>
      <c r="CK37" s="44">
        <f>'Variante Vorgaben'!$G$39</f>
        <v>1</v>
      </c>
      <c r="CL37" s="146">
        <f>CK37*CJ11/100</f>
        <v>42</v>
      </c>
      <c r="CM37" s="652">
        <f>CL37/CL81</f>
        <v>1.160078887826266E-3</v>
      </c>
      <c r="CN37" s="1433"/>
      <c r="CO37" s="19" t="str">
        <f>'Variante Vorgaben'!$F$39</f>
        <v>Mostobst</v>
      </c>
      <c r="CP37" s="19"/>
      <c r="CQ37" s="41" t="s">
        <v>58</v>
      </c>
      <c r="CR37" s="44">
        <f>'Variante Vorgaben'!$G$39</f>
        <v>1</v>
      </c>
      <c r="CS37" s="146">
        <f>CR37*CQ11/100</f>
        <v>43.05</v>
      </c>
      <c r="CT37" s="652">
        <f>CS37/CS81</f>
        <v>1.1825168790950101E-3</v>
      </c>
      <c r="CU37" s="1433"/>
      <c r="CV37" s="19" t="str">
        <f>'Variante Vorgaben'!$F$39</f>
        <v>Mostobst</v>
      </c>
      <c r="CW37" s="19"/>
      <c r="CX37" s="41" t="s">
        <v>58</v>
      </c>
      <c r="CY37" s="44">
        <f>'Variante Vorgaben'!$G$39</f>
        <v>1</v>
      </c>
      <c r="CZ37" s="146">
        <f>CY37*CX11/100</f>
        <v>36.75</v>
      </c>
      <c r="DA37" s="652">
        <f>CZ37/CZ81</f>
        <v>8.9566303575626155E-4</v>
      </c>
    </row>
    <row r="38" spans="1:105" s="19" customFormat="1" ht="12.75" x14ac:dyDescent="0.2">
      <c r="A38" s="670" t="str">
        <f>'Variante Vorgaben'!$E$41</f>
        <v>Gebindekosten</v>
      </c>
      <c r="B38" s="147" t="str">
        <f>'Variante Vorgaben'!$F$41</f>
        <v>Klasse I+II</v>
      </c>
      <c r="D38" s="19" t="s">
        <v>58</v>
      </c>
      <c r="E38" s="529">
        <f>'Variante Vorgaben'!$G$41</f>
        <v>0</v>
      </c>
      <c r="F38" s="146">
        <f>(D9+D10)/100*E38</f>
        <v>0</v>
      </c>
      <c r="G38" s="652">
        <f>F38/F81</f>
        <v>0</v>
      </c>
      <c r="H38" s="670" t="str">
        <f>'Variante Vorgaben'!$E$41</f>
        <v>Gebindekosten</v>
      </c>
      <c r="I38" s="147" t="str">
        <f>'Variante Vorgaben'!$F$41</f>
        <v>Klasse I+II</v>
      </c>
      <c r="K38" s="19" t="s">
        <v>58</v>
      </c>
      <c r="L38" s="529">
        <f>'Variante Vorgaben'!$G$41</f>
        <v>0</v>
      </c>
      <c r="M38" s="146">
        <f>(K9+K10)/100*L38</f>
        <v>0</v>
      </c>
      <c r="N38" s="652">
        <f>M38/M81</f>
        <v>0</v>
      </c>
      <c r="O38" s="670" t="str">
        <f>'Variante Vorgaben'!$E$41</f>
        <v>Gebindekosten</v>
      </c>
      <c r="P38" s="147" t="str">
        <f>'Variante Vorgaben'!$F$41</f>
        <v>Klasse I+II</v>
      </c>
      <c r="R38" s="19" t="s">
        <v>58</v>
      </c>
      <c r="S38" s="529">
        <f>'Variante Vorgaben'!$G$41</f>
        <v>0</v>
      </c>
      <c r="T38" s="146">
        <f>(R9+R10)/100*S38</f>
        <v>0</v>
      </c>
      <c r="U38" s="652">
        <f>T38/T81</f>
        <v>0</v>
      </c>
      <c r="V38" s="670" t="str">
        <f>'Variante Vorgaben'!$E$41</f>
        <v>Gebindekosten</v>
      </c>
      <c r="W38" s="147" t="str">
        <f>'Variante Vorgaben'!$F$41</f>
        <v>Klasse I+II</v>
      </c>
      <c r="Y38" s="19" t="s">
        <v>58</v>
      </c>
      <c r="Z38" s="529">
        <f>'Variante Vorgaben'!$G$41</f>
        <v>0</v>
      </c>
      <c r="AA38" s="146">
        <f>(Y9+Y10)/100*Z38</f>
        <v>0</v>
      </c>
      <c r="AB38" s="652">
        <f>AA38/AA81</f>
        <v>0</v>
      </c>
      <c r="AC38" s="670" t="str">
        <f>'Variante Vorgaben'!$E$41</f>
        <v>Gebindekosten</v>
      </c>
      <c r="AD38" s="147" t="str">
        <f>'Variante Vorgaben'!$F$41</f>
        <v>Klasse I+II</v>
      </c>
      <c r="AF38" s="19" t="s">
        <v>58</v>
      </c>
      <c r="AG38" s="529">
        <f>'Variante Vorgaben'!$G$41</f>
        <v>0</v>
      </c>
      <c r="AH38" s="146">
        <f>(AF9+AF10)/100*AG38</f>
        <v>0</v>
      </c>
      <c r="AI38" s="652">
        <f>AH38/AH81</f>
        <v>0</v>
      </c>
      <c r="AJ38" s="670" t="str">
        <f>'Variante Vorgaben'!$E$41</f>
        <v>Gebindekosten</v>
      </c>
      <c r="AK38" s="147" t="str">
        <f>'Variante Vorgaben'!$F$41</f>
        <v>Klasse I+II</v>
      </c>
      <c r="AM38" s="19" t="s">
        <v>58</v>
      </c>
      <c r="AN38" s="529">
        <f>'Variante Vorgaben'!$G$41</f>
        <v>0</v>
      </c>
      <c r="AO38" s="146">
        <f>(AM9+AM10)/100*AN38</f>
        <v>0</v>
      </c>
      <c r="AP38" s="652">
        <f>AO38/AO81</f>
        <v>0</v>
      </c>
      <c r="AQ38" s="670" t="str">
        <f>'Variante Vorgaben'!$E$41</f>
        <v>Gebindekosten</v>
      </c>
      <c r="AR38" s="147" t="str">
        <f>'Variante Vorgaben'!$F$41</f>
        <v>Klasse I+II</v>
      </c>
      <c r="AT38" s="19" t="s">
        <v>58</v>
      </c>
      <c r="AU38" s="529">
        <f>'Variante Vorgaben'!$G$41</f>
        <v>0</v>
      </c>
      <c r="AV38" s="146">
        <f>(AT9+AT10)/100*AU38</f>
        <v>0</v>
      </c>
      <c r="AW38" s="652">
        <f>AV38/AV81</f>
        <v>0</v>
      </c>
      <c r="AX38" s="670" t="str">
        <f>'Variante Vorgaben'!$E$41</f>
        <v>Gebindekosten</v>
      </c>
      <c r="AY38" s="147" t="str">
        <f>'Variante Vorgaben'!$F$41</f>
        <v>Klasse I+II</v>
      </c>
      <c r="BA38" s="19" t="s">
        <v>58</v>
      </c>
      <c r="BB38" s="529">
        <f>'Variante Vorgaben'!$G$41</f>
        <v>0</v>
      </c>
      <c r="BC38" s="146">
        <f>(BA9+BA10)/100*BB38</f>
        <v>0</v>
      </c>
      <c r="BD38" s="652">
        <f>BC38/BC81</f>
        <v>0</v>
      </c>
      <c r="BE38" s="670" t="str">
        <f>'Variante Vorgaben'!$E$41</f>
        <v>Gebindekosten</v>
      </c>
      <c r="BF38" s="147" t="str">
        <f>'Variante Vorgaben'!$F$41</f>
        <v>Klasse I+II</v>
      </c>
      <c r="BH38" s="19" t="s">
        <v>58</v>
      </c>
      <c r="BI38" s="529">
        <f>'Variante Vorgaben'!$G$41</f>
        <v>0</v>
      </c>
      <c r="BJ38" s="146">
        <f>(BH9+BH10)/100*BI38</f>
        <v>0</v>
      </c>
      <c r="BK38" s="652">
        <f>BJ38/BJ81</f>
        <v>0</v>
      </c>
      <c r="BL38" s="670" t="str">
        <f>'Variante Vorgaben'!$E$41</f>
        <v>Gebindekosten</v>
      </c>
      <c r="BM38" s="147" t="str">
        <f>'Variante Vorgaben'!$F$41</f>
        <v>Klasse I+II</v>
      </c>
      <c r="BO38" s="19" t="s">
        <v>58</v>
      </c>
      <c r="BP38" s="529">
        <f>'Variante Vorgaben'!$G$41</f>
        <v>0</v>
      </c>
      <c r="BQ38" s="146">
        <f>(BO9+BO10)/100*BP38</f>
        <v>0</v>
      </c>
      <c r="BR38" s="652">
        <f>BQ38/BQ81</f>
        <v>0</v>
      </c>
      <c r="BS38" s="670" t="str">
        <f>'Variante Vorgaben'!$E$41</f>
        <v>Gebindekosten</v>
      </c>
      <c r="BT38" s="147" t="str">
        <f>'Variante Vorgaben'!$F$41</f>
        <v>Klasse I+II</v>
      </c>
      <c r="BV38" s="19" t="s">
        <v>58</v>
      </c>
      <c r="BW38" s="529">
        <f>'Variante Vorgaben'!$G$41</f>
        <v>0</v>
      </c>
      <c r="BX38" s="146">
        <f>(BV9+BV10)/100*BW38</f>
        <v>0</v>
      </c>
      <c r="BY38" s="652">
        <f>BX38/BX81</f>
        <v>0</v>
      </c>
      <c r="BZ38" s="670" t="str">
        <f>'Variante Vorgaben'!$E$41</f>
        <v>Gebindekosten</v>
      </c>
      <c r="CA38" s="147" t="str">
        <f>'Variante Vorgaben'!$F$41</f>
        <v>Klasse I+II</v>
      </c>
      <c r="CC38" s="19" t="s">
        <v>58</v>
      </c>
      <c r="CD38" s="529">
        <f>'Variante Vorgaben'!$G$41</f>
        <v>0</v>
      </c>
      <c r="CE38" s="146">
        <f>(CC9+CC10)/100*CD38</f>
        <v>0</v>
      </c>
      <c r="CF38" s="652">
        <f>CE38/CE81</f>
        <v>0</v>
      </c>
      <c r="CG38" s="670" t="str">
        <f>'Variante Vorgaben'!$E$41</f>
        <v>Gebindekosten</v>
      </c>
      <c r="CH38" s="147" t="str">
        <f>'Variante Vorgaben'!$F$41</f>
        <v>Klasse I+II</v>
      </c>
      <c r="CJ38" s="19" t="s">
        <v>58</v>
      </c>
      <c r="CK38" s="529">
        <f>'Variante Vorgaben'!$G$41</f>
        <v>0</v>
      </c>
      <c r="CL38" s="146">
        <f>(CJ9+CJ10)/100*CK38</f>
        <v>0</v>
      </c>
      <c r="CM38" s="652">
        <f>CL38/CL81</f>
        <v>0</v>
      </c>
      <c r="CN38" s="670" t="str">
        <f>'Variante Vorgaben'!$E$41</f>
        <v>Gebindekosten</v>
      </c>
      <c r="CO38" s="147" t="str">
        <f>'Variante Vorgaben'!$F$41</f>
        <v>Klasse I+II</v>
      </c>
      <c r="CQ38" s="19" t="s">
        <v>58</v>
      </c>
      <c r="CR38" s="529">
        <f>'Variante Vorgaben'!$G$41</f>
        <v>0</v>
      </c>
      <c r="CS38" s="146">
        <f>(CQ9+CQ10)/100*CR38</f>
        <v>0</v>
      </c>
      <c r="CT38" s="652">
        <f>CS38/CS81</f>
        <v>0</v>
      </c>
      <c r="CU38" s="670" t="str">
        <f>'Variante Vorgaben'!$E$41</f>
        <v>Gebindekosten</v>
      </c>
      <c r="CV38" s="147" t="str">
        <f>'Variante Vorgaben'!$F$41</f>
        <v>Klasse I+II</v>
      </c>
      <c r="CX38" s="19" t="s">
        <v>58</v>
      </c>
      <c r="CY38" s="529">
        <f>'Variante Vorgaben'!$G$41</f>
        <v>0</v>
      </c>
      <c r="CZ38" s="146">
        <f>(CX9+CX10)/100*CY38</f>
        <v>0</v>
      </c>
      <c r="DA38" s="652">
        <f>CZ38/CZ81</f>
        <v>0</v>
      </c>
    </row>
    <row r="39" spans="1:105" s="19" customFormat="1" ht="12.75" x14ac:dyDescent="0.2">
      <c r="A39" s="670" t="str">
        <f>'Variante Vorgaben'!$E$42</f>
        <v>Sortierkosten</v>
      </c>
      <c r="B39" s="19" t="str">
        <f>'Variante Vorgaben'!$F$42</f>
        <v>Klasse I+II</v>
      </c>
      <c r="D39" s="19" t="s">
        <v>58</v>
      </c>
      <c r="E39" s="44">
        <f>'Variante Vorgaben'!$G$42</f>
        <v>0</v>
      </c>
      <c r="F39" s="146">
        <f>(D9+D10)/100*E39</f>
        <v>0</v>
      </c>
      <c r="G39" s="652">
        <f>F39/F81</f>
        <v>0</v>
      </c>
      <c r="H39" s="670" t="str">
        <f>'Variante Vorgaben'!$E$42</f>
        <v>Sortierkosten</v>
      </c>
      <c r="I39" s="19" t="str">
        <f>'Variante Vorgaben'!$F$42</f>
        <v>Klasse I+II</v>
      </c>
      <c r="K39" s="19" t="s">
        <v>58</v>
      </c>
      <c r="L39" s="44">
        <f>'Variante Vorgaben'!$G$42</f>
        <v>0</v>
      </c>
      <c r="M39" s="146">
        <f>(K9+K10)/100*L39</f>
        <v>0</v>
      </c>
      <c r="N39" s="652">
        <f>M39/M81</f>
        <v>0</v>
      </c>
      <c r="O39" s="670" t="str">
        <f>'Variante Vorgaben'!$E$42</f>
        <v>Sortierkosten</v>
      </c>
      <c r="P39" s="19" t="str">
        <f>'Variante Vorgaben'!$F$42</f>
        <v>Klasse I+II</v>
      </c>
      <c r="R39" s="19" t="s">
        <v>58</v>
      </c>
      <c r="S39" s="44">
        <f>'Variante Vorgaben'!$G$42</f>
        <v>0</v>
      </c>
      <c r="T39" s="146">
        <f>(R9+R10)/100*S39</f>
        <v>0</v>
      </c>
      <c r="U39" s="652">
        <f>T39/T81</f>
        <v>0</v>
      </c>
      <c r="V39" s="670" t="str">
        <f>'Variante Vorgaben'!$E$42</f>
        <v>Sortierkosten</v>
      </c>
      <c r="W39" s="19" t="str">
        <f>'Variante Vorgaben'!$F$42</f>
        <v>Klasse I+II</v>
      </c>
      <c r="Y39" s="19" t="s">
        <v>58</v>
      </c>
      <c r="Z39" s="44">
        <f>'Variante Vorgaben'!$G$42</f>
        <v>0</v>
      </c>
      <c r="AA39" s="146">
        <f>(Y9+Y10)/100*Z39</f>
        <v>0</v>
      </c>
      <c r="AB39" s="652">
        <f>AA39/AA81</f>
        <v>0</v>
      </c>
      <c r="AC39" s="670" t="str">
        <f>'Variante Vorgaben'!$E$42</f>
        <v>Sortierkosten</v>
      </c>
      <c r="AD39" s="19" t="str">
        <f>'Variante Vorgaben'!$F$42</f>
        <v>Klasse I+II</v>
      </c>
      <c r="AF39" s="19" t="s">
        <v>58</v>
      </c>
      <c r="AG39" s="44">
        <f>'Variante Vorgaben'!$G$42</f>
        <v>0</v>
      </c>
      <c r="AH39" s="146">
        <f>(AF9+AF10)/100*AG39</f>
        <v>0</v>
      </c>
      <c r="AI39" s="652">
        <f>AH39/AH81</f>
        <v>0</v>
      </c>
      <c r="AJ39" s="670" t="str">
        <f>'Variante Vorgaben'!$E$42</f>
        <v>Sortierkosten</v>
      </c>
      <c r="AK39" s="19" t="str">
        <f>'Variante Vorgaben'!$F$42</f>
        <v>Klasse I+II</v>
      </c>
      <c r="AM39" s="19" t="s">
        <v>58</v>
      </c>
      <c r="AN39" s="44">
        <f>'Variante Vorgaben'!$G$42</f>
        <v>0</v>
      </c>
      <c r="AO39" s="146">
        <f>(AM9+AM10)/100*AN39</f>
        <v>0</v>
      </c>
      <c r="AP39" s="652">
        <f>AO39/AO81</f>
        <v>0</v>
      </c>
      <c r="AQ39" s="670" t="str">
        <f>'Variante Vorgaben'!$E$42</f>
        <v>Sortierkosten</v>
      </c>
      <c r="AR39" s="19" t="str">
        <f>'Variante Vorgaben'!$F$42</f>
        <v>Klasse I+II</v>
      </c>
      <c r="AT39" s="19" t="s">
        <v>58</v>
      </c>
      <c r="AU39" s="44">
        <f>'Variante Vorgaben'!$G$42</f>
        <v>0</v>
      </c>
      <c r="AV39" s="146">
        <f>(AT9+AT10)/100*AU39</f>
        <v>0</v>
      </c>
      <c r="AW39" s="652">
        <f>AV39/AV81</f>
        <v>0</v>
      </c>
      <c r="AX39" s="670" t="str">
        <f>'Variante Vorgaben'!$E$42</f>
        <v>Sortierkosten</v>
      </c>
      <c r="AY39" s="19" t="str">
        <f>'Variante Vorgaben'!$F$42</f>
        <v>Klasse I+II</v>
      </c>
      <c r="BA39" s="19" t="s">
        <v>58</v>
      </c>
      <c r="BB39" s="44">
        <f>'Variante Vorgaben'!$G$42</f>
        <v>0</v>
      </c>
      <c r="BC39" s="146">
        <f>(BA9+BA10)/100*BB39</f>
        <v>0</v>
      </c>
      <c r="BD39" s="652">
        <f>BC39/BC81</f>
        <v>0</v>
      </c>
      <c r="BE39" s="670" t="str">
        <f>'Variante Vorgaben'!$E$42</f>
        <v>Sortierkosten</v>
      </c>
      <c r="BF39" s="19" t="str">
        <f>'Variante Vorgaben'!$F$42</f>
        <v>Klasse I+II</v>
      </c>
      <c r="BH39" s="19" t="s">
        <v>58</v>
      </c>
      <c r="BI39" s="44">
        <f>'Variante Vorgaben'!$G$42</f>
        <v>0</v>
      </c>
      <c r="BJ39" s="146">
        <f>(BH9+BH10)/100*BI39</f>
        <v>0</v>
      </c>
      <c r="BK39" s="652">
        <f>BJ39/BJ81</f>
        <v>0</v>
      </c>
      <c r="BL39" s="670" t="str">
        <f>'Variante Vorgaben'!$E$42</f>
        <v>Sortierkosten</v>
      </c>
      <c r="BM39" s="19" t="str">
        <f>'Variante Vorgaben'!$F$42</f>
        <v>Klasse I+II</v>
      </c>
      <c r="BO39" s="19" t="s">
        <v>58</v>
      </c>
      <c r="BP39" s="44">
        <f>'Variante Vorgaben'!$G$42</f>
        <v>0</v>
      </c>
      <c r="BQ39" s="146">
        <f>(BO9+BO10)/100*BP39</f>
        <v>0</v>
      </c>
      <c r="BR39" s="652">
        <f>BQ39/BQ81</f>
        <v>0</v>
      </c>
      <c r="BS39" s="670" t="str">
        <f>'Variante Vorgaben'!$E$42</f>
        <v>Sortierkosten</v>
      </c>
      <c r="BT39" s="19" t="str">
        <f>'Variante Vorgaben'!$F$42</f>
        <v>Klasse I+II</v>
      </c>
      <c r="BV39" s="19" t="s">
        <v>58</v>
      </c>
      <c r="BW39" s="44">
        <f>'Variante Vorgaben'!$G$42</f>
        <v>0</v>
      </c>
      <c r="BX39" s="146">
        <f>(BV9+BV10)/100*BW39</f>
        <v>0</v>
      </c>
      <c r="BY39" s="652">
        <f>BX39/BX81</f>
        <v>0</v>
      </c>
      <c r="BZ39" s="670" t="str">
        <f>'Variante Vorgaben'!$E$42</f>
        <v>Sortierkosten</v>
      </c>
      <c r="CA39" s="19" t="str">
        <f>'Variante Vorgaben'!$F$42</f>
        <v>Klasse I+II</v>
      </c>
      <c r="CC39" s="19" t="s">
        <v>58</v>
      </c>
      <c r="CD39" s="44">
        <f>'Variante Vorgaben'!$G$42</f>
        <v>0</v>
      </c>
      <c r="CE39" s="146">
        <f>(CC9+CC10)/100*CD39</f>
        <v>0</v>
      </c>
      <c r="CF39" s="652">
        <f>CE39/CE81</f>
        <v>0</v>
      </c>
      <c r="CG39" s="670" t="str">
        <f>'Variante Vorgaben'!$E$42</f>
        <v>Sortierkosten</v>
      </c>
      <c r="CH39" s="19" t="str">
        <f>'Variante Vorgaben'!$F$42</f>
        <v>Klasse I+II</v>
      </c>
      <c r="CJ39" s="19" t="s">
        <v>58</v>
      </c>
      <c r="CK39" s="44">
        <f>'Variante Vorgaben'!$G$42</f>
        <v>0</v>
      </c>
      <c r="CL39" s="146">
        <f>(CJ9+CJ10)/100*CK39</f>
        <v>0</v>
      </c>
      <c r="CM39" s="652">
        <f>CL39/CL81</f>
        <v>0</v>
      </c>
      <c r="CN39" s="670" t="str">
        <f>'Variante Vorgaben'!$E$42</f>
        <v>Sortierkosten</v>
      </c>
      <c r="CO39" s="19" t="str">
        <f>'Variante Vorgaben'!$F$42</f>
        <v>Klasse I+II</v>
      </c>
      <c r="CQ39" s="19" t="s">
        <v>58</v>
      </c>
      <c r="CR39" s="44">
        <f>'Variante Vorgaben'!$G$42</f>
        <v>0</v>
      </c>
      <c r="CS39" s="146">
        <f>(CQ9+CQ10)/100*CR39</f>
        <v>0</v>
      </c>
      <c r="CT39" s="652">
        <f>CS39/CS81</f>
        <v>0</v>
      </c>
      <c r="CU39" s="670" t="str">
        <f>'Variante Vorgaben'!$E$42</f>
        <v>Sortierkosten</v>
      </c>
      <c r="CV39" s="19" t="str">
        <f>'Variante Vorgaben'!$F$42</f>
        <v>Klasse I+II</v>
      </c>
      <c r="CX39" s="19" t="s">
        <v>58</v>
      </c>
      <c r="CY39" s="44">
        <f>'Variante Vorgaben'!$G$42</f>
        <v>0</v>
      </c>
      <c r="CZ39" s="146">
        <f>(CX9+CX10)/100*CY39</f>
        <v>0</v>
      </c>
      <c r="DA39" s="652">
        <f>CZ39/CZ81</f>
        <v>0</v>
      </c>
    </row>
    <row r="40" spans="1:105" s="1" customFormat="1" ht="13.5" thickBot="1" x14ac:dyDescent="0.25">
      <c r="A40" s="670"/>
      <c r="B40" s="19" t="str">
        <f>'Variante Vorgaben'!F43</f>
        <v>Abgang</v>
      </c>
      <c r="C40" s="19"/>
      <c r="D40" s="19" t="s">
        <v>58</v>
      </c>
      <c r="E40" s="44">
        <f>'Variante Vorgaben'!$G$43</f>
        <v>0</v>
      </c>
      <c r="F40" s="501">
        <f>Eingabeseite!$D$13*'Variante Standjahre'!D12*('Variante Vorgaben'!G43/100)</f>
        <v>0</v>
      </c>
      <c r="G40" s="652">
        <f>F40/F81</f>
        <v>0</v>
      </c>
      <c r="H40" s="670"/>
      <c r="I40" s="19" t="str">
        <f>'Variante Vorgaben'!F43</f>
        <v>Abgang</v>
      </c>
      <c r="J40" s="19"/>
      <c r="K40" s="19" t="s">
        <v>58</v>
      </c>
      <c r="L40" s="44">
        <f>'Variante Vorgaben'!$G$43</f>
        <v>0</v>
      </c>
      <c r="M40" s="501">
        <f>Eingabeseite!$D$13*'Variante Standjahre'!K12*('Variante Vorgaben'!$G$43/100)</f>
        <v>0</v>
      </c>
      <c r="N40" s="652">
        <f>M40/M81</f>
        <v>0</v>
      </c>
      <c r="O40" s="670"/>
      <c r="P40" s="19" t="str">
        <f>'Variante Vorgaben'!F43</f>
        <v>Abgang</v>
      </c>
      <c r="Q40" s="19"/>
      <c r="R40" s="19" t="s">
        <v>58</v>
      </c>
      <c r="S40" s="44">
        <f>'Variante Vorgaben'!$G$43</f>
        <v>0</v>
      </c>
      <c r="T40" s="501">
        <f>Eingabeseite!$D$13*'Variante Standjahre'!R12*('Variante Vorgaben'!$G$43/100)</f>
        <v>0</v>
      </c>
      <c r="U40" s="652">
        <f>T40/T81</f>
        <v>0</v>
      </c>
      <c r="V40" s="670"/>
      <c r="W40" s="19" t="str">
        <f>'Variante Vorgaben'!F43</f>
        <v>Abgang</v>
      </c>
      <c r="X40" s="19"/>
      <c r="Y40" s="19" t="s">
        <v>58</v>
      </c>
      <c r="Z40" s="44">
        <f>'Variante Vorgaben'!$G$43</f>
        <v>0</v>
      </c>
      <c r="AA40" s="501">
        <f>Eingabeseite!$D$13*'Variante Standjahre'!Y12*('Variante Vorgaben'!$G$43/100)</f>
        <v>0</v>
      </c>
      <c r="AB40" s="652">
        <f>AA40/AA81</f>
        <v>0</v>
      </c>
      <c r="AC40" s="670"/>
      <c r="AD40" s="19" t="str">
        <f>'Variante Vorgaben'!F43</f>
        <v>Abgang</v>
      </c>
      <c r="AE40" s="19"/>
      <c r="AF40" s="19" t="s">
        <v>58</v>
      </c>
      <c r="AG40" s="44">
        <f>'Variante Vorgaben'!$G$43</f>
        <v>0</v>
      </c>
      <c r="AH40" s="501">
        <f>Eingabeseite!$D$13*'Variante Standjahre'!AF12*('Variante Vorgaben'!$G$43/100)</f>
        <v>0</v>
      </c>
      <c r="AI40" s="652">
        <f>AH40/AH81</f>
        <v>0</v>
      </c>
      <c r="AJ40" s="670"/>
      <c r="AK40" s="19" t="str">
        <f>'Variante Vorgaben'!F43</f>
        <v>Abgang</v>
      </c>
      <c r="AL40" s="19"/>
      <c r="AM40" s="19" t="s">
        <v>58</v>
      </c>
      <c r="AN40" s="44">
        <f>'Variante Vorgaben'!$G$43</f>
        <v>0</v>
      </c>
      <c r="AO40" s="501">
        <f>Eingabeseite!$D$13*'Variante Standjahre'!AM12*('Variante Vorgaben'!$G$43/100)</f>
        <v>0</v>
      </c>
      <c r="AP40" s="652">
        <f>AO40/AO81</f>
        <v>0</v>
      </c>
      <c r="AQ40" s="670"/>
      <c r="AR40" s="19" t="str">
        <f>'Variante Vorgaben'!F43</f>
        <v>Abgang</v>
      </c>
      <c r="AS40" s="19"/>
      <c r="AT40" s="19" t="s">
        <v>58</v>
      </c>
      <c r="AU40" s="44">
        <f>'Variante Vorgaben'!$G$43</f>
        <v>0</v>
      </c>
      <c r="AV40" s="501">
        <f>Eingabeseite!$D$13*'Variante Standjahre'!AT12*('Variante Vorgaben'!$G$43/100)</f>
        <v>0</v>
      </c>
      <c r="AW40" s="652">
        <f>AV40/AV81</f>
        <v>0</v>
      </c>
      <c r="AX40" s="670"/>
      <c r="AY40" s="19" t="str">
        <f>'Variante Vorgaben'!F43</f>
        <v>Abgang</v>
      </c>
      <c r="AZ40" s="19"/>
      <c r="BA40" s="19" t="s">
        <v>58</v>
      </c>
      <c r="BB40" s="44">
        <f>'Variante Vorgaben'!$G$43</f>
        <v>0</v>
      </c>
      <c r="BC40" s="501">
        <f>Eingabeseite!$D$13*'Variante Standjahre'!BA12*('Variante Vorgaben'!$G$43/100)</f>
        <v>0</v>
      </c>
      <c r="BD40" s="652">
        <f>BC40/BC81</f>
        <v>0</v>
      </c>
      <c r="BE40" s="670"/>
      <c r="BF40" s="19" t="str">
        <f>'Variante Vorgaben'!F43</f>
        <v>Abgang</v>
      </c>
      <c r="BG40" s="19"/>
      <c r="BH40" s="19" t="s">
        <v>58</v>
      </c>
      <c r="BI40" s="44">
        <f>'Variante Vorgaben'!$G$43</f>
        <v>0</v>
      </c>
      <c r="BJ40" s="501">
        <f>Eingabeseite!$D$13*'Variante Standjahre'!BH12*('Variante Vorgaben'!$G$43/100)</f>
        <v>0</v>
      </c>
      <c r="BK40" s="652">
        <f>BJ40/BJ81</f>
        <v>0</v>
      </c>
      <c r="BL40" s="670"/>
      <c r="BM40" s="19" t="str">
        <f>'Variante Vorgaben'!F43</f>
        <v>Abgang</v>
      </c>
      <c r="BN40" s="19"/>
      <c r="BO40" s="19" t="s">
        <v>58</v>
      </c>
      <c r="BP40" s="44">
        <f>'Variante Vorgaben'!$G$43</f>
        <v>0</v>
      </c>
      <c r="BQ40" s="501">
        <f>Eingabeseite!$D$13*'Variante Standjahre'!BO12*('Variante Vorgaben'!$G$43/100)</f>
        <v>0</v>
      </c>
      <c r="BR40" s="652">
        <f>BQ40/BQ81</f>
        <v>0</v>
      </c>
      <c r="BS40" s="670"/>
      <c r="BT40" s="19" t="str">
        <f>'Variante Vorgaben'!F43</f>
        <v>Abgang</v>
      </c>
      <c r="BU40" s="19"/>
      <c r="BV40" s="19" t="s">
        <v>58</v>
      </c>
      <c r="BW40" s="44">
        <f>'Variante Vorgaben'!$G$43</f>
        <v>0</v>
      </c>
      <c r="BX40" s="501">
        <f>Eingabeseite!$D$13*'Variante Standjahre'!BV12*('Variante Vorgaben'!$G$43/100)</f>
        <v>0</v>
      </c>
      <c r="BY40" s="652">
        <f>BX40/BX81</f>
        <v>0</v>
      </c>
      <c r="BZ40" s="670"/>
      <c r="CA40" s="19" t="str">
        <f>'Variante Vorgaben'!F43</f>
        <v>Abgang</v>
      </c>
      <c r="CB40" s="19"/>
      <c r="CC40" s="19" t="s">
        <v>58</v>
      </c>
      <c r="CD40" s="44">
        <f>'Variante Vorgaben'!$G$43</f>
        <v>0</v>
      </c>
      <c r="CE40" s="501">
        <f>Eingabeseite!$D$13*'Variante Standjahre'!CC12*('Variante Vorgaben'!$G$43/100)</f>
        <v>0</v>
      </c>
      <c r="CF40" s="652">
        <f>CE40/CE81</f>
        <v>0</v>
      </c>
      <c r="CG40" s="670"/>
      <c r="CH40" s="19" t="str">
        <f>'Variante Vorgaben'!F43</f>
        <v>Abgang</v>
      </c>
      <c r="CI40" s="19"/>
      <c r="CJ40" s="19" t="s">
        <v>58</v>
      </c>
      <c r="CK40" s="44">
        <f>'Variante Vorgaben'!$G$43</f>
        <v>0</v>
      </c>
      <c r="CL40" s="501">
        <f>Eingabeseite!$D$13*'Variante Standjahre'!CJ12*('Variante Vorgaben'!$G$43/100)</f>
        <v>0</v>
      </c>
      <c r="CM40" s="652">
        <f>CL40/CL81</f>
        <v>0</v>
      </c>
      <c r="CN40" s="670"/>
      <c r="CO40" s="19" t="str">
        <f>'Variante Vorgaben'!F43</f>
        <v>Abgang</v>
      </c>
      <c r="CP40" s="19"/>
      <c r="CQ40" s="19" t="s">
        <v>58</v>
      </c>
      <c r="CR40" s="44">
        <f>'Variante Vorgaben'!$G$43</f>
        <v>0</v>
      </c>
      <c r="CS40" s="501">
        <f>Eingabeseite!$D$13*'Variante Standjahre'!CQ12*('Variante Vorgaben'!$G$43/100)</f>
        <v>0</v>
      </c>
      <c r="CT40" s="652">
        <f>CS40/CS81</f>
        <v>0</v>
      </c>
      <c r="CU40" s="670"/>
      <c r="CV40" s="19" t="str">
        <f>'Variante Vorgaben'!F43</f>
        <v>Abgang</v>
      </c>
      <c r="CW40" s="19"/>
      <c r="CX40" s="19" t="s">
        <v>58</v>
      </c>
      <c r="CY40" s="44">
        <f>'Variante Vorgaben'!$G$43</f>
        <v>0</v>
      </c>
      <c r="CZ40" s="501">
        <f>Eingabeseite!$D$13*'Variante Standjahre'!CX12*('Variante Vorgaben'!$G$43/100)</f>
        <v>0</v>
      </c>
      <c r="DA40" s="652">
        <f>CZ40/CZ81</f>
        <v>0</v>
      </c>
    </row>
    <row r="41" spans="1:105" s="1" customFormat="1" ht="12.75" x14ac:dyDescent="0.2">
      <c r="A41" s="530"/>
      <c r="B41" s="19"/>
      <c r="C41" s="19"/>
      <c r="D41" s="19"/>
      <c r="E41" s="44"/>
      <c r="F41" s="81">
        <f>SUM(F36:F40)</f>
        <v>325</v>
      </c>
      <c r="G41" s="649">
        <f>F41/F81</f>
        <v>2.5490403108686471E-2</v>
      </c>
      <c r="H41" s="530"/>
      <c r="I41" s="19"/>
      <c r="J41" s="19"/>
      <c r="K41" s="19"/>
      <c r="L41" s="44"/>
      <c r="M41" s="81">
        <f>SUM(M36:M40)</f>
        <v>337.6</v>
      </c>
      <c r="N41" s="649">
        <f>M41/M81</f>
        <v>2.0795481590937064E-2</v>
      </c>
      <c r="O41" s="530"/>
      <c r="P41" s="19"/>
      <c r="Q41" s="19"/>
      <c r="R41" s="19"/>
      <c r="S41" s="44"/>
      <c r="T41" s="81">
        <f>SUM(T36:T40)</f>
        <v>340.75</v>
      </c>
      <c r="U41" s="649">
        <f>T41/T81</f>
        <v>1.1458206973719911E-2</v>
      </c>
      <c r="V41" s="530"/>
      <c r="W41" s="19"/>
      <c r="X41" s="19"/>
      <c r="Y41" s="19"/>
      <c r="Z41" s="44"/>
      <c r="AA41" s="81">
        <f>SUM(AA36:AA40)</f>
        <v>352.3</v>
      </c>
      <c r="AB41" s="649">
        <f>AA41/AA81</f>
        <v>1.0584342462276583E-2</v>
      </c>
      <c r="AC41" s="530"/>
      <c r="AD41" s="19"/>
      <c r="AE41" s="19"/>
      <c r="AF41" s="19"/>
      <c r="AG41" s="44"/>
      <c r="AH41" s="81">
        <f>SUM(AH36:AH40)</f>
        <v>361.75</v>
      </c>
      <c r="AI41" s="649">
        <f>AH41/AH81</f>
        <v>1.0227272268995394E-2</v>
      </c>
      <c r="AJ41" s="530"/>
      <c r="AK41" s="19"/>
      <c r="AL41" s="19"/>
      <c r="AM41" s="19"/>
      <c r="AN41" s="44"/>
      <c r="AO41" s="81">
        <f>SUM(AO36:AO40)</f>
        <v>371.2</v>
      </c>
      <c r="AP41" s="649">
        <f>AO41/AO81</f>
        <v>9.925214579089273E-3</v>
      </c>
      <c r="AQ41" s="530"/>
      <c r="AR41" s="19"/>
      <c r="AS41" s="19"/>
      <c r="AT41" s="19"/>
      <c r="AU41" s="44"/>
      <c r="AV41" s="81">
        <f>SUM(AV36:AV40)</f>
        <v>362.66874999999999</v>
      </c>
      <c r="AW41" s="649">
        <f>AV41/AV81</f>
        <v>1.0206626761124079E-2</v>
      </c>
      <c r="AX41" s="530"/>
      <c r="AY41" s="19"/>
      <c r="AZ41" s="19"/>
      <c r="BA41" s="19"/>
      <c r="BB41" s="44"/>
      <c r="BC41" s="81">
        <f>SUM(BC36:BC40)</f>
        <v>362.66874999999999</v>
      </c>
      <c r="BD41" s="649">
        <f>BC41/BC81</f>
        <v>1.0204962654637481E-2</v>
      </c>
      <c r="BE41" s="530"/>
      <c r="BF41" s="19"/>
      <c r="BG41" s="19"/>
      <c r="BH41" s="19"/>
      <c r="BI41" s="44"/>
      <c r="BJ41" s="81">
        <f>SUM(BJ36:BJ40)</f>
        <v>379.6</v>
      </c>
      <c r="BK41" s="649">
        <f>BJ41/BJ81</f>
        <v>9.6941109477153408E-3</v>
      </c>
      <c r="BL41" s="530"/>
      <c r="BM41" s="19"/>
      <c r="BN41" s="19"/>
      <c r="BO41" s="19"/>
      <c r="BP41" s="44"/>
      <c r="BQ41" s="81">
        <f>SUM(BQ36:BQ40)</f>
        <v>382.75</v>
      </c>
      <c r="BR41" s="649">
        <f>BQ41/BQ81</f>
        <v>9.6333407123939015E-3</v>
      </c>
      <c r="BS41" s="530"/>
      <c r="BT41" s="19"/>
      <c r="BU41" s="19"/>
      <c r="BV41" s="19"/>
      <c r="BW41" s="44"/>
      <c r="BX41" s="81">
        <f>SUM(BX36:BX40)</f>
        <v>371.46249999999998</v>
      </c>
      <c r="BY41" s="649">
        <f>BX41/BX81</f>
        <v>9.9844001153753179E-3</v>
      </c>
      <c r="BZ41" s="530"/>
      <c r="CA41" s="19"/>
      <c r="CB41" s="19"/>
      <c r="CC41" s="19"/>
      <c r="CD41" s="44"/>
      <c r="CE41" s="81">
        <f>SUM(CE36:CE40)</f>
        <v>362.8</v>
      </c>
      <c r="CF41" s="649">
        <f>CE41/CE81</f>
        <v>1.0276054643923756E-2</v>
      </c>
      <c r="CG41" s="530"/>
      <c r="CH41" s="19"/>
      <c r="CI41" s="19"/>
      <c r="CJ41" s="19"/>
      <c r="CK41" s="44"/>
      <c r="CL41" s="81">
        <f>SUM(CL36:CL40)</f>
        <v>367</v>
      </c>
      <c r="CM41" s="649">
        <f>CL41/CL81</f>
        <v>1.0136879805529514E-2</v>
      </c>
      <c r="CN41" s="530"/>
      <c r="CO41" s="19"/>
      <c r="CP41" s="19"/>
      <c r="CQ41" s="19"/>
      <c r="CR41" s="44"/>
      <c r="CS41" s="81">
        <f>SUM(CS36:CS40)</f>
        <v>368.05</v>
      </c>
      <c r="CT41" s="649">
        <f>CS41/CS81</f>
        <v>1.0109763933819245E-2</v>
      </c>
      <c r="CU41" s="530"/>
      <c r="CV41" s="19"/>
      <c r="CW41" s="19"/>
      <c r="CX41" s="19"/>
      <c r="CY41" s="44"/>
      <c r="CZ41" s="81">
        <f>SUM(CZ36:CZ40)</f>
        <v>361.75</v>
      </c>
      <c r="DA41" s="649">
        <f>CZ41/CZ81</f>
        <v>8.8164926036687786E-3</v>
      </c>
    </row>
    <row r="42" spans="1:105" s="1" customFormat="1" ht="12.75" x14ac:dyDescent="0.2">
      <c r="A42" s="670"/>
      <c r="B42" s="671"/>
      <c r="C42" s="672"/>
      <c r="D42" s="43"/>
      <c r="E42" s="529"/>
      <c r="F42" s="146"/>
      <c r="G42" s="652"/>
      <c r="H42" s="670"/>
      <c r="I42" s="671"/>
      <c r="J42" s="672"/>
      <c r="K42" s="43"/>
      <c r="L42" s="529"/>
      <c r="M42" s="146"/>
      <c r="N42" s="652"/>
      <c r="O42" s="670"/>
      <c r="P42" s="671"/>
      <c r="Q42" s="672"/>
      <c r="R42" s="43"/>
      <c r="S42" s="529"/>
      <c r="T42" s="146"/>
      <c r="U42" s="652"/>
      <c r="V42" s="670"/>
      <c r="W42" s="671"/>
      <c r="X42" s="672"/>
      <c r="Y42" s="43"/>
      <c r="Z42" s="529"/>
      <c r="AA42" s="146"/>
      <c r="AB42" s="652"/>
      <c r="AC42" s="670"/>
      <c r="AD42" s="671"/>
      <c r="AE42" s="672"/>
      <c r="AF42" s="43"/>
      <c r="AG42" s="529"/>
      <c r="AH42" s="146"/>
      <c r="AI42" s="652"/>
      <c r="AJ42" s="670"/>
      <c r="AK42" s="671"/>
      <c r="AL42" s="672"/>
      <c r="AM42" s="43"/>
      <c r="AN42" s="529"/>
      <c r="AO42" s="146"/>
      <c r="AP42" s="652"/>
      <c r="AQ42" s="670"/>
      <c r="AR42" s="671"/>
      <c r="AS42" s="672"/>
      <c r="AT42" s="43"/>
      <c r="AU42" s="529"/>
      <c r="AV42" s="146"/>
      <c r="AW42" s="652"/>
      <c r="AX42" s="670"/>
      <c r="AY42" s="671"/>
      <c r="AZ42" s="672"/>
      <c r="BA42" s="43"/>
      <c r="BB42" s="529"/>
      <c r="BC42" s="146"/>
      <c r="BD42" s="652"/>
      <c r="BE42" s="670"/>
      <c r="BF42" s="671"/>
      <c r="BG42" s="672"/>
      <c r="BH42" s="43"/>
      <c r="BI42" s="529"/>
      <c r="BJ42" s="146"/>
      <c r="BK42" s="652"/>
      <c r="BL42" s="670"/>
      <c r="BM42" s="671"/>
      <c r="BN42" s="672"/>
      <c r="BO42" s="43"/>
      <c r="BP42" s="529"/>
      <c r="BQ42" s="146"/>
      <c r="BR42" s="652"/>
      <c r="BS42" s="670"/>
      <c r="BT42" s="671"/>
      <c r="BU42" s="672"/>
      <c r="BV42" s="43"/>
      <c r="BW42" s="529"/>
      <c r="BX42" s="146"/>
      <c r="BY42" s="652"/>
      <c r="BZ42" s="670"/>
      <c r="CA42" s="671"/>
      <c r="CB42" s="672"/>
      <c r="CC42" s="43"/>
      <c r="CD42" s="529"/>
      <c r="CE42" s="146"/>
      <c r="CF42" s="652"/>
      <c r="CG42" s="670"/>
      <c r="CH42" s="671"/>
      <c r="CI42" s="672"/>
      <c r="CJ42" s="43"/>
      <c r="CK42" s="529"/>
      <c r="CL42" s="146"/>
      <c r="CM42" s="652"/>
      <c r="CN42" s="670"/>
      <c r="CO42" s="671"/>
      <c r="CP42" s="672"/>
      <c r="CQ42" s="43"/>
      <c r="CR42" s="529"/>
      <c r="CS42" s="146"/>
      <c r="CT42" s="652"/>
      <c r="CU42" s="670"/>
      <c r="CV42" s="671"/>
      <c r="CW42" s="672"/>
      <c r="CX42" s="43"/>
      <c r="CY42" s="529"/>
      <c r="CZ42" s="146"/>
      <c r="DA42" s="652"/>
    </row>
    <row r="43" spans="1:105" s="67" customFormat="1" ht="15" customHeight="1" x14ac:dyDescent="0.2">
      <c r="A43" s="85" t="s">
        <v>171</v>
      </c>
      <c r="B43" s="673" t="s">
        <v>405</v>
      </c>
      <c r="C43" s="674"/>
      <c r="D43" s="670"/>
      <c r="E43" s="675"/>
      <c r="F43" s="83">
        <f>'Variante Vorgaben'!E161</f>
        <v>400</v>
      </c>
      <c r="G43" s="649">
        <f>F43/$F$81</f>
        <v>3.1372803826075657E-2</v>
      </c>
      <c r="H43" s="85" t="s">
        <v>171</v>
      </c>
      <c r="I43" s="673" t="s">
        <v>405</v>
      </c>
      <c r="J43" s="674"/>
      <c r="K43" s="670"/>
      <c r="L43" s="675"/>
      <c r="M43" s="83">
        <f>'Variante Vorgaben'!E161</f>
        <v>400</v>
      </c>
      <c r="N43" s="649">
        <f>M43/$M$81</f>
        <v>2.4639196197792729E-2</v>
      </c>
      <c r="O43" s="85" t="s">
        <v>171</v>
      </c>
      <c r="P43" s="673" t="s">
        <v>405</v>
      </c>
      <c r="Q43" s="674"/>
      <c r="R43" s="670"/>
      <c r="S43" s="675"/>
      <c r="T43" s="83">
        <f>'Variante Vorgaben'!E161</f>
        <v>400</v>
      </c>
      <c r="U43" s="649">
        <f>T43/$T$81</f>
        <v>1.3450573116619118E-2</v>
      </c>
      <c r="V43" s="85" t="s">
        <v>171</v>
      </c>
      <c r="W43" s="673" t="s">
        <v>405</v>
      </c>
      <c r="X43" s="674"/>
      <c r="Y43" s="670"/>
      <c r="Z43" s="675"/>
      <c r="AA43" s="83">
        <f>'Variante Vorgaben'!E161</f>
        <v>400</v>
      </c>
      <c r="AB43" s="649">
        <f>AA43/$AA$81</f>
        <v>1.2017419769828648E-2</v>
      </c>
      <c r="AC43" s="85" t="s">
        <v>171</v>
      </c>
      <c r="AD43" s="673" t="s">
        <v>405</v>
      </c>
      <c r="AE43" s="674"/>
      <c r="AF43" s="670"/>
      <c r="AG43" s="675"/>
      <c r="AH43" s="83">
        <f>'Variante Vorgaben'!E161</f>
        <v>400</v>
      </c>
      <c r="AI43" s="649">
        <f>AH43/$AH$81</f>
        <v>1.1308663186173207E-2</v>
      </c>
      <c r="AJ43" s="85" t="s">
        <v>171</v>
      </c>
      <c r="AK43" s="673" t="s">
        <v>405</v>
      </c>
      <c r="AL43" s="674"/>
      <c r="AM43" s="670"/>
      <c r="AN43" s="675"/>
      <c r="AO43" s="83">
        <f>'Variante Vorgaben'!E161</f>
        <v>400</v>
      </c>
      <c r="AP43" s="649">
        <f>AO43/$AO$81</f>
        <v>1.0695274330915166E-2</v>
      </c>
      <c r="AQ43" s="85" t="s">
        <v>171</v>
      </c>
      <c r="AR43" s="673" t="s">
        <v>405</v>
      </c>
      <c r="AS43" s="674"/>
      <c r="AT43" s="670"/>
      <c r="AU43" s="675"/>
      <c r="AV43" s="83">
        <f>'Variante Vorgaben'!E161</f>
        <v>400</v>
      </c>
      <c r="AW43" s="649">
        <f>AV43/$AV$81</f>
        <v>1.1257244260636274E-2</v>
      </c>
      <c r="AX43" s="85" t="s">
        <v>171</v>
      </c>
      <c r="AY43" s="673" t="s">
        <v>405</v>
      </c>
      <c r="AZ43" s="674"/>
      <c r="BA43" s="670"/>
      <c r="BB43" s="675"/>
      <c r="BC43" s="83">
        <f>'Variante Vorgaben'!E161</f>
        <v>400</v>
      </c>
      <c r="BD43" s="649">
        <f>BC43/$BC$81</f>
        <v>1.1255408859613609E-2</v>
      </c>
      <c r="BE43" s="85" t="s">
        <v>171</v>
      </c>
      <c r="BF43" s="673" t="s">
        <v>405</v>
      </c>
      <c r="BG43" s="674"/>
      <c r="BH43" s="670"/>
      <c r="BI43" s="675"/>
      <c r="BJ43" s="83">
        <f>'Variante Vorgaben'!E161</f>
        <v>400</v>
      </c>
      <c r="BK43" s="649">
        <f>BJ43/$BJ$81</f>
        <v>1.0215080029204784E-2</v>
      </c>
      <c r="BL43" s="85" t="s">
        <v>171</v>
      </c>
      <c r="BM43" s="673" t="s">
        <v>405</v>
      </c>
      <c r="BN43" s="674"/>
      <c r="BO43" s="670"/>
      <c r="BP43" s="675"/>
      <c r="BQ43" s="83">
        <f>'Variante Vorgaben'!E161</f>
        <v>400</v>
      </c>
      <c r="BR43" s="649">
        <f>BQ43/$BQ$81</f>
        <v>1.0067501724252281E-2</v>
      </c>
      <c r="BS43" s="85" t="s">
        <v>171</v>
      </c>
      <c r="BT43" s="673" t="s">
        <v>405</v>
      </c>
      <c r="BU43" s="674"/>
      <c r="BV43" s="670"/>
      <c r="BW43" s="675"/>
      <c r="BX43" s="83">
        <f>'Variante Vorgaben'!E161</f>
        <v>400</v>
      </c>
      <c r="BY43" s="649">
        <f>BX43/$BX$81</f>
        <v>1.0751448789985874E-2</v>
      </c>
      <c r="BZ43" s="85" t="s">
        <v>171</v>
      </c>
      <c r="CA43" s="673" t="s">
        <v>405</v>
      </c>
      <c r="CB43" s="674"/>
      <c r="CC43" s="670"/>
      <c r="CD43" s="675"/>
      <c r="CE43" s="83">
        <f>'Variante Vorgaben'!E161</f>
        <v>400</v>
      </c>
      <c r="CF43" s="649">
        <f>CE43/$CE$81</f>
        <v>1.1329718460775916E-2</v>
      </c>
      <c r="CG43" s="85" t="s">
        <v>171</v>
      </c>
      <c r="CH43" s="673" t="s">
        <v>405</v>
      </c>
      <c r="CI43" s="674"/>
      <c r="CJ43" s="670"/>
      <c r="CK43" s="675"/>
      <c r="CL43" s="83">
        <f>'Variante Vorgaben'!E161</f>
        <v>400</v>
      </c>
      <c r="CM43" s="649">
        <f>CL43/$CL$81</f>
        <v>1.1048370360250153E-2</v>
      </c>
      <c r="CN43" s="85" t="s">
        <v>171</v>
      </c>
      <c r="CO43" s="673" t="s">
        <v>405</v>
      </c>
      <c r="CP43" s="674"/>
      <c r="CQ43" s="670"/>
      <c r="CR43" s="675"/>
      <c r="CS43" s="83">
        <f>'Variante Vorgaben'!E161</f>
        <v>400</v>
      </c>
      <c r="CT43" s="649">
        <f>CS43/$CS$81</f>
        <v>1.0987380990429828E-2</v>
      </c>
      <c r="CU43" s="85" t="s">
        <v>171</v>
      </c>
      <c r="CV43" s="673" t="s">
        <v>405</v>
      </c>
      <c r="CW43" s="674"/>
      <c r="CX43" s="670"/>
      <c r="CY43" s="675"/>
      <c r="CZ43" s="83">
        <f>'Variante Vorgaben'!E161</f>
        <v>400</v>
      </c>
      <c r="DA43" s="649">
        <f>CZ43/$CZ$81</f>
        <v>9.7487133143538667E-3</v>
      </c>
    </row>
    <row r="44" spans="1:105" s="275" customFormat="1" ht="18.75" customHeight="1" x14ac:dyDescent="0.25">
      <c r="A44" s="502" t="s">
        <v>211</v>
      </c>
      <c r="B44" s="503"/>
      <c r="C44" s="542"/>
      <c r="D44" s="542"/>
      <c r="E44" s="543"/>
      <c r="F44" s="506">
        <f>F21+F31+F33+F34+F41+F43</f>
        <v>3742.8</v>
      </c>
      <c r="G44" s="59">
        <f>F44/$F$81</f>
        <v>0.29355532540058993</v>
      </c>
      <c r="H44" s="502" t="s">
        <v>211</v>
      </c>
      <c r="I44" s="503"/>
      <c r="J44" s="542"/>
      <c r="K44" s="542"/>
      <c r="L44" s="543"/>
      <c r="M44" s="506">
        <f>M21+M31+M33+M34+M41+M43</f>
        <v>3904.15</v>
      </c>
      <c r="N44" s="59">
        <f>M44/$M$81</f>
        <v>0.24048779458903122</v>
      </c>
      <c r="O44" s="502" t="s">
        <v>211</v>
      </c>
      <c r="P44" s="503"/>
      <c r="Q44" s="542"/>
      <c r="R44" s="542"/>
      <c r="S44" s="543"/>
      <c r="T44" s="506">
        <f>T21+T31+T33+T34+T41+T43</f>
        <v>8229.0499999999993</v>
      </c>
      <c r="U44" s="59">
        <f>T44/$T$81</f>
        <v>0.27671359676328633</v>
      </c>
      <c r="V44" s="502" t="s">
        <v>211</v>
      </c>
      <c r="W44" s="503"/>
      <c r="X44" s="542"/>
      <c r="Y44" s="542"/>
      <c r="Z44" s="543"/>
      <c r="AA44" s="506">
        <f>AA21+AA31+AA33+AA34+AA41+AA43</f>
        <v>8724.1</v>
      </c>
      <c r="AB44" s="59">
        <f>AA44/$AA$81</f>
        <v>0.26210292953490533</v>
      </c>
      <c r="AC44" s="502" t="s">
        <v>211</v>
      </c>
      <c r="AD44" s="503"/>
      <c r="AE44" s="542"/>
      <c r="AF44" s="542"/>
      <c r="AG44" s="543"/>
      <c r="AH44" s="506">
        <f>AH21+AH31+AH33+AH34+AH41+AH43</f>
        <v>8733.5499999999993</v>
      </c>
      <c r="AI44" s="59">
        <f>AH44/$AH$81</f>
        <v>0.24691193842400752</v>
      </c>
      <c r="AJ44" s="502" t="s">
        <v>211</v>
      </c>
      <c r="AK44" s="503"/>
      <c r="AL44" s="542"/>
      <c r="AM44" s="542"/>
      <c r="AN44" s="543"/>
      <c r="AO44" s="506">
        <f>AO21+AO31+AO33+AO34+AO41+AO43</f>
        <v>8743</v>
      </c>
      <c r="AP44" s="59">
        <f>AO44/$AO$81</f>
        <v>0.23377195868797823</v>
      </c>
      <c r="AQ44" s="502" t="s">
        <v>211</v>
      </c>
      <c r="AR44" s="503"/>
      <c r="AS44" s="542"/>
      <c r="AT44" s="542"/>
      <c r="AU44" s="543"/>
      <c r="AV44" s="506">
        <f>AV21+AV31+AV33+AV34+AV41+AV43</f>
        <v>8734.46875</v>
      </c>
      <c r="AW44" s="59">
        <f>AV44/$AV$81</f>
        <v>0.24581512051411097</v>
      </c>
      <c r="AX44" s="502" t="s">
        <v>211</v>
      </c>
      <c r="AY44" s="503"/>
      <c r="AZ44" s="542"/>
      <c r="BA44" s="542"/>
      <c r="BB44" s="543"/>
      <c r="BC44" s="506">
        <f>BC21+BC31+BC33+BC34+BC41+BC43</f>
        <v>8734.46875</v>
      </c>
      <c r="BD44" s="59">
        <f>BC44/$BC$81</f>
        <v>0.24577504238192049</v>
      </c>
      <c r="BE44" s="502" t="s">
        <v>211</v>
      </c>
      <c r="BF44" s="503"/>
      <c r="BG44" s="542"/>
      <c r="BH44" s="542"/>
      <c r="BI44" s="543"/>
      <c r="BJ44" s="506">
        <f>BJ21+BJ31+BJ33+BJ34+BJ41+BJ43</f>
        <v>8751.4</v>
      </c>
      <c r="BK44" s="59">
        <f>BJ44/$BJ$81</f>
        <v>0.22349062841895687</v>
      </c>
      <c r="BL44" s="502" t="s">
        <v>211</v>
      </c>
      <c r="BM44" s="503"/>
      <c r="BN44" s="542"/>
      <c r="BO44" s="542"/>
      <c r="BP44" s="543"/>
      <c r="BQ44" s="506">
        <f>BQ21+BQ31+BQ33+BQ34+BQ41+BQ43</f>
        <v>8754.5499999999993</v>
      </c>
      <c r="BR44" s="59">
        <f>BQ44/$BQ$81</f>
        <v>0.22034111805013201</v>
      </c>
      <c r="BS44" s="502" t="s">
        <v>211</v>
      </c>
      <c r="BT44" s="503"/>
      <c r="BU44" s="542"/>
      <c r="BV44" s="542"/>
      <c r="BW44" s="543"/>
      <c r="BX44" s="506">
        <f>BX21+BX31+BX33+BX34+BX41+BX43</f>
        <v>8743.2625000000007</v>
      </c>
      <c r="BY44" s="59">
        <f>BX44/$BX$81</f>
        <v>0.23500684756538467</v>
      </c>
      <c r="BZ44" s="502" t="s">
        <v>211</v>
      </c>
      <c r="CA44" s="503"/>
      <c r="CB44" s="542"/>
      <c r="CC44" s="542"/>
      <c r="CD44" s="543"/>
      <c r="CE44" s="506">
        <f>CE21+CE31+CE33+CE34+CE41+CE43</f>
        <v>8734.6</v>
      </c>
      <c r="CF44" s="59">
        <f>CE44/$CE$81</f>
        <v>0.24740139716873333</v>
      </c>
      <c r="CG44" s="502" t="s">
        <v>211</v>
      </c>
      <c r="CH44" s="503"/>
      <c r="CI44" s="542"/>
      <c r="CJ44" s="542"/>
      <c r="CK44" s="543"/>
      <c r="CL44" s="506">
        <f>CL21+CL31+CL33+CL34+CL41+CL43</f>
        <v>8738.7999999999993</v>
      </c>
      <c r="CM44" s="59">
        <f>CL44/$CL$81</f>
        <v>0.24137374726038507</v>
      </c>
      <c r="CN44" s="502" t="s">
        <v>211</v>
      </c>
      <c r="CO44" s="503"/>
      <c r="CP44" s="542"/>
      <c r="CQ44" s="542"/>
      <c r="CR44" s="543"/>
      <c r="CS44" s="506">
        <f>CS21+CS31+CS33+CS34+CS41+CS43</f>
        <v>8739.85</v>
      </c>
      <c r="CT44" s="59">
        <f>CS44/$CS$81</f>
        <v>0.24007015437302034</v>
      </c>
      <c r="CU44" s="502" t="s">
        <v>211</v>
      </c>
      <c r="CV44" s="503"/>
      <c r="CW44" s="542"/>
      <c r="CX44" s="542"/>
      <c r="CY44" s="543"/>
      <c r="CZ44" s="506">
        <f>CZ21+CZ31+CZ33+CZ34+CZ41+CZ43</f>
        <v>8733.5499999999993</v>
      </c>
      <c r="DA44" s="59">
        <f>CZ44/$CZ$81</f>
        <v>0.21285218791643801</v>
      </c>
    </row>
    <row r="45" spans="1:105" s="40" customFormat="1" ht="18.75" customHeight="1" x14ac:dyDescent="0.2">
      <c r="A45" s="40" t="s">
        <v>176</v>
      </c>
      <c r="B45" s="19"/>
      <c r="C45" s="147" t="s">
        <v>59</v>
      </c>
      <c r="D45" s="676">
        <f>'Variante Vorgaben'!$C$157</f>
        <v>10</v>
      </c>
      <c r="E45" s="44">
        <f>'Variante Vorgaben'!$D$157</f>
        <v>15</v>
      </c>
      <c r="F45" s="81">
        <f>D45*E45</f>
        <v>150</v>
      </c>
      <c r="G45" s="649">
        <f>F45/$F$81</f>
        <v>1.1764801434778371E-2</v>
      </c>
      <c r="H45" s="40" t="s">
        <v>176</v>
      </c>
      <c r="I45" s="19"/>
      <c r="J45" s="147" t="s">
        <v>59</v>
      </c>
      <c r="K45" s="676">
        <f>'Variante Vorgaben'!$C$157</f>
        <v>10</v>
      </c>
      <c r="L45" s="44">
        <f>'Variante Vorgaben'!$D$157</f>
        <v>15</v>
      </c>
      <c r="M45" s="81">
        <f>K45*L45</f>
        <v>150</v>
      </c>
      <c r="N45" s="649">
        <f>M45/$M$81</f>
        <v>9.2396985741722733E-3</v>
      </c>
      <c r="O45" s="40" t="s">
        <v>176</v>
      </c>
      <c r="P45" s="19"/>
      <c r="Q45" s="147" t="s">
        <v>59</v>
      </c>
      <c r="R45" s="676">
        <f>'Variante Vorgaben'!$C$157</f>
        <v>10</v>
      </c>
      <c r="S45" s="44">
        <f>'Variante Vorgaben'!$D$157</f>
        <v>15</v>
      </c>
      <c r="T45" s="81">
        <f>R45*S45</f>
        <v>150</v>
      </c>
      <c r="U45" s="649">
        <f>T45/$T$81</f>
        <v>5.0439649187321691E-3</v>
      </c>
      <c r="V45" s="40" t="s">
        <v>176</v>
      </c>
      <c r="W45" s="19"/>
      <c r="X45" s="147" t="s">
        <v>59</v>
      </c>
      <c r="Y45" s="676">
        <f>'Variante Vorgaben'!$C$157</f>
        <v>10</v>
      </c>
      <c r="Z45" s="44">
        <f>'Variante Vorgaben'!$D$157</f>
        <v>15</v>
      </c>
      <c r="AA45" s="81">
        <f>Y45*Z45</f>
        <v>150</v>
      </c>
      <c r="AB45" s="649">
        <f>AA45/$AA$81</f>
        <v>4.5065324136857434E-3</v>
      </c>
      <c r="AC45" s="40" t="s">
        <v>176</v>
      </c>
      <c r="AD45" s="19"/>
      <c r="AE45" s="147" t="s">
        <v>59</v>
      </c>
      <c r="AF45" s="676">
        <f>'Variante Vorgaben'!$C$157</f>
        <v>10</v>
      </c>
      <c r="AG45" s="44">
        <f>'Variante Vorgaben'!$D$157</f>
        <v>15</v>
      </c>
      <c r="AH45" s="81">
        <f>AF45*AG45</f>
        <v>150</v>
      </c>
      <c r="AI45" s="649">
        <f>AH45/$AH$81</f>
        <v>4.2407486948149529E-3</v>
      </c>
      <c r="AJ45" s="40" t="s">
        <v>176</v>
      </c>
      <c r="AK45" s="19"/>
      <c r="AL45" s="147" t="s">
        <v>59</v>
      </c>
      <c r="AM45" s="676">
        <f>'Variante Vorgaben'!$C$157</f>
        <v>10</v>
      </c>
      <c r="AN45" s="44">
        <f>'Variante Vorgaben'!$D$157</f>
        <v>15</v>
      </c>
      <c r="AO45" s="81">
        <f>AM45*AN45</f>
        <v>150</v>
      </c>
      <c r="AP45" s="649">
        <f>AO45/$AO$81</f>
        <v>4.0107278740931871E-3</v>
      </c>
      <c r="AQ45" s="40" t="s">
        <v>176</v>
      </c>
      <c r="AR45" s="19"/>
      <c r="AS45" s="147" t="s">
        <v>59</v>
      </c>
      <c r="AT45" s="676">
        <f>'Variante Vorgaben'!$C$157</f>
        <v>10</v>
      </c>
      <c r="AU45" s="44">
        <f>'Variante Vorgaben'!$D$157</f>
        <v>15</v>
      </c>
      <c r="AV45" s="81">
        <f>AT45*AU45</f>
        <v>150</v>
      </c>
      <c r="AW45" s="649">
        <f>AV45/$AV$81</f>
        <v>4.2214665977386026E-3</v>
      </c>
      <c r="AX45" s="40" t="s">
        <v>176</v>
      </c>
      <c r="AY45" s="19"/>
      <c r="AZ45" s="147" t="s">
        <v>59</v>
      </c>
      <c r="BA45" s="676">
        <f>'Variante Vorgaben'!$C$157</f>
        <v>10</v>
      </c>
      <c r="BB45" s="44">
        <f>'Variante Vorgaben'!$D$157</f>
        <v>15</v>
      </c>
      <c r="BC45" s="81">
        <f>BA45*BB45</f>
        <v>150</v>
      </c>
      <c r="BD45" s="649">
        <f>BC45/$BC$81</f>
        <v>4.2207783223551032E-3</v>
      </c>
      <c r="BE45" s="40" t="s">
        <v>176</v>
      </c>
      <c r="BF45" s="19"/>
      <c r="BG45" s="147" t="s">
        <v>59</v>
      </c>
      <c r="BH45" s="676">
        <f>'Variante Vorgaben'!$C$157</f>
        <v>10</v>
      </c>
      <c r="BI45" s="44">
        <f>'Variante Vorgaben'!$D$157</f>
        <v>15</v>
      </c>
      <c r="BJ45" s="81">
        <f>BH45*BI45</f>
        <v>150</v>
      </c>
      <c r="BK45" s="649">
        <f>BJ45/$BJ$81</f>
        <v>3.8306550109517942E-3</v>
      </c>
      <c r="BL45" s="40" t="s">
        <v>176</v>
      </c>
      <c r="BM45" s="19"/>
      <c r="BN45" s="147" t="s">
        <v>59</v>
      </c>
      <c r="BO45" s="676">
        <f>'Variante Vorgaben'!$C$157</f>
        <v>10</v>
      </c>
      <c r="BP45" s="44">
        <f>'Variante Vorgaben'!$D$157</f>
        <v>15</v>
      </c>
      <c r="BQ45" s="81">
        <f>BO45*BP45</f>
        <v>150</v>
      </c>
      <c r="BR45" s="649">
        <f>BQ45/$BQ$81</f>
        <v>3.7753131465946056E-3</v>
      </c>
      <c r="BS45" s="40" t="s">
        <v>176</v>
      </c>
      <c r="BT45" s="19"/>
      <c r="BU45" s="147" t="s">
        <v>59</v>
      </c>
      <c r="BV45" s="676">
        <f>'Variante Vorgaben'!$C$157</f>
        <v>10</v>
      </c>
      <c r="BW45" s="44">
        <f>'Variante Vorgaben'!$D$157</f>
        <v>15</v>
      </c>
      <c r="BX45" s="81">
        <f>BV45*BW45</f>
        <v>150</v>
      </c>
      <c r="BY45" s="649">
        <f>BX45/$BX$81</f>
        <v>4.0317932962447029E-3</v>
      </c>
      <c r="BZ45" s="40" t="s">
        <v>176</v>
      </c>
      <c r="CA45" s="19"/>
      <c r="CB45" s="147" t="s">
        <v>59</v>
      </c>
      <c r="CC45" s="676">
        <f>'Variante Vorgaben'!$C$157</f>
        <v>10</v>
      </c>
      <c r="CD45" s="44">
        <f>'Variante Vorgaben'!$D$157</f>
        <v>15</v>
      </c>
      <c r="CE45" s="81">
        <f>CC45*CD45</f>
        <v>150</v>
      </c>
      <c r="CF45" s="649">
        <f>CE45/$CE$81</f>
        <v>4.2486444227909691E-3</v>
      </c>
      <c r="CG45" s="40" t="s">
        <v>176</v>
      </c>
      <c r="CH45" s="19"/>
      <c r="CI45" s="147" t="s">
        <v>59</v>
      </c>
      <c r="CJ45" s="676">
        <v>10</v>
      </c>
      <c r="CK45" s="44">
        <f>'Variante Vorgaben'!$D$157</f>
        <v>15</v>
      </c>
      <c r="CL45" s="81">
        <f>CJ45*CK45</f>
        <v>150</v>
      </c>
      <c r="CM45" s="649">
        <f>CL45/$CL$81</f>
        <v>4.1431388850938075E-3</v>
      </c>
      <c r="CN45" s="40" t="s">
        <v>176</v>
      </c>
      <c r="CO45" s="19"/>
      <c r="CP45" s="147" t="s">
        <v>59</v>
      </c>
      <c r="CQ45" s="676">
        <f>'Variante Vorgaben'!$C$157</f>
        <v>10</v>
      </c>
      <c r="CR45" s="44">
        <f>'Variante Vorgaben'!$D$157</f>
        <v>15</v>
      </c>
      <c r="CS45" s="81">
        <f>CQ45*CR45</f>
        <v>150</v>
      </c>
      <c r="CT45" s="649">
        <f>CS45/$CS$81</f>
        <v>4.1202678714111858E-3</v>
      </c>
      <c r="CU45" s="40" t="s">
        <v>176</v>
      </c>
      <c r="CV45" s="19"/>
      <c r="CW45" s="147" t="s">
        <v>59</v>
      </c>
      <c r="CX45" s="676">
        <f>'Variante Vorgaben'!$C$157</f>
        <v>10</v>
      </c>
      <c r="CY45" s="44">
        <f>'Variante Vorgaben'!$D$157</f>
        <v>15</v>
      </c>
      <c r="CZ45" s="81">
        <f>CX45*CY45</f>
        <v>150</v>
      </c>
      <c r="DA45" s="649">
        <f>CZ45/$CZ$81</f>
        <v>3.6557674928827002E-3</v>
      </c>
    </row>
    <row r="46" spans="1:105" ht="17.45" customHeight="1" x14ac:dyDescent="0.2">
      <c r="A46"/>
      <c r="B46"/>
      <c r="C46" s="38" t="s">
        <v>11</v>
      </c>
      <c r="D46" s="118" t="s">
        <v>20</v>
      </c>
      <c r="E46" s="288" t="s">
        <v>60</v>
      </c>
      <c r="F46" s="289" t="s">
        <v>22</v>
      </c>
      <c r="G46" s="653"/>
      <c r="H46"/>
      <c r="I46"/>
      <c r="J46" s="38" t="s">
        <v>11</v>
      </c>
      <c r="K46" s="118" t="s">
        <v>20</v>
      </c>
      <c r="L46" s="288" t="s">
        <v>60</v>
      </c>
      <c r="M46" s="289" t="s">
        <v>22</v>
      </c>
      <c r="N46" s="653"/>
      <c r="O46"/>
      <c r="Q46" s="38" t="s">
        <v>11</v>
      </c>
      <c r="R46" s="118" t="s">
        <v>20</v>
      </c>
      <c r="S46" s="288" t="s">
        <v>60</v>
      </c>
      <c r="T46" s="289" t="s">
        <v>22</v>
      </c>
      <c r="U46" s="653"/>
      <c r="V46"/>
      <c r="X46" s="38" t="s">
        <v>11</v>
      </c>
      <c r="Y46" s="118" t="s">
        <v>20</v>
      </c>
      <c r="Z46" s="288" t="s">
        <v>60</v>
      </c>
      <c r="AA46" s="289" t="s">
        <v>22</v>
      </c>
      <c r="AB46" s="653"/>
      <c r="AC46"/>
      <c r="AE46" s="38" t="s">
        <v>11</v>
      </c>
      <c r="AF46" s="118" t="s">
        <v>20</v>
      </c>
      <c r="AG46" s="288" t="s">
        <v>60</v>
      </c>
      <c r="AH46" s="289" t="s">
        <v>22</v>
      </c>
      <c r="AI46" s="653"/>
      <c r="AJ46"/>
      <c r="AL46" s="38" t="s">
        <v>11</v>
      </c>
      <c r="AM46" s="118" t="s">
        <v>20</v>
      </c>
      <c r="AN46" s="288" t="s">
        <v>60</v>
      </c>
      <c r="AO46" s="289" t="s">
        <v>22</v>
      </c>
      <c r="AP46" s="653"/>
      <c r="AQ46"/>
      <c r="AS46" s="38" t="s">
        <v>11</v>
      </c>
      <c r="AT46" s="118" t="s">
        <v>20</v>
      </c>
      <c r="AU46" s="288" t="s">
        <v>60</v>
      </c>
      <c r="AV46" s="289" t="s">
        <v>22</v>
      </c>
      <c r="AW46" s="653"/>
      <c r="AX46"/>
      <c r="AZ46" s="38" t="s">
        <v>11</v>
      </c>
      <c r="BA46" s="118" t="s">
        <v>20</v>
      </c>
      <c r="BB46" s="288" t="s">
        <v>60</v>
      </c>
      <c r="BC46" s="289" t="s">
        <v>22</v>
      </c>
      <c r="BD46" s="653"/>
      <c r="BE46"/>
      <c r="BG46" s="38" t="s">
        <v>11</v>
      </c>
      <c r="BH46" s="118" t="s">
        <v>20</v>
      </c>
      <c r="BI46" s="288" t="s">
        <v>60</v>
      </c>
      <c r="BJ46" s="289" t="s">
        <v>22</v>
      </c>
      <c r="BK46" s="653"/>
      <c r="BL46"/>
      <c r="BN46" s="38" t="s">
        <v>11</v>
      </c>
      <c r="BO46" s="118" t="s">
        <v>20</v>
      </c>
      <c r="BP46" s="288" t="s">
        <v>60</v>
      </c>
      <c r="BQ46" s="289" t="s">
        <v>22</v>
      </c>
      <c r="BR46" s="653"/>
      <c r="BS46"/>
      <c r="BU46" s="38" t="s">
        <v>11</v>
      </c>
      <c r="BV46" s="118" t="s">
        <v>20</v>
      </c>
      <c r="BW46" s="288" t="s">
        <v>60</v>
      </c>
      <c r="BX46" s="289" t="s">
        <v>22</v>
      </c>
      <c r="BY46" s="653"/>
      <c r="BZ46"/>
      <c r="CB46" s="38" t="s">
        <v>11</v>
      </c>
      <c r="CC46" s="118" t="s">
        <v>20</v>
      </c>
      <c r="CD46" s="288" t="s">
        <v>60</v>
      </c>
      <c r="CE46" s="289" t="s">
        <v>22</v>
      </c>
      <c r="CF46" s="653"/>
      <c r="CG46"/>
      <c r="CI46" s="38" t="s">
        <v>11</v>
      </c>
      <c r="CJ46" s="118" t="s">
        <v>20</v>
      </c>
      <c r="CK46" s="288" t="s">
        <v>60</v>
      </c>
      <c r="CL46" s="289" t="s">
        <v>22</v>
      </c>
      <c r="CM46" s="653"/>
      <c r="CN46"/>
      <c r="CP46" s="38" t="s">
        <v>11</v>
      </c>
      <c r="CQ46" s="118" t="s">
        <v>20</v>
      </c>
      <c r="CR46" s="288" t="s">
        <v>60</v>
      </c>
      <c r="CS46" s="289" t="s">
        <v>22</v>
      </c>
      <c r="CT46" s="653"/>
      <c r="CU46"/>
      <c r="CW46" s="38" t="s">
        <v>11</v>
      </c>
      <c r="CX46" s="118" t="s">
        <v>20</v>
      </c>
      <c r="CY46" s="288" t="s">
        <v>60</v>
      </c>
      <c r="CZ46" s="289" t="s">
        <v>22</v>
      </c>
      <c r="DA46" s="653"/>
    </row>
    <row r="47" spans="1:105" s="1" customFormat="1" ht="12.75" x14ac:dyDescent="0.2">
      <c r="A47" s="40" t="s">
        <v>98</v>
      </c>
      <c r="B47" s="41" t="str">
        <f>'Variante Vorgaben'!$B$133</f>
        <v>Anbaugebläsepritze 1000 l mit Bordcomputer</v>
      </c>
      <c r="C47" s="1369">
        <v>6</v>
      </c>
      <c r="D47" s="39">
        <f>'Variante Vorgaben'!$C$133</f>
        <v>1</v>
      </c>
      <c r="E47" s="44">
        <f>'Variante Vorgaben'!$D$133*(1+Eingabeseite!$C$30)</f>
        <v>37</v>
      </c>
      <c r="F47" s="45">
        <f>C47*E47</f>
        <v>222</v>
      </c>
      <c r="G47" s="652">
        <f>F47/$F$81</f>
        <v>1.7411906123471991E-2</v>
      </c>
      <c r="H47" s="40" t="s">
        <v>98</v>
      </c>
      <c r="I47" s="41" t="str">
        <f>'Variante Vorgaben'!$B$133</f>
        <v>Anbaugebläsepritze 1000 l mit Bordcomputer</v>
      </c>
      <c r="J47" s="1369">
        <v>6</v>
      </c>
      <c r="K47" s="39">
        <f>'Variante Vorgaben'!$C$133</f>
        <v>1</v>
      </c>
      <c r="L47" s="44">
        <f>'Variante Vorgaben'!$D$133*(1+Eingabeseite!$C$30)</f>
        <v>37</v>
      </c>
      <c r="M47" s="45">
        <f>J47*L47</f>
        <v>222</v>
      </c>
      <c r="N47" s="652">
        <f>M47/$M$81</f>
        <v>1.3674753889774965E-2</v>
      </c>
      <c r="O47" s="40" t="s">
        <v>98</v>
      </c>
      <c r="P47" s="41" t="str">
        <f>'Variante Vorgaben'!$B$133</f>
        <v>Anbaugebläsepritze 1000 l mit Bordcomputer</v>
      </c>
      <c r="Q47" s="1369">
        <v>22</v>
      </c>
      <c r="R47" s="39">
        <f>'Variante Vorgaben'!$C$133</f>
        <v>1</v>
      </c>
      <c r="S47" s="44">
        <f>'Variante Vorgaben'!$D$133*(1+Eingabeseite!$C$30)</f>
        <v>37</v>
      </c>
      <c r="T47" s="45">
        <f>Q47*S47</f>
        <v>814</v>
      </c>
      <c r="U47" s="652">
        <f>T47/$T$81</f>
        <v>2.7371916292319904E-2</v>
      </c>
      <c r="V47" s="40" t="s">
        <v>98</v>
      </c>
      <c r="W47" s="41" t="str">
        <f>'Variante Vorgaben'!$B$133</f>
        <v>Anbaugebläsepritze 1000 l mit Bordcomputer</v>
      </c>
      <c r="X47" s="1369">
        <v>22</v>
      </c>
      <c r="Y47" s="39">
        <f>'Variante Vorgaben'!$C$133</f>
        <v>1</v>
      </c>
      <c r="Z47" s="44">
        <f>'Variante Vorgaben'!$D$133*(1+Eingabeseite!$C$30)</f>
        <v>37</v>
      </c>
      <c r="AA47" s="45">
        <f>X47*Z47</f>
        <v>814</v>
      </c>
      <c r="AB47" s="652">
        <f>AA47/$AA$81</f>
        <v>2.4455449231601301E-2</v>
      </c>
      <c r="AC47" s="40" t="s">
        <v>98</v>
      </c>
      <c r="AD47" s="41" t="str">
        <f>'Variante Vorgaben'!$B$133</f>
        <v>Anbaugebläsepritze 1000 l mit Bordcomputer</v>
      </c>
      <c r="AE47" s="1369">
        <v>22</v>
      </c>
      <c r="AF47" s="39">
        <f>'Variante Vorgaben'!$C$133</f>
        <v>1</v>
      </c>
      <c r="AG47" s="44">
        <f>'Variante Vorgaben'!$D$133*(1+Eingabeseite!$C$30)</f>
        <v>37</v>
      </c>
      <c r="AH47" s="45">
        <f>AE47*AG47</f>
        <v>814</v>
      </c>
      <c r="AI47" s="652">
        <f>AH47/$AH$81</f>
        <v>2.3013129583862476E-2</v>
      </c>
      <c r="AJ47" s="40" t="s">
        <v>98</v>
      </c>
      <c r="AK47" s="41" t="str">
        <f>'Variante Vorgaben'!$B$133</f>
        <v>Anbaugebläsepritze 1000 l mit Bordcomputer</v>
      </c>
      <c r="AL47" s="1369">
        <v>22</v>
      </c>
      <c r="AM47" s="39">
        <f>'Variante Vorgaben'!$C$133</f>
        <v>1</v>
      </c>
      <c r="AN47" s="44">
        <f>'Variante Vorgaben'!$D$133*(1+Eingabeseite!$C$30)</f>
        <v>37</v>
      </c>
      <c r="AO47" s="45">
        <f>AL47*AN47</f>
        <v>814</v>
      </c>
      <c r="AP47" s="652">
        <f>AO47/$AO$81</f>
        <v>2.176488326341236E-2</v>
      </c>
      <c r="AQ47" s="40" t="s">
        <v>98</v>
      </c>
      <c r="AR47" s="41" t="str">
        <f>'Variante Vorgaben'!$B$133</f>
        <v>Anbaugebläsepritze 1000 l mit Bordcomputer</v>
      </c>
      <c r="AS47" s="1369">
        <v>22</v>
      </c>
      <c r="AT47" s="39">
        <f>'Variante Vorgaben'!$C$133</f>
        <v>1</v>
      </c>
      <c r="AU47" s="44">
        <f>'Variante Vorgaben'!$D$133*(1+Eingabeseite!$C$30)</f>
        <v>37</v>
      </c>
      <c r="AV47" s="45">
        <f>AS47*AU47</f>
        <v>814</v>
      </c>
      <c r="AW47" s="652">
        <f>AV47/$AV$81</f>
        <v>2.2908492070394817E-2</v>
      </c>
      <c r="AX47" s="40" t="s">
        <v>98</v>
      </c>
      <c r="AY47" s="41" t="str">
        <f>'Variante Vorgaben'!$B$133</f>
        <v>Anbaugebläsepritze 1000 l mit Bordcomputer</v>
      </c>
      <c r="AZ47" s="1369">
        <v>22</v>
      </c>
      <c r="BA47" s="39">
        <f>'Variante Vorgaben'!$C$133</f>
        <v>1</v>
      </c>
      <c r="BB47" s="44">
        <f>'Variante Vorgaben'!$D$133*(1+Eingabeseite!$C$30)</f>
        <v>37</v>
      </c>
      <c r="BC47" s="45">
        <f>AZ47*BB47</f>
        <v>814</v>
      </c>
      <c r="BD47" s="652">
        <f>BC47/$BC$81</f>
        <v>2.2904757029313692E-2</v>
      </c>
      <c r="BE47" s="40" t="s">
        <v>98</v>
      </c>
      <c r="BF47" s="41" t="str">
        <f>'Variante Vorgaben'!$B$133</f>
        <v>Anbaugebläsepritze 1000 l mit Bordcomputer</v>
      </c>
      <c r="BG47" s="1369">
        <v>22</v>
      </c>
      <c r="BH47" s="39">
        <f>'Variante Vorgaben'!$C$133</f>
        <v>1</v>
      </c>
      <c r="BI47" s="44">
        <f>'Variante Vorgaben'!$D$133*(1+Eingabeseite!$C$30)</f>
        <v>37</v>
      </c>
      <c r="BJ47" s="45">
        <f>BG47*BI47</f>
        <v>814</v>
      </c>
      <c r="BK47" s="652">
        <f>BJ47/$BJ$81</f>
        <v>2.0787687859431737E-2</v>
      </c>
      <c r="BL47" s="40" t="s">
        <v>98</v>
      </c>
      <c r="BM47" s="41" t="str">
        <f>'Variante Vorgaben'!$B$133</f>
        <v>Anbaugebläsepritze 1000 l mit Bordcomputer</v>
      </c>
      <c r="BN47" s="1369">
        <v>22</v>
      </c>
      <c r="BO47" s="39">
        <f>'Variante Vorgaben'!$C$133</f>
        <v>1</v>
      </c>
      <c r="BP47" s="44">
        <f>'Variante Vorgaben'!$D$133*(1+Eingabeseite!$C$30)</f>
        <v>37</v>
      </c>
      <c r="BQ47" s="45">
        <f>BN47*BP47</f>
        <v>814</v>
      </c>
      <c r="BR47" s="652">
        <f>BQ47/$BQ$81</f>
        <v>2.0487366008853394E-2</v>
      </c>
      <c r="BS47" s="40" t="s">
        <v>98</v>
      </c>
      <c r="BT47" s="41" t="str">
        <f>'Variante Vorgaben'!$B$133</f>
        <v>Anbaugebläsepritze 1000 l mit Bordcomputer</v>
      </c>
      <c r="BU47" s="1369">
        <v>22</v>
      </c>
      <c r="BV47" s="39">
        <f>'Variante Vorgaben'!$C$133</f>
        <v>1</v>
      </c>
      <c r="BW47" s="44">
        <f>'Variante Vorgaben'!$D$133*(1+Eingabeseite!$C$30)</f>
        <v>37</v>
      </c>
      <c r="BX47" s="45">
        <f>BU47*BW47</f>
        <v>814</v>
      </c>
      <c r="BY47" s="652">
        <f>BX47/$BX$81</f>
        <v>2.1879198287621252E-2</v>
      </c>
      <c r="BZ47" s="40" t="s">
        <v>98</v>
      </c>
      <c r="CA47" s="41" t="str">
        <f>'Variante Vorgaben'!$B$133</f>
        <v>Anbaugebläsepritze 1000 l mit Bordcomputer</v>
      </c>
      <c r="CB47" s="1369">
        <v>22</v>
      </c>
      <c r="CC47" s="39">
        <f>'Variante Vorgaben'!$C$133</f>
        <v>1</v>
      </c>
      <c r="CD47" s="44">
        <f>'Variante Vorgaben'!$D$133*(1+Eingabeseite!$C$30)</f>
        <v>37</v>
      </c>
      <c r="CE47" s="45">
        <f>CB47*CD47</f>
        <v>814</v>
      </c>
      <c r="CF47" s="652">
        <f>CE47/$CE$81</f>
        <v>2.3055977067678989E-2</v>
      </c>
      <c r="CG47" s="40" t="s">
        <v>98</v>
      </c>
      <c r="CH47" s="41" t="str">
        <f>'Variante Vorgaben'!$B$133</f>
        <v>Anbaugebläsepritze 1000 l mit Bordcomputer</v>
      </c>
      <c r="CI47" s="1369">
        <v>22</v>
      </c>
      <c r="CJ47" s="39">
        <f>'Variante Vorgaben'!$C$133</f>
        <v>1</v>
      </c>
      <c r="CK47" s="44">
        <f>'Variante Vorgaben'!$D$133*(1+Eingabeseite!$C$30)</f>
        <v>37</v>
      </c>
      <c r="CL47" s="45">
        <f>CI47*CK47</f>
        <v>814</v>
      </c>
      <c r="CM47" s="652">
        <f>CL47/$CL$81</f>
        <v>2.2483433683109059E-2</v>
      </c>
      <c r="CN47" s="40" t="s">
        <v>98</v>
      </c>
      <c r="CO47" s="41" t="str">
        <f>'Variante Vorgaben'!$B$133</f>
        <v>Anbaugebläsepritze 1000 l mit Bordcomputer</v>
      </c>
      <c r="CP47" s="1369">
        <v>22</v>
      </c>
      <c r="CQ47" s="39">
        <f>'Variante Vorgaben'!$C$133</f>
        <v>1</v>
      </c>
      <c r="CR47" s="44">
        <f>'Variante Vorgaben'!$D$133*(1+Eingabeseite!$C$30)</f>
        <v>37</v>
      </c>
      <c r="CS47" s="45">
        <f>CP47*CR47</f>
        <v>814</v>
      </c>
      <c r="CT47" s="652">
        <f>CS47/$CS$81</f>
        <v>2.2359320315524699E-2</v>
      </c>
      <c r="CU47" s="40" t="s">
        <v>98</v>
      </c>
      <c r="CV47" s="41" t="str">
        <f>'Variante Vorgaben'!$B$133</f>
        <v>Anbaugebläsepritze 1000 l mit Bordcomputer</v>
      </c>
      <c r="CW47" s="1369">
        <v>22</v>
      </c>
      <c r="CX47" s="39">
        <f>'Variante Vorgaben'!$C$133</f>
        <v>1</v>
      </c>
      <c r="CY47" s="44">
        <f>'Variante Vorgaben'!$D$133*(1+Eingabeseite!$C$30)</f>
        <v>37</v>
      </c>
      <c r="CZ47" s="45">
        <f>CW47*CY47</f>
        <v>814</v>
      </c>
      <c r="DA47" s="652">
        <f>CZ47/$CZ$81</f>
        <v>1.983863159471012E-2</v>
      </c>
    </row>
    <row r="48" spans="1:105" s="1" customFormat="1" ht="12.75" x14ac:dyDescent="0.2">
      <c r="A48" s="40"/>
      <c r="B48" s="41" t="str">
        <f>'Variante Vorgaben'!$B$134</f>
        <v>Herbizidspritze beideseitig + Herbizidfass</v>
      </c>
      <c r="C48" s="1370">
        <v>2</v>
      </c>
      <c r="D48" s="39">
        <f>'Variante Vorgaben'!$C$134</f>
        <v>1</v>
      </c>
      <c r="E48" s="44">
        <f>'Variante Vorgaben'!$D$134*(1+Eingabeseite!$C$30)</f>
        <v>69</v>
      </c>
      <c r="F48" s="45">
        <f>C48*E48</f>
        <v>138</v>
      </c>
      <c r="G48" s="652">
        <f>F48/$F$81</f>
        <v>1.0823617319996101E-2</v>
      </c>
      <c r="H48" s="40"/>
      <c r="I48" s="41" t="str">
        <f>'Variante Vorgaben'!$B$134</f>
        <v>Herbizidspritze beideseitig + Herbizidfass</v>
      </c>
      <c r="J48" s="1370">
        <v>2</v>
      </c>
      <c r="K48" s="39">
        <f>'Variante Vorgaben'!$C$134</f>
        <v>1</v>
      </c>
      <c r="L48" s="44">
        <f>'Variante Vorgaben'!$D$134*(1+Eingabeseite!$C$30)</f>
        <v>69</v>
      </c>
      <c r="M48" s="45">
        <f>J48*L48</f>
        <v>138</v>
      </c>
      <c r="N48" s="652">
        <f>M48/$M$81</f>
        <v>8.5005226882384922E-3</v>
      </c>
      <c r="O48" s="40"/>
      <c r="P48" s="41" t="str">
        <f>'Variante Vorgaben'!$B$134</f>
        <v>Herbizidspritze beideseitig + Herbizidfass</v>
      </c>
      <c r="Q48" s="1370">
        <v>6</v>
      </c>
      <c r="R48" s="39">
        <f>'Variante Vorgaben'!$C$134</f>
        <v>1</v>
      </c>
      <c r="S48" s="44">
        <f>'Variante Vorgaben'!$D$134*(1+Eingabeseite!$C$30)</f>
        <v>69</v>
      </c>
      <c r="T48" s="45">
        <f>Q48*S48</f>
        <v>414</v>
      </c>
      <c r="U48" s="652">
        <f>T48/$T$81</f>
        <v>1.3921343175700786E-2</v>
      </c>
      <c r="V48" s="40"/>
      <c r="W48" s="41" t="str">
        <f>'Variante Vorgaben'!$B$134</f>
        <v>Herbizidspritze beideseitig + Herbizidfass</v>
      </c>
      <c r="X48" s="1370">
        <v>6</v>
      </c>
      <c r="Y48" s="39">
        <f>'Variante Vorgaben'!$C$134</f>
        <v>1</v>
      </c>
      <c r="Z48" s="44">
        <f>'Variante Vorgaben'!$D$134*(1+Eingabeseite!$C$30)</f>
        <v>69</v>
      </c>
      <c r="AA48" s="45">
        <f>X48*Z48</f>
        <v>414</v>
      </c>
      <c r="AB48" s="652">
        <f>AA48/$AA$81</f>
        <v>1.2438029461772651E-2</v>
      </c>
      <c r="AC48" s="40"/>
      <c r="AD48" s="41" t="str">
        <f>'Variante Vorgaben'!$B$134</f>
        <v>Herbizidspritze beideseitig + Herbizidfass</v>
      </c>
      <c r="AE48" s="1370">
        <v>6</v>
      </c>
      <c r="AF48" s="39">
        <f>'Variante Vorgaben'!$C$134</f>
        <v>1</v>
      </c>
      <c r="AG48" s="44">
        <f>'Variante Vorgaben'!$D$134*(1+Eingabeseite!$C$30)</f>
        <v>69</v>
      </c>
      <c r="AH48" s="45">
        <f>AE48*AG48</f>
        <v>414</v>
      </c>
      <c r="AI48" s="652">
        <f>AH48/$AH$81</f>
        <v>1.1704466397689269E-2</v>
      </c>
      <c r="AJ48" s="40"/>
      <c r="AK48" s="41" t="str">
        <f>'Variante Vorgaben'!$B$134</f>
        <v>Herbizidspritze beideseitig + Herbizidfass</v>
      </c>
      <c r="AL48" s="1370">
        <v>6</v>
      </c>
      <c r="AM48" s="39">
        <f>'Variante Vorgaben'!$C$134</f>
        <v>1</v>
      </c>
      <c r="AN48" s="44">
        <f>'Variante Vorgaben'!$D$134*(1+Eingabeseite!$C$30)</f>
        <v>69</v>
      </c>
      <c r="AO48" s="45">
        <f>AL48*AN48</f>
        <v>414</v>
      </c>
      <c r="AP48" s="652">
        <f>AO48/$AO$81</f>
        <v>1.1069608932497196E-2</v>
      </c>
      <c r="AQ48" s="40"/>
      <c r="AR48" s="41" t="str">
        <f>'Variante Vorgaben'!$B$134</f>
        <v>Herbizidspritze beideseitig + Herbizidfass</v>
      </c>
      <c r="AS48" s="1370">
        <v>6</v>
      </c>
      <c r="AT48" s="39">
        <f>'Variante Vorgaben'!$C$134</f>
        <v>1</v>
      </c>
      <c r="AU48" s="44">
        <f>'Variante Vorgaben'!$D$134*(1+Eingabeseite!$C$30)</f>
        <v>69</v>
      </c>
      <c r="AV48" s="45">
        <f>AS48*AU48</f>
        <v>414</v>
      </c>
      <c r="AW48" s="652">
        <f>AV48/$AV$81</f>
        <v>1.1651247809758543E-2</v>
      </c>
      <c r="AX48" s="40"/>
      <c r="AY48" s="41" t="str">
        <f>'Variante Vorgaben'!$B$134</f>
        <v>Herbizidspritze beideseitig + Herbizidfass</v>
      </c>
      <c r="AZ48" s="1370">
        <v>6</v>
      </c>
      <c r="BA48" s="39">
        <f>'Variante Vorgaben'!$C$134</f>
        <v>1</v>
      </c>
      <c r="BB48" s="44">
        <f>'Variante Vorgaben'!$D$134*(1+Eingabeseite!$C$30)</f>
        <v>69</v>
      </c>
      <c r="BC48" s="45">
        <f>AZ48*BB48</f>
        <v>414</v>
      </c>
      <c r="BD48" s="652">
        <f>BC48/$BC$81</f>
        <v>1.1649348169700084E-2</v>
      </c>
      <c r="BE48" s="40"/>
      <c r="BF48" s="41" t="str">
        <f>'Variante Vorgaben'!$B$134</f>
        <v>Herbizidspritze beideseitig + Herbizidfass</v>
      </c>
      <c r="BG48" s="1370">
        <v>6</v>
      </c>
      <c r="BH48" s="39">
        <f>'Variante Vorgaben'!$C$134</f>
        <v>1</v>
      </c>
      <c r="BI48" s="44">
        <f>'Variante Vorgaben'!$D$134*(1+Eingabeseite!$C$30)</f>
        <v>69</v>
      </c>
      <c r="BJ48" s="45">
        <f>BG48*BI48</f>
        <v>414</v>
      </c>
      <c r="BK48" s="652">
        <f>BJ48/$BJ$81</f>
        <v>1.0572607830226953E-2</v>
      </c>
      <c r="BL48" s="40"/>
      <c r="BM48" s="41" t="str">
        <f>'Variante Vorgaben'!$B$134</f>
        <v>Herbizidspritze beideseitig + Herbizidfass</v>
      </c>
      <c r="BN48" s="1370">
        <v>6</v>
      </c>
      <c r="BO48" s="39">
        <f>'Variante Vorgaben'!$C$134</f>
        <v>1</v>
      </c>
      <c r="BP48" s="44">
        <f>'Variante Vorgaben'!$D$134*(1+Eingabeseite!$C$30)</f>
        <v>69</v>
      </c>
      <c r="BQ48" s="45">
        <f>BN48*BP48</f>
        <v>414</v>
      </c>
      <c r="BR48" s="652">
        <f>BQ48/$BQ$81</f>
        <v>1.0419864284601111E-2</v>
      </c>
      <c r="BS48" s="40"/>
      <c r="BT48" s="41" t="str">
        <f>'Variante Vorgaben'!$B$134</f>
        <v>Herbizidspritze beideseitig + Herbizidfass</v>
      </c>
      <c r="BU48" s="1370">
        <v>6</v>
      </c>
      <c r="BV48" s="39">
        <f>'Variante Vorgaben'!$C$134</f>
        <v>1</v>
      </c>
      <c r="BW48" s="44">
        <f>'Variante Vorgaben'!$D$134*(1+Eingabeseite!$C$30)</f>
        <v>69</v>
      </c>
      <c r="BX48" s="45">
        <f>BU48*BW48</f>
        <v>414</v>
      </c>
      <c r="BY48" s="652">
        <f>BX48/$BX$81</f>
        <v>1.1127749497635378E-2</v>
      </c>
      <c r="BZ48" s="40"/>
      <c r="CA48" s="41" t="str">
        <f>'Variante Vorgaben'!$B$134</f>
        <v>Herbizidspritze beideseitig + Herbizidfass</v>
      </c>
      <c r="CB48" s="1370">
        <v>6</v>
      </c>
      <c r="CC48" s="39">
        <f>'Variante Vorgaben'!$C$134</f>
        <v>1</v>
      </c>
      <c r="CD48" s="44">
        <f>'Variante Vorgaben'!$D$134*(1+Eingabeseite!$C$30)</f>
        <v>69</v>
      </c>
      <c r="CE48" s="45">
        <f>CB48*CD48</f>
        <v>414</v>
      </c>
      <c r="CF48" s="652">
        <f>CE48/$CE$81</f>
        <v>1.1726258606903074E-2</v>
      </c>
      <c r="CG48" s="40"/>
      <c r="CH48" s="41" t="str">
        <f>'Variante Vorgaben'!$B$134</f>
        <v>Herbizidspritze beideseitig + Herbizidfass</v>
      </c>
      <c r="CI48" s="1370">
        <v>6</v>
      </c>
      <c r="CJ48" s="39">
        <f>'Variante Vorgaben'!$C$134</f>
        <v>1</v>
      </c>
      <c r="CK48" s="44">
        <f>'Variante Vorgaben'!$D$134*(1+Eingabeseite!$C$30)</f>
        <v>69</v>
      </c>
      <c r="CL48" s="45">
        <f>CI48*CK48</f>
        <v>414</v>
      </c>
      <c r="CM48" s="652">
        <f>CL48/$CL$81</f>
        <v>1.1435063322858909E-2</v>
      </c>
      <c r="CN48" s="40"/>
      <c r="CO48" s="41" t="str">
        <f>'Variante Vorgaben'!$B$134</f>
        <v>Herbizidspritze beideseitig + Herbizidfass</v>
      </c>
      <c r="CP48" s="1370">
        <v>6</v>
      </c>
      <c r="CQ48" s="39">
        <f>'Variante Vorgaben'!$C$134</f>
        <v>1</v>
      </c>
      <c r="CR48" s="44">
        <f>'Variante Vorgaben'!$D$134*(1+Eingabeseite!$C$30)</f>
        <v>69</v>
      </c>
      <c r="CS48" s="45">
        <f>CP48*CR48</f>
        <v>414</v>
      </c>
      <c r="CT48" s="652">
        <f>CS48/$CS$81</f>
        <v>1.1371939325094872E-2</v>
      </c>
      <c r="CU48" s="40"/>
      <c r="CV48" s="41" t="str">
        <f>'Variante Vorgaben'!$B$134</f>
        <v>Herbizidspritze beideseitig + Herbizidfass</v>
      </c>
      <c r="CW48" s="1370">
        <v>6</v>
      </c>
      <c r="CX48" s="39">
        <f>'Variante Vorgaben'!$C$134</f>
        <v>1</v>
      </c>
      <c r="CY48" s="44">
        <f>'Variante Vorgaben'!$D$134*(1+Eingabeseite!$C$30)</f>
        <v>69</v>
      </c>
      <c r="CZ48" s="45">
        <f>CW48*CY48</f>
        <v>414</v>
      </c>
      <c r="DA48" s="652">
        <f>CZ48/$CZ$81</f>
        <v>1.0089918280356252E-2</v>
      </c>
    </row>
    <row r="49" spans="1:105" s="1" customFormat="1" ht="12.75" x14ac:dyDescent="0.2">
      <c r="A49" s="40"/>
      <c r="B49" s="41" t="str">
        <f>'Variante Vorgaben'!$B$135</f>
        <v>Düngerstreuer Einkasten 2.5 m</v>
      </c>
      <c r="C49" s="531">
        <f>C21</f>
        <v>0</v>
      </c>
      <c r="D49" s="39">
        <f>'Variante Vorgaben'!$C$135</f>
        <v>1</v>
      </c>
      <c r="E49" s="44">
        <f>'Variante Vorgaben'!$D$135*(1+Eingabeseite!$C$30)</f>
        <v>18</v>
      </c>
      <c r="F49" s="45">
        <f>C49*E49</f>
        <v>0</v>
      </c>
      <c r="G49" s="652">
        <f>F49/$F$81</f>
        <v>0</v>
      </c>
      <c r="H49" s="40"/>
      <c r="I49" s="41" t="str">
        <f>'Variante Vorgaben'!$B$135</f>
        <v>Düngerstreuer Einkasten 2.5 m</v>
      </c>
      <c r="J49" s="531">
        <f>J21</f>
        <v>1</v>
      </c>
      <c r="K49" s="39">
        <f>'Variante Vorgaben'!$C$135</f>
        <v>1</v>
      </c>
      <c r="L49" s="44">
        <f>'Variante Vorgaben'!$D$135*(1+Eingabeseite!$C$30)</f>
        <v>18</v>
      </c>
      <c r="M49" s="45">
        <f>J49*L49</f>
        <v>18</v>
      </c>
      <c r="N49" s="652">
        <f>M49/$M$81</f>
        <v>1.1087638289006727E-3</v>
      </c>
      <c r="O49" s="40"/>
      <c r="P49" s="41" t="str">
        <f>'Variante Vorgaben'!$B$135</f>
        <v>Düngerstreuer Einkasten 2.5 m</v>
      </c>
      <c r="Q49" s="531">
        <f>Q21</f>
        <v>2</v>
      </c>
      <c r="R49" s="39">
        <f>'Variante Vorgaben'!$C$135</f>
        <v>1</v>
      </c>
      <c r="S49" s="44">
        <f>'Variante Vorgaben'!$D$135*(1+Eingabeseite!$C$30)</f>
        <v>18</v>
      </c>
      <c r="T49" s="45">
        <f>Q49*S49</f>
        <v>36</v>
      </c>
      <c r="U49" s="652">
        <f>T49/$T$81</f>
        <v>1.2105515804957205E-3</v>
      </c>
      <c r="V49" s="40"/>
      <c r="W49" s="41" t="str">
        <f>'Variante Vorgaben'!$B$135</f>
        <v>Düngerstreuer Einkasten 2.5 m</v>
      </c>
      <c r="X49" s="531">
        <f>X21</f>
        <v>4</v>
      </c>
      <c r="Y49" s="39">
        <f>'Variante Vorgaben'!$C$135</f>
        <v>1</v>
      </c>
      <c r="Z49" s="44">
        <f>'Variante Vorgaben'!$D$135*(1+Eingabeseite!$C$30)</f>
        <v>18</v>
      </c>
      <c r="AA49" s="45">
        <f>X49*Z49</f>
        <v>72</v>
      </c>
      <c r="AB49" s="652">
        <f>AA49/$AA$81</f>
        <v>2.1631355585691567E-3</v>
      </c>
      <c r="AC49" s="40"/>
      <c r="AD49" s="41" t="str">
        <f>'Variante Vorgaben'!$B$135</f>
        <v>Düngerstreuer Einkasten 2.5 m</v>
      </c>
      <c r="AE49" s="531">
        <f>AE21</f>
        <v>4</v>
      </c>
      <c r="AF49" s="39">
        <f>'Variante Vorgaben'!$C$135</f>
        <v>1</v>
      </c>
      <c r="AG49" s="44">
        <f>'Variante Vorgaben'!$D$135*(1+Eingabeseite!$C$30)</f>
        <v>18</v>
      </c>
      <c r="AH49" s="45">
        <f>AE49*AG49</f>
        <v>72</v>
      </c>
      <c r="AI49" s="652">
        <f>AH49/$AH$81</f>
        <v>2.0355593735111774E-3</v>
      </c>
      <c r="AJ49" s="40"/>
      <c r="AK49" s="41" t="str">
        <f>'Variante Vorgaben'!$B$135</f>
        <v>Düngerstreuer Einkasten 2.5 m</v>
      </c>
      <c r="AL49" s="531">
        <f>AL21</f>
        <v>4</v>
      </c>
      <c r="AM49" s="39">
        <f>'Variante Vorgaben'!$C$135</f>
        <v>1</v>
      </c>
      <c r="AN49" s="44">
        <f>'Variante Vorgaben'!$D$135*(1+Eingabeseite!$C$30)</f>
        <v>18</v>
      </c>
      <c r="AO49" s="45">
        <f>AL49*AN49</f>
        <v>72</v>
      </c>
      <c r="AP49" s="652">
        <f>AO49/$AO$81</f>
        <v>1.9251493795647298E-3</v>
      </c>
      <c r="AQ49" s="40"/>
      <c r="AR49" s="41" t="str">
        <f>'Variante Vorgaben'!$B$135</f>
        <v>Düngerstreuer Einkasten 2.5 m</v>
      </c>
      <c r="AS49" s="531">
        <f>AS21</f>
        <v>4</v>
      </c>
      <c r="AT49" s="39">
        <f>'Variante Vorgaben'!$C$135</f>
        <v>1</v>
      </c>
      <c r="AU49" s="44">
        <f>'Variante Vorgaben'!$D$135*(1+Eingabeseite!$C$30)</f>
        <v>18</v>
      </c>
      <c r="AV49" s="45">
        <f>AS49*AU49</f>
        <v>72</v>
      </c>
      <c r="AW49" s="652">
        <f>AV49/$AV$81</f>
        <v>2.0263039669145295E-3</v>
      </c>
      <c r="AX49" s="40"/>
      <c r="AY49" s="41" t="str">
        <f>'Variante Vorgaben'!$B$135</f>
        <v>Düngerstreuer Einkasten 2.5 m</v>
      </c>
      <c r="AZ49" s="531">
        <f>AZ21</f>
        <v>4</v>
      </c>
      <c r="BA49" s="39">
        <f>'Variante Vorgaben'!$C$135</f>
        <v>1</v>
      </c>
      <c r="BB49" s="44">
        <f>'Variante Vorgaben'!$D$135*(1+Eingabeseite!$C$30)</f>
        <v>18</v>
      </c>
      <c r="BC49" s="45">
        <f>AZ49*BB49</f>
        <v>72</v>
      </c>
      <c r="BD49" s="652">
        <f>BC49/$BC$81</f>
        <v>2.0259735947304497E-3</v>
      </c>
      <c r="BE49" s="40"/>
      <c r="BF49" s="41" t="str">
        <f>'Variante Vorgaben'!$B$135</f>
        <v>Düngerstreuer Einkasten 2.5 m</v>
      </c>
      <c r="BG49" s="531">
        <f>BG21</f>
        <v>4</v>
      </c>
      <c r="BH49" s="39">
        <f>'Variante Vorgaben'!$C$135</f>
        <v>1</v>
      </c>
      <c r="BI49" s="44">
        <f>'Variante Vorgaben'!$D$135*(1+Eingabeseite!$C$30)</f>
        <v>18</v>
      </c>
      <c r="BJ49" s="45">
        <f>BG49*BI49</f>
        <v>72</v>
      </c>
      <c r="BK49" s="652">
        <f>BJ49/$BJ$81</f>
        <v>1.8387144052568612E-3</v>
      </c>
      <c r="BL49" s="40"/>
      <c r="BM49" s="41" t="str">
        <f>'Variante Vorgaben'!$B$135</f>
        <v>Düngerstreuer Einkasten 2.5 m</v>
      </c>
      <c r="BN49" s="531">
        <f>BN21</f>
        <v>4</v>
      </c>
      <c r="BO49" s="39">
        <f>'Variante Vorgaben'!$C$135</f>
        <v>1</v>
      </c>
      <c r="BP49" s="44">
        <f>'Variante Vorgaben'!$D$135*(1+Eingabeseite!$C$30)</f>
        <v>18</v>
      </c>
      <c r="BQ49" s="45">
        <f>BN49*BP49</f>
        <v>72</v>
      </c>
      <c r="BR49" s="652">
        <f>BQ49/$BQ$81</f>
        <v>1.8121503103654107E-3</v>
      </c>
      <c r="BS49" s="40"/>
      <c r="BT49" s="41" t="str">
        <f>'Variante Vorgaben'!$B$135</f>
        <v>Düngerstreuer Einkasten 2.5 m</v>
      </c>
      <c r="BU49" s="531">
        <f>BU21</f>
        <v>4</v>
      </c>
      <c r="BV49" s="39">
        <f>'Variante Vorgaben'!$C$135</f>
        <v>1</v>
      </c>
      <c r="BW49" s="44">
        <f>'Variante Vorgaben'!$D$135*(1+Eingabeseite!$C$30)</f>
        <v>18</v>
      </c>
      <c r="BX49" s="45">
        <f>BU49*BW49</f>
        <v>72</v>
      </c>
      <c r="BY49" s="652">
        <f>BX49/$BX$81</f>
        <v>1.9352607821974573E-3</v>
      </c>
      <c r="BZ49" s="40"/>
      <c r="CA49" s="41" t="str">
        <f>'Variante Vorgaben'!$B$135</f>
        <v>Düngerstreuer Einkasten 2.5 m</v>
      </c>
      <c r="CB49" s="531">
        <f>CB21</f>
        <v>4</v>
      </c>
      <c r="CC49" s="39">
        <f>'Variante Vorgaben'!$C$135</f>
        <v>1</v>
      </c>
      <c r="CD49" s="44">
        <f>'Variante Vorgaben'!$D$135*(1+Eingabeseite!$C$30)</f>
        <v>18</v>
      </c>
      <c r="CE49" s="45">
        <f>CB49*CD49</f>
        <v>72</v>
      </c>
      <c r="CF49" s="652">
        <f>CE49/$CE$81</f>
        <v>2.0393493229396652E-3</v>
      </c>
      <c r="CG49" s="40"/>
      <c r="CH49" s="41" t="str">
        <f>'Variante Vorgaben'!$B$135</f>
        <v>Düngerstreuer Einkasten 2.5 m</v>
      </c>
      <c r="CI49" s="531">
        <f>CI21</f>
        <v>4</v>
      </c>
      <c r="CJ49" s="39">
        <f>'Variante Vorgaben'!$C$135</f>
        <v>1</v>
      </c>
      <c r="CK49" s="44">
        <f>'Variante Vorgaben'!$D$135*(1+Eingabeseite!$C$30)</f>
        <v>18</v>
      </c>
      <c r="CL49" s="45">
        <f>CI49*CK49</f>
        <v>72</v>
      </c>
      <c r="CM49" s="652">
        <f>CL49/$CL$81</f>
        <v>1.9887066648450274E-3</v>
      </c>
      <c r="CN49" s="40"/>
      <c r="CO49" s="41" t="str">
        <f>'Variante Vorgaben'!$B$135</f>
        <v>Düngerstreuer Einkasten 2.5 m</v>
      </c>
      <c r="CP49" s="531">
        <f>CP21</f>
        <v>4</v>
      </c>
      <c r="CQ49" s="39">
        <f>'Variante Vorgaben'!$C$135</f>
        <v>1</v>
      </c>
      <c r="CR49" s="44">
        <f>'Variante Vorgaben'!$D$135*(1+Eingabeseite!$C$30)</f>
        <v>18</v>
      </c>
      <c r="CS49" s="45">
        <f>CP49*CR49</f>
        <v>72</v>
      </c>
      <c r="CT49" s="652">
        <f>CS49/$CS$81</f>
        <v>1.9777285782773689E-3</v>
      </c>
      <c r="CU49" s="40"/>
      <c r="CV49" s="41" t="str">
        <f>'Variante Vorgaben'!$B$135</f>
        <v>Düngerstreuer Einkasten 2.5 m</v>
      </c>
      <c r="CW49" s="531">
        <f>CW21</f>
        <v>4</v>
      </c>
      <c r="CX49" s="39">
        <f>'Variante Vorgaben'!$C$135</f>
        <v>1</v>
      </c>
      <c r="CY49" s="44">
        <f>'Variante Vorgaben'!$D$135*(1+Eingabeseite!$C$30)</f>
        <v>18</v>
      </c>
      <c r="CZ49" s="45">
        <f>CW49*CY49</f>
        <v>72</v>
      </c>
      <c r="DA49" s="652">
        <f>CZ49/$CZ$81</f>
        <v>1.7547683965836961E-3</v>
      </c>
    </row>
    <row r="50" spans="1:105" s="67" customFormat="1" ht="12.75" x14ac:dyDescent="0.2">
      <c r="A50" s="142"/>
      <c r="B50" s="41" t="str">
        <f>'Variante Vorgaben'!$B$136</f>
        <v>Erntewagen 4 Grosskisten</v>
      </c>
      <c r="C50" s="1325">
        <f>'Standard Vorgaben'!$C$136</f>
        <v>960</v>
      </c>
      <c r="D50" s="19"/>
      <c r="E50" s="1328">
        <f>'Variante Vorgaben'!$D$136*(1+Eingabeseite!$C$30)</f>
        <v>9.1999999999999993</v>
      </c>
      <c r="F50" s="45">
        <f>D51*E50</f>
        <v>0</v>
      </c>
      <c r="G50" s="652">
        <f>F50/F81</f>
        <v>0</v>
      </c>
      <c r="H50" s="142"/>
      <c r="I50" s="41" t="str">
        <f>'Variante Vorgaben'!$B$136</f>
        <v>Erntewagen 4 Grosskisten</v>
      </c>
      <c r="J50" s="1325">
        <f>'Standard Vorgaben'!$C$136</f>
        <v>960</v>
      </c>
      <c r="K50" s="19"/>
      <c r="L50" s="1328">
        <f>'Variante Vorgaben'!$D$136*(1+Eingabeseite!$C$30)</f>
        <v>9.1999999999999993</v>
      </c>
      <c r="M50" s="45">
        <f>K51*L50</f>
        <v>114.71249999999999</v>
      </c>
      <c r="N50" s="652">
        <f>M50/M81</f>
        <v>7.0660594845982456E-3</v>
      </c>
      <c r="O50" s="142"/>
      <c r="P50" s="41" t="str">
        <f>'Variante Vorgaben'!$B$136</f>
        <v>Erntewagen 4 Grosskisten</v>
      </c>
      <c r="Q50" s="1325">
        <f>'Standard Vorgaben'!$C$136</f>
        <v>960</v>
      </c>
      <c r="R50" s="19"/>
      <c r="S50" s="1328">
        <f>'Variante Vorgaben'!$D$136*(1+Eingabeseite!$C$30)</f>
        <v>9.1999999999999993</v>
      </c>
      <c r="T50" s="45">
        <f>R51*S50</f>
        <v>143.390625</v>
      </c>
      <c r="U50" s="652">
        <f>T50/T81</f>
        <v>4.8217152145005326E-3</v>
      </c>
      <c r="V50" s="142"/>
      <c r="W50" s="41" t="str">
        <f>'Variante Vorgaben'!$B$136</f>
        <v>Erntewagen 4 Grosskisten</v>
      </c>
      <c r="X50" s="1325">
        <f>'Standard Vorgaben'!$C$136</f>
        <v>960</v>
      </c>
      <c r="Y50" s="19"/>
      <c r="Z50" s="1328">
        <f>'Variante Vorgaben'!$D$136*(1+Eingabeseite!$C$30)</f>
        <v>9.1999999999999993</v>
      </c>
      <c r="AA50" s="45">
        <f>Y51*Z50</f>
        <v>248.54374999999999</v>
      </c>
      <c r="AB50" s="652">
        <f>AA50/AA81</f>
        <v>7.4671364372933726E-3</v>
      </c>
      <c r="AC50" s="142"/>
      <c r="AD50" s="41" t="str">
        <f>'Variante Vorgaben'!$B$136</f>
        <v>Erntewagen 4 Grosskisten</v>
      </c>
      <c r="AE50" s="1325">
        <f>'Standard Vorgaben'!$C$136</f>
        <v>960</v>
      </c>
      <c r="AF50" s="19"/>
      <c r="AG50" s="1328">
        <f>'Variante Vorgaben'!$D$136*(1+Eingabeseite!$C$30)</f>
        <v>9.1999999999999993</v>
      </c>
      <c r="AH50" s="45">
        <f>AF51*AG50</f>
        <v>334.578125</v>
      </c>
      <c r="AI50" s="652">
        <f>AH50/AH81</f>
        <v>9.4590783127158941E-3</v>
      </c>
      <c r="AJ50" s="142"/>
      <c r="AK50" s="41" t="str">
        <f>'Variante Vorgaben'!$B$136</f>
        <v>Erntewagen 4 Grosskisten</v>
      </c>
      <c r="AL50" s="1325">
        <f>'Standard Vorgaben'!$C$136</f>
        <v>960</v>
      </c>
      <c r="AM50" s="19"/>
      <c r="AN50" s="1328">
        <f>'Variante Vorgaben'!$D$136*(1+Eingabeseite!$C$30)</f>
        <v>9.1999999999999993</v>
      </c>
      <c r="AO50" s="45">
        <f>AM51*AN50</f>
        <v>420.61249999999995</v>
      </c>
      <c r="AP50" s="652">
        <f>AO50/AO81</f>
        <v>1.1246415186280136E-2</v>
      </c>
      <c r="AQ50" s="142"/>
      <c r="AR50" s="41" t="str">
        <f>'Variante Vorgaben'!$B$136</f>
        <v>Erntewagen 4 Grosskisten</v>
      </c>
      <c r="AS50" s="1325">
        <f>'Standard Vorgaben'!$C$136</f>
        <v>960</v>
      </c>
      <c r="AT50" s="19"/>
      <c r="AU50" s="1328">
        <f>'Variante Vorgaben'!$D$136*(1+Eingabeseite!$C$30)</f>
        <v>9.1999999999999993</v>
      </c>
      <c r="AV50" s="45">
        <f>AT51*AU50</f>
        <v>342.94257812499995</v>
      </c>
      <c r="AW50" s="652">
        <f>AV50/AV81</f>
        <v>9.651470923313657E-3</v>
      </c>
      <c r="AX50" s="142"/>
      <c r="AY50" s="41" t="str">
        <f>'Variante Vorgaben'!$B$136</f>
        <v>Erntewagen 4 Grosskisten</v>
      </c>
      <c r="AZ50" s="1325">
        <f>'Standard Vorgaben'!$C$136</f>
        <v>960</v>
      </c>
      <c r="BA50" s="19"/>
      <c r="BB50" s="1328">
        <f>'Variante Vorgaben'!$D$136*(1+Eingabeseite!$C$30)</f>
        <v>9.1999999999999993</v>
      </c>
      <c r="BC50" s="45">
        <f>BA51*BB50</f>
        <v>342.94257812499995</v>
      </c>
      <c r="BD50" s="652">
        <f>BC50/BC81</f>
        <v>9.6498973304171409E-3</v>
      </c>
      <c r="BE50" s="142"/>
      <c r="BF50" s="41" t="str">
        <f>'Variante Vorgaben'!$B$136</f>
        <v>Erntewagen 4 Grosskisten</v>
      </c>
      <c r="BG50" s="1325">
        <f>'Standard Vorgaben'!$C$136</f>
        <v>960</v>
      </c>
      <c r="BH50" s="19"/>
      <c r="BI50" s="1328">
        <f>'Variante Vorgaben'!$D$136*(1+Eingabeseite!$C$30)</f>
        <v>9.1999999999999993</v>
      </c>
      <c r="BJ50" s="45">
        <f>BH51*BI50</f>
        <v>497.08749999999998</v>
      </c>
      <c r="BK50" s="652">
        <f>BJ50/BJ81</f>
        <v>1.2694471485043332E-2</v>
      </c>
      <c r="BL50" s="142"/>
      <c r="BM50" s="41" t="str">
        <f>'Variante Vorgaben'!$B$136</f>
        <v>Erntewagen 4 Grosskisten</v>
      </c>
      <c r="BN50" s="1325">
        <f>'Standard Vorgaben'!$C$136</f>
        <v>960</v>
      </c>
      <c r="BO50" s="19"/>
      <c r="BP50" s="1328">
        <f>'Variante Vorgaben'!$D$136*(1+Eingabeseite!$C$30)</f>
        <v>9.1999999999999993</v>
      </c>
      <c r="BQ50" s="45">
        <f>BO51*BP50</f>
        <v>525.765625</v>
      </c>
      <c r="BR50" s="652">
        <f>BQ50/BQ81</f>
        <v>1.3232865840600195E-2</v>
      </c>
      <c r="BS50" s="142"/>
      <c r="BT50" s="41" t="str">
        <f>'Variante Vorgaben'!$B$136</f>
        <v>Erntewagen 4 Grosskisten</v>
      </c>
      <c r="BU50" s="1325">
        <f>'Standard Vorgaben'!$C$136</f>
        <v>960</v>
      </c>
      <c r="BV50" s="19"/>
      <c r="BW50" s="1328">
        <f>'Variante Vorgaben'!$D$136*(1+Eingabeseite!$C$30)</f>
        <v>9.1999999999999993</v>
      </c>
      <c r="BX50" s="45">
        <f>BV51*BW50</f>
        <v>423.00234374999997</v>
      </c>
      <c r="BY50" s="652">
        <f>BX50/BX81</f>
        <v>1.1369720092180314E-2</v>
      </c>
      <c r="BZ50" s="142"/>
      <c r="CA50" s="41" t="str">
        <f>'Variante Vorgaben'!$B$136</f>
        <v>Erntewagen 4 Grosskisten</v>
      </c>
      <c r="CB50" s="1325">
        <f>'Standard Vorgaben'!$C$136</f>
        <v>960</v>
      </c>
      <c r="CC50" s="19"/>
      <c r="CD50" s="1328">
        <f>'Variante Vorgaben'!$D$136*(1+Eingabeseite!$C$30)</f>
        <v>9.1999999999999993</v>
      </c>
      <c r="CE50" s="45">
        <f>CC51*CD50</f>
        <v>344.13749999999999</v>
      </c>
      <c r="CF50" s="652">
        <f>CE50/CE81</f>
        <v>9.7474524669881792E-3</v>
      </c>
      <c r="CG50" s="142"/>
      <c r="CH50" s="41" t="str">
        <f>'Variante Vorgaben'!$B$136</f>
        <v>Erntewagen 4 Grosskisten</v>
      </c>
      <c r="CI50" s="1325">
        <f>'Standard Vorgaben'!$C$136</f>
        <v>960</v>
      </c>
      <c r="CJ50" s="19"/>
      <c r="CK50" s="1328">
        <f>'Variante Vorgaben'!$D$136*(1+Eingabeseite!$C$30)</f>
        <v>9.1999999999999993</v>
      </c>
      <c r="CL50" s="45">
        <f>CJ51*CK50</f>
        <v>382.37499999999994</v>
      </c>
      <c r="CM50" s="652">
        <f>CL50/CL81</f>
        <v>1.0561551541251629E-2</v>
      </c>
      <c r="CN50" s="142"/>
      <c r="CO50" s="41" t="str">
        <f>'Variante Vorgaben'!$B$136</f>
        <v>Erntewagen 4 Grosskisten</v>
      </c>
      <c r="CP50" s="1325">
        <f>'Standard Vorgaben'!$C$136</f>
        <v>960</v>
      </c>
      <c r="CQ50" s="19"/>
      <c r="CR50" s="1328">
        <f>'Variante Vorgaben'!$D$136*(1+Eingabeseite!$C$30)</f>
        <v>9.1999999999999993</v>
      </c>
      <c r="CS50" s="45">
        <f>CQ51*CR50</f>
        <v>391.93437499999999</v>
      </c>
      <c r="CT50" s="652">
        <f>CS50/CS81</f>
        <v>1.0765830753427489E-2</v>
      </c>
      <c r="CU50" s="142"/>
      <c r="CV50" s="41" t="str">
        <f>'Variante Vorgaben'!$B$136</f>
        <v>Erntewagen 4 Grosskisten</v>
      </c>
      <c r="CW50" s="1325">
        <f>'Standard Vorgaben'!$C$136</f>
        <v>960</v>
      </c>
      <c r="CX50" s="19"/>
      <c r="CY50" s="1328">
        <f>'Variante Vorgaben'!$D$136*(1+Eingabeseite!$C$30)</f>
        <v>9.1999999999999993</v>
      </c>
      <c r="CZ50" s="45">
        <f>CX51*CY50</f>
        <v>334.578125</v>
      </c>
      <c r="DA50" s="652">
        <f>CZ50/CZ81</f>
        <v>8.1542655546976307E-3</v>
      </c>
    </row>
    <row r="51" spans="1:105" s="67" customFormat="1" ht="12.75" x14ac:dyDescent="0.2">
      <c r="A51" s="142"/>
      <c r="B51" s="282" t="s">
        <v>204</v>
      </c>
      <c r="C51" s="248">
        <f>'Variante Vorgaben'!$E$136</f>
        <v>4</v>
      </c>
      <c r="D51" s="1326">
        <f>((D9+D10)+('Variante Vorgaben'!$D$86*D12))/C50</f>
        <v>0</v>
      </c>
      <c r="E51" s="1327">
        <f>C50/C73/C51*(1+Eingabeseite!$C$30)</f>
        <v>2</v>
      </c>
      <c r="F51" s="45"/>
      <c r="G51" s="652"/>
      <c r="H51" s="142"/>
      <c r="I51" s="282" t="s">
        <v>204</v>
      </c>
      <c r="J51" s="248">
        <f>'Variante Vorgaben'!$E$136</f>
        <v>4</v>
      </c>
      <c r="K51" s="1326">
        <f>((K9+K10)+('Variante Vorgaben'!$D$86*K12))/J50</f>
        <v>12.46875</v>
      </c>
      <c r="L51" s="1327">
        <f>J50/J73/J51*(1+Eingabeseite!$C$30)</f>
        <v>2</v>
      </c>
      <c r="M51" s="45"/>
      <c r="N51" s="652"/>
      <c r="O51" s="142"/>
      <c r="P51" s="282" t="s">
        <v>204</v>
      </c>
      <c r="Q51" s="248">
        <f>'Variante Vorgaben'!$E$136</f>
        <v>4</v>
      </c>
      <c r="R51" s="1326">
        <f>((R9+R10)+('Variante Vorgaben'!$D$86*R12))/Q50</f>
        <v>15.5859375</v>
      </c>
      <c r="S51" s="1327">
        <f>Q50/Q73/Q51*(1+Eingabeseite!$C$30)</f>
        <v>2</v>
      </c>
      <c r="T51" s="45"/>
      <c r="U51" s="652"/>
      <c r="V51" s="142"/>
      <c r="W51" s="282" t="s">
        <v>204</v>
      </c>
      <c r="X51" s="248">
        <f>'Variante Vorgaben'!$E$136</f>
        <v>4</v>
      </c>
      <c r="Y51" s="1326">
        <f>((Y9+Y10)+('Variante Vorgaben'!$D$86*Y12))/X50</f>
        <v>27.015625</v>
      </c>
      <c r="Z51" s="1327">
        <f>X50/X73/X51*(1+Eingabeseite!$C$30)</f>
        <v>2</v>
      </c>
      <c r="AA51" s="45"/>
      <c r="AB51" s="652"/>
      <c r="AC51" s="142"/>
      <c r="AD51" s="282" t="s">
        <v>204</v>
      </c>
      <c r="AE51" s="248">
        <f>'Variante Vorgaben'!$E$136</f>
        <v>4</v>
      </c>
      <c r="AF51" s="1326">
        <f>((AF9+AF10)+('Variante Vorgaben'!$D$86*AF12))/AE50</f>
        <v>36.3671875</v>
      </c>
      <c r="AG51" s="1327">
        <f>AE50/AE73/AE51*(1+Eingabeseite!$C$30)</f>
        <v>2</v>
      </c>
      <c r="AH51" s="45"/>
      <c r="AI51" s="652"/>
      <c r="AJ51" s="142"/>
      <c r="AK51" s="282" t="s">
        <v>204</v>
      </c>
      <c r="AL51" s="248">
        <f>'Variante Vorgaben'!$E$136</f>
        <v>4</v>
      </c>
      <c r="AM51" s="1326">
        <f>((AM9+AM10)+('Variante Vorgaben'!$D$86*AM12))/AL50</f>
        <v>45.71875</v>
      </c>
      <c r="AN51" s="1327">
        <f>AL50/AL73/AL51*(1+Eingabeseite!$C$30)</f>
        <v>2</v>
      </c>
      <c r="AO51" s="45"/>
      <c r="AP51" s="652"/>
      <c r="AQ51" s="142"/>
      <c r="AR51" s="282" t="s">
        <v>204</v>
      </c>
      <c r="AS51" s="248">
        <f>'Variante Vorgaben'!$E$136</f>
        <v>4</v>
      </c>
      <c r="AT51" s="1326">
        <f>((AT9+AT10)+('Variante Vorgaben'!$D$86*AT12))/AS50</f>
        <v>37.2763671875</v>
      </c>
      <c r="AU51" s="1327">
        <f>AS50/AS73/AS51*(1+Eingabeseite!$C$30)</f>
        <v>2</v>
      </c>
      <c r="AV51" s="45"/>
      <c r="AW51" s="652"/>
      <c r="AX51" s="142"/>
      <c r="AY51" s="282" t="s">
        <v>204</v>
      </c>
      <c r="AZ51" s="248">
        <f>'Variante Vorgaben'!$E$136</f>
        <v>4</v>
      </c>
      <c r="BA51" s="1326">
        <f>((BA9+BA10)+('Variante Vorgaben'!$D$86*BA12))/AZ50</f>
        <v>37.2763671875</v>
      </c>
      <c r="BB51" s="1327">
        <f>AZ50/AZ73/AZ51*(1+Eingabeseite!$C$30)</f>
        <v>2</v>
      </c>
      <c r="BC51" s="45"/>
      <c r="BD51" s="652"/>
      <c r="BE51" s="142"/>
      <c r="BF51" s="282" t="s">
        <v>204</v>
      </c>
      <c r="BG51" s="248">
        <f>'Variante Vorgaben'!$E$136</f>
        <v>4</v>
      </c>
      <c r="BH51" s="1326">
        <f>((BH9+BH10)+('Variante Vorgaben'!$D$86*BH12))/BG50</f>
        <v>54.03125</v>
      </c>
      <c r="BI51" s="1327">
        <f>BG50/BG73/BG51*(1+Eingabeseite!$C$30)</f>
        <v>2</v>
      </c>
      <c r="BJ51" s="45"/>
      <c r="BK51" s="652"/>
      <c r="BL51" s="142"/>
      <c r="BM51" s="282" t="s">
        <v>204</v>
      </c>
      <c r="BN51" s="248">
        <f>'Variante Vorgaben'!$E$136</f>
        <v>4</v>
      </c>
      <c r="BO51" s="1326">
        <f>((BO9+BO10)+('Variante Vorgaben'!$D$86*BO12))/BN50</f>
        <v>57.1484375</v>
      </c>
      <c r="BP51" s="1327">
        <f>BN50/BN73/BN51*(1+Eingabeseite!$C$30)</f>
        <v>2</v>
      </c>
      <c r="BQ51" s="45"/>
      <c r="BR51" s="652"/>
      <c r="BS51" s="142"/>
      <c r="BT51" s="282" t="s">
        <v>204</v>
      </c>
      <c r="BU51" s="248">
        <f>'Variante Vorgaben'!$E$136</f>
        <v>4</v>
      </c>
      <c r="BV51" s="1326">
        <f>((BV9+BV10)+('Variante Vorgaben'!$D$86*BV12))/BU50</f>
        <v>45.978515625</v>
      </c>
      <c r="BW51" s="1327">
        <f>BU50/BU73/BU51*(1+Eingabeseite!$C$30)</f>
        <v>2</v>
      </c>
      <c r="BX51" s="45"/>
      <c r="BY51" s="652"/>
      <c r="BZ51" s="142"/>
      <c r="CA51" s="282" t="s">
        <v>204</v>
      </c>
      <c r="CB51" s="248">
        <f>'Variante Vorgaben'!$E$136</f>
        <v>4</v>
      </c>
      <c r="CC51" s="1326">
        <f>((CC9+CC10)+('Variante Vorgaben'!$D$86*CC12))/CB50</f>
        <v>37.40625</v>
      </c>
      <c r="CD51" s="1327">
        <f>CB50/CB73/CB51*(1+Eingabeseite!$C$30)</f>
        <v>2</v>
      </c>
      <c r="CE51" s="45"/>
      <c r="CF51" s="652"/>
      <c r="CG51" s="142"/>
      <c r="CH51" s="282" t="s">
        <v>204</v>
      </c>
      <c r="CI51" s="248">
        <f>'Variante Vorgaben'!$E$136</f>
        <v>4</v>
      </c>
      <c r="CJ51" s="1326">
        <f>((CJ9+CJ10)+('Variante Vorgaben'!$D$86*CJ12))/CI50</f>
        <v>41.5625</v>
      </c>
      <c r="CK51" s="1327">
        <f>CI50/CI73/CI51*(1+Eingabeseite!$C$30)</f>
        <v>2</v>
      </c>
      <c r="CL51" s="45"/>
      <c r="CM51" s="652"/>
      <c r="CN51" s="142"/>
      <c r="CO51" s="282" t="s">
        <v>204</v>
      </c>
      <c r="CP51" s="248">
        <f>'Variante Vorgaben'!$E$136</f>
        <v>4</v>
      </c>
      <c r="CQ51" s="1326">
        <f>((CQ9+CQ10)+('Variante Vorgaben'!$D$86*CQ12))/CP50</f>
        <v>42.6015625</v>
      </c>
      <c r="CR51" s="1327">
        <f>CP50/CP73/CP51*(1+Eingabeseite!$C$30)</f>
        <v>2</v>
      </c>
      <c r="CS51" s="45"/>
      <c r="CT51" s="652"/>
      <c r="CU51" s="142"/>
      <c r="CV51" s="282" t="s">
        <v>204</v>
      </c>
      <c r="CW51" s="248">
        <f>'Variante Vorgaben'!$E$136</f>
        <v>4</v>
      </c>
      <c r="CX51" s="1326">
        <f>((CX9+CX10)+('Variante Vorgaben'!$D$86*CX12))/CW50</f>
        <v>36.3671875</v>
      </c>
      <c r="CY51" s="1327">
        <f>CW50/CW73/CW51*(1+Eingabeseite!$C$30)</f>
        <v>2</v>
      </c>
      <c r="CZ51" s="45"/>
      <c r="DA51" s="652"/>
    </row>
    <row r="52" spans="1:105" s="1" customFormat="1" ht="12.75" x14ac:dyDescent="0.2">
      <c r="A52" s="40"/>
      <c r="B52" s="41" t="str">
        <f>'Variante Vorgaben'!$B$137</f>
        <v>Sichelmulchgerät mit beids. Schwenkarm</v>
      </c>
      <c r="C52" s="43">
        <f>'Variante Vorgaben'!$E$137</f>
        <v>7</v>
      </c>
      <c r="D52" s="39">
        <f>'Variante Vorgaben'!$C$137</f>
        <v>1</v>
      </c>
      <c r="E52" s="44">
        <f>'Variante Vorgaben'!$D$137*(1+Eingabeseite!$C$30)</f>
        <v>42</v>
      </c>
      <c r="F52" s="45">
        <f>C52*E52</f>
        <v>294</v>
      </c>
      <c r="G52" s="652">
        <f t="shared" ref="G52:G60" si="0">F52/$F$81</f>
        <v>2.3059010812165607E-2</v>
      </c>
      <c r="H52" s="40"/>
      <c r="I52" s="41" t="str">
        <f>'Variante Vorgaben'!$B$137</f>
        <v>Sichelmulchgerät mit beids. Schwenkarm</v>
      </c>
      <c r="J52" s="43">
        <f>'Variante Vorgaben'!$E$137</f>
        <v>7</v>
      </c>
      <c r="K52" s="39">
        <f>'Variante Vorgaben'!$C$137</f>
        <v>1</v>
      </c>
      <c r="L52" s="44">
        <f>'Variante Vorgaben'!$D$137*(1+Eingabeseite!$C$30)</f>
        <v>42</v>
      </c>
      <c r="M52" s="45">
        <f>J52*L52</f>
        <v>294</v>
      </c>
      <c r="N52" s="652">
        <f>M52/$M$81</f>
        <v>1.8109809205377657E-2</v>
      </c>
      <c r="O52" s="40"/>
      <c r="P52" s="41" t="str">
        <f>'Variante Vorgaben'!$B$137</f>
        <v>Sichelmulchgerät mit beids. Schwenkarm</v>
      </c>
      <c r="Q52" s="43">
        <f>'Variante Vorgaben'!$E$137</f>
        <v>7</v>
      </c>
      <c r="R52" s="39">
        <f>'Variante Vorgaben'!$C$137</f>
        <v>1</v>
      </c>
      <c r="S52" s="44">
        <f>'Variante Vorgaben'!$D$137*(1+Eingabeseite!$C$30)</f>
        <v>42</v>
      </c>
      <c r="T52" s="45">
        <f>Q52*S52</f>
        <v>294</v>
      </c>
      <c r="U52" s="652">
        <f>T52/$T$81</f>
        <v>9.8861712407150512E-3</v>
      </c>
      <c r="V52" s="40"/>
      <c r="W52" s="41" t="str">
        <f>'Variante Vorgaben'!$B$137</f>
        <v>Sichelmulchgerät mit beids. Schwenkarm</v>
      </c>
      <c r="X52" s="43">
        <f>'Variante Vorgaben'!$E$137</f>
        <v>7</v>
      </c>
      <c r="Y52" s="39">
        <f>'Variante Vorgaben'!$C$137</f>
        <v>1</v>
      </c>
      <c r="Z52" s="44">
        <f>'Variante Vorgaben'!$D$137*(1+Eingabeseite!$C$30)</f>
        <v>42</v>
      </c>
      <c r="AA52" s="45">
        <f>X52*Z52</f>
        <v>294</v>
      </c>
      <c r="AB52" s="652">
        <f>AA52/$AA$81</f>
        <v>8.8328035308240568E-3</v>
      </c>
      <c r="AC52" s="40"/>
      <c r="AD52" s="41" t="str">
        <f>'Variante Vorgaben'!$B$137</f>
        <v>Sichelmulchgerät mit beids. Schwenkarm</v>
      </c>
      <c r="AE52" s="43">
        <f>'Variante Vorgaben'!$E$137</f>
        <v>7</v>
      </c>
      <c r="AF52" s="39">
        <f>'Variante Vorgaben'!$C$137</f>
        <v>1</v>
      </c>
      <c r="AG52" s="44">
        <f>'Variante Vorgaben'!$D$137*(1+Eingabeseite!$C$30)</f>
        <v>42</v>
      </c>
      <c r="AH52" s="45">
        <f>AE52*AG52</f>
        <v>294</v>
      </c>
      <c r="AI52" s="652">
        <f>AH52/$AH$81</f>
        <v>8.3118674418373069E-3</v>
      </c>
      <c r="AJ52" s="40"/>
      <c r="AK52" s="41" t="str">
        <f>'Variante Vorgaben'!$B$137</f>
        <v>Sichelmulchgerät mit beids. Schwenkarm</v>
      </c>
      <c r="AL52" s="43">
        <f>'Variante Vorgaben'!$E$137</f>
        <v>7</v>
      </c>
      <c r="AM52" s="39">
        <f>'Variante Vorgaben'!$C$137</f>
        <v>1</v>
      </c>
      <c r="AN52" s="44">
        <f>'Variante Vorgaben'!$D$137*(1+Eingabeseite!$C$30)</f>
        <v>42</v>
      </c>
      <c r="AO52" s="45">
        <f>AL52*AN52</f>
        <v>294</v>
      </c>
      <c r="AP52" s="652">
        <f>AO52/$AO$81</f>
        <v>7.8610266332226463E-3</v>
      </c>
      <c r="AQ52" s="40"/>
      <c r="AR52" s="41" t="str">
        <f>'Variante Vorgaben'!$B$137</f>
        <v>Sichelmulchgerät mit beids. Schwenkarm</v>
      </c>
      <c r="AS52" s="43">
        <f>'Variante Vorgaben'!$E$137</f>
        <v>7</v>
      </c>
      <c r="AT52" s="39">
        <f>'Variante Vorgaben'!$C$137</f>
        <v>1</v>
      </c>
      <c r="AU52" s="44">
        <f>'Variante Vorgaben'!$D$137*(1+Eingabeseite!$C$30)</f>
        <v>42</v>
      </c>
      <c r="AV52" s="45">
        <f>AS52*AU52</f>
        <v>294</v>
      </c>
      <c r="AW52" s="652">
        <f>AV52/$AV$81</f>
        <v>8.2740745315676607E-3</v>
      </c>
      <c r="AX52" s="40"/>
      <c r="AY52" s="41" t="str">
        <f>'Variante Vorgaben'!$B$137</f>
        <v>Sichelmulchgerät mit beids. Schwenkarm</v>
      </c>
      <c r="AZ52" s="43">
        <f>'Variante Vorgaben'!$E$137</f>
        <v>7</v>
      </c>
      <c r="BA52" s="39">
        <f>'Variante Vorgaben'!$C$137</f>
        <v>1</v>
      </c>
      <c r="BB52" s="44">
        <f>'Variante Vorgaben'!$D$137*(1+Eingabeseite!$C$30)</f>
        <v>42</v>
      </c>
      <c r="BC52" s="45">
        <f>AZ52*BB52</f>
        <v>294</v>
      </c>
      <c r="BD52" s="652">
        <f>BC52/$BC$81</f>
        <v>8.2727255118160026E-3</v>
      </c>
      <c r="BE52" s="40"/>
      <c r="BF52" s="41" t="str">
        <f>'Variante Vorgaben'!$B$137</f>
        <v>Sichelmulchgerät mit beids. Schwenkarm</v>
      </c>
      <c r="BG52" s="43">
        <f>'Variante Vorgaben'!$E$137</f>
        <v>7</v>
      </c>
      <c r="BH52" s="39">
        <f>'Variante Vorgaben'!$C$137</f>
        <v>1</v>
      </c>
      <c r="BI52" s="44">
        <f>'Variante Vorgaben'!$D$137*(1+Eingabeseite!$C$30)</f>
        <v>42</v>
      </c>
      <c r="BJ52" s="45">
        <f>BG52*BI52</f>
        <v>294</v>
      </c>
      <c r="BK52" s="652">
        <f>BJ52/$BJ$81</f>
        <v>7.5080838214655167E-3</v>
      </c>
      <c r="BL52" s="40"/>
      <c r="BM52" s="41" t="str">
        <f>'Variante Vorgaben'!$B$137</f>
        <v>Sichelmulchgerät mit beids. Schwenkarm</v>
      </c>
      <c r="BN52" s="43">
        <f>'Variante Vorgaben'!$E$137</f>
        <v>7</v>
      </c>
      <c r="BO52" s="39">
        <f>'Variante Vorgaben'!$C$137</f>
        <v>1</v>
      </c>
      <c r="BP52" s="44">
        <f>'Variante Vorgaben'!$D$137*(1+Eingabeseite!$C$30)</f>
        <v>42</v>
      </c>
      <c r="BQ52" s="45">
        <f>BN52*BP52</f>
        <v>294</v>
      </c>
      <c r="BR52" s="652">
        <f>BQ52/$BQ$81</f>
        <v>7.3996137673254265E-3</v>
      </c>
      <c r="BS52" s="40"/>
      <c r="BT52" s="41" t="str">
        <f>'Variante Vorgaben'!$B$137</f>
        <v>Sichelmulchgerät mit beids. Schwenkarm</v>
      </c>
      <c r="BU52" s="43">
        <f>'Variante Vorgaben'!$E$137</f>
        <v>7</v>
      </c>
      <c r="BV52" s="39">
        <f>'Variante Vorgaben'!$C$137</f>
        <v>1</v>
      </c>
      <c r="BW52" s="44">
        <f>'Variante Vorgaben'!$D$137*(1+Eingabeseite!$C$30)</f>
        <v>42</v>
      </c>
      <c r="BX52" s="45">
        <f>BU52*BW52</f>
        <v>294</v>
      </c>
      <c r="BY52" s="652">
        <f>BX52/$BX$81</f>
        <v>7.9023148606396174E-3</v>
      </c>
      <c r="BZ52" s="40"/>
      <c r="CA52" s="41" t="str">
        <f>'Variante Vorgaben'!$B$137</f>
        <v>Sichelmulchgerät mit beids. Schwenkarm</v>
      </c>
      <c r="CB52" s="43">
        <f>'Variante Vorgaben'!$E$137</f>
        <v>7</v>
      </c>
      <c r="CC52" s="39">
        <f>'Variante Vorgaben'!$C$137</f>
        <v>1</v>
      </c>
      <c r="CD52" s="44">
        <f>'Variante Vorgaben'!$D$137*(1+Eingabeseite!$C$30)</f>
        <v>42</v>
      </c>
      <c r="CE52" s="45">
        <f>CB52*CD52</f>
        <v>294</v>
      </c>
      <c r="CF52" s="652">
        <f>CE52/$CE$81</f>
        <v>8.3273430686702996E-3</v>
      </c>
      <c r="CG52" s="40"/>
      <c r="CH52" s="41" t="str">
        <f>'Variante Vorgaben'!$B$137</f>
        <v>Sichelmulchgerät mit beids. Schwenkarm</v>
      </c>
      <c r="CI52" s="43">
        <f>'Variante Vorgaben'!$E$137</f>
        <v>7</v>
      </c>
      <c r="CJ52" s="39">
        <f>'Variante Vorgaben'!$C$137</f>
        <v>1</v>
      </c>
      <c r="CK52" s="44">
        <f>'Variante Vorgaben'!$D$137*(1+Eingabeseite!$C$30)</f>
        <v>42</v>
      </c>
      <c r="CL52" s="45">
        <f>CI52*CK52</f>
        <v>294</v>
      </c>
      <c r="CM52" s="652">
        <f>CL52/$CL$81</f>
        <v>8.1205522147838622E-3</v>
      </c>
      <c r="CN52" s="40"/>
      <c r="CO52" s="41" t="str">
        <f>'Variante Vorgaben'!$B$137</f>
        <v>Sichelmulchgerät mit beids. Schwenkarm</v>
      </c>
      <c r="CP52" s="43">
        <f>'Variante Vorgaben'!$E$137</f>
        <v>7</v>
      </c>
      <c r="CQ52" s="39">
        <f>'Variante Vorgaben'!$C$137</f>
        <v>1</v>
      </c>
      <c r="CR52" s="44">
        <f>'Variante Vorgaben'!$D$137*(1+Eingabeseite!$C$30)</f>
        <v>42</v>
      </c>
      <c r="CS52" s="45">
        <f>CP52*CR52</f>
        <v>294</v>
      </c>
      <c r="CT52" s="652">
        <f>CS52/$CS$81</f>
        <v>8.0757250279659236E-3</v>
      </c>
      <c r="CU52" s="40"/>
      <c r="CV52" s="41" t="str">
        <f>'Variante Vorgaben'!$B$137</f>
        <v>Sichelmulchgerät mit beids. Schwenkarm</v>
      </c>
      <c r="CW52" s="43">
        <f>'Variante Vorgaben'!$E$137</f>
        <v>7</v>
      </c>
      <c r="CX52" s="39">
        <f>'Variante Vorgaben'!$C$137</f>
        <v>1</v>
      </c>
      <c r="CY52" s="44">
        <f>'Variante Vorgaben'!$D$137*(1+Eingabeseite!$C$30)</f>
        <v>42</v>
      </c>
      <c r="CZ52" s="45">
        <f>CW52*CY52</f>
        <v>294</v>
      </c>
      <c r="DA52" s="652">
        <f>CZ52/$CZ$81</f>
        <v>7.1653042860500924E-3</v>
      </c>
    </row>
    <row r="53" spans="1:105" s="1" customFormat="1" ht="13.5" thickBot="1" x14ac:dyDescent="0.25">
      <c r="A53" s="231"/>
      <c r="B53" s="41" t="str">
        <f>'Variante Vorgaben'!$B$138</f>
        <v>Schnittholzhacker</v>
      </c>
      <c r="C53" s="478">
        <v>0</v>
      </c>
      <c r="D53" s="647">
        <f>'Variante Vorgaben'!$C$138</f>
        <v>2</v>
      </c>
      <c r="E53" s="44">
        <f>'Variante Vorgaben'!$D$138*(1+Eingabeseite!$C$30)</f>
        <v>68.3</v>
      </c>
      <c r="F53" s="420">
        <f>E53*D53*C53</f>
        <v>0</v>
      </c>
      <c r="G53" s="652">
        <f t="shared" si="0"/>
        <v>0</v>
      </c>
      <c r="H53" s="231"/>
      <c r="I53" s="41" t="str">
        <f>'Variante Vorgaben'!$B$138</f>
        <v>Schnittholzhacker</v>
      </c>
      <c r="J53" s="478">
        <v>0</v>
      </c>
      <c r="K53" s="647">
        <f>'Variante Vorgaben'!$C$138</f>
        <v>2</v>
      </c>
      <c r="L53" s="44">
        <f>'Variante Vorgaben'!$D$138*(1+Eingabeseite!$C$30)</f>
        <v>68.3</v>
      </c>
      <c r="M53" s="420">
        <f>L53*K53*J53</f>
        <v>0</v>
      </c>
      <c r="N53" s="652">
        <f>M53/$M$81</f>
        <v>0</v>
      </c>
      <c r="O53" s="231"/>
      <c r="P53" s="41" t="str">
        <f>'Variante Vorgaben'!$B$138</f>
        <v>Schnittholzhacker</v>
      </c>
      <c r="Q53" s="478">
        <v>0</v>
      </c>
      <c r="R53" s="647">
        <f>'Variante Vorgaben'!$C$138</f>
        <v>2</v>
      </c>
      <c r="S53" s="44">
        <f>'Variante Vorgaben'!$D$138*(1+Eingabeseite!$C$30)</f>
        <v>68.3</v>
      </c>
      <c r="T53" s="420">
        <f>S53*R53*Q53</f>
        <v>0</v>
      </c>
      <c r="U53" s="652">
        <f>T53/$T$81</f>
        <v>0</v>
      </c>
      <c r="V53" s="231"/>
      <c r="W53" s="41" t="str">
        <f>'Variante Vorgaben'!$B$138</f>
        <v>Schnittholzhacker</v>
      </c>
      <c r="X53" s="478">
        <f>'Variante Vorgaben'!$E$138</f>
        <v>1</v>
      </c>
      <c r="Y53" s="647">
        <f>'Variante Vorgaben'!$C$138</f>
        <v>2</v>
      </c>
      <c r="Z53" s="44">
        <f>'Variante Vorgaben'!$D$138*(1+Eingabeseite!$C$30)</f>
        <v>68.3</v>
      </c>
      <c r="AA53" s="420">
        <f>Z53*Y53*X53</f>
        <v>136.6</v>
      </c>
      <c r="AB53" s="652">
        <f>AA53/$AA$81</f>
        <v>4.1039488513964833E-3</v>
      </c>
      <c r="AC53" s="231"/>
      <c r="AD53" s="41" t="str">
        <f>'Variante Vorgaben'!$B$138</f>
        <v>Schnittholzhacker</v>
      </c>
      <c r="AE53" s="478">
        <f>'Variante Vorgaben'!$E$138</f>
        <v>1</v>
      </c>
      <c r="AF53" s="647">
        <f>'Variante Vorgaben'!$C$138</f>
        <v>2</v>
      </c>
      <c r="AG53" s="44">
        <f>'Variante Vorgaben'!$D$138*(1+Eingabeseite!$C$30)</f>
        <v>68.3</v>
      </c>
      <c r="AH53" s="420">
        <f>AG53*AF53*AE53</f>
        <v>136.6</v>
      </c>
      <c r="AI53" s="652">
        <f>AH53/$AH$81</f>
        <v>3.8619084780781503E-3</v>
      </c>
      <c r="AJ53" s="231"/>
      <c r="AK53" s="41" t="str">
        <f>'Variante Vorgaben'!$B$138</f>
        <v>Schnittholzhacker</v>
      </c>
      <c r="AL53" s="478">
        <f>'Variante Vorgaben'!$E$138</f>
        <v>1</v>
      </c>
      <c r="AM53" s="647">
        <f>'Variante Vorgaben'!$C$138</f>
        <v>2</v>
      </c>
      <c r="AN53" s="44">
        <f>'Variante Vorgaben'!$D$138*(1+Eingabeseite!$C$30)</f>
        <v>68.3</v>
      </c>
      <c r="AO53" s="420">
        <f>AN53*AM53*AL53</f>
        <v>136.6</v>
      </c>
      <c r="AP53" s="652">
        <f>AO53/$AO$81</f>
        <v>3.6524361840075291E-3</v>
      </c>
      <c r="AQ53" s="231"/>
      <c r="AR53" s="41" t="str">
        <f>'Variante Vorgaben'!$B$138</f>
        <v>Schnittholzhacker</v>
      </c>
      <c r="AS53" s="478">
        <f>'Variante Vorgaben'!$E$138</f>
        <v>1</v>
      </c>
      <c r="AT53" s="647">
        <f>'Variante Vorgaben'!$C$138</f>
        <v>2</v>
      </c>
      <c r="AU53" s="44">
        <f>'Variante Vorgaben'!$D$138*(1+Eingabeseite!$C$30)</f>
        <v>68.3</v>
      </c>
      <c r="AV53" s="420">
        <f>AU53*AT53*AS53</f>
        <v>136.6</v>
      </c>
      <c r="AW53" s="652">
        <f>AV53/$AV$81</f>
        <v>3.8443489150072874E-3</v>
      </c>
      <c r="AX53" s="231"/>
      <c r="AY53" s="41" t="str">
        <f>'Variante Vorgaben'!$B$138</f>
        <v>Schnittholzhacker</v>
      </c>
      <c r="AZ53" s="478">
        <f>'Variante Vorgaben'!$E$138</f>
        <v>1</v>
      </c>
      <c r="BA53" s="647">
        <f>'Variante Vorgaben'!$C$138</f>
        <v>2</v>
      </c>
      <c r="BB53" s="44">
        <f>'Variante Vorgaben'!$D$138*(1+Eingabeseite!$C$30)</f>
        <v>68.3</v>
      </c>
      <c r="BC53" s="420">
        <f>BB53*BA53*AZ53</f>
        <v>136.6</v>
      </c>
      <c r="BD53" s="652">
        <f>BC53/$BC$81</f>
        <v>3.843722125558047E-3</v>
      </c>
      <c r="BE53" s="231"/>
      <c r="BF53" s="41" t="str">
        <f>'Variante Vorgaben'!$B$138</f>
        <v>Schnittholzhacker</v>
      </c>
      <c r="BG53" s="478">
        <f>'Variante Vorgaben'!$E$138</f>
        <v>1</v>
      </c>
      <c r="BH53" s="647">
        <f>'Variante Vorgaben'!$C$138</f>
        <v>2</v>
      </c>
      <c r="BI53" s="44">
        <f>'Variante Vorgaben'!$D$138*(1+Eingabeseite!$C$30)</f>
        <v>68.3</v>
      </c>
      <c r="BJ53" s="420">
        <f>BI53*BH53*BG53</f>
        <v>136.6</v>
      </c>
      <c r="BK53" s="652">
        <f>BJ53/$BJ$81</f>
        <v>3.488449829973434E-3</v>
      </c>
      <c r="BL53" s="231"/>
      <c r="BM53" s="41" t="str">
        <f>'Variante Vorgaben'!$B$138</f>
        <v>Schnittholzhacker</v>
      </c>
      <c r="BN53" s="478">
        <f>'Variante Vorgaben'!$E$138</f>
        <v>1</v>
      </c>
      <c r="BO53" s="647">
        <f>'Variante Vorgaben'!$C$138</f>
        <v>2</v>
      </c>
      <c r="BP53" s="44">
        <f>'Variante Vorgaben'!$D$138*(1+Eingabeseite!$C$30)</f>
        <v>68.3</v>
      </c>
      <c r="BQ53" s="420">
        <f>BP53*BO53*BN53</f>
        <v>136.6</v>
      </c>
      <c r="BR53" s="652">
        <f>BQ53/$BQ$81</f>
        <v>3.438051838832154E-3</v>
      </c>
      <c r="BS53" s="231"/>
      <c r="BT53" s="41" t="str">
        <f>'Variante Vorgaben'!$B$138</f>
        <v>Schnittholzhacker</v>
      </c>
      <c r="BU53" s="478">
        <f>'Variante Vorgaben'!$E$138</f>
        <v>1</v>
      </c>
      <c r="BV53" s="647">
        <f>'Variante Vorgaben'!$C$138</f>
        <v>2</v>
      </c>
      <c r="BW53" s="44">
        <f>'Variante Vorgaben'!$D$138*(1+Eingabeseite!$C$30)</f>
        <v>68.3</v>
      </c>
      <c r="BX53" s="420">
        <f>BW53*BV53*BU53</f>
        <v>136.6</v>
      </c>
      <c r="BY53" s="652">
        <f>BX53/$BX$81</f>
        <v>3.6716197617801755E-3</v>
      </c>
      <c r="BZ53" s="231"/>
      <c r="CA53" s="41" t="str">
        <f>'Variante Vorgaben'!$B$138</f>
        <v>Schnittholzhacker</v>
      </c>
      <c r="CB53" s="478">
        <f>'Variante Vorgaben'!$E$138</f>
        <v>1</v>
      </c>
      <c r="CC53" s="647">
        <f>'Variante Vorgaben'!$C$138</f>
        <v>2</v>
      </c>
      <c r="CD53" s="44">
        <f>'Variante Vorgaben'!$D$138*(1+Eingabeseite!$C$30)</f>
        <v>68.3</v>
      </c>
      <c r="CE53" s="420">
        <f>CD53*CC53*CB53</f>
        <v>136.6</v>
      </c>
      <c r="CF53" s="652">
        <f>CE53/$CE$81</f>
        <v>3.8690988543549753E-3</v>
      </c>
      <c r="CG53" s="231"/>
      <c r="CH53" s="41" t="str">
        <f>'Variante Vorgaben'!$B$138</f>
        <v>Schnittholzhacker</v>
      </c>
      <c r="CI53" s="478">
        <f>'Variante Vorgaben'!$E$138</f>
        <v>1</v>
      </c>
      <c r="CJ53" s="647">
        <f>'Variante Vorgaben'!$C$138</f>
        <v>2</v>
      </c>
      <c r="CK53" s="44">
        <f>'Variante Vorgaben'!$D$138*(1+Eingabeseite!$C$30)</f>
        <v>68.3</v>
      </c>
      <c r="CL53" s="420">
        <f>CK53*CJ53*CI53</f>
        <v>136.6</v>
      </c>
      <c r="CM53" s="652">
        <f>CL53/$CL$81</f>
        <v>3.7730184780254269E-3</v>
      </c>
      <c r="CN53" s="231"/>
      <c r="CO53" s="41" t="str">
        <f>'Variante Vorgaben'!$B$138</f>
        <v>Schnittholzhacker</v>
      </c>
      <c r="CP53" s="478">
        <f>'Variante Vorgaben'!$E$138</f>
        <v>1</v>
      </c>
      <c r="CQ53" s="647">
        <f>'Variante Vorgaben'!$C$138</f>
        <v>2</v>
      </c>
      <c r="CR53" s="44">
        <f>'Variante Vorgaben'!$D$138*(1+Eingabeseite!$C$30)</f>
        <v>68.3</v>
      </c>
      <c r="CS53" s="420">
        <f>CR53*CQ53*CP53</f>
        <v>136.6</v>
      </c>
      <c r="CT53" s="652">
        <f>CS53/$CS$81</f>
        <v>3.752190608231786E-3</v>
      </c>
      <c r="CU53" s="231"/>
      <c r="CV53" s="41" t="str">
        <f>'Variante Vorgaben'!$B$138</f>
        <v>Schnittholzhacker</v>
      </c>
      <c r="CW53" s="478">
        <f>'Variante Vorgaben'!$E$138</f>
        <v>1</v>
      </c>
      <c r="CX53" s="647">
        <f>'Variante Vorgaben'!$C$138</f>
        <v>2</v>
      </c>
      <c r="CY53" s="44">
        <f>'Variante Vorgaben'!$D$138*(1+Eingabeseite!$C$30)</f>
        <v>68.3</v>
      </c>
      <c r="CZ53" s="420">
        <f>CY53*CX53*CW53</f>
        <v>136.6</v>
      </c>
      <c r="DA53" s="652">
        <f>CZ53/$CZ$81</f>
        <v>3.3291855968518454E-3</v>
      </c>
    </row>
    <row r="54" spans="1:105" s="1" customFormat="1" ht="16.5" customHeight="1" x14ac:dyDescent="0.2">
      <c r="A54" s="231"/>
      <c r="B54" s="41" t="s">
        <v>106</v>
      </c>
      <c r="C54" s="43"/>
      <c r="D54" s="533">
        <f>(C47*D47)+(C48*D48)+(C49*D49)+(D51*E51*'Variante Vorgaben'!$H$130)+(C52*D52)+(C53*D53)</f>
        <v>15</v>
      </c>
      <c r="E54" s="44"/>
      <c r="F54" s="83">
        <f>SUM(F47:F53)</f>
        <v>654</v>
      </c>
      <c r="G54" s="652">
        <f t="shared" si="0"/>
        <v>5.1294534255633698E-2</v>
      </c>
      <c r="H54" s="231"/>
      <c r="I54" s="41" t="s">
        <v>106</v>
      </c>
      <c r="J54" s="43"/>
      <c r="K54" s="533">
        <f>(J47*K47)+(J48*K48)+(J49*K49)+(K51*L51*'Variante Vorgaben'!$H$130)+(J52*K52)+(J53*K53)</f>
        <v>22.234375</v>
      </c>
      <c r="L54" s="44"/>
      <c r="M54" s="83">
        <f>SUM(M47:M53)</f>
        <v>786.71249999999998</v>
      </c>
      <c r="N54" s="652">
        <f>M54/$M$81</f>
        <v>4.8459909096890026E-2</v>
      </c>
      <c r="O54" s="231"/>
      <c r="P54" s="41" t="s">
        <v>106</v>
      </c>
      <c r="Q54" s="43"/>
      <c r="R54" s="533">
        <f>(Q47*R47)+(Q48*R48)+(Q49*R49)+(R51*S51*'Variante Vorgaben'!$H$130)+(Q52*R52)+(Q53*R53)</f>
        <v>44.79296875</v>
      </c>
      <c r="S54" s="44"/>
      <c r="T54" s="83">
        <f>SUM(T47:T53)</f>
        <v>1701.390625</v>
      </c>
      <c r="U54" s="652">
        <f>T54/$T$81</f>
        <v>5.7211697503731999E-2</v>
      </c>
      <c r="V54" s="231"/>
      <c r="W54" s="41" t="s">
        <v>106</v>
      </c>
      <c r="X54" s="43"/>
      <c r="Y54" s="533">
        <f>(X47*Y47)+(X48*Y48)+(X49*Y49)+(Y51*Z51*'Variante Vorgaben'!$H$130)+(X52*Y52)+(X53*Y53)</f>
        <v>54.5078125</v>
      </c>
      <c r="Z54" s="44"/>
      <c r="AA54" s="83">
        <f>SUM(AA47:AA53)</f>
        <v>1979.14375</v>
      </c>
      <c r="AB54" s="652">
        <f>AA54/$AA$81</f>
        <v>5.9460503071457019E-2</v>
      </c>
      <c r="AC54" s="231"/>
      <c r="AD54" s="41" t="s">
        <v>106</v>
      </c>
      <c r="AE54" s="43"/>
      <c r="AF54" s="533">
        <f>(AE47*AF47)+(AE48*AF48)+(AE49*AF49)+(AF51*AG51*'Variante Vorgaben'!$H$130)+(AE52*AF52)+(AE53*AF53)</f>
        <v>59.18359375</v>
      </c>
      <c r="AG54" s="44"/>
      <c r="AH54" s="83">
        <f>SUM(AH47:AH53)</f>
        <v>2065.1781249999999</v>
      </c>
      <c r="AI54" s="652">
        <f>AH54/$AH$81</f>
        <v>5.8386009587694271E-2</v>
      </c>
      <c r="AJ54" s="231"/>
      <c r="AK54" s="41" t="s">
        <v>106</v>
      </c>
      <c r="AL54" s="43"/>
      <c r="AM54" s="533">
        <f>(AL47*AM47)+(AL48*AM48)+(AL49*AM49)+(AM51*AN51*'Variante Vorgaben'!$H$130)+(AL52*AM52)+(AL53*AM53)</f>
        <v>63.859375</v>
      </c>
      <c r="AN54" s="44"/>
      <c r="AO54" s="83">
        <f>SUM(AO47:AO53)</f>
        <v>2151.2125000000001</v>
      </c>
      <c r="AP54" s="652">
        <f>AO54/$AO$81</f>
        <v>5.7519519578984601E-2</v>
      </c>
      <c r="AQ54" s="231"/>
      <c r="AR54" s="41" t="s">
        <v>106</v>
      </c>
      <c r="AS54" s="43"/>
      <c r="AT54" s="533">
        <f>(AS47*AT47)+(AS48*AT48)+(AS49*AT49)+(AT51*AU51*'Variante Vorgaben'!$H$130)+(AS52*AT52)+(AS53*AT53)</f>
        <v>59.63818359375</v>
      </c>
      <c r="AU54" s="44"/>
      <c r="AV54" s="83">
        <f>SUM(AV47:AV53)</f>
        <v>2073.5425781250001</v>
      </c>
      <c r="AW54" s="652">
        <f>AV54/$AV$81</f>
        <v>5.8355938216956497E-2</v>
      </c>
      <c r="AX54" s="231"/>
      <c r="AY54" s="41" t="s">
        <v>106</v>
      </c>
      <c r="AZ54" s="43"/>
      <c r="BA54" s="533">
        <f>(AZ47*BA47)+(AZ48*BA48)+(AZ49*BA49)+(BA51*BB51*'Variante Vorgaben'!$H$130)+(AZ52*BA52)+(AZ53*BA53)</f>
        <v>59.63818359375</v>
      </c>
      <c r="BB54" s="44"/>
      <c r="BC54" s="83">
        <f>SUM(BC47:BC53)</f>
        <v>2073.5425781250001</v>
      </c>
      <c r="BD54" s="652">
        <f>BC54/$BC$81</f>
        <v>5.8346423761535419E-2</v>
      </c>
      <c r="BE54" s="231"/>
      <c r="BF54" s="41" t="s">
        <v>106</v>
      </c>
      <c r="BG54" s="43"/>
      <c r="BH54" s="533">
        <f>(BG47*BH47)+(BG48*BH48)+(BG49*BH49)+(BH51*BI51*'Variante Vorgaben'!$H$130)+(BG52*BH52)+(BG53*BH53)</f>
        <v>68.015625</v>
      </c>
      <c r="BI54" s="44"/>
      <c r="BJ54" s="83">
        <f>SUM(BJ47:BJ53)</f>
        <v>2227.6875</v>
      </c>
      <c r="BK54" s="652">
        <f>BJ54/$BJ$81</f>
        <v>5.6890015231397834E-2</v>
      </c>
      <c r="BL54" s="231"/>
      <c r="BM54" s="41" t="s">
        <v>106</v>
      </c>
      <c r="BN54" s="43"/>
      <c r="BO54" s="533">
        <f>(BN47*BO47)+(BN48*BO48)+(BN49*BO49)+(BO51*BP51*'Variante Vorgaben'!$H$130)+(BN52*BO52)+(BN53*BO53)</f>
        <v>69.57421875</v>
      </c>
      <c r="BP54" s="44"/>
      <c r="BQ54" s="83">
        <f>SUM(BQ47:BQ53)</f>
        <v>2256.3656249999999</v>
      </c>
      <c r="BR54" s="652">
        <f>BQ54/$BQ$81</f>
        <v>5.6789912050577686E-2</v>
      </c>
      <c r="BS54" s="231"/>
      <c r="BT54" s="41" t="s">
        <v>106</v>
      </c>
      <c r="BU54" s="43"/>
      <c r="BV54" s="533">
        <f>(BU47*BV47)+(BU48*BV48)+(BU49*BV49)+(BV51*BW51*'Variante Vorgaben'!$H$130)+(BU52*BV52)+(BU53*BV53)</f>
        <v>63.9892578125</v>
      </c>
      <c r="BW54" s="44"/>
      <c r="BX54" s="83">
        <f>SUM(BX47:BX53)</f>
        <v>2153.6023437499998</v>
      </c>
      <c r="BY54" s="652">
        <f>BX54/$BX$81</f>
        <v>5.7885863282054188E-2</v>
      </c>
      <c r="BZ54" s="231"/>
      <c r="CA54" s="41" t="s">
        <v>106</v>
      </c>
      <c r="CB54" s="43"/>
      <c r="CC54" s="533">
        <f>(CB47*CC47)+(CB48*CC48)+(CB49*CC49)+(CC51*CD51*'Variante Vorgaben'!$H$130)+(CB52*CC52)+(CB53*CC53)</f>
        <v>59.703125</v>
      </c>
      <c r="CD54" s="44"/>
      <c r="CE54" s="83">
        <f>SUM(CE47:CE53)</f>
        <v>2074.7375000000002</v>
      </c>
      <c r="CF54" s="652">
        <f>CE54/$CE$81</f>
        <v>5.8765479387535187E-2</v>
      </c>
      <c r="CG54" s="231"/>
      <c r="CH54" s="41" t="s">
        <v>106</v>
      </c>
      <c r="CI54" s="43"/>
      <c r="CJ54" s="533">
        <f>(CI47*CJ47)+(CI48*CJ48)+(CI49*CJ49)+(CJ51*CK51*'Variante Vorgaben'!$H$130)+(CI52*CJ52)+(CI53*CJ53)</f>
        <v>61.78125</v>
      </c>
      <c r="CK54" s="44"/>
      <c r="CL54" s="83">
        <f>SUM(CL47:CL53)</f>
        <v>2112.9749999999999</v>
      </c>
      <c r="CM54" s="652">
        <f>CL54/$CL$81</f>
        <v>5.8362325904873912E-2</v>
      </c>
      <c r="CN54" s="231"/>
      <c r="CO54" s="41" t="s">
        <v>106</v>
      </c>
      <c r="CP54" s="43"/>
      <c r="CQ54" s="533">
        <f>(CP47*CQ47)+(CP48*CQ48)+(CP49*CQ49)+(CQ51*CR51*'Variante Vorgaben'!$H$130)+(CP52*CQ52)+(CP53*CQ53)</f>
        <v>62.30078125</v>
      </c>
      <c r="CR54" s="44"/>
      <c r="CS54" s="83">
        <f>SUM(CS47:CS53)</f>
        <v>2122.5343750000002</v>
      </c>
      <c r="CT54" s="652">
        <f>CS54/$CS$81</f>
        <v>5.8302734608522144E-2</v>
      </c>
      <c r="CU54" s="231"/>
      <c r="CV54" s="41" t="s">
        <v>106</v>
      </c>
      <c r="CW54" s="43"/>
      <c r="CX54" s="533">
        <f>(CW47*CX47)+(CW48*CX48)+(CW49*CX49)+(CX51*CY51*'Variante Vorgaben'!$H$130)+(CW52*CX52)+(CW53*CX53)</f>
        <v>59.18359375</v>
      </c>
      <c r="CY54" s="44"/>
      <c r="CZ54" s="83">
        <f>SUM(CZ47:CZ53)</f>
        <v>2065.1781249999999</v>
      </c>
      <c r="DA54" s="652">
        <f>CZ54/$CZ$81</f>
        <v>5.0332073709249636E-2</v>
      </c>
    </row>
    <row r="55" spans="1:105" s="1" customFormat="1" ht="12.75" x14ac:dyDescent="0.2">
      <c r="A55" s="40"/>
      <c r="B55" s="983" t="str">
        <f>'Variante Vorgaben'!$B$140</f>
        <v>Hebebühne schwer, selbstfahrend, elektrisch</v>
      </c>
      <c r="D55" s="39">
        <f>'Variante Vorgaben'!$C$140*D51</f>
        <v>0</v>
      </c>
      <c r="E55" s="44">
        <f>'Variante Vorgaben'!$D$140*(1+Eingabeseite!$C$30)</f>
        <v>17.5</v>
      </c>
      <c r="F55" s="45">
        <f>D55*E55</f>
        <v>0</v>
      </c>
      <c r="G55" s="652">
        <f>F55/$F$81</f>
        <v>0</v>
      </c>
      <c r="H55" s="40"/>
      <c r="I55" s="983" t="str">
        <f>'Variante Vorgaben'!$B$140</f>
        <v>Hebebühne schwer, selbstfahrend, elektrisch</v>
      </c>
      <c r="K55" s="39">
        <f>'Variante Vorgaben'!$C$140*K51</f>
        <v>2.078125</v>
      </c>
      <c r="L55" s="44">
        <f>'Variante Vorgaben'!$D$140*(1+Eingabeseite!$C$30)</f>
        <v>17.5</v>
      </c>
      <c r="M55" s="45">
        <f>K55*L55</f>
        <v>36.3671875</v>
      </c>
      <c r="N55" s="652">
        <f>M55/$F$81</f>
        <v>2.852351597859027E-3</v>
      </c>
      <c r="O55" s="40"/>
      <c r="P55" s="983" t="str">
        <f>'Variante Vorgaben'!$B$140</f>
        <v>Hebebühne schwer, selbstfahrend, elektrisch</v>
      </c>
      <c r="R55" s="39">
        <f>'Variante Vorgaben'!$C$140*R51</f>
        <v>2.59765625</v>
      </c>
      <c r="S55" s="44">
        <f>'Variante Vorgaben'!$D$140*(1+Eingabeseite!$C$30)</f>
        <v>17.5</v>
      </c>
      <c r="T55" s="45">
        <f>R55*S55</f>
        <v>45.458984375</v>
      </c>
      <c r="U55" s="652">
        <f>T55/$F$81</f>
        <v>3.5654394973237838E-3</v>
      </c>
      <c r="V55" s="40"/>
      <c r="W55" s="983" t="str">
        <f>'Variante Vorgaben'!$B$140</f>
        <v>Hebebühne schwer, selbstfahrend, elektrisch</v>
      </c>
      <c r="Y55" s="39">
        <f>'Variante Vorgaben'!$C$140*Y51</f>
        <v>4.5026041666666661</v>
      </c>
      <c r="Z55" s="44">
        <f>'Variante Vorgaben'!$D$140*(1+Eingabeseite!$C$30)</f>
        <v>17.5</v>
      </c>
      <c r="AA55" s="45">
        <f>Y55*Z55</f>
        <v>78.795572916666657</v>
      </c>
      <c r="AB55" s="652">
        <f>AA55/$F$81</f>
        <v>6.1800951286945576E-3</v>
      </c>
      <c r="AC55" s="40"/>
      <c r="AD55" s="983" t="str">
        <f>'Variante Vorgaben'!$B$140</f>
        <v>Hebebühne schwer, selbstfahrend, elektrisch</v>
      </c>
      <c r="AF55" s="39">
        <f>'Variante Vorgaben'!$C$140*AF51</f>
        <v>6.0611979166666661</v>
      </c>
      <c r="AG55" s="44">
        <f>'Variante Vorgaben'!$D$140*(1+Eingabeseite!$C$30)</f>
        <v>17.5</v>
      </c>
      <c r="AH55" s="45">
        <f>AF55*AG55</f>
        <v>106.07096354166666</v>
      </c>
      <c r="AI55" s="652">
        <f>AH55/$F$81</f>
        <v>8.3193588270888286E-3</v>
      </c>
      <c r="AJ55" s="40"/>
      <c r="AK55" s="983" t="str">
        <f>'Variante Vorgaben'!$B$140</f>
        <v>Hebebühne schwer, selbstfahrend, elektrisch</v>
      </c>
      <c r="AM55" s="39">
        <f>'Variante Vorgaben'!$C$140*AM51</f>
        <v>7.6197916666666661</v>
      </c>
      <c r="AN55" s="44">
        <f>'Variante Vorgaben'!$D$140*(1+Eingabeseite!$C$30)</f>
        <v>17.5</v>
      </c>
      <c r="AO55" s="45">
        <f>AM55*AN55</f>
        <v>133.34635416666666</v>
      </c>
      <c r="AP55" s="652">
        <f>AO55/$F$81</f>
        <v>1.0458622525483099E-2</v>
      </c>
      <c r="AQ55" s="40"/>
      <c r="AR55" s="983" t="str">
        <f>'Variante Vorgaben'!$B$140</f>
        <v>Hebebühne schwer, selbstfahrend, elektrisch</v>
      </c>
      <c r="AT55" s="39">
        <f>'Variante Vorgaben'!$C$140*AT51</f>
        <v>6.212727864583333</v>
      </c>
      <c r="AU55" s="44">
        <f>'Variante Vorgaben'!$D$140*(1+Eingabeseite!$C$30)</f>
        <v>17.5</v>
      </c>
      <c r="AV55" s="45">
        <f>AT55*AU55</f>
        <v>108.72273763020833</v>
      </c>
      <c r="AW55" s="652">
        <f>AV55/$F$81</f>
        <v>8.5273427977660497E-3</v>
      </c>
      <c r="AX55" s="40"/>
      <c r="AY55" s="983" t="str">
        <f>'Variante Vorgaben'!$B$140</f>
        <v>Hebebühne schwer, selbstfahrend, elektrisch</v>
      </c>
      <c r="BA55" s="39">
        <f>'Variante Vorgaben'!$C$140*BA51</f>
        <v>6.212727864583333</v>
      </c>
      <c r="BB55" s="44">
        <f>'Variante Vorgaben'!$D$140*(1+Eingabeseite!$C$30)</f>
        <v>17.5</v>
      </c>
      <c r="BC55" s="45">
        <f>BA55*BB55</f>
        <v>108.72273763020833</v>
      </c>
      <c r="BD55" s="652">
        <f>BC55/$F$81</f>
        <v>8.5273427977660497E-3</v>
      </c>
      <c r="BE55" s="40"/>
      <c r="BF55" s="983" t="str">
        <f>'Variante Vorgaben'!$B$140</f>
        <v>Hebebühne schwer, selbstfahrend, elektrisch</v>
      </c>
      <c r="BH55" s="39">
        <f>'Variante Vorgaben'!$C$140*BH51</f>
        <v>9.0052083333333321</v>
      </c>
      <c r="BI55" s="44">
        <f>'Variante Vorgaben'!$D$140*(1+Eingabeseite!$C$30)</f>
        <v>17.5</v>
      </c>
      <c r="BJ55" s="45">
        <f>BH55*BI55</f>
        <v>157.59114583333331</v>
      </c>
      <c r="BK55" s="652">
        <f>BJ55/$F$81</f>
        <v>1.2360190257389115E-2</v>
      </c>
      <c r="BL55" s="40"/>
      <c r="BM55" s="983" t="str">
        <f>'Variante Vorgaben'!$B$140</f>
        <v>Hebebühne schwer, selbstfahrend, elektrisch</v>
      </c>
      <c r="BO55" s="39">
        <f>'Variante Vorgaben'!$C$140*BO51</f>
        <v>9.5247395833333321</v>
      </c>
      <c r="BP55" s="44">
        <f>'Variante Vorgaben'!$D$140*(1+Eingabeseite!$C$30)</f>
        <v>17.5</v>
      </c>
      <c r="BQ55" s="45">
        <f>BO55*BP55</f>
        <v>166.68294270833331</v>
      </c>
      <c r="BR55" s="652">
        <f>BQ55/$F$81</f>
        <v>1.3073278156853873E-2</v>
      </c>
      <c r="BS55" s="40"/>
      <c r="BT55" s="983" t="str">
        <f>'Variante Vorgaben'!$B$140</f>
        <v>Hebebühne schwer, selbstfahrend, elektrisch</v>
      </c>
      <c r="BV55" s="39">
        <f>'Variante Vorgaben'!$C$140*BV51</f>
        <v>7.6630859375</v>
      </c>
      <c r="BW55" s="44">
        <f>'Variante Vorgaben'!$D$140*(1+Eingabeseite!$C$30)</f>
        <v>17.5</v>
      </c>
      <c r="BX55" s="45">
        <f>BV55*BW55</f>
        <v>134.10400390625</v>
      </c>
      <c r="BY55" s="652">
        <f>BX55/$F$81</f>
        <v>1.0518046517105162E-2</v>
      </c>
      <c r="BZ55" s="40"/>
      <c r="CA55" s="983" t="str">
        <f>'Variante Vorgaben'!$B$140</f>
        <v>Hebebühne schwer, selbstfahrend, elektrisch</v>
      </c>
      <c r="CC55" s="39">
        <f>'Variante Vorgaben'!$C$140*CC51</f>
        <v>6.234375</v>
      </c>
      <c r="CD55" s="44">
        <f>'Variante Vorgaben'!$D$140*(1+Eingabeseite!$C$30)</f>
        <v>17.5</v>
      </c>
      <c r="CE55" s="45">
        <f>CC55*CD55</f>
        <v>109.1015625</v>
      </c>
      <c r="CF55" s="652">
        <f>CE55/$F$81</f>
        <v>8.5570547935770805E-3</v>
      </c>
      <c r="CG55" s="40"/>
      <c r="CH55" s="983" t="str">
        <f>'Variante Vorgaben'!$B$140</f>
        <v>Hebebühne schwer, selbstfahrend, elektrisch</v>
      </c>
      <c r="CJ55" s="39">
        <f>'Variante Vorgaben'!$C$140*CJ51</f>
        <v>6.927083333333333</v>
      </c>
      <c r="CK55" s="44">
        <f>'Variante Vorgaben'!$D$140*(1+Eingabeseite!$C$30)</f>
        <v>17.5</v>
      </c>
      <c r="CL55" s="45">
        <f>CJ55*CK55</f>
        <v>121.22395833333333</v>
      </c>
      <c r="CM55" s="652">
        <f>CL55/$F$81</f>
        <v>9.5078386595300896E-3</v>
      </c>
      <c r="CN55" s="40"/>
      <c r="CO55" s="983" t="str">
        <f>'Variante Vorgaben'!$B$140</f>
        <v>Hebebühne schwer, selbstfahrend, elektrisch</v>
      </c>
      <c r="CQ55" s="39">
        <f>'Variante Vorgaben'!$C$140*CQ51</f>
        <v>7.1002604166666661</v>
      </c>
      <c r="CR55" s="44">
        <f>'Variante Vorgaben'!$D$140*(1+Eingabeseite!$C$30)</f>
        <v>17.5</v>
      </c>
      <c r="CS55" s="45">
        <f>CQ55*CR55</f>
        <v>124.25455729166666</v>
      </c>
      <c r="CT55" s="652">
        <f>CS55/$F$81</f>
        <v>9.7455346260183415E-3</v>
      </c>
      <c r="CU55" s="40"/>
      <c r="CV55" s="983" t="str">
        <f>'Variante Vorgaben'!$B$140</f>
        <v>Hebebühne schwer, selbstfahrend, elektrisch</v>
      </c>
      <c r="CX55" s="39">
        <f>'Variante Vorgaben'!$C$140*CX51</f>
        <v>6.0611979166666661</v>
      </c>
      <c r="CY55" s="44">
        <f>'Variante Vorgaben'!$D$140*(1+Eingabeseite!$C$30)</f>
        <v>17.5</v>
      </c>
      <c r="CZ55" s="45">
        <f>CX55*CY55</f>
        <v>106.07096354166666</v>
      </c>
      <c r="DA55" s="652">
        <f>CZ55/$F$81</f>
        <v>8.3193588270888286E-3</v>
      </c>
    </row>
    <row r="56" spans="1:105" s="1" customFormat="1" ht="12.75" x14ac:dyDescent="0.2">
      <c r="A56" s="534"/>
      <c r="B56" s="85" t="str">
        <f>'Variante Vorgaben'!$B$130</f>
        <v>Obstbautraktor 4-Rad</v>
      </c>
      <c r="C56" s="43"/>
      <c r="D56" s="533">
        <f>D54</f>
        <v>15</v>
      </c>
      <c r="E56" s="44">
        <f>'Variante Vorgaben'!$D$130*(1+Eingabeseite!$C$30)</f>
        <v>41</v>
      </c>
      <c r="F56" s="146">
        <f>D56*E56</f>
        <v>615</v>
      </c>
      <c r="G56" s="652">
        <f t="shared" si="0"/>
        <v>4.823568588259132E-2</v>
      </c>
      <c r="H56" s="534"/>
      <c r="I56" s="85" t="str">
        <f>'Variante Vorgaben'!$B$130</f>
        <v>Obstbautraktor 4-Rad</v>
      </c>
      <c r="J56" s="43"/>
      <c r="K56" s="533">
        <f>K54</f>
        <v>22.234375</v>
      </c>
      <c r="L56" s="44">
        <f>'Variante Vorgaben'!$D$130*(1+Eingabeseite!$C$30)</f>
        <v>41</v>
      </c>
      <c r="M56" s="146">
        <f>K56*L56</f>
        <v>911.609375</v>
      </c>
      <c r="N56" s="652">
        <f>M56/$M$81</f>
        <v>5.6153305615930516E-2</v>
      </c>
      <c r="O56" s="534"/>
      <c r="P56" s="85" t="str">
        <f>'Variante Vorgaben'!$B$130</f>
        <v>Obstbautraktor 4-Rad</v>
      </c>
      <c r="Q56" s="43"/>
      <c r="R56" s="533">
        <f>R54</f>
        <v>44.79296875</v>
      </c>
      <c r="S56" s="44">
        <f>'Variante Vorgaben'!$D$130*(1+Eingabeseite!$C$30)</f>
        <v>41</v>
      </c>
      <c r="T56" s="146">
        <f>R56*S56</f>
        <v>1836.51171875</v>
      </c>
      <c r="U56" s="652">
        <f>T56/$T$81</f>
        <v>6.1755337881436799E-2</v>
      </c>
      <c r="V56" s="534"/>
      <c r="W56" s="85" t="str">
        <f>'Variante Vorgaben'!$B$130</f>
        <v>Obstbautraktor 4-Rad</v>
      </c>
      <c r="X56" s="43"/>
      <c r="Y56" s="533">
        <f>Y54</f>
        <v>54.5078125</v>
      </c>
      <c r="Z56" s="44">
        <f>'Variante Vorgaben'!$D$130*(1+Eingabeseite!$C$30)</f>
        <v>41</v>
      </c>
      <c r="AA56" s="146">
        <f>Y56*Z56</f>
        <v>2234.8203125</v>
      </c>
      <c r="AB56" s="652">
        <f>AA56/$AA$81</f>
        <v>6.7141934513630347E-2</v>
      </c>
      <c r="AC56" s="534"/>
      <c r="AD56" s="85" t="str">
        <f>'Variante Vorgaben'!$B$130</f>
        <v>Obstbautraktor 4-Rad</v>
      </c>
      <c r="AE56" s="43"/>
      <c r="AF56" s="533">
        <f>AF54</f>
        <v>59.18359375</v>
      </c>
      <c r="AG56" s="44">
        <f>'Variante Vorgaben'!$D$130*(1+Eingabeseite!$C$30)</f>
        <v>41</v>
      </c>
      <c r="AH56" s="146">
        <f>AF56*AG56</f>
        <v>2426.52734375</v>
      </c>
      <c r="AI56" s="652">
        <f>AH56/$AH$81</f>
        <v>6.8601951106270709E-2</v>
      </c>
      <c r="AJ56" s="534"/>
      <c r="AK56" s="85" t="str">
        <f>'Variante Vorgaben'!$B$130</f>
        <v>Obstbautraktor 4-Rad</v>
      </c>
      <c r="AL56" s="43"/>
      <c r="AM56" s="533">
        <f>AM54</f>
        <v>63.859375</v>
      </c>
      <c r="AN56" s="44">
        <f>'Variante Vorgaben'!$D$130*(1+Eingabeseite!$C$30)</f>
        <v>41</v>
      </c>
      <c r="AO56" s="146">
        <f>AM56*AN56</f>
        <v>2618.234375</v>
      </c>
      <c r="AP56" s="652">
        <f>AO56/$AO$81</f>
        <v>7.0006837258143023E-2</v>
      </c>
      <c r="AQ56" s="534"/>
      <c r="AR56" s="85" t="str">
        <f>'Variante Vorgaben'!$B$130</f>
        <v>Obstbautraktor 4-Rad</v>
      </c>
      <c r="AS56" s="43"/>
      <c r="AT56" s="533">
        <f>AT54</f>
        <v>59.63818359375</v>
      </c>
      <c r="AU56" s="44">
        <f>'Variante Vorgaben'!$D$130*(1+Eingabeseite!$C$30)</f>
        <v>41</v>
      </c>
      <c r="AV56" s="146">
        <f>AT56*AU56</f>
        <v>2445.16552734375</v>
      </c>
      <c r="AW56" s="652">
        <f>AV56/$AV$81</f>
        <v>6.8814563997490238E-2</v>
      </c>
      <c r="AX56" s="534"/>
      <c r="AY56" s="85" t="str">
        <f>'Variante Vorgaben'!$B$130</f>
        <v>Obstbautraktor 4-Rad</v>
      </c>
      <c r="AZ56" s="43"/>
      <c r="BA56" s="533">
        <f>BA54</f>
        <v>59.63818359375</v>
      </c>
      <c r="BB56" s="44">
        <f>'Variante Vorgaben'!$D$130*(1+Eingabeseite!$C$30)</f>
        <v>41</v>
      </c>
      <c r="BC56" s="146">
        <f>BA56*BB56</f>
        <v>2445.16552734375</v>
      </c>
      <c r="BD56" s="652">
        <f>BC56/$BC$81</f>
        <v>6.8803344349216561E-2</v>
      </c>
      <c r="BE56" s="534"/>
      <c r="BF56" s="85" t="str">
        <f>'Variante Vorgaben'!$B$130</f>
        <v>Obstbautraktor 4-Rad</v>
      </c>
      <c r="BG56" s="43"/>
      <c r="BH56" s="533">
        <f>BH54</f>
        <v>68.015625</v>
      </c>
      <c r="BI56" s="44">
        <f>'Variante Vorgaben'!$D$130*(1+Eingabeseite!$C$30)</f>
        <v>41</v>
      </c>
      <c r="BJ56" s="146">
        <f>BH56*BI56</f>
        <v>2788.640625</v>
      </c>
      <c r="BK56" s="652">
        <f>BJ56/$BJ$81</f>
        <v>7.1215467892666626E-2</v>
      </c>
      <c r="BL56" s="534"/>
      <c r="BM56" s="85" t="str">
        <f>'Variante Vorgaben'!$B$130</f>
        <v>Obstbautraktor 4-Rad</v>
      </c>
      <c r="BN56" s="43"/>
      <c r="BO56" s="533">
        <f>BO54</f>
        <v>69.57421875</v>
      </c>
      <c r="BP56" s="44">
        <f>'Variante Vorgaben'!$D$130*(1+Eingabeseite!$C$30)</f>
        <v>41</v>
      </c>
      <c r="BQ56" s="146">
        <f>BO56*BP56</f>
        <v>2852.54296875</v>
      </c>
      <c r="BR56" s="652">
        <f>BQ56/$BQ$81</f>
        <v>7.179495314098587E-2</v>
      </c>
      <c r="BS56" s="534"/>
      <c r="BT56" s="85" t="str">
        <f>'Variante Vorgaben'!$B$130</f>
        <v>Obstbautraktor 4-Rad</v>
      </c>
      <c r="BU56" s="43"/>
      <c r="BV56" s="533">
        <f>BV54</f>
        <v>63.9892578125</v>
      </c>
      <c r="BW56" s="44">
        <f>'Variante Vorgaben'!$D$130*(1+Eingabeseite!$C$30)</f>
        <v>41</v>
      </c>
      <c r="BX56" s="146">
        <f>BV56*BW56</f>
        <v>2623.5595703125</v>
      </c>
      <c r="BY56" s="652">
        <f>BX56/$BX$81</f>
        <v>7.0517665919230463E-2</v>
      </c>
      <c r="BZ56" s="534"/>
      <c r="CA56" s="85" t="str">
        <f>'Variante Vorgaben'!$B$130</f>
        <v>Obstbautraktor 4-Rad</v>
      </c>
      <c r="CB56" s="43"/>
      <c r="CC56" s="533">
        <f>CC54</f>
        <v>59.703125</v>
      </c>
      <c r="CD56" s="44">
        <f>'Variante Vorgaben'!$D$130*(1+Eingabeseite!$C$30)</f>
        <v>41</v>
      </c>
      <c r="CE56" s="146">
        <f>CC56*CD56</f>
        <v>2447.828125</v>
      </c>
      <c r="CF56" s="652">
        <f>CE56/$CE$81</f>
        <v>6.9333008741547492E-2</v>
      </c>
      <c r="CG56" s="534"/>
      <c r="CH56" s="85" t="str">
        <f>'Variante Vorgaben'!$B$130</f>
        <v>Obstbautraktor 4-Rad</v>
      </c>
      <c r="CI56" s="43"/>
      <c r="CJ56" s="533">
        <f>CJ54</f>
        <v>61.78125</v>
      </c>
      <c r="CK56" s="44">
        <f>'Variante Vorgaben'!$D$130*(1+Eingabeseite!$C$30)</f>
        <v>41</v>
      </c>
      <c r="CL56" s="146">
        <f>CJ56*CK56</f>
        <v>2533.03125</v>
      </c>
      <c r="CM56" s="652">
        <f>CL56/$CL$81</f>
        <v>6.9964668460218482E-2</v>
      </c>
      <c r="CN56" s="534"/>
      <c r="CO56" s="85" t="str">
        <f>'Variante Vorgaben'!$B$130</f>
        <v>Obstbautraktor 4-Rad</v>
      </c>
      <c r="CP56" s="43"/>
      <c r="CQ56" s="533">
        <f>CQ54</f>
        <v>62.30078125</v>
      </c>
      <c r="CR56" s="44">
        <f>'Variante Vorgaben'!$D$130*(1+Eingabeseite!$C$30)</f>
        <v>41</v>
      </c>
      <c r="CS56" s="146">
        <f>CQ56*CR56</f>
        <v>2554.33203125</v>
      </c>
      <c r="CT56" s="652">
        <f>CS56/$CS$81</f>
        <v>7.0163548008505647E-2</v>
      </c>
      <c r="CU56" s="534"/>
      <c r="CV56" s="85" t="str">
        <f>'Variante Vorgaben'!$B$130</f>
        <v>Obstbautraktor 4-Rad</v>
      </c>
      <c r="CW56" s="43"/>
      <c r="CX56" s="533">
        <f>CX54</f>
        <v>59.18359375</v>
      </c>
      <c r="CY56" s="44">
        <f>'Variante Vorgaben'!$D$130*(1+Eingabeseite!$C$30)</f>
        <v>41</v>
      </c>
      <c r="CZ56" s="146">
        <f>CX56*CY56</f>
        <v>2426.52734375</v>
      </c>
      <c r="DA56" s="652">
        <f>CZ56/$CZ$81</f>
        <v>5.9138798559148366E-2</v>
      </c>
    </row>
    <row r="57" spans="1:105" s="1" customFormat="1" ht="12.75" x14ac:dyDescent="0.2">
      <c r="A57" s="1431" t="s">
        <v>408</v>
      </c>
      <c r="B57" s="142" t="str">
        <f>'Variante Vorgaben'!$B$130</f>
        <v>Obstbautraktor 4-Rad</v>
      </c>
      <c r="D57" s="478">
        <v>10</v>
      </c>
      <c r="E57" s="44">
        <f>'Variante Vorgaben'!$D$130*(1+Eingabeseite!$C$30)</f>
        <v>41</v>
      </c>
      <c r="F57" s="146">
        <f>E57*D57</f>
        <v>410</v>
      </c>
      <c r="G57" s="652">
        <f t="shared" si="0"/>
        <v>3.2157123921727551E-2</v>
      </c>
      <c r="H57" s="1431" t="s">
        <v>408</v>
      </c>
      <c r="I57" s="142" t="str">
        <f>'Variante Vorgaben'!$B$130</f>
        <v>Obstbautraktor 4-Rad</v>
      </c>
      <c r="K57" s="478">
        <v>10</v>
      </c>
      <c r="L57" s="44">
        <f>'Variante Vorgaben'!$D$130*(1+Eingabeseite!$C$30)</f>
        <v>41</v>
      </c>
      <c r="M57" s="146">
        <f>L57*K57</f>
        <v>410</v>
      </c>
      <c r="N57" s="652"/>
      <c r="O57" s="1431" t="s">
        <v>408</v>
      </c>
      <c r="P57" s="142" t="str">
        <f>'Variante Vorgaben'!$B$130</f>
        <v>Obstbautraktor 4-Rad</v>
      </c>
      <c r="R57" s="478">
        <v>10</v>
      </c>
      <c r="S57" s="44">
        <f>'Variante Vorgaben'!$D$130*(1+Eingabeseite!$C$30)</f>
        <v>41</v>
      </c>
      <c r="T57" s="146">
        <f>S57*R57</f>
        <v>410</v>
      </c>
      <c r="U57" s="652"/>
      <c r="V57" s="1431" t="s">
        <v>408</v>
      </c>
      <c r="W57" s="142" t="str">
        <f>'Variante Vorgaben'!$B$130</f>
        <v>Obstbautraktor 4-Rad</v>
      </c>
      <c r="Y57" s="478">
        <v>10</v>
      </c>
      <c r="Z57" s="44">
        <f>'Variante Vorgaben'!$D$130*(1+Eingabeseite!$C$30)</f>
        <v>41</v>
      </c>
      <c r="AA57" s="146">
        <f>Z57*Y57</f>
        <v>410</v>
      </c>
      <c r="AB57" s="652"/>
      <c r="AC57" s="1431" t="s">
        <v>408</v>
      </c>
      <c r="AD57" s="142" t="str">
        <f>'Variante Vorgaben'!$B$130</f>
        <v>Obstbautraktor 4-Rad</v>
      </c>
      <c r="AF57" s="478">
        <v>10</v>
      </c>
      <c r="AG57" s="44">
        <f>'Variante Vorgaben'!$D$130*(1+Eingabeseite!$C$30)</f>
        <v>41</v>
      </c>
      <c r="AH57" s="146">
        <f>AG57*AF57</f>
        <v>410</v>
      </c>
      <c r="AI57" s="652"/>
      <c r="AJ57" s="1431" t="s">
        <v>408</v>
      </c>
      <c r="AK57" s="142" t="str">
        <f>'Variante Vorgaben'!$B$130</f>
        <v>Obstbautraktor 4-Rad</v>
      </c>
      <c r="AM57" s="478">
        <v>10</v>
      </c>
      <c r="AN57" s="44">
        <f>'Variante Vorgaben'!$D$130*(1+Eingabeseite!$C$30)</f>
        <v>41</v>
      </c>
      <c r="AO57" s="146">
        <f>AN57*AM57</f>
        <v>410</v>
      </c>
      <c r="AP57" s="652"/>
      <c r="AQ57" s="1431" t="s">
        <v>408</v>
      </c>
      <c r="AR57" s="142" t="str">
        <f>'Variante Vorgaben'!$B$130</f>
        <v>Obstbautraktor 4-Rad</v>
      </c>
      <c r="AT57" s="478">
        <v>10</v>
      </c>
      <c r="AU57" s="44">
        <f>'Variante Vorgaben'!$D$130*(1+Eingabeseite!$C$30)</f>
        <v>41</v>
      </c>
      <c r="AV57" s="146">
        <f>AU57*AT57</f>
        <v>410</v>
      </c>
      <c r="AW57" s="652"/>
      <c r="AX57" s="1431" t="s">
        <v>408</v>
      </c>
      <c r="AY57" s="142" t="str">
        <f>'Variante Vorgaben'!$B$130</f>
        <v>Obstbautraktor 4-Rad</v>
      </c>
      <c r="BA57" s="478">
        <v>10</v>
      </c>
      <c r="BB57" s="44">
        <f>'Variante Vorgaben'!$D$130*(1+Eingabeseite!$C$30)</f>
        <v>41</v>
      </c>
      <c r="BC57" s="146">
        <f>BB57*BA57</f>
        <v>410</v>
      </c>
      <c r="BD57" s="652"/>
      <c r="BE57" s="1431" t="s">
        <v>408</v>
      </c>
      <c r="BF57" s="142" t="str">
        <f>'Variante Vorgaben'!$B$130</f>
        <v>Obstbautraktor 4-Rad</v>
      </c>
      <c r="BH57" s="478">
        <v>10</v>
      </c>
      <c r="BI57" s="44">
        <f>'Variante Vorgaben'!$D$130*(1+Eingabeseite!$C$30)</f>
        <v>41</v>
      </c>
      <c r="BJ57" s="146">
        <f>BI57*BH57</f>
        <v>410</v>
      </c>
      <c r="BK57" s="652"/>
      <c r="BL57" s="1431" t="s">
        <v>408</v>
      </c>
      <c r="BM57" s="142" t="str">
        <f>'Variante Vorgaben'!$B$130</f>
        <v>Obstbautraktor 4-Rad</v>
      </c>
      <c r="BO57" s="478">
        <v>10</v>
      </c>
      <c r="BP57" s="44">
        <f>'Variante Vorgaben'!$D$130*(1+Eingabeseite!$C$30)</f>
        <v>41</v>
      </c>
      <c r="BQ57" s="146">
        <f>BP57*BO57</f>
        <v>410</v>
      </c>
      <c r="BR57" s="652"/>
      <c r="BS57" s="1431" t="s">
        <v>408</v>
      </c>
      <c r="BT57" s="142" t="str">
        <f>'Variante Vorgaben'!$B$130</f>
        <v>Obstbautraktor 4-Rad</v>
      </c>
      <c r="BV57" s="478">
        <v>10</v>
      </c>
      <c r="BW57" s="44">
        <f>'Variante Vorgaben'!$D$130*(1+Eingabeseite!$C$30)</f>
        <v>41</v>
      </c>
      <c r="BX57" s="146">
        <f>BW57*BV57</f>
        <v>410</v>
      </c>
      <c r="BY57" s="652"/>
      <c r="BZ57" s="1431" t="s">
        <v>408</v>
      </c>
      <c r="CA57" s="142" t="str">
        <f>'Variante Vorgaben'!$B$130</f>
        <v>Obstbautraktor 4-Rad</v>
      </c>
      <c r="CC57" s="478">
        <v>10</v>
      </c>
      <c r="CD57" s="44">
        <f>'Variante Vorgaben'!$D$130*(1+Eingabeseite!$C$30)</f>
        <v>41</v>
      </c>
      <c r="CE57" s="421">
        <f>CD57*CC57</f>
        <v>410</v>
      </c>
      <c r="CF57" s="652"/>
      <c r="CG57" s="1431" t="s">
        <v>408</v>
      </c>
      <c r="CH57" s="142" t="str">
        <f>'Variante Vorgaben'!$B$130</f>
        <v>Obstbautraktor 4-Rad</v>
      </c>
      <c r="CJ57" s="478">
        <v>10</v>
      </c>
      <c r="CK57" s="44">
        <f>'Variante Vorgaben'!$D$130*(1+Eingabeseite!$C$30)</f>
        <v>41</v>
      </c>
      <c r="CL57" s="146">
        <f>CK57*CJ57</f>
        <v>410</v>
      </c>
      <c r="CM57" s="652"/>
      <c r="CN57" s="1431" t="s">
        <v>408</v>
      </c>
      <c r="CO57" s="142" t="str">
        <f>'Variante Vorgaben'!$B$130</f>
        <v>Obstbautraktor 4-Rad</v>
      </c>
      <c r="CQ57" s="478">
        <v>10</v>
      </c>
      <c r="CR57" s="44">
        <f>'Variante Vorgaben'!$D$130*(1+Eingabeseite!$C$30)</f>
        <v>41</v>
      </c>
      <c r="CS57" s="146">
        <f>CR57*CQ57</f>
        <v>410</v>
      </c>
      <c r="CT57" s="652">
        <f t="shared" ref="CT57:CT58" si="1">CS57/$CZ$81</f>
        <v>9.9924311472127138E-3</v>
      </c>
      <c r="CU57" s="1431" t="s">
        <v>408</v>
      </c>
      <c r="CV57" s="142" t="str">
        <f>'Variante Vorgaben'!$B$130</f>
        <v>Obstbautraktor 4-Rad</v>
      </c>
      <c r="CX57" s="478">
        <v>10</v>
      </c>
      <c r="CY57" s="44">
        <f>'Variante Vorgaben'!$D$130*(1+Eingabeseite!$C$30)</f>
        <v>41</v>
      </c>
      <c r="CZ57" s="146">
        <f>CY57*CX57</f>
        <v>410</v>
      </c>
      <c r="DA57" s="652">
        <f t="shared" ref="DA57:DA58" si="2">CZ57/$CZ$81</f>
        <v>9.9924311472127138E-3</v>
      </c>
    </row>
    <row r="58" spans="1:105" s="1" customFormat="1" ht="12.75" x14ac:dyDescent="0.2">
      <c r="A58" s="1431"/>
      <c r="B58" s="983" t="str">
        <f>'Variante Vorgaben'!$B$140</f>
        <v>Hebebühne schwer, selbstfahrend, elektrisch</v>
      </c>
      <c r="D58" s="478">
        <v>10</v>
      </c>
      <c r="E58" s="44">
        <f>'Variante Vorgaben'!$D$150*(1+Eingabeseite!$C$30)</f>
        <v>17.5</v>
      </c>
      <c r="F58" s="146">
        <f>E58*D58</f>
        <v>175</v>
      </c>
      <c r="G58" s="652">
        <f t="shared" si="0"/>
        <v>1.37256016739081E-2</v>
      </c>
      <c r="H58" s="1431"/>
      <c r="I58" s="1363" t="str">
        <f>$B$58</f>
        <v>Hebebühne schwer, selbstfahrend, elektrisch</v>
      </c>
      <c r="K58" s="478">
        <v>10</v>
      </c>
      <c r="L58" s="44">
        <f>'Variante Vorgaben'!$D$150*(1+Eingabeseite!$C$30)</f>
        <v>17.5</v>
      </c>
      <c r="M58" s="146">
        <f>L58*K58</f>
        <v>175</v>
      </c>
      <c r="N58" s="652"/>
      <c r="O58" s="1431"/>
      <c r="P58" s="1363" t="str">
        <f>$B$58</f>
        <v>Hebebühne schwer, selbstfahrend, elektrisch</v>
      </c>
      <c r="R58" s="478">
        <v>10</v>
      </c>
      <c r="S58" s="44">
        <f>'Variante Vorgaben'!$D$150*(1+Eingabeseite!$C$30)</f>
        <v>17.5</v>
      </c>
      <c r="T58" s="146">
        <f>S58*R58</f>
        <v>175</v>
      </c>
      <c r="U58" s="652"/>
      <c r="V58" s="1431"/>
      <c r="W58" s="1363" t="str">
        <f>$B$58</f>
        <v>Hebebühne schwer, selbstfahrend, elektrisch</v>
      </c>
      <c r="Y58" s="478">
        <v>10</v>
      </c>
      <c r="Z58" s="44">
        <f>'Variante Vorgaben'!$D$150*(1+Eingabeseite!$C$30)</f>
        <v>17.5</v>
      </c>
      <c r="AA58" s="146">
        <f>Z58*Y58</f>
        <v>175</v>
      </c>
      <c r="AB58" s="652"/>
      <c r="AC58" s="1431"/>
      <c r="AD58" s="1363" t="str">
        <f>$B$58</f>
        <v>Hebebühne schwer, selbstfahrend, elektrisch</v>
      </c>
      <c r="AF58" s="478">
        <v>10</v>
      </c>
      <c r="AG58" s="44">
        <f>'Variante Vorgaben'!$D$150*(1+Eingabeseite!$C$30)</f>
        <v>17.5</v>
      </c>
      <c r="AH58" s="146">
        <f>AG58*AF58</f>
        <v>175</v>
      </c>
      <c r="AI58" s="652"/>
      <c r="AJ58" s="1431"/>
      <c r="AK58" s="1363" t="str">
        <f>$B$58</f>
        <v>Hebebühne schwer, selbstfahrend, elektrisch</v>
      </c>
      <c r="AM58" s="478">
        <v>10</v>
      </c>
      <c r="AN58" s="44">
        <f>'Variante Vorgaben'!$D$150*(1+Eingabeseite!$C$30)</f>
        <v>17.5</v>
      </c>
      <c r="AO58" s="146">
        <f>AN58*AM58</f>
        <v>175</v>
      </c>
      <c r="AP58" s="652"/>
      <c r="AQ58" s="1431"/>
      <c r="AR58" s="1363" t="str">
        <f>$B$58</f>
        <v>Hebebühne schwer, selbstfahrend, elektrisch</v>
      </c>
      <c r="AT58" s="478">
        <v>10</v>
      </c>
      <c r="AU58" s="44">
        <f>'Variante Vorgaben'!$D$150*(1+Eingabeseite!$C$30)</f>
        <v>17.5</v>
      </c>
      <c r="AV58" s="146">
        <f>AU58*AT58</f>
        <v>175</v>
      </c>
      <c r="AW58" s="652"/>
      <c r="AX58" s="1431"/>
      <c r="AY58" s="1363" t="str">
        <f>$B$58</f>
        <v>Hebebühne schwer, selbstfahrend, elektrisch</v>
      </c>
      <c r="BA58" s="478">
        <v>10</v>
      </c>
      <c r="BB58" s="44">
        <f>'Variante Vorgaben'!$D$150*(1+Eingabeseite!$C$30)</f>
        <v>17.5</v>
      </c>
      <c r="BC58" s="146">
        <f>BB58*BA58</f>
        <v>175</v>
      </c>
      <c r="BD58" s="652"/>
      <c r="BE58" s="1431"/>
      <c r="BF58" s="1363" t="str">
        <f>$B$58</f>
        <v>Hebebühne schwer, selbstfahrend, elektrisch</v>
      </c>
      <c r="BH58" s="478">
        <v>10</v>
      </c>
      <c r="BI58" s="44">
        <f>'Variante Vorgaben'!$D$150*(1+Eingabeseite!$C$30)</f>
        <v>17.5</v>
      </c>
      <c r="BJ58" s="146">
        <f>BI58*BH58</f>
        <v>175</v>
      </c>
      <c r="BK58" s="652"/>
      <c r="BL58" s="1431"/>
      <c r="BM58" s="1363" t="str">
        <f>$B$58</f>
        <v>Hebebühne schwer, selbstfahrend, elektrisch</v>
      </c>
      <c r="BO58" s="478">
        <v>10</v>
      </c>
      <c r="BP58" s="44">
        <f>'Variante Vorgaben'!$D$150*(1+Eingabeseite!$C$30)</f>
        <v>17.5</v>
      </c>
      <c r="BQ58" s="146">
        <f>BP58*BO58</f>
        <v>175</v>
      </c>
      <c r="BR58" s="652"/>
      <c r="BS58" s="1431"/>
      <c r="BT58" s="1363" t="str">
        <f>$B$58</f>
        <v>Hebebühne schwer, selbstfahrend, elektrisch</v>
      </c>
      <c r="BV58" s="478">
        <v>10</v>
      </c>
      <c r="BW58" s="44">
        <f>'Variante Vorgaben'!$D$150*(1+Eingabeseite!$C$30)</f>
        <v>17.5</v>
      </c>
      <c r="BX58" s="146">
        <f>BW58*BV58</f>
        <v>175</v>
      </c>
      <c r="BY58" s="652"/>
      <c r="BZ58" s="1431"/>
      <c r="CA58" s="1363" t="str">
        <f>$B$58</f>
        <v>Hebebühne schwer, selbstfahrend, elektrisch</v>
      </c>
      <c r="CC58" s="478">
        <v>10</v>
      </c>
      <c r="CD58" s="44">
        <f>'Variante Vorgaben'!$D$150*(1+Eingabeseite!$C$30)</f>
        <v>17.5</v>
      </c>
      <c r="CE58" s="146">
        <f>CD58*CC58</f>
        <v>175</v>
      </c>
      <c r="CF58" s="652"/>
      <c r="CG58" s="1431"/>
      <c r="CH58" s="1363" t="str">
        <f>$B$58</f>
        <v>Hebebühne schwer, selbstfahrend, elektrisch</v>
      </c>
      <c r="CJ58" s="478">
        <v>10</v>
      </c>
      <c r="CK58" s="44">
        <f>'Variante Vorgaben'!$D$150*(1+Eingabeseite!$C$30)</f>
        <v>17.5</v>
      </c>
      <c r="CL58" s="146">
        <f>CK58*CJ58</f>
        <v>175</v>
      </c>
      <c r="CM58" s="652"/>
      <c r="CN58" s="1431"/>
      <c r="CO58" s="1363" t="str">
        <f>$B$58</f>
        <v>Hebebühne schwer, selbstfahrend, elektrisch</v>
      </c>
      <c r="CQ58" s="478">
        <v>10</v>
      </c>
      <c r="CR58" s="44">
        <f>'Variante Vorgaben'!$D$150*(1+Eingabeseite!$C$30)</f>
        <v>17.5</v>
      </c>
      <c r="CS58" s="146">
        <f>CR58*CQ58</f>
        <v>175</v>
      </c>
      <c r="CT58" s="652">
        <f t="shared" si="1"/>
        <v>4.2650620750298166E-3</v>
      </c>
      <c r="CU58" s="1431"/>
      <c r="CV58" s="1363" t="str">
        <f>$B$58</f>
        <v>Hebebühne schwer, selbstfahrend, elektrisch</v>
      </c>
      <c r="CX58" s="478">
        <v>10</v>
      </c>
      <c r="CY58" s="44">
        <f>'Variante Vorgaben'!$D$150*(1+Eingabeseite!$C$30)</f>
        <v>17.5</v>
      </c>
      <c r="CZ58" s="146">
        <f>CY58*CX58</f>
        <v>175</v>
      </c>
      <c r="DA58" s="652">
        <f t="shared" si="2"/>
        <v>4.2650620750298166E-3</v>
      </c>
    </row>
    <row r="59" spans="1:105" s="1" customFormat="1" ht="13.5" thickBot="1" x14ac:dyDescent="0.25">
      <c r="A59" s="671"/>
      <c r="B59" s="41" t="str">
        <f>'Variante Vorgaben'!$B$139</f>
        <v>Diverse Kleingeräte</v>
      </c>
      <c r="C59" s="94"/>
      <c r="D59" s="43"/>
      <c r="E59" s="44"/>
      <c r="F59" s="501">
        <f>'Variante Vorgaben'!$D$139*(1+Eingabeseite!$C$30)</f>
        <v>500</v>
      </c>
      <c r="G59" s="652">
        <f t="shared" si="0"/>
        <v>3.9216004782594571E-2</v>
      </c>
      <c r="H59" s="671"/>
      <c r="I59" s="41" t="str">
        <f>'Variante Vorgaben'!$B$139</f>
        <v>Diverse Kleingeräte</v>
      </c>
      <c r="J59" s="94"/>
      <c r="K59" s="43"/>
      <c r="L59" s="44"/>
      <c r="M59" s="501">
        <f>'Variante Vorgaben'!$D$139*(1+Eingabeseite!$C$30)</f>
        <v>500</v>
      </c>
      <c r="N59" s="652">
        <f>M59/$M$81</f>
        <v>3.0798995247240911E-2</v>
      </c>
      <c r="O59" s="671"/>
      <c r="P59" s="41" t="str">
        <f>'Variante Vorgaben'!$B$139</f>
        <v>Diverse Kleingeräte</v>
      </c>
      <c r="Q59" s="94"/>
      <c r="R59" s="43"/>
      <c r="S59" s="44"/>
      <c r="T59" s="501">
        <f>'Variante Vorgaben'!$D$139*(1+Eingabeseite!$C$30)</f>
        <v>500</v>
      </c>
      <c r="U59" s="652">
        <f>T59/$T$81</f>
        <v>1.6813216395773899E-2</v>
      </c>
      <c r="V59" s="671"/>
      <c r="W59" s="41" t="str">
        <f>'Variante Vorgaben'!$B$139</f>
        <v>Diverse Kleingeräte</v>
      </c>
      <c r="X59" s="43"/>
      <c r="Y59" s="43"/>
      <c r="Z59" s="44"/>
      <c r="AA59" s="501">
        <f>'Variante Vorgaben'!$D$139*(1+Eingabeseite!$C$30)</f>
        <v>500</v>
      </c>
      <c r="AB59" s="652">
        <f>AA59/$AA$81</f>
        <v>1.5021774712285812E-2</v>
      </c>
      <c r="AC59" s="671"/>
      <c r="AD59" s="41" t="str">
        <f>'Variante Vorgaben'!$B$139</f>
        <v>Diverse Kleingeräte</v>
      </c>
      <c r="AE59" s="43"/>
      <c r="AF59" s="43"/>
      <c r="AG59" s="44"/>
      <c r="AH59" s="501">
        <f>'Variante Vorgaben'!$D$139*(1+Eingabeseite!$C$30)</f>
        <v>500</v>
      </c>
      <c r="AI59" s="652">
        <f>AH59/$AH$81</f>
        <v>1.4135828982716508E-2</v>
      </c>
      <c r="AJ59" s="671"/>
      <c r="AK59" s="41" t="str">
        <f>'Variante Vorgaben'!$B$139</f>
        <v>Diverse Kleingeräte</v>
      </c>
      <c r="AL59" s="43"/>
      <c r="AM59" s="43"/>
      <c r="AN59" s="44"/>
      <c r="AO59" s="501">
        <f>'Variante Vorgaben'!$D$139*(1+Eingabeseite!$C$30)</f>
        <v>500</v>
      </c>
      <c r="AP59" s="652">
        <f>AO59/$AO$81</f>
        <v>1.3369092913643956E-2</v>
      </c>
      <c r="AQ59" s="671"/>
      <c r="AR59" s="41" t="str">
        <f>'Variante Vorgaben'!$B$139</f>
        <v>Diverse Kleingeräte</v>
      </c>
      <c r="AS59" s="43"/>
      <c r="AT59" s="43"/>
      <c r="AU59" s="44"/>
      <c r="AV59" s="501">
        <f>'Variante Vorgaben'!$D$139*(1+Eingabeseite!$C$30)</f>
        <v>500</v>
      </c>
      <c r="AW59" s="652">
        <f>AV59/$AV$81</f>
        <v>1.4071555325795342E-2</v>
      </c>
      <c r="AX59" s="671"/>
      <c r="AY59" s="41" t="str">
        <f>'Variante Vorgaben'!$B$139</f>
        <v>Diverse Kleingeräte</v>
      </c>
      <c r="AZ59" s="43"/>
      <c r="BA59" s="43"/>
      <c r="BB59" s="44"/>
      <c r="BC59" s="501">
        <f>'Variante Vorgaben'!$D$139*(1+Eingabeseite!$C$30)</f>
        <v>500</v>
      </c>
      <c r="BD59" s="652">
        <f>BC59/$BC$81</f>
        <v>1.406926107451701E-2</v>
      </c>
      <c r="BE59" s="671"/>
      <c r="BF59" s="41" t="str">
        <f>'Variante Vorgaben'!$B$139</f>
        <v>Diverse Kleingeräte</v>
      </c>
      <c r="BG59" s="43"/>
      <c r="BH59" s="43"/>
      <c r="BI59" s="44"/>
      <c r="BJ59" s="501">
        <f>'Variante Vorgaben'!$D$139*(1+Eingabeseite!$C$30)</f>
        <v>500</v>
      </c>
      <c r="BK59" s="652">
        <f>BJ59/$BJ$81</f>
        <v>1.2768850036505981E-2</v>
      </c>
      <c r="BL59" s="671"/>
      <c r="BM59" s="41" t="str">
        <f>'Variante Vorgaben'!$B$139</f>
        <v>Diverse Kleingeräte</v>
      </c>
      <c r="BN59" s="43"/>
      <c r="BO59" s="43"/>
      <c r="BP59" s="44"/>
      <c r="BQ59" s="501">
        <f>'Variante Vorgaben'!$D$139*(1+Eingabeseite!$C$30)</f>
        <v>500</v>
      </c>
      <c r="BR59" s="652">
        <f>BQ59/$BQ$81</f>
        <v>1.2584377155315352E-2</v>
      </c>
      <c r="BS59" s="671"/>
      <c r="BT59" s="41" t="str">
        <f>'Variante Vorgaben'!$B$139</f>
        <v>Diverse Kleingeräte</v>
      </c>
      <c r="BU59" s="43"/>
      <c r="BV59" s="43"/>
      <c r="BW59" s="44"/>
      <c r="BX59" s="501">
        <f>'Variante Vorgaben'!$D$139*(1+Eingabeseite!$C$30)</f>
        <v>500</v>
      </c>
      <c r="BY59" s="652">
        <f>BX59/$BX$81</f>
        <v>1.3439310987482342E-2</v>
      </c>
      <c r="BZ59" s="671"/>
      <c r="CA59" s="41" t="str">
        <f>'Variante Vorgaben'!$B$139</f>
        <v>Diverse Kleingeräte</v>
      </c>
      <c r="CB59" s="43"/>
      <c r="CC59" s="43"/>
      <c r="CD59" s="44"/>
      <c r="CE59" s="501">
        <f>'Variante Vorgaben'!$D$139*(1+Eingabeseite!$C$30)</f>
        <v>500</v>
      </c>
      <c r="CF59" s="652">
        <f>CE59/$CE$81</f>
        <v>1.4162148075969896E-2</v>
      </c>
      <c r="CG59" s="671"/>
      <c r="CH59" s="41" t="str">
        <f>'Variante Vorgaben'!$B$139</f>
        <v>Diverse Kleingeräte</v>
      </c>
      <c r="CI59" s="43"/>
      <c r="CJ59" s="43"/>
      <c r="CK59" s="44"/>
      <c r="CL59" s="501">
        <f>'Variante Vorgaben'!$D$139*(1+Eingabeseite!$C$30)</f>
        <v>500</v>
      </c>
      <c r="CM59" s="652">
        <f>CL59/$CL$81</f>
        <v>1.381046295031269E-2</v>
      </c>
      <c r="CN59" s="671"/>
      <c r="CO59" s="41" t="str">
        <f>'Variante Vorgaben'!$B$139</f>
        <v>Diverse Kleingeräte</v>
      </c>
      <c r="CP59" s="43"/>
      <c r="CQ59" s="43"/>
      <c r="CR59" s="44"/>
      <c r="CS59" s="501">
        <f>'Variante Vorgaben'!$D$139*(1+Eingabeseite!$C$30)</f>
        <v>500</v>
      </c>
      <c r="CT59" s="652">
        <f>CS59/$CS$81</f>
        <v>1.3734226238037285E-2</v>
      </c>
      <c r="CU59" s="671"/>
      <c r="CV59" s="41" t="str">
        <f>'Variante Vorgaben'!$B$139</f>
        <v>Diverse Kleingeräte</v>
      </c>
      <c r="CW59" s="43"/>
      <c r="CX59" s="43"/>
      <c r="CY59" s="44"/>
      <c r="CZ59" s="501">
        <f>'Variante Vorgaben'!$D$139*(1+Eingabeseite!$C$30)</f>
        <v>500</v>
      </c>
      <c r="DA59" s="652">
        <f>CZ59/$CZ$81</f>
        <v>1.2185891642942334E-2</v>
      </c>
    </row>
    <row r="60" spans="1:105" ht="12.75" x14ac:dyDescent="0.2">
      <c r="A60" s="535"/>
      <c r="B60" s="4"/>
      <c r="C60" s="35"/>
      <c r="D60" s="35"/>
      <c r="E60" s="47"/>
      <c r="F60" s="53">
        <f>SUM(F54:F59)</f>
        <v>2354</v>
      </c>
      <c r="G60" s="649">
        <f t="shared" si="0"/>
        <v>0.18462895051645525</v>
      </c>
      <c r="H60" s="535"/>
      <c r="I60" s="4"/>
      <c r="J60" s="35"/>
      <c r="K60" s="35"/>
      <c r="L60" s="47"/>
      <c r="M60" s="53">
        <f>SUM(M54:M59)</f>
        <v>2819.6890625000001</v>
      </c>
      <c r="N60" s="649">
        <f>M60/$M$81</f>
        <v>0.17368718006926936</v>
      </c>
      <c r="O60" s="535"/>
      <c r="P60" s="4"/>
      <c r="Q60" s="35"/>
      <c r="R60" s="35"/>
      <c r="S60" s="47"/>
      <c r="T60" s="53">
        <f>SUM(T54:T59)</f>
        <v>4668.361328125</v>
      </c>
      <c r="U60" s="649">
        <f>T60/$T$81</f>
        <v>0.1569803384468561</v>
      </c>
      <c r="V60" s="535"/>
      <c r="W60" s="4"/>
      <c r="X60" s="35"/>
      <c r="Y60" s="35"/>
      <c r="Z60" s="47"/>
      <c r="AA60" s="53">
        <f>SUM(AA54:AA59)</f>
        <v>5377.7596354166672</v>
      </c>
      <c r="AB60" s="649">
        <f>AA60/$AA$81</f>
        <v>0.16156698740010692</v>
      </c>
      <c r="AC60" s="535"/>
      <c r="AD60" s="4"/>
      <c r="AE60" s="35"/>
      <c r="AF60" s="35"/>
      <c r="AG60" s="47"/>
      <c r="AH60" s="53">
        <f>SUM(AH54:AH59)</f>
        <v>5682.7764322916664</v>
      </c>
      <c r="AI60" s="649">
        <f>AH60/$AH$81</f>
        <v>0.16066151158777373</v>
      </c>
      <c r="AJ60" s="535"/>
      <c r="AK60" s="4"/>
      <c r="AL60" s="35"/>
      <c r="AM60" s="35"/>
      <c r="AN60" s="47"/>
      <c r="AO60" s="53">
        <f>SUM(AO54:AO59)</f>
        <v>5987.7932291666666</v>
      </c>
      <c r="AP60" s="649">
        <f>AO60/$AO$81</f>
        <v>0.1601027280568347</v>
      </c>
      <c r="AQ60" s="535"/>
      <c r="AR60" s="4"/>
      <c r="AS60" s="35"/>
      <c r="AT60" s="35"/>
      <c r="AU60" s="47"/>
      <c r="AV60" s="53">
        <f>SUM(AV54:AV59)</f>
        <v>5712.4308430989586</v>
      </c>
      <c r="AW60" s="649">
        <f>AV60/$AV$81</f>
        <v>0.16076557330689345</v>
      </c>
      <c r="AX60" s="535"/>
      <c r="AY60" s="4"/>
      <c r="AZ60" s="35"/>
      <c r="BA60" s="35"/>
      <c r="BB60" s="47"/>
      <c r="BC60" s="53">
        <f>SUM(BC54:BC59)</f>
        <v>5712.4308430989586</v>
      </c>
      <c r="BD60" s="649">
        <f>BC60/$BC$81</f>
        <v>0.16073936180336512</v>
      </c>
      <c r="BE60" s="535"/>
      <c r="BF60" s="4"/>
      <c r="BG60" s="35"/>
      <c r="BH60" s="35"/>
      <c r="BI60" s="47"/>
      <c r="BJ60" s="53">
        <f>SUM(BJ54:BJ59)</f>
        <v>6258.9192708333339</v>
      </c>
      <c r="BK60" s="649">
        <f>BJ60/$BJ$81</f>
        <v>0.15983840311973641</v>
      </c>
      <c r="BL60" s="535"/>
      <c r="BM60" s="4"/>
      <c r="BN60" s="35"/>
      <c r="BO60" s="35"/>
      <c r="BP60" s="47"/>
      <c r="BQ60" s="53">
        <f>SUM(BQ54:BQ59)</f>
        <v>6360.5915364583334</v>
      </c>
      <c r="BR60" s="649">
        <f>BQ60/$BQ$81</f>
        <v>0.16008816565139683</v>
      </c>
      <c r="BS60" s="535"/>
      <c r="BT60" s="4"/>
      <c r="BU60" s="35"/>
      <c r="BV60" s="35"/>
      <c r="BW60" s="47"/>
      <c r="BX60" s="53">
        <f>SUM(BX54:BX59)</f>
        <v>5996.2659179687498</v>
      </c>
      <c r="BY60" s="649">
        <f>BX60/$BX$81</f>
        <v>0.16117136487044662</v>
      </c>
      <c r="BZ60" s="535"/>
      <c r="CA60" s="4"/>
      <c r="CB60" s="35"/>
      <c r="CC60" s="35"/>
      <c r="CD60" s="47"/>
      <c r="CE60" s="53">
        <f>SUM(CE54:CE59)</f>
        <v>5716.6671875000002</v>
      </c>
      <c r="CF60" s="649">
        <f>CE60/$CE$81</f>
        <v>0.16192057442082672</v>
      </c>
      <c r="CG60" s="535"/>
      <c r="CH60" s="4"/>
      <c r="CI60" s="35"/>
      <c r="CJ60" s="35"/>
      <c r="CK60" s="47"/>
      <c r="CL60" s="53">
        <f>SUM(CL54:CL59)</f>
        <v>5852.2302083333334</v>
      </c>
      <c r="CM60" s="649">
        <f>CL60/$CL$81</f>
        <v>0.16164401693777644</v>
      </c>
      <c r="CN60" s="535"/>
      <c r="CO60" s="4"/>
      <c r="CP60" s="35"/>
      <c r="CQ60" s="35"/>
      <c r="CR60" s="47"/>
      <c r="CS60" s="53">
        <f>SUM(CS54:CS59)</f>
        <v>5886.1209635416672</v>
      </c>
      <c r="CT60" s="649">
        <f>CS60/$CS$81</f>
        <v>0.16168263395547053</v>
      </c>
      <c r="CU60" s="535"/>
      <c r="CV60" s="4"/>
      <c r="CW60" s="35"/>
      <c r="CX60" s="35"/>
      <c r="CY60" s="47"/>
      <c r="CZ60" s="53">
        <f>SUM(CZ54:CZ59)</f>
        <v>5682.7764322916664</v>
      </c>
      <c r="DA60" s="649">
        <f>CZ60/$CZ$81</f>
        <v>0.13849939566994535</v>
      </c>
    </row>
    <row r="61" spans="1:105" s="13" customFormat="1" ht="19.5" customHeight="1" x14ac:dyDescent="0.2">
      <c r="B61" s="29"/>
      <c r="C61" s="43"/>
      <c r="D61" s="118" t="s">
        <v>27</v>
      </c>
      <c r="E61" s="291" t="s">
        <v>21</v>
      </c>
      <c r="F61" s="289" t="s">
        <v>22</v>
      </c>
      <c r="G61" s="653"/>
      <c r="I61" s="29"/>
      <c r="J61" s="43"/>
      <c r="K61" s="118" t="s">
        <v>27</v>
      </c>
      <c r="L61" s="291" t="s">
        <v>21</v>
      </c>
      <c r="M61" s="289" t="s">
        <v>22</v>
      </c>
      <c r="N61" s="653"/>
      <c r="P61" s="29"/>
      <c r="Q61" s="43"/>
      <c r="R61" s="118" t="s">
        <v>27</v>
      </c>
      <c r="S61" s="291" t="s">
        <v>21</v>
      </c>
      <c r="T61" s="289" t="s">
        <v>22</v>
      </c>
      <c r="U61" s="653"/>
      <c r="W61" s="29"/>
      <c r="X61" s="43"/>
      <c r="Y61" s="118" t="s">
        <v>27</v>
      </c>
      <c r="Z61" s="291" t="s">
        <v>21</v>
      </c>
      <c r="AA61" s="289" t="s">
        <v>22</v>
      </c>
      <c r="AB61" s="653"/>
      <c r="AD61" s="29"/>
      <c r="AE61" s="43"/>
      <c r="AF61" s="118" t="s">
        <v>27</v>
      </c>
      <c r="AG61" s="291" t="s">
        <v>21</v>
      </c>
      <c r="AH61" s="289" t="s">
        <v>22</v>
      </c>
      <c r="AI61" s="653"/>
      <c r="AK61" s="29"/>
      <c r="AL61" s="43"/>
      <c r="AM61" s="118" t="s">
        <v>27</v>
      </c>
      <c r="AN61" s="291" t="s">
        <v>21</v>
      </c>
      <c r="AO61" s="289" t="s">
        <v>22</v>
      </c>
      <c r="AP61" s="653"/>
      <c r="AR61" s="29"/>
      <c r="AS61" s="43"/>
      <c r="AT61" s="118" t="s">
        <v>27</v>
      </c>
      <c r="AU61" s="291" t="s">
        <v>21</v>
      </c>
      <c r="AV61" s="289" t="s">
        <v>22</v>
      </c>
      <c r="AW61" s="653"/>
      <c r="AY61" s="29"/>
      <c r="AZ61" s="43"/>
      <c r="BA61" s="118" t="s">
        <v>27</v>
      </c>
      <c r="BB61" s="291" t="s">
        <v>21</v>
      </c>
      <c r="BC61" s="289" t="s">
        <v>22</v>
      </c>
      <c r="BD61" s="653"/>
      <c r="BF61" s="29"/>
      <c r="BG61" s="43"/>
      <c r="BH61" s="118" t="s">
        <v>27</v>
      </c>
      <c r="BI61" s="291" t="s">
        <v>21</v>
      </c>
      <c r="BJ61" s="289" t="s">
        <v>22</v>
      </c>
      <c r="BK61" s="653"/>
      <c r="BM61" s="29"/>
      <c r="BN61" s="43"/>
      <c r="BO61" s="118" t="s">
        <v>27</v>
      </c>
      <c r="BP61" s="291" t="s">
        <v>21</v>
      </c>
      <c r="BQ61" s="289" t="s">
        <v>22</v>
      </c>
      <c r="BR61" s="653"/>
      <c r="BT61" s="29"/>
      <c r="BU61" s="43"/>
      <c r="BV61" s="118" t="s">
        <v>27</v>
      </c>
      <c r="BW61" s="291" t="s">
        <v>21</v>
      </c>
      <c r="BX61" s="289" t="s">
        <v>22</v>
      </c>
      <c r="BY61" s="653"/>
      <c r="CA61" s="29"/>
      <c r="CB61" s="43"/>
      <c r="CC61" s="118" t="s">
        <v>27</v>
      </c>
      <c r="CD61" s="291" t="s">
        <v>21</v>
      </c>
      <c r="CE61" s="289" t="s">
        <v>22</v>
      </c>
      <c r="CF61" s="653"/>
      <c r="CH61" s="29"/>
      <c r="CI61" s="43"/>
      <c r="CJ61" s="118" t="s">
        <v>27</v>
      </c>
      <c r="CK61" s="291" t="s">
        <v>21</v>
      </c>
      <c r="CL61" s="289" t="s">
        <v>22</v>
      </c>
      <c r="CM61" s="653"/>
      <c r="CO61" s="29"/>
      <c r="CP61" s="43"/>
      <c r="CQ61" s="118" t="s">
        <v>27</v>
      </c>
      <c r="CR61" s="291" t="s">
        <v>21</v>
      </c>
      <c r="CS61" s="289" t="s">
        <v>22</v>
      </c>
      <c r="CT61" s="653"/>
      <c r="CV61" s="29"/>
      <c r="CW61" s="43"/>
      <c r="CX61" s="118" t="s">
        <v>27</v>
      </c>
      <c r="CY61" s="291" t="s">
        <v>21</v>
      </c>
      <c r="CZ61" s="289" t="s">
        <v>22</v>
      </c>
      <c r="DA61" s="653"/>
    </row>
    <row r="62" spans="1:105" s="19" customFormat="1" ht="15.75" customHeight="1" x14ac:dyDescent="0.2">
      <c r="A62" s="40" t="s">
        <v>62</v>
      </c>
      <c r="B62" s="41" t="s">
        <v>29</v>
      </c>
      <c r="C62" s="43"/>
      <c r="D62" s="349">
        <f>C49*D49</f>
        <v>0</v>
      </c>
      <c r="E62" s="44">
        <f>'Variante Vorgaben'!$C$36</f>
        <v>32.700000000000003</v>
      </c>
      <c r="F62" s="45">
        <f>D62*E62</f>
        <v>0</v>
      </c>
      <c r="G62" s="652">
        <f t="shared" ref="G62:G72" si="3">F62/$F$81</f>
        <v>0</v>
      </c>
      <c r="H62" s="40" t="s">
        <v>62</v>
      </c>
      <c r="I62" s="41" t="s">
        <v>29</v>
      </c>
      <c r="J62" s="43"/>
      <c r="K62" s="349">
        <f>J49*K49</f>
        <v>1</v>
      </c>
      <c r="L62" s="44">
        <f>'Variante Vorgaben'!$C$36</f>
        <v>32.700000000000003</v>
      </c>
      <c r="M62" s="45">
        <f>K62*L62</f>
        <v>32.700000000000003</v>
      </c>
      <c r="N62" s="652">
        <f t="shared" ref="N62:N70" si="4">M62/$M$81</f>
        <v>2.0142542891695555E-3</v>
      </c>
      <c r="O62" s="40" t="s">
        <v>62</v>
      </c>
      <c r="P62" s="41" t="s">
        <v>29</v>
      </c>
      <c r="Q62" s="43"/>
      <c r="R62" s="349">
        <f>Q49*R49</f>
        <v>2</v>
      </c>
      <c r="S62" s="44">
        <f>'Variante Vorgaben'!$C$36</f>
        <v>32.700000000000003</v>
      </c>
      <c r="T62" s="45">
        <f>R62*S62</f>
        <v>65.400000000000006</v>
      </c>
      <c r="U62" s="652">
        <f t="shared" ref="U62:U75" si="5">T62/$T$81</f>
        <v>2.1991687045672258E-3</v>
      </c>
      <c r="V62" s="40" t="s">
        <v>62</v>
      </c>
      <c r="W62" s="41" t="s">
        <v>29</v>
      </c>
      <c r="X62" s="43"/>
      <c r="Y62" s="349">
        <f>X49*Y49</f>
        <v>4</v>
      </c>
      <c r="Z62" s="44">
        <f>'Variante Vorgaben'!$C$36</f>
        <v>32.700000000000003</v>
      </c>
      <c r="AA62" s="45">
        <f>Y62*Z62</f>
        <v>130.80000000000001</v>
      </c>
      <c r="AB62" s="652">
        <f t="shared" ref="AB62:AB75" si="6">AA62/$AA$81</f>
        <v>3.929696264733969E-3</v>
      </c>
      <c r="AC62" s="40" t="s">
        <v>62</v>
      </c>
      <c r="AD62" s="41" t="s">
        <v>29</v>
      </c>
      <c r="AE62" s="43"/>
      <c r="AF62" s="349">
        <f>AE49*AF49</f>
        <v>4</v>
      </c>
      <c r="AG62" s="44">
        <f>'Variante Vorgaben'!$C$36</f>
        <v>32.700000000000003</v>
      </c>
      <c r="AH62" s="45">
        <f>AF62*AG62</f>
        <v>130.80000000000001</v>
      </c>
      <c r="AI62" s="652">
        <f t="shared" ref="AI62:AI68" si="7">AH62/$AH$81</f>
        <v>3.6979328618786389E-3</v>
      </c>
      <c r="AJ62" s="40" t="s">
        <v>62</v>
      </c>
      <c r="AK62" s="41" t="s">
        <v>29</v>
      </c>
      <c r="AL62" s="43"/>
      <c r="AM62" s="349">
        <f>AL49*AM49</f>
        <v>4</v>
      </c>
      <c r="AN62" s="44">
        <f>'Variante Vorgaben'!$C$36</f>
        <v>32.700000000000003</v>
      </c>
      <c r="AO62" s="45">
        <f>AM62*AN62</f>
        <v>130.80000000000001</v>
      </c>
      <c r="AP62" s="652">
        <f t="shared" ref="AP62:AP69" si="8">AO62/$AO$81</f>
        <v>3.4973547062092593E-3</v>
      </c>
      <c r="AQ62" s="40" t="s">
        <v>62</v>
      </c>
      <c r="AR62" s="41" t="s">
        <v>29</v>
      </c>
      <c r="AS62" s="43"/>
      <c r="AT62" s="349">
        <f>AS49*AT49</f>
        <v>4</v>
      </c>
      <c r="AU62" s="44">
        <f>'Variante Vorgaben'!$C$36</f>
        <v>32.700000000000003</v>
      </c>
      <c r="AV62" s="45">
        <f>AT62*AU62</f>
        <v>130.80000000000001</v>
      </c>
      <c r="AW62" s="652">
        <f>AV62/$AV$81</f>
        <v>3.6811188732280621E-3</v>
      </c>
      <c r="AX62" s="40" t="s">
        <v>62</v>
      </c>
      <c r="AY62" s="41" t="s">
        <v>29</v>
      </c>
      <c r="AZ62" s="43"/>
      <c r="BA62" s="349">
        <f>AZ49*BA49</f>
        <v>4</v>
      </c>
      <c r="BB62" s="44">
        <f>'Variante Vorgaben'!$C$36</f>
        <v>32.700000000000003</v>
      </c>
      <c r="BC62" s="45">
        <f>BA62*BB62</f>
        <v>130.80000000000001</v>
      </c>
      <c r="BD62" s="652">
        <f>BC62/$BC$81</f>
        <v>3.6805186970936504E-3</v>
      </c>
      <c r="BE62" s="40" t="s">
        <v>62</v>
      </c>
      <c r="BF62" s="41" t="s">
        <v>29</v>
      </c>
      <c r="BG62" s="43"/>
      <c r="BH62" s="349">
        <f>BG49*BH49</f>
        <v>4</v>
      </c>
      <c r="BI62" s="44">
        <f>'Variante Vorgaben'!$C$36</f>
        <v>32.700000000000003</v>
      </c>
      <c r="BJ62" s="45">
        <f>BH62*BI62</f>
        <v>130.80000000000001</v>
      </c>
      <c r="BK62" s="652">
        <f t="shared" ref="BK62:BK75" si="9">BJ62/$BJ$81</f>
        <v>3.340331169549965E-3</v>
      </c>
      <c r="BL62" s="40" t="s">
        <v>62</v>
      </c>
      <c r="BM62" s="41" t="s">
        <v>29</v>
      </c>
      <c r="BN62" s="43"/>
      <c r="BO62" s="349">
        <f>BN49*BO49</f>
        <v>4</v>
      </c>
      <c r="BP62" s="44">
        <f>'Variante Vorgaben'!$C$36</f>
        <v>32.700000000000003</v>
      </c>
      <c r="BQ62" s="45">
        <f>BO62*BP62</f>
        <v>130.80000000000001</v>
      </c>
      <c r="BR62" s="652">
        <f>BQ62/$BQ$81</f>
        <v>3.2920730638304964E-3</v>
      </c>
      <c r="BS62" s="40" t="s">
        <v>62</v>
      </c>
      <c r="BT62" s="41" t="s">
        <v>29</v>
      </c>
      <c r="BU62" s="43"/>
      <c r="BV62" s="349">
        <f>BU49*BV49</f>
        <v>4</v>
      </c>
      <c r="BW62" s="44">
        <f>'Variante Vorgaben'!$C$36</f>
        <v>32.700000000000003</v>
      </c>
      <c r="BX62" s="45">
        <f>BV62*BW62</f>
        <v>130.80000000000001</v>
      </c>
      <c r="BY62" s="652">
        <f>BX62/$BX$81</f>
        <v>3.5157237543253809E-3</v>
      </c>
      <c r="BZ62" s="40" t="s">
        <v>62</v>
      </c>
      <c r="CA62" s="41" t="s">
        <v>29</v>
      </c>
      <c r="CB62" s="43"/>
      <c r="CC62" s="349">
        <f>CB49*CC49</f>
        <v>4</v>
      </c>
      <c r="CD62" s="44">
        <f>'Variante Vorgaben'!$C$36</f>
        <v>32.700000000000003</v>
      </c>
      <c r="CE62" s="45">
        <f>CC62*CD62</f>
        <v>130.80000000000001</v>
      </c>
      <c r="CF62" s="652">
        <f>CE62/$CE$81</f>
        <v>3.7048179366737251E-3</v>
      </c>
      <c r="CG62" s="40" t="s">
        <v>62</v>
      </c>
      <c r="CH62" s="41" t="s">
        <v>29</v>
      </c>
      <c r="CI62" s="43"/>
      <c r="CJ62" s="349">
        <f>CI49*CJ49</f>
        <v>4</v>
      </c>
      <c r="CK62" s="44">
        <f>'Variante Vorgaben'!$C$36</f>
        <v>32.700000000000003</v>
      </c>
      <c r="CL62" s="45">
        <f>CJ62*CK62</f>
        <v>130.80000000000001</v>
      </c>
      <c r="CM62" s="652">
        <f t="shared" ref="CM62:CM75" si="10">CL62/$CL$81</f>
        <v>3.6128171078018E-3</v>
      </c>
      <c r="CN62" s="40" t="s">
        <v>62</v>
      </c>
      <c r="CO62" s="41" t="s">
        <v>29</v>
      </c>
      <c r="CP62" s="43"/>
      <c r="CQ62" s="349">
        <f>CP49*CQ49</f>
        <v>4</v>
      </c>
      <c r="CR62" s="44">
        <f>'Variante Vorgaben'!$C$36</f>
        <v>32.700000000000003</v>
      </c>
      <c r="CS62" s="45">
        <f>CQ62*CR62</f>
        <v>130.80000000000001</v>
      </c>
      <c r="CT62" s="652">
        <f t="shared" ref="CT62:CT75" si="11">CS62/$CS$81</f>
        <v>3.5928735838705538E-3</v>
      </c>
      <c r="CU62" s="40" t="s">
        <v>62</v>
      </c>
      <c r="CV62" s="41" t="s">
        <v>29</v>
      </c>
      <c r="CW62" s="43"/>
      <c r="CX62" s="349">
        <f>CW49*CX49</f>
        <v>4</v>
      </c>
      <c r="CY62" s="44">
        <f>'Variante Vorgaben'!$C$36</f>
        <v>32.700000000000003</v>
      </c>
      <c r="CZ62" s="45">
        <f>CX62*CY62</f>
        <v>130.80000000000001</v>
      </c>
      <c r="DA62" s="652">
        <f t="shared" ref="DA62:DA69" si="12">CZ62/$CZ$81</f>
        <v>3.1878292537937149E-3</v>
      </c>
    </row>
    <row r="63" spans="1:105" s="1" customFormat="1" ht="12.75" x14ac:dyDescent="0.2">
      <c r="A63" s="231"/>
      <c r="B63" s="41" t="s">
        <v>147</v>
      </c>
      <c r="C63" s="19"/>
      <c r="D63" s="39">
        <f>((C47*D47)+(C48*D48))+'Variante Vorgaben'!$B$93+'Variante Vorgaben'!$C$93</f>
        <v>28</v>
      </c>
      <c r="E63" s="44">
        <f>'Variante Vorgaben'!$C$36</f>
        <v>32.700000000000003</v>
      </c>
      <c r="F63" s="45">
        <f>D63*E63</f>
        <v>915.60000000000014</v>
      </c>
      <c r="G63" s="652">
        <f t="shared" si="3"/>
        <v>7.1812347957887185E-2</v>
      </c>
      <c r="H63" s="231"/>
      <c r="I63" s="41" t="s">
        <v>147</v>
      </c>
      <c r="J63" s="19"/>
      <c r="K63" s="39">
        <f>((J47*K47)+(J48*K48))+'Variante Vorgaben'!$B$93+'Variante Vorgaben'!$C$93</f>
        <v>28</v>
      </c>
      <c r="L63" s="44">
        <f>'Variante Vorgaben'!$C$36</f>
        <v>32.700000000000003</v>
      </c>
      <c r="M63" s="45">
        <f>K63*L63</f>
        <v>915.60000000000014</v>
      </c>
      <c r="N63" s="652">
        <f t="shared" si="4"/>
        <v>5.6399120096747565E-2</v>
      </c>
      <c r="O63" s="231"/>
      <c r="P63" s="41" t="s">
        <v>147</v>
      </c>
      <c r="Q63" s="19"/>
      <c r="R63" s="39">
        <f>((Q47*R47)+(Q48*R48))+'Variante Vorgaben'!$B$93+'Variante Vorgaben'!$C$93</f>
        <v>48</v>
      </c>
      <c r="S63" s="44">
        <f>'Variante Vorgaben'!$C$36</f>
        <v>32.700000000000003</v>
      </c>
      <c r="T63" s="45">
        <f>R63*S63</f>
        <v>1569.6000000000001</v>
      </c>
      <c r="U63" s="652">
        <f t="shared" si="5"/>
        <v>5.2780048909613422E-2</v>
      </c>
      <c r="V63" s="231"/>
      <c r="W63" s="41" t="s">
        <v>147</v>
      </c>
      <c r="X63" s="19"/>
      <c r="Y63" s="39">
        <f>((X47*Y47)+(X48*Y48))+'Variante Vorgaben'!$B$93+'Variante Vorgaben'!$C$93</f>
        <v>48</v>
      </c>
      <c r="Z63" s="44">
        <f>'Variante Vorgaben'!$C$36</f>
        <v>32.700000000000003</v>
      </c>
      <c r="AA63" s="45">
        <f>Y63*Z63</f>
        <v>1569.6000000000001</v>
      </c>
      <c r="AB63" s="652">
        <f t="shared" si="6"/>
        <v>4.7156355176807621E-2</v>
      </c>
      <c r="AC63" s="231"/>
      <c r="AD63" s="41" t="s">
        <v>147</v>
      </c>
      <c r="AE63" s="19"/>
      <c r="AF63" s="39">
        <f>((AE47*AF47)+(AE48*AF48))+'Variante Vorgaben'!$B$93+'Variante Vorgaben'!$C$93</f>
        <v>48</v>
      </c>
      <c r="AG63" s="44">
        <f>'Variante Vorgaben'!$C$36</f>
        <v>32.700000000000003</v>
      </c>
      <c r="AH63" s="45">
        <f>AF63*AG63</f>
        <v>1569.6000000000001</v>
      </c>
      <c r="AI63" s="652">
        <f t="shared" si="7"/>
        <v>4.4375194342543667E-2</v>
      </c>
      <c r="AJ63" s="231"/>
      <c r="AK63" s="41" t="s">
        <v>147</v>
      </c>
      <c r="AL63" s="19"/>
      <c r="AM63" s="39">
        <f>((AL47*AM47)+(AL48*AM48))+'Variante Vorgaben'!$B$93+'Variante Vorgaben'!$C$93</f>
        <v>48</v>
      </c>
      <c r="AN63" s="44">
        <f>'Variante Vorgaben'!$C$36</f>
        <v>32.700000000000003</v>
      </c>
      <c r="AO63" s="45">
        <f>AM63*AN63</f>
        <v>1569.6000000000001</v>
      </c>
      <c r="AP63" s="652">
        <f t="shared" si="8"/>
        <v>4.1968256474511113E-2</v>
      </c>
      <c r="AQ63" s="231"/>
      <c r="AR63" s="41" t="s">
        <v>147</v>
      </c>
      <c r="AS63" s="19"/>
      <c r="AT63" s="39">
        <f>((AS47*AT47)+(AS48*AT48))+'Variante Vorgaben'!$B$93+'Variante Vorgaben'!$C$93</f>
        <v>48</v>
      </c>
      <c r="AU63" s="44">
        <f>'Variante Vorgaben'!$C$36</f>
        <v>32.700000000000003</v>
      </c>
      <c r="AV63" s="45">
        <f>AT63*AU63</f>
        <v>1569.6000000000001</v>
      </c>
      <c r="AW63" s="652">
        <f>AV63/$AV$81</f>
        <v>4.4173426478736739E-2</v>
      </c>
      <c r="AX63" s="231"/>
      <c r="AY63" s="41" t="s">
        <v>147</v>
      </c>
      <c r="AZ63" s="19"/>
      <c r="BA63" s="39">
        <f>((AZ47*BA47)+(AZ48*BA48))+'Variante Vorgaben'!$B$93+'Variante Vorgaben'!$C$93</f>
        <v>48</v>
      </c>
      <c r="BB63" s="44">
        <f>'Variante Vorgaben'!$C$36</f>
        <v>32.700000000000003</v>
      </c>
      <c r="BC63" s="45">
        <f>BA63*BB63</f>
        <v>1569.6000000000001</v>
      </c>
      <c r="BD63" s="652">
        <f>BC63/$BC$81</f>
        <v>4.4166224365123803E-2</v>
      </c>
      <c r="BE63" s="231"/>
      <c r="BF63" s="41" t="s">
        <v>147</v>
      </c>
      <c r="BG63" s="19"/>
      <c r="BH63" s="39">
        <f>((BG47*BH47)+(BG48*BH48))+'Variante Vorgaben'!$B$93+'Variante Vorgaben'!$C$93</f>
        <v>48</v>
      </c>
      <c r="BI63" s="44">
        <f>'Variante Vorgaben'!$C$36</f>
        <v>32.700000000000003</v>
      </c>
      <c r="BJ63" s="45">
        <f>BH63*BI63</f>
        <v>1569.6000000000001</v>
      </c>
      <c r="BK63" s="652">
        <f t="shared" si="9"/>
        <v>4.0083974034599575E-2</v>
      </c>
      <c r="BL63" s="231"/>
      <c r="BM63" s="41" t="s">
        <v>147</v>
      </c>
      <c r="BN63" s="19"/>
      <c r="BO63" s="39">
        <f>((BN47*BO47)+(BN48*BO48))+'Variante Vorgaben'!$B$93+'Variante Vorgaben'!$C$93</f>
        <v>48</v>
      </c>
      <c r="BP63" s="44">
        <f>'Variante Vorgaben'!$C$36</f>
        <v>32.700000000000003</v>
      </c>
      <c r="BQ63" s="45">
        <f>BO63*BP63</f>
        <v>1569.6000000000001</v>
      </c>
      <c r="BR63" s="652">
        <f>BQ63/$BQ$81</f>
        <v>3.9504876765965952E-2</v>
      </c>
      <c r="BS63" s="231"/>
      <c r="BT63" s="41" t="s">
        <v>147</v>
      </c>
      <c r="BU63" s="19"/>
      <c r="BV63" s="39">
        <f>((BU47*BV47)+(BU48*BV48))+'Variante Vorgaben'!$B$93+'Variante Vorgaben'!$C$93</f>
        <v>48</v>
      </c>
      <c r="BW63" s="44">
        <f>'Variante Vorgaben'!$C$36</f>
        <v>32.700000000000003</v>
      </c>
      <c r="BX63" s="45">
        <f>BV63*BW63</f>
        <v>1569.6000000000001</v>
      </c>
      <c r="BY63" s="652">
        <f>BX63/$BX$81</f>
        <v>4.2188685051904568E-2</v>
      </c>
      <c r="BZ63" s="231"/>
      <c r="CA63" s="41" t="s">
        <v>147</v>
      </c>
      <c r="CB63" s="19"/>
      <c r="CC63" s="39">
        <f>((CB47*CC47)+(CB48*CC48))+'Variante Vorgaben'!$B$93+'Variante Vorgaben'!$C$93</f>
        <v>48</v>
      </c>
      <c r="CD63" s="44">
        <f>'Variante Vorgaben'!$C$36</f>
        <v>32.700000000000003</v>
      </c>
      <c r="CE63" s="45">
        <f>CC63*CD63</f>
        <v>1569.6000000000001</v>
      </c>
      <c r="CF63" s="652">
        <f>CE63/$CE$81</f>
        <v>4.44578152400847E-2</v>
      </c>
      <c r="CG63" s="231"/>
      <c r="CH63" s="41" t="s">
        <v>147</v>
      </c>
      <c r="CI63" s="19"/>
      <c r="CJ63" s="39">
        <f>((CI47*CJ47)+(CI48*CJ48))+'Variante Vorgaben'!$B$93+'Variante Vorgaben'!$C$93</f>
        <v>48</v>
      </c>
      <c r="CK63" s="44">
        <f>'Variante Vorgaben'!$C$36</f>
        <v>32.700000000000003</v>
      </c>
      <c r="CL63" s="45">
        <f>CJ63*CK63</f>
        <v>1569.6000000000001</v>
      </c>
      <c r="CM63" s="652">
        <f t="shared" si="10"/>
        <v>4.3353805293621601E-2</v>
      </c>
      <c r="CN63" s="231"/>
      <c r="CO63" s="41" t="s">
        <v>147</v>
      </c>
      <c r="CP63" s="19"/>
      <c r="CQ63" s="39">
        <f>((CP47*CQ47)+(CP48*CQ48))+'Variante Vorgaben'!$B$93+'Variante Vorgaben'!$C$93</f>
        <v>48</v>
      </c>
      <c r="CR63" s="44">
        <f>'Variante Vorgaben'!$C$36</f>
        <v>32.700000000000003</v>
      </c>
      <c r="CS63" s="45">
        <f>CQ63*CR63</f>
        <v>1569.6000000000001</v>
      </c>
      <c r="CT63" s="652">
        <f t="shared" si="11"/>
        <v>4.3114483006446651E-2</v>
      </c>
      <c r="CU63" s="231"/>
      <c r="CV63" s="41" t="s">
        <v>147</v>
      </c>
      <c r="CW63" s="19"/>
      <c r="CX63" s="39">
        <f>((CW47*CX47)+(CW48*CX48))+'Variante Vorgaben'!$B$93+'Variante Vorgaben'!$C$93</f>
        <v>48</v>
      </c>
      <c r="CY63" s="44">
        <f>'Variante Vorgaben'!$C$36</f>
        <v>32.700000000000003</v>
      </c>
      <c r="CZ63" s="45">
        <f>CX63*CY63</f>
        <v>1569.6000000000001</v>
      </c>
      <c r="DA63" s="652">
        <f t="shared" si="12"/>
        <v>3.8253951045524578E-2</v>
      </c>
    </row>
    <row r="64" spans="1:105" s="1" customFormat="1" ht="12.75" x14ac:dyDescent="0.2">
      <c r="A64" s="231"/>
      <c r="B64" s="41" t="str">
        <f>'Variante Vorgaben'!$D$90</f>
        <v>Baumerziehung 
(Sommer+Winter)</v>
      </c>
      <c r="C64" s="43"/>
      <c r="D64" s="39">
        <f>'Variante Vorgaben'!D94</f>
        <v>50</v>
      </c>
      <c r="E64" s="44">
        <f>'Variante Vorgaben'!$C$36</f>
        <v>32.700000000000003</v>
      </c>
      <c r="F64" s="45">
        <f>D64*E64</f>
        <v>1635.0000000000002</v>
      </c>
      <c r="G64" s="652">
        <f t="shared" si="3"/>
        <v>0.12823633563908426</v>
      </c>
      <c r="H64" s="231"/>
      <c r="I64" s="41" t="str">
        <f>'Variante Vorgaben'!$D$90</f>
        <v>Baumerziehung 
(Sommer+Winter)</v>
      </c>
      <c r="J64" s="43"/>
      <c r="K64" s="39">
        <f>'Variante Vorgaben'!D95</f>
        <v>50</v>
      </c>
      <c r="L64" s="44">
        <f>'Variante Vorgaben'!$C$36</f>
        <v>32.700000000000003</v>
      </c>
      <c r="M64" s="45">
        <f>K64*L64</f>
        <v>1635.0000000000002</v>
      </c>
      <c r="N64" s="652">
        <f t="shared" si="4"/>
        <v>0.10071271445847779</v>
      </c>
      <c r="O64" s="231"/>
      <c r="P64" s="41" t="str">
        <f>'Variante Vorgaben'!$D$90</f>
        <v>Baumerziehung 
(Sommer+Winter)</v>
      </c>
      <c r="Q64" s="43"/>
      <c r="R64" s="39">
        <f>'Variante Vorgaben'!D93</f>
        <v>120</v>
      </c>
      <c r="S64" s="44">
        <f>'Variante Vorgaben'!$C$36</f>
        <v>32.700000000000003</v>
      </c>
      <c r="T64" s="45">
        <f>R64*S64</f>
        <v>3924.0000000000005</v>
      </c>
      <c r="U64" s="652">
        <f t="shared" si="5"/>
        <v>0.13195012227403355</v>
      </c>
      <c r="V64" s="231"/>
      <c r="W64" s="41" t="str">
        <f>'Variante Vorgaben'!$D$90</f>
        <v>Baumerziehung 
(Sommer+Winter)</v>
      </c>
      <c r="X64" s="43"/>
      <c r="Y64" s="39">
        <f>'Variante Vorgaben'!$D$93</f>
        <v>120</v>
      </c>
      <c r="Z64" s="44">
        <f>'Variante Vorgaben'!$C$36</f>
        <v>32.700000000000003</v>
      </c>
      <c r="AA64" s="45">
        <f>Y64*Z64</f>
        <v>3924.0000000000005</v>
      </c>
      <c r="AB64" s="652">
        <f t="shared" si="6"/>
        <v>0.11789088794201906</v>
      </c>
      <c r="AC64" s="231"/>
      <c r="AD64" s="41" t="str">
        <f>'Variante Vorgaben'!$D$90</f>
        <v>Baumerziehung 
(Sommer+Winter)</v>
      </c>
      <c r="AE64" s="43"/>
      <c r="AF64" s="39">
        <f>'Variante Vorgaben'!$D$93</f>
        <v>120</v>
      </c>
      <c r="AG64" s="44">
        <f>'Variante Vorgaben'!$C$36</f>
        <v>32.700000000000003</v>
      </c>
      <c r="AH64" s="45">
        <f>AF64*AG64</f>
        <v>3924.0000000000005</v>
      </c>
      <c r="AI64" s="652">
        <f t="shared" si="7"/>
        <v>0.11093798585635918</v>
      </c>
      <c r="AJ64" s="231"/>
      <c r="AK64" s="41" t="str">
        <f>'Variante Vorgaben'!$D$90</f>
        <v>Baumerziehung 
(Sommer+Winter)</v>
      </c>
      <c r="AL64" s="43"/>
      <c r="AM64" s="39">
        <f>'Variante Vorgaben'!$D$93</f>
        <v>120</v>
      </c>
      <c r="AN64" s="44">
        <f>'Variante Vorgaben'!$C$36</f>
        <v>32.700000000000003</v>
      </c>
      <c r="AO64" s="45">
        <f>AM64*AN64</f>
        <v>3924.0000000000005</v>
      </c>
      <c r="AP64" s="652">
        <f t="shared" si="8"/>
        <v>0.10492064118627778</v>
      </c>
      <c r="AQ64" s="231"/>
      <c r="AR64" s="41" t="str">
        <f>'Variante Vorgaben'!$D$90</f>
        <v>Baumerziehung 
(Sommer+Winter)</v>
      </c>
      <c r="AS64" s="43"/>
      <c r="AT64" s="39">
        <f>'Variante Vorgaben'!$D$93</f>
        <v>120</v>
      </c>
      <c r="AU64" s="44">
        <f>'Variante Vorgaben'!$C$36</f>
        <v>32.700000000000003</v>
      </c>
      <c r="AV64" s="45">
        <f>AT64*AU64</f>
        <v>3924.0000000000005</v>
      </c>
      <c r="AW64" s="652">
        <f t="shared" ref="AW64:AW69" si="13">AV64/$AV$81</f>
        <v>0.11043356619684186</v>
      </c>
      <c r="AX64" s="231"/>
      <c r="AY64" s="41" t="str">
        <f>'Variante Vorgaben'!$D$90</f>
        <v>Baumerziehung 
(Sommer+Winter)</v>
      </c>
      <c r="AZ64" s="43"/>
      <c r="BA64" s="39">
        <f>'Variante Vorgaben'!$D$93</f>
        <v>120</v>
      </c>
      <c r="BB64" s="44">
        <f>'Variante Vorgaben'!$C$36</f>
        <v>32.700000000000003</v>
      </c>
      <c r="BC64" s="45">
        <f>BA64*BB64</f>
        <v>3924.0000000000005</v>
      </c>
      <c r="BD64" s="652">
        <f t="shared" ref="BD64:BD71" si="14">BC64/$BC$81</f>
        <v>0.1104155609128095</v>
      </c>
      <c r="BE64" s="231"/>
      <c r="BF64" s="41" t="str">
        <f>'Variante Vorgaben'!$D$90</f>
        <v>Baumerziehung 
(Sommer+Winter)</v>
      </c>
      <c r="BG64" s="43"/>
      <c r="BH64" s="39">
        <f>'Variante Vorgaben'!$D$93</f>
        <v>120</v>
      </c>
      <c r="BI64" s="44">
        <f>'Variante Vorgaben'!$C$36</f>
        <v>32.700000000000003</v>
      </c>
      <c r="BJ64" s="45">
        <f>BH64*BI64</f>
        <v>3924.0000000000005</v>
      </c>
      <c r="BK64" s="652">
        <f t="shared" si="9"/>
        <v>0.10020993508649895</v>
      </c>
      <c r="BL64" s="231"/>
      <c r="BM64" s="41" t="str">
        <f>'Variante Vorgaben'!$D$90</f>
        <v>Baumerziehung 
(Sommer+Winter)</v>
      </c>
      <c r="BN64" s="43"/>
      <c r="BO64" s="39">
        <f>'Variante Vorgaben'!$D$93</f>
        <v>120</v>
      </c>
      <c r="BP64" s="44">
        <f>'Variante Vorgaben'!$C$36</f>
        <v>32.700000000000003</v>
      </c>
      <c r="BQ64" s="45">
        <f>BO64*BP64</f>
        <v>3924.0000000000005</v>
      </c>
      <c r="BR64" s="652">
        <f t="shared" ref="BR64:BR69" si="15">BQ64/$BQ$81</f>
        <v>9.8762191914914893E-2</v>
      </c>
      <c r="BS64" s="231"/>
      <c r="BT64" s="41" t="str">
        <f>'Variante Vorgaben'!$D$90</f>
        <v>Baumerziehung 
(Sommer+Winter)</v>
      </c>
      <c r="BU64" s="43"/>
      <c r="BV64" s="39">
        <f>'Variante Vorgaben'!$D$93</f>
        <v>120</v>
      </c>
      <c r="BW64" s="44">
        <f>'Variante Vorgaben'!$C$36</f>
        <v>32.700000000000003</v>
      </c>
      <c r="BX64" s="45">
        <f>BV64*BW64</f>
        <v>3924.0000000000005</v>
      </c>
      <c r="BY64" s="652">
        <f>BX64/$BX$81</f>
        <v>0.10547171262976143</v>
      </c>
      <c r="BZ64" s="231"/>
      <c r="CA64" s="41" t="str">
        <f>'Variante Vorgaben'!$D$90</f>
        <v>Baumerziehung 
(Sommer+Winter)</v>
      </c>
      <c r="CB64" s="43"/>
      <c r="CC64" s="39">
        <f>'Variante Vorgaben'!$D$93</f>
        <v>120</v>
      </c>
      <c r="CD64" s="44">
        <f>'Variante Vorgaben'!$C$36</f>
        <v>32.700000000000003</v>
      </c>
      <c r="CE64" s="45">
        <f>CC64*CD64</f>
        <v>3924.0000000000005</v>
      </c>
      <c r="CF64" s="652">
        <f t="shared" ref="CF64:CF71" si="16">CE64/$CE$81</f>
        <v>0.11114453810021176</v>
      </c>
      <c r="CG64" s="231"/>
      <c r="CH64" s="41" t="str">
        <f>'Variante Vorgaben'!$D$90</f>
        <v>Baumerziehung 
(Sommer+Winter)</v>
      </c>
      <c r="CI64" s="43"/>
      <c r="CJ64" s="39">
        <f>'Variante Vorgaben'!$D$93</f>
        <v>120</v>
      </c>
      <c r="CK64" s="44">
        <f>'Variante Vorgaben'!$C$36</f>
        <v>32.700000000000003</v>
      </c>
      <c r="CL64" s="45">
        <f>CJ64*CK64</f>
        <v>3924.0000000000005</v>
      </c>
      <c r="CM64" s="652">
        <f t="shared" si="10"/>
        <v>0.10838451323405401</v>
      </c>
      <c r="CN64" s="231"/>
      <c r="CO64" s="41" t="str">
        <f>'Variante Vorgaben'!$D$90</f>
        <v>Baumerziehung 
(Sommer+Winter)</v>
      </c>
      <c r="CP64" s="43"/>
      <c r="CQ64" s="39">
        <f>'Variante Vorgaben'!$D$93</f>
        <v>120</v>
      </c>
      <c r="CR64" s="44">
        <f>'Variante Vorgaben'!$C$36</f>
        <v>32.700000000000003</v>
      </c>
      <c r="CS64" s="45">
        <f>CQ64*CR64</f>
        <v>3924.0000000000005</v>
      </c>
      <c r="CT64" s="652">
        <f t="shared" si="11"/>
        <v>0.10778620751611662</v>
      </c>
      <c r="CU64" s="231"/>
      <c r="CV64" s="41" t="str">
        <f>'Variante Vorgaben'!$D$90</f>
        <v>Baumerziehung 
(Sommer+Winter)</v>
      </c>
      <c r="CW64" s="43"/>
      <c r="CX64" s="39">
        <f>'Variante Vorgaben'!$D$93</f>
        <v>120</v>
      </c>
      <c r="CY64" s="44">
        <f>'Variante Vorgaben'!$C$36</f>
        <v>32.700000000000003</v>
      </c>
      <c r="CZ64" s="45">
        <f>CX64*CY64</f>
        <v>3924.0000000000005</v>
      </c>
      <c r="DA64" s="652">
        <f t="shared" si="12"/>
        <v>9.5634877613811439E-2</v>
      </c>
    </row>
    <row r="65" spans="1:106" s="1" customFormat="1" ht="12.75" x14ac:dyDescent="0.2">
      <c r="A65" s="40"/>
      <c r="B65" s="41" t="s">
        <v>96</v>
      </c>
      <c r="C65" s="43"/>
      <c r="D65" s="349">
        <f>(C52*D52)+(C53*D53)</f>
        <v>7</v>
      </c>
      <c r="E65" s="44">
        <f>'Variante Vorgaben'!$C$36</f>
        <v>32.700000000000003</v>
      </c>
      <c r="F65" s="45">
        <f>D65*E65</f>
        <v>228.90000000000003</v>
      </c>
      <c r="G65" s="652">
        <f t="shared" si="3"/>
        <v>1.7953086989471796E-2</v>
      </c>
      <c r="H65" s="40"/>
      <c r="I65" s="41" t="s">
        <v>96</v>
      </c>
      <c r="J65" s="43"/>
      <c r="K65" s="349">
        <f>(J52*K52)+(J53*K53)</f>
        <v>7</v>
      </c>
      <c r="L65" s="44">
        <f>'Variante Vorgaben'!$C$36</f>
        <v>32.700000000000003</v>
      </c>
      <c r="M65" s="45">
        <f>K65*L65</f>
        <v>228.90000000000003</v>
      </c>
      <c r="N65" s="652">
        <f t="shared" si="4"/>
        <v>1.4099780024186891E-2</v>
      </c>
      <c r="O65" s="40"/>
      <c r="P65" s="41" t="s">
        <v>96</v>
      </c>
      <c r="Q65" s="43"/>
      <c r="R65" s="349">
        <f>(Q52*R52)+(Q53*R53)</f>
        <v>7</v>
      </c>
      <c r="S65" s="44">
        <f>'Variante Vorgaben'!$C$36</f>
        <v>32.700000000000003</v>
      </c>
      <c r="T65" s="45">
        <f>R65*S65</f>
        <v>228.90000000000003</v>
      </c>
      <c r="U65" s="652">
        <f t="shared" si="5"/>
        <v>7.6970904659852913E-3</v>
      </c>
      <c r="V65" s="40"/>
      <c r="W65" s="41" t="s">
        <v>96</v>
      </c>
      <c r="X65" s="43"/>
      <c r="Y65" s="349">
        <f>(X52*Y52)+(X53*Y53)</f>
        <v>9</v>
      </c>
      <c r="Z65" s="44">
        <f>'Variante Vorgaben'!$C$36</f>
        <v>32.700000000000003</v>
      </c>
      <c r="AA65" s="45">
        <f>Y65*Z65</f>
        <v>294.3</v>
      </c>
      <c r="AB65" s="652">
        <f t="shared" si="6"/>
        <v>8.8418165956514281E-3</v>
      </c>
      <c r="AC65" s="40"/>
      <c r="AD65" s="41" t="s">
        <v>96</v>
      </c>
      <c r="AE65" s="43"/>
      <c r="AF65" s="349">
        <f>(AE52*AF52)+(AE53*AF53)</f>
        <v>9</v>
      </c>
      <c r="AG65" s="44">
        <f>'Variante Vorgaben'!$C$36</f>
        <v>32.700000000000003</v>
      </c>
      <c r="AH65" s="45">
        <f>AF65*AG65</f>
        <v>294.3</v>
      </c>
      <c r="AI65" s="652">
        <f t="shared" si="7"/>
        <v>8.3203489392269375E-3</v>
      </c>
      <c r="AJ65" s="40"/>
      <c r="AK65" s="41" t="s">
        <v>96</v>
      </c>
      <c r="AL65" s="43"/>
      <c r="AM65" s="349">
        <f>(AL52*AM52)+(AL53*AM53)</f>
        <v>9</v>
      </c>
      <c r="AN65" s="44">
        <f>'Variante Vorgaben'!$C$36</f>
        <v>32.700000000000003</v>
      </c>
      <c r="AO65" s="45">
        <f>AM65*AN65</f>
        <v>294.3</v>
      </c>
      <c r="AP65" s="652">
        <f t="shared" si="8"/>
        <v>7.8690480889708325E-3</v>
      </c>
      <c r="AQ65" s="40"/>
      <c r="AR65" s="41" t="s">
        <v>96</v>
      </c>
      <c r="AS65" s="43"/>
      <c r="AT65" s="349">
        <f>(AS52*AT52)+(AS53*AT53)</f>
        <v>9</v>
      </c>
      <c r="AU65" s="44">
        <f>'Variante Vorgaben'!$C$36</f>
        <v>32.700000000000003</v>
      </c>
      <c r="AV65" s="45">
        <f>AT65*AU65</f>
        <v>294.3</v>
      </c>
      <c r="AW65" s="652">
        <f t="shared" si="13"/>
        <v>8.2825174647631391E-3</v>
      </c>
      <c r="AX65" s="40"/>
      <c r="AY65" s="41" t="s">
        <v>96</v>
      </c>
      <c r="AZ65" s="43"/>
      <c r="BA65" s="349">
        <f>(AZ52*BA52)+(AZ53*BA53)</f>
        <v>9</v>
      </c>
      <c r="BB65" s="44">
        <f>'Variante Vorgaben'!$C$36</f>
        <v>32.700000000000003</v>
      </c>
      <c r="BC65" s="45">
        <f>BA65*BB65</f>
        <v>294.3</v>
      </c>
      <c r="BD65" s="652">
        <f t="shared" si="14"/>
        <v>8.2811670684607135E-3</v>
      </c>
      <c r="BE65" s="40"/>
      <c r="BF65" s="41" t="s">
        <v>96</v>
      </c>
      <c r="BG65" s="43"/>
      <c r="BH65" s="349">
        <f>(BG52*BH52)+(BG53*BH53)</f>
        <v>9</v>
      </c>
      <c r="BI65" s="44">
        <f>'Variante Vorgaben'!$C$36</f>
        <v>32.700000000000003</v>
      </c>
      <c r="BJ65" s="45">
        <f>BH65*BI65</f>
        <v>294.3</v>
      </c>
      <c r="BK65" s="652">
        <f t="shared" si="9"/>
        <v>7.5157451314874207E-3</v>
      </c>
      <c r="BL65" s="40"/>
      <c r="BM65" s="41" t="s">
        <v>96</v>
      </c>
      <c r="BN65" s="43"/>
      <c r="BO65" s="349">
        <f>(BN52*BO52)+(BN53*BO53)</f>
        <v>9</v>
      </c>
      <c r="BP65" s="44">
        <f>'Variante Vorgaben'!$C$36</f>
        <v>32.700000000000003</v>
      </c>
      <c r="BQ65" s="45">
        <f>BO65*BP65</f>
        <v>294.3</v>
      </c>
      <c r="BR65" s="652">
        <f t="shared" si="15"/>
        <v>7.4071643936186159E-3</v>
      </c>
      <c r="BS65" s="40"/>
      <c r="BT65" s="41" t="s">
        <v>96</v>
      </c>
      <c r="BU65" s="43"/>
      <c r="BV65" s="349">
        <f>(BU52*BV52)+(BU53*BV53)</f>
        <v>9</v>
      </c>
      <c r="BW65" s="44">
        <f>'Variante Vorgaben'!$C$36</f>
        <v>32.700000000000003</v>
      </c>
      <c r="BX65" s="45">
        <f>BV65*BW65</f>
        <v>294.3</v>
      </c>
      <c r="BY65" s="652">
        <f t="shared" ref="BY65:BY72" si="17">BX65/$BX$81</f>
        <v>7.9103784472321064E-3</v>
      </c>
      <c r="BZ65" s="40"/>
      <c r="CA65" s="41" t="s">
        <v>96</v>
      </c>
      <c r="CB65" s="43"/>
      <c r="CC65" s="349">
        <f>(CB52*CC52)+(CB53*CC53)</f>
        <v>9</v>
      </c>
      <c r="CD65" s="44">
        <f>'Variante Vorgaben'!$C$36</f>
        <v>32.700000000000003</v>
      </c>
      <c r="CE65" s="45">
        <f>CC65*CD65</f>
        <v>294.3</v>
      </c>
      <c r="CF65" s="652">
        <f t="shared" si="16"/>
        <v>8.3358403575158804E-3</v>
      </c>
      <c r="CG65" s="40"/>
      <c r="CH65" s="41" t="s">
        <v>96</v>
      </c>
      <c r="CI65" s="43"/>
      <c r="CJ65" s="349">
        <f>(CI52*CJ52)+(CI53*CJ53)</f>
        <v>9</v>
      </c>
      <c r="CK65" s="44">
        <f>'Variante Vorgaben'!$C$36</f>
        <v>32.700000000000003</v>
      </c>
      <c r="CL65" s="45">
        <f>CJ65*CK65</f>
        <v>294.3</v>
      </c>
      <c r="CM65" s="652">
        <f t="shared" si="10"/>
        <v>8.1288384925540507E-3</v>
      </c>
      <c r="CN65" s="40"/>
      <c r="CO65" s="41" t="s">
        <v>96</v>
      </c>
      <c r="CP65" s="43"/>
      <c r="CQ65" s="349">
        <f>(CP52*CQ52)+(CP53*CQ53)</f>
        <v>9</v>
      </c>
      <c r="CR65" s="44">
        <f>'Variante Vorgaben'!$C$36</f>
        <v>32.700000000000003</v>
      </c>
      <c r="CS65" s="45">
        <f>CQ65*CR65</f>
        <v>294.3</v>
      </c>
      <c r="CT65" s="652">
        <f t="shared" si="11"/>
        <v>8.0839655637087466E-3</v>
      </c>
      <c r="CU65" s="40"/>
      <c r="CV65" s="41" t="s">
        <v>96</v>
      </c>
      <c r="CW65" s="43"/>
      <c r="CX65" s="349">
        <f>(CW52*CX52)+(CW53*CX53)</f>
        <v>9</v>
      </c>
      <c r="CY65" s="44">
        <f>'Variante Vorgaben'!$C$36</f>
        <v>32.700000000000003</v>
      </c>
      <c r="CZ65" s="45">
        <f>CX65*CY65</f>
        <v>294.3</v>
      </c>
      <c r="DA65" s="652">
        <f t="shared" si="12"/>
        <v>7.1726158210358576E-3</v>
      </c>
    </row>
    <row r="66" spans="1:106" s="1" customFormat="1" ht="12.75" x14ac:dyDescent="0.2">
      <c r="A66" s="40"/>
      <c r="B66" s="304" t="str">
        <f>'Variante Vorgaben'!$E$90</f>
        <v>Behangsregulierung (von Hand)</v>
      </c>
      <c r="C66" s="19"/>
      <c r="D66" s="39">
        <f>'Variante Vorgaben'!E94</f>
        <v>0</v>
      </c>
      <c r="E66" s="44">
        <f>'Variante Vorgaben'!$C$37</f>
        <v>22.5</v>
      </c>
      <c r="F66" s="45">
        <f>D66*E66</f>
        <v>0</v>
      </c>
      <c r="G66" s="652">
        <f t="shared" si="3"/>
        <v>0</v>
      </c>
      <c r="H66" s="40"/>
      <c r="I66" s="304" t="str">
        <f>'Variante Vorgaben'!$E$90</f>
        <v>Behangsregulierung (von Hand)</v>
      </c>
      <c r="J66" s="19"/>
      <c r="K66" s="39">
        <f>'Variante Vorgaben'!E95</f>
        <v>20</v>
      </c>
      <c r="L66" s="44">
        <f>'Variante Vorgaben'!$C$37</f>
        <v>22.5</v>
      </c>
      <c r="M66" s="45">
        <f>K66*L66</f>
        <v>450</v>
      </c>
      <c r="N66" s="652">
        <f t="shared" si="4"/>
        <v>2.771909572251682E-2</v>
      </c>
      <c r="O66" s="40"/>
      <c r="P66" s="304" t="str">
        <f>'Variante Vorgaben'!$E$90</f>
        <v>Behangsregulierung (von Hand)</v>
      </c>
      <c r="Q66" s="19"/>
      <c r="R66" s="39">
        <f>'Variante Vorgaben'!$E$93</f>
        <v>150</v>
      </c>
      <c r="S66" s="44">
        <f>'Variante Vorgaben'!$C$37</f>
        <v>22.5</v>
      </c>
      <c r="T66" s="45">
        <f>R66*S66</f>
        <v>3375</v>
      </c>
      <c r="U66" s="652">
        <f t="shared" si="5"/>
        <v>0.1134892106714738</v>
      </c>
      <c r="V66" s="40"/>
      <c r="W66" s="304" t="str">
        <f>'Variante Vorgaben'!$E$90</f>
        <v>Behangsregulierung (von Hand)</v>
      </c>
      <c r="X66" s="19"/>
      <c r="Y66" s="39">
        <f>'Variante Vorgaben'!$E$93</f>
        <v>150</v>
      </c>
      <c r="Z66" s="44">
        <f>'Variante Vorgaben'!$C$37</f>
        <v>22.5</v>
      </c>
      <c r="AA66" s="45">
        <f>Y66*Z66</f>
        <v>3375</v>
      </c>
      <c r="AB66" s="652">
        <f t="shared" si="6"/>
        <v>0.10139697930792922</v>
      </c>
      <c r="AC66" s="40"/>
      <c r="AD66" s="304" t="str">
        <f>'Variante Vorgaben'!$E$90</f>
        <v>Behangsregulierung (von Hand)</v>
      </c>
      <c r="AE66" s="19"/>
      <c r="AF66" s="39">
        <f>'Variante Vorgaben'!$E$93</f>
        <v>150</v>
      </c>
      <c r="AG66" s="44">
        <f>'Variante Vorgaben'!$C$37</f>
        <v>22.5</v>
      </c>
      <c r="AH66" s="45">
        <f>AF66*AG66</f>
        <v>3375</v>
      </c>
      <c r="AI66" s="652">
        <f t="shared" si="7"/>
        <v>9.5416845633336439E-2</v>
      </c>
      <c r="AJ66" s="40"/>
      <c r="AK66" s="304" t="str">
        <f>'Variante Vorgaben'!$E$90</f>
        <v>Behangsregulierung (von Hand)</v>
      </c>
      <c r="AL66" s="19"/>
      <c r="AM66" s="39">
        <f>'Variante Vorgaben'!$E$93</f>
        <v>150</v>
      </c>
      <c r="AN66" s="44">
        <f>'Variante Vorgaben'!$C$37</f>
        <v>22.5</v>
      </c>
      <c r="AO66" s="45">
        <f>AM66*AN66</f>
        <v>3375</v>
      </c>
      <c r="AP66" s="652">
        <f t="shared" si="8"/>
        <v>9.0241377167096709E-2</v>
      </c>
      <c r="AQ66" s="40"/>
      <c r="AR66" s="304" t="str">
        <f>'Variante Vorgaben'!$E$90</f>
        <v>Behangsregulierung (von Hand)</v>
      </c>
      <c r="AS66" s="19"/>
      <c r="AT66" s="39">
        <f>'Variante Vorgaben'!$E$93</f>
        <v>150</v>
      </c>
      <c r="AU66" s="44">
        <f>'Variante Vorgaben'!$C$37</f>
        <v>22.5</v>
      </c>
      <c r="AV66" s="45">
        <f>AT66*AU66</f>
        <v>3375</v>
      </c>
      <c r="AW66" s="652">
        <f t="shared" si="13"/>
        <v>9.4982998449118561E-2</v>
      </c>
      <c r="AX66" s="40"/>
      <c r="AY66" s="304" t="str">
        <f>'Variante Vorgaben'!$E$90</f>
        <v>Behangsregulierung (von Hand)</v>
      </c>
      <c r="AZ66" s="19"/>
      <c r="BA66" s="39">
        <f>'Variante Vorgaben'!$E$93</f>
        <v>150</v>
      </c>
      <c r="BB66" s="44">
        <f>'Variante Vorgaben'!$C$37</f>
        <v>22.5</v>
      </c>
      <c r="BC66" s="45">
        <f>BA66*BB66</f>
        <v>3375</v>
      </c>
      <c r="BD66" s="652">
        <f t="shared" si="14"/>
        <v>9.4967512252989827E-2</v>
      </c>
      <c r="BE66" s="40"/>
      <c r="BF66" s="304" t="str">
        <f>'Variante Vorgaben'!$E$90</f>
        <v>Behangsregulierung (von Hand)</v>
      </c>
      <c r="BG66" s="19"/>
      <c r="BH66" s="39">
        <f>'Variante Vorgaben'!$E$93</f>
        <v>150</v>
      </c>
      <c r="BI66" s="44">
        <f>'Variante Vorgaben'!$C$37</f>
        <v>22.5</v>
      </c>
      <c r="BJ66" s="45">
        <f>BH66*BI66</f>
        <v>3375</v>
      </c>
      <c r="BK66" s="652">
        <f t="shared" si="9"/>
        <v>8.6189737746415376E-2</v>
      </c>
      <c r="BL66" s="40"/>
      <c r="BM66" s="304" t="str">
        <f>'Variante Vorgaben'!$E$90</f>
        <v>Behangsregulierung (von Hand)</v>
      </c>
      <c r="BN66" s="19"/>
      <c r="BO66" s="39">
        <f>'Variante Vorgaben'!$E$93</f>
        <v>150</v>
      </c>
      <c r="BP66" s="44">
        <f>'Variante Vorgaben'!$C$37</f>
        <v>22.5</v>
      </c>
      <c r="BQ66" s="45">
        <f>BO66*BP66</f>
        <v>3375</v>
      </c>
      <c r="BR66" s="652">
        <f t="shared" si="15"/>
        <v>8.4944545798378623E-2</v>
      </c>
      <c r="BS66" s="40"/>
      <c r="BT66" s="304" t="str">
        <f>'Variante Vorgaben'!$E$90</f>
        <v>Behangsregulierung (von Hand)</v>
      </c>
      <c r="BU66" s="19"/>
      <c r="BV66" s="39">
        <f>'Variante Vorgaben'!$E$93</f>
        <v>150</v>
      </c>
      <c r="BW66" s="44">
        <f>'Variante Vorgaben'!$C$37</f>
        <v>22.5</v>
      </c>
      <c r="BX66" s="45">
        <f>BV66*BW66</f>
        <v>3375</v>
      </c>
      <c r="BY66" s="652">
        <f t="shared" si="17"/>
        <v>9.0715349165505804E-2</v>
      </c>
      <c r="BZ66" s="40"/>
      <c r="CA66" s="304" t="str">
        <f>'Variante Vorgaben'!$E$90</f>
        <v>Behangsregulierung (von Hand)</v>
      </c>
      <c r="CB66" s="19"/>
      <c r="CC66" s="39">
        <f>'Variante Vorgaben'!$E$93</f>
        <v>150</v>
      </c>
      <c r="CD66" s="44">
        <f>'Variante Vorgaben'!$C$37</f>
        <v>22.5</v>
      </c>
      <c r="CE66" s="45">
        <f>CC66*CD66</f>
        <v>3375</v>
      </c>
      <c r="CF66" s="652">
        <f t="shared" si="16"/>
        <v>9.5594499512796804E-2</v>
      </c>
      <c r="CG66" s="40"/>
      <c r="CH66" s="304" t="str">
        <f>'Variante Vorgaben'!$E$90</f>
        <v>Behangsregulierung (von Hand)</v>
      </c>
      <c r="CI66" s="19"/>
      <c r="CJ66" s="39">
        <f>'Variante Vorgaben'!$E$93</f>
        <v>150</v>
      </c>
      <c r="CK66" s="44">
        <f>'Variante Vorgaben'!$C$37</f>
        <v>22.5</v>
      </c>
      <c r="CL66" s="45">
        <f>CJ66*CK66</f>
        <v>3375</v>
      </c>
      <c r="CM66" s="652">
        <f t="shared" si="10"/>
        <v>9.3220624914610667E-2</v>
      </c>
      <c r="CN66" s="40"/>
      <c r="CO66" s="304" t="str">
        <f>'Variante Vorgaben'!$E$90</f>
        <v>Behangsregulierung (von Hand)</v>
      </c>
      <c r="CP66" s="19"/>
      <c r="CQ66" s="39">
        <f>'Variante Vorgaben'!$E$93</f>
        <v>150</v>
      </c>
      <c r="CR66" s="44">
        <f>'Variante Vorgaben'!$C$37</f>
        <v>22.5</v>
      </c>
      <c r="CS66" s="45">
        <f>CQ66*CR66</f>
        <v>3375</v>
      </c>
      <c r="CT66" s="652">
        <f t="shared" si="11"/>
        <v>9.2706027106751673E-2</v>
      </c>
      <c r="CU66" s="40"/>
      <c r="CV66" s="304" t="str">
        <f>'Variante Vorgaben'!$E$90</f>
        <v>Behangsregulierung (von Hand)</v>
      </c>
      <c r="CW66" s="19"/>
      <c r="CX66" s="39">
        <f>'Variante Vorgaben'!$E$93</f>
        <v>150</v>
      </c>
      <c r="CY66" s="44">
        <f>'Variante Vorgaben'!$C$37</f>
        <v>22.5</v>
      </c>
      <c r="CZ66" s="45">
        <f>CX66*CY66</f>
        <v>3375</v>
      </c>
      <c r="DA66" s="652">
        <f t="shared" si="12"/>
        <v>8.2254768589860749E-2</v>
      </c>
    </row>
    <row r="67" spans="1:106" s="1" customFormat="1" ht="12.75" x14ac:dyDescent="0.2">
      <c r="A67" s="40"/>
      <c r="B67" s="304" t="s">
        <v>409</v>
      </c>
      <c r="C67" s="46">
        <f>'Variante Vorgaben'!$C$179</f>
        <v>1</v>
      </c>
      <c r="D67" s="838">
        <v>15</v>
      </c>
      <c r="E67" s="44">
        <f>'Variante Vorgaben'!$C$37</f>
        <v>22.5</v>
      </c>
      <c r="F67" s="45">
        <f>C67*D67*E67</f>
        <v>337.5</v>
      </c>
      <c r="G67" s="653">
        <f t="shared" si="3"/>
        <v>2.6470803228251336E-2</v>
      </c>
      <c r="H67" s="40"/>
      <c r="I67" s="304" t="s">
        <v>409</v>
      </c>
      <c r="J67" s="46">
        <f>'Variante Vorgaben'!$C$179</f>
        <v>1</v>
      </c>
      <c r="K67" s="838">
        <v>15</v>
      </c>
      <c r="L67" s="44">
        <f>'Variante Vorgaben'!$C$37</f>
        <v>22.5</v>
      </c>
      <c r="M67" s="45">
        <f>J67*K67*L67</f>
        <v>337.5</v>
      </c>
      <c r="N67" s="652">
        <f t="shared" si="4"/>
        <v>2.0789321791887614E-2</v>
      </c>
      <c r="O67" s="40"/>
      <c r="P67" s="304" t="s">
        <v>409</v>
      </c>
      <c r="Q67" s="46">
        <f>'Variante Vorgaben'!$C$179</f>
        <v>1</v>
      </c>
      <c r="R67" s="838">
        <v>15</v>
      </c>
      <c r="S67" s="44">
        <f>'Variante Vorgaben'!$C$37</f>
        <v>22.5</v>
      </c>
      <c r="T67" s="45">
        <f>Q67*R67*S67</f>
        <v>337.5</v>
      </c>
      <c r="U67" s="652">
        <f t="shared" si="5"/>
        <v>1.1348921067147381E-2</v>
      </c>
      <c r="V67" s="40"/>
      <c r="W67" s="304" t="s">
        <v>409</v>
      </c>
      <c r="X67" s="46">
        <f>'Variante Vorgaben'!$C$179</f>
        <v>1</v>
      </c>
      <c r="Y67" s="838">
        <v>15</v>
      </c>
      <c r="Z67" s="44">
        <f>'Variante Vorgaben'!$C$37</f>
        <v>22.5</v>
      </c>
      <c r="AA67" s="45">
        <f>X67*Y67*Z67</f>
        <v>337.5</v>
      </c>
      <c r="AB67" s="652">
        <f t="shared" si="6"/>
        <v>1.0139697930792923E-2</v>
      </c>
      <c r="AC67" s="40"/>
      <c r="AD67" s="304" t="s">
        <v>409</v>
      </c>
      <c r="AE67" s="46">
        <f>'Variante Vorgaben'!$C$179</f>
        <v>1</v>
      </c>
      <c r="AF67" s="838">
        <v>15</v>
      </c>
      <c r="AG67" s="44">
        <f>'Variante Vorgaben'!$C$37</f>
        <v>22.5</v>
      </c>
      <c r="AH67" s="45">
        <f>AE67*AF67*AG67</f>
        <v>337.5</v>
      </c>
      <c r="AI67" s="652">
        <f t="shared" si="7"/>
        <v>9.5416845633336436E-3</v>
      </c>
      <c r="AJ67" s="40"/>
      <c r="AK67" s="304" t="s">
        <v>409</v>
      </c>
      <c r="AL67" s="46">
        <f>'Variante Vorgaben'!$C$179</f>
        <v>1</v>
      </c>
      <c r="AM67" s="838">
        <v>15</v>
      </c>
      <c r="AN67" s="44">
        <f>'Variante Vorgaben'!$C$37</f>
        <v>22.5</v>
      </c>
      <c r="AO67" s="45">
        <f>AL67*AM67*AN67</f>
        <v>337.5</v>
      </c>
      <c r="AP67" s="652">
        <f t="shared" si="8"/>
        <v>9.0241377167096706E-3</v>
      </c>
      <c r="AQ67" s="40"/>
      <c r="AR67" s="304" t="s">
        <v>409</v>
      </c>
      <c r="AS67" s="46">
        <f>'Variante Vorgaben'!$C$179</f>
        <v>1</v>
      </c>
      <c r="AT67" s="838">
        <v>15</v>
      </c>
      <c r="AU67" s="44">
        <f>'Variante Vorgaben'!$C$37</f>
        <v>22.5</v>
      </c>
      <c r="AV67" s="45">
        <f>AS67*AT67*AU67</f>
        <v>337.5</v>
      </c>
      <c r="AW67" s="652">
        <f t="shared" si="13"/>
        <v>9.4982998449118557E-3</v>
      </c>
      <c r="AX67" s="40"/>
      <c r="AY67" s="304" t="s">
        <v>409</v>
      </c>
      <c r="AZ67" s="46">
        <f>'Variante Vorgaben'!$C$179</f>
        <v>1</v>
      </c>
      <c r="BA67" s="838">
        <v>15</v>
      </c>
      <c r="BB67" s="44">
        <f>'Variante Vorgaben'!$C$37</f>
        <v>22.5</v>
      </c>
      <c r="BC67" s="45">
        <f>AZ67*BA67*BB67</f>
        <v>337.5</v>
      </c>
      <c r="BD67" s="652">
        <f t="shared" si="14"/>
        <v>9.4967512252989821E-3</v>
      </c>
      <c r="BE67" s="40"/>
      <c r="BF67" s="304" t="s">
        <v>409</v>
      </c>
      <c r="BG67" s="46">
        <f>'Variante Vorgaben'!$C$179</f>
        <v>1</v>
      </c>
      <c r="BH67" s="838">
        <v>15</v>
      </c>
      <c r="BI67" s="44">
        <f>'Variante Vorgaben'!$C$37</f>
        <v>22.5</v>
      </c>
      <c r="BJ67" s="45">
        <f>BG67*BH67*BI67</f>
        <v>337.5</v>
      </c>
      <c r="BK67" s="652">
        <f t="shared" si="9"/>
        <v>8.6189737746415369E-3</v>
      </c>
      <c r="BL67" s="40"/>
      <c r="BM67" s="304" t="s">
        <v>409</v>
      </c>
      <c r="BN67" s="46">
        <f>'Variante Vorgaben'!$C$179</f>
        <v>1</v>
      </c>
      <c r="BO67" s="838">
        <v>15</v>
      </c>
      <c r="BP67" s="44">
        <f>'Variante Vorgaben'!$C$37</f>
        <v>22.5</v>
      </c>
      <c r="BQ67" s="45">
        <f>BN67*BO67*BP67</f>
        <v>337.5</v>
      </c>
      <c r="BR67" s="652">
        <f t="shared" si="15"/>
        <v>8.494454579837862E-3</v>
      </c>
      <c r="BS67" s="40"/>
      <c r="BT67" s="304" t="s">
        <v>409</v>
      </c>
      <c r="BU67" s="46">
        <f>'Variante Vorgaben'!$C$179</f>
        <v>1</v>
      </c>
      <c r="BV67" s="838">
        <v>15</v>
      </c>
      <c r="BW67" s="44">
        <f>'Variante Vorgaben'!$C$37</f>
        <v>22.5</v>
      </c>
      <c r="BX67" s="45">
        <f>BU67*BV67*BW67</f>
        <v>337.5</v>
      </c>
      <c r="BY67" s="652">
        <f t="shared" si="17"/>
        <v>9.0715349165505811E-3</v>
      </c>
      <c r="BZ67" s="40"/>
      <c r="CA67" s="304" t="s">
        <v>409</v>
      </c>
      <c r="CB67" s="46">
        <f>'Variante Vorgaben'!$C$179</f>
        <v>1</v>
      </c>
      <c r="CC67" s="838">
        <v>15</v>
      </c>
      <c r="CD67" s="44">
        <f>'Variante Vorgaben'!$C$37</f>
        <v>22.5</v>
      </c>
      <c r="CE67" s="45">
        <f>CB67*CC67*CD67</f>
        <v>337.5</v>
      </c>
      <c r="CF67" s="652">
        <f t="shared" si="16"/>
        <v>9.5594499512796794E-3</v>
      </c>
      <c r="CG67" s="40"/>
      <c r="CH67" s="304" t="s">
        <v>409</v>
      </c>
      <c r="CI67" s="46">
        <f>'Variante Vorgaben'!$C$179</f>
        <v>1</v>
      </c>
      <c r="CJ67" s="838">
        <v>15</v>
      </c>
      <c r="CK67" s="44">
        <f>'Variante Vorgaben'!$C$37</f>
        <v>22.5</v>
      </c>
      <c r="CL67" s="45">
        <f>CI67*CJ67*CK67</f>
        <v>337.5</v>
      </c>
      <c r="CM67" s="652">
        <f t="shared" si="10"/>
        <v>9.322062491461067E-3</v>
      </c>
      <c r="CN67" s="40"/>
      <c r="CO67" s="304" t="s">
        <v>409</v>
      </c>
      <c r="CP67" s="46">
        <f>'Variante Vorgaben'!$C$179</f>
        <v>1</v>
      </c>
      <c r="CQ67" s="838">
        <v>15</v>
      </c>
      <c r="CR67" s="44">
        <f>'Variante Vorgaben'!$C$37</f>
        <v>22.5</v>
      </c>
      <c r="CS67" s="45">
        <f>CP67*CQ67*CR67</f>
        <v>337.5</v>
      </c>
      <c r="CT67" s="652">
        <f t="shared" si="11"/>
        <v>9.2706027106751673E-3</v>
      </c>
      <c r="CU67" s="40"/>
      <c r="CV67" s="304" t="s">
        <v>409</v>
      </c>
      <c r="CW67" s="46">
        <f>'Variante Vorgaben'!$C$179</f>
        <v>1</v>
      </c>
      <c r="CX67" s="838">
        <v>15</v>
      </c>
      <c r="CY67" s="44">
        <f>'Variante Vorgaben'!$C$37</f>
        <v>22.5</v>
      </c>
      <c r="CZ67" s="45">
        <f>CW67*CX67*CY67</f>
        <v>337.5</v>
      </c>
      <c r="DA67" s="652">
        <f t="shared" si="12"/>
        <v>8.2254768589860756E-3</v>
      </c>
    </row>
    <row r="68" spans="1:106" s="1" customFormat="1" ht="12.75" x14ac:dyDescent="0.2">
      <c r="A68" s="40"/>
      <c r="B68" s="304" t="s">
        <v>410</v>
      </c>
      <c r="C68" s="46">
        <f>'Variante Vorgaben'!$C$179</f>
        <v>1</v>
      </c>
      <c r="D68" s="838">
        <v>10</v>
      </c>
      <c r="E68" s="44">
        <f>'Variante Vorgaben'!$C$37</f>
        <v>22.5</v>
      </c>
      <c r="F68" s="45">
        <f>C68*D68*E68</f>
        <v>225</v>
      </c>
      <c r="G68" s="653">
        <f t="shared" si="3"/>
        <v>1.7647202152167557E-2</v>
      </c>
      <c r="H68" s="40"/>
      <c r="I68" s="304" t="s">
        <v>410</v>
      </c>
      <c r="J68" s="46">
        <f>'Variante Vorgaben'!$C$179</f>
        <v>1</v>
      </c>
      <c r="K68" s="838">
        <v>10</v>
      </c>
      <c r="L68" s="44">
        <f>'Variante Vorgaben'!$C$37</f>
        <v>22.5</v>
      </c>
      <c r="M68" s="45">
        <f>J68*K68*L68</f>
        <v>225</v>
      </c>
      <c r="N68" s="652">
        <f t="shared" si="4"/>
        <v>1.385954786125841E-2</v>
      </c>
      <c r="O68" s="40"/>
      <c r="P68" s="304" t="s">
        <v>410</v>
      </c>
      <c r="Q68" s="46">
        <f>'Variante Vorgaben'!$C$179</f>
        <v>1</v>
      </c>
      <c r="R68" s="838">
        <v>10</v>
      </c>
      <c r="S68" s="44">
        <f>'Variante Vorgaben'!$C$37</f>
        <v>22.5</v>
      </c>
      <c r="T68" s="45">
        <f>Q68*R68*S68</f>
        <v>225</v>
      </c>
      <c r="U68" s="652">
        <f t="shared" si="5"/>
        <v>7.565947378098254E-3</v>
      </c>
      <c r="V68" s="40"/>
      <c r="W68" s="304" t="s">
        <v>410</v>
      </c>
      <c r="X68" s="46">
        <f>'Variante Vorgaben'!$C$179</f>
        <v>1</v>
      </c>
      <c r="Y68" s="838">
        <v>10</v>
      </c>
      <c r="Z68" s="44">
        <f>'Variante Vorgaben'!$C$37</f>
        <v>22.5</v>
      </c>
      <c r="AA68" s="45">
        <f>X68*Y68*Z68</f>
        <v>225</v>
      </c>
      <c r="AB68" s="652">
        <f t="shared" si="6"/>
        <v>6.7597986205286155E-3</v>
      </c>
      <c r="AC68" s="40"/>
      <c r="AD68" s="304" t="s">
        <v>410</v>
      </c>
      <c r="AE68" s="46">
        <f>'Variante Vorgaben'!$C$179</f>
        <v>1</v>
      </c>
      <c r="AF68" s="838">
        <v>10</v>
      </c>
      <c r="AG68" s="44">
        <f>'Variante Vorgaben'!$C$37</f>
        <v>22.5</v>
      </c>
      <c r="AH68" s="45">
        <f>AE68*AF68*AG68</f>
        <v>225</v>
      </c>
      <c r="AI68" s="652">
        <f t="shared" si="7"/>
        <v>6.3611230422224293E-3</v>
      </c>
      <c r="AJ68" s="40"/>
      <c r="AK68" s="304" t="s">
        <v>410</v>
      </c>
      <c r="AL68" s="46">
        <f>'Variante Vorgaben'!$C$179</f>
        <v>1</v>
      </c>
      <c r="AM68" s="838">
        <v>10</v>
      </c>
      <c r="AN68" s="44">
        <f>'Variante Vorgaben'!$C$37</f>
        <v>22.5</v>
      </c>
      <c r="AO68" s="45">
        <f>AL68*AM68*AN68</f>
        <v>225</v>
      </c>
      <c r="AP68" s="652">
        <f t="shared" si="8"/>
        <v>6.0160918111397807E-3</v>
      </c>
      <c r="AQ68" s="40"/>
      <c r="AR68" s="304" t="s">
        <v>410</v>
      </c>
      <c r="AS68" s="46">
        <f>'Variante Vorgaben'!$C$179</f>
        <v>1</v>
      </c>
      <c r="AT68" s="838">
        <v>10</v>
      </c>
      <c r="AU68" s="44">
        <f>'Variante Vorgaben'!$C$37</f>
        <v>22.5</v>
      </c>
      <c r="AV68" s="45">
        <f>AS68*AT68*AU68</f>
        <v>225</v>
      </c>
      <c r="AW68" s="652">
        <f t="shared" si="13"/>
        <v>6.3321998966079044E-3</v>
      </c>
      <c r="AX68" s="40"/>
      <c r="AY68" s="304" t="s">
        <v>410</v>
      </c>
      <c r="AZ68" s="46">
        <f>'Variante Vorgaben'!$C$179</f>
        <v>1</v>
      </c>
      <c r="BA68" s="838">
        <v>10</v>
      </c>
      <c r="BB68" s="44">
        <f>'Variante Vorgaben'!$C$37</f>
        <v>22.5</v>
      </c>
      <c r="BC68" s="45">
        <f>AZ68*BA68*BB68</f>
        <v>225</v>
      </c>
      <c r="BD68" s="652">
        <f t="shared" si="14"/>
        <v>6.3311674835326544E-3</v>
      </c>
      <c r="BE68" s="40"/>
      <c r="BF68" s="304" t="s">
        <v>410</v>
      </c>
      <c r="BG68" s="46">
        <f>'Variante Vorgaben'!$C$179</f>
        <v>1</v>
      </c>
      <c r="BH68" s="838">
        <v>10</v>
      </c>
      <c r="BI68" s="44">
        <f>'Variante Vorgaben'!$C$37</f>
        <v>22.5</v>
      </c>
      <c r="BJ68" s="45">
        <f>BG68*BH68*BI68</f>
        <v>225</v>
      </c>
      <c r="BK68" s="652">
        <f t="shared" si="9"/>
        <v>5.7459825164276916E-3</v>
      </c>
      <c r="BL68" s="40"/>
      <c r="BM68" s="304" t="s">
        <v>410</v>
      </c>
      <c r="BN68" s="46">
        <f>'Variante Vorgaben'!$C$179</f>
        <v>1</v>
      </c>
      <c r="BO68" s="838">
        <v>10</v>
      </c>
      <c r="BP68" s="44">
        <f>'Variante Vorgaben'!$C$37</f>
        <v>22.5</v>
      </c>
      <c r="BQ68" s="45">
        <f>BN68*BO68*BP68</f>
        <v>225</v>
      </c>
      <c r="BR68" s="652">
        <f t="shared" si="15"/>
        <v>5.6629697198919077E-3</v>
      </c>
      <c r="BS68" s="40"/>
      <c r="BT68" s="304" t="s">
        <v>410</v>
      </c>
      <c r="BU68" s="46">
        <f>'Variante Vorgaben'!$C$179</f>
        <v>1</v>
      </c>
      <c r="BV68" s="838">
        <v>10</v>
      </c>
      <c r="BW68" s="44">
        <f>'Variante Vorgaben'!$C$37</f>
        <v>22.5</v>
      </c>
      <c r="BX68" s="45">
        <f>BU68*BV68*BW68</f>
        <v>225</v>
      </c>
      <c r="BY68" s="652">
        <f t="shared" si="17"/>
        <v>6.0476899443670535E-3</v>
      </c>
      <c r="BZ68" s="40"/>
      <c r="CA68" s="304" t="s">
        <v>410</v>
      </c>
      <c r="CB68" s="46">
        <f>'Variante Vorgaben'!$C$179</f>
        <v>1</v>
      </c>
      <c r="CC68" s="838">
        <v>10</v>
      </c>
      <c r="CD68" s="44">
        <f>'Variante Vorgaben'!$C$37</f>
        <v>22.5</v>
      </c>
      <c r="CE68" s="45">
        <f>CB68*CC68*CD68</f>
        <v>225</v>
      </c>
      <c r="CF68" s="652">
        <f t="shared" si="16"/>
        <v>6.3729666341864532E-3</v>
      </c>
      <c r="CG68" s="40"/>
      <c r="CH68" s="304" t="s">
        <v>410</v>
      </c>
      <c r="CI68" s="46">
        <f>'Variante Vorgaben'!$C$179</f>
        <v>1</v>
      </c>
      <c r="CJ68" s="838">
        <v>10</v>
      </c>
      <c r="CK68" s="44">
        <f>'Variante Vorgaben'!$C$37</f>
        <v>22.5</v>
      </c>
      <c r="CL68" s="45">
        <f>CI68*CJ68*CK68</f>
        <v>225</v>
      </c>
      <c r="CM68" s="652">
        <f t="shared" si="10"/>
        <v>6.2147083276407108E-3</v>
      </c>
      <c r="CN68" s="40"/>
      <c r="CO68" s="304" t="s">
        <v>410</v>
      </c>
      <c r="CP68" s="46">
        <f>'Variante Vorgaben'!$C$179</f>
        <v>1</v>
      </c>
      <c r="CQ68" s="838">
        <v>10</v>
      </c>
      <c r="CR68" s="44">
        <f>'Variante Vorgaben'!$C$37</f>
        <v>22.5</v>
      </c>
      <c r="CS68" s="45">
        <f>CP68*CQ68*CR68</f>
        <v>225</v>
      </c>
      <c r="CT68" s="652">
        <f t="shared" si="11"/>
        <v>6.1804018071167782E-3</v>
      </c>
      <c r="CU68" s="40"/>
      <c r="CV68" s="304" t="s">
        <v>410</v>
      </c>
      <c r="CW68" s="46">
        <f>'Variante Vorgaben'!$C$179</f>
        <v>1</v>
      </c>
      <c r="CX68" s="838">
        <v>10</v>
      </c>
      <c r="CY68" s="44">
        <f>'Variante Vorgaben'!$C$37</f>
        <v>22.5</v>
      </c>
      <c r="CZ68" s="45">
        <f>CW68*CX68*CY68</f>
        <v>225</v>
      </c>
      <c r="DA68" s="652">
        <f t="shared" si="12"/>
        <v>5.4836512393240501E-3</v>
      </c>
    </row>
    <row r="69" spans="1:106" s="1" customFormat="1" ht="12.75" x14ac:dyDescent="0.2">
      <c r="A69" s="40"/>
      <c r="B69" t="s">
        <v>481</v>
      </c>
      <c r="C69" s="94">
        <f>'Variante Vorgaben'!$C$187</f>
        <v>1</v>
      </c>
      <c r="D69" s="46">
        <f>'Variante Bewässerung'!$E$107</f>
        <v>10</v>
      </c>
      <c r="E69" s="947">
        <f>'Variante Vorgaben'!$C$36</f>
        <v>32.700000000000003</v>
      </c>
      <c r="F69" s="45">
        <f>C69*D69*E69</f>
        <v>327</v>
      </c>
      <c r="G69" s="653">
        <f t="shared" si="3"/>
        <v>2.5647267127816849E-2</v>
      </c>
      <c r="H69" s="40"/>
      <c r="I69" t="s">
        <v>481</v>
      </c>
      <c r="J69" s="94">
        <f>'Variante Vorgaben'!$C$187</f>
        <v>1</v>
      </c>
      <c r="K69" s="46">
        <f>'Variante Bewässerung'!$E$107</f>
        <v>10</v>
      </c>
      <c r="L69" s="947">
        <f>'Variante Vorgaben'!$C$36</f>
        <v>32.700000000000003</v>
      </c>
      <c r="M69" s="45">
        <f>J69*K69*L69</f>
        <v>327</v>
      </c>
      <c r="N69" s="652">
        <f t="shared" si="4"/>
        <v>2.0142542891695557E-2</v>
      </c>
      <c r="O69" s="40"/>
      <c r="P69" t="s">
        <v>481</v>
      </c>
      <c r="Q69" s="94">
        <f>'Variante Vorgaben'!$C$187</f>
        <v>1</v>
      </c>
      <c r="R69" s="46">
        <f>'Variante Bewässerung'!$E$107</f>
        <v>10</v>
      </c>
      <c r="S69" s="947">
        <f>'Variante Vorgaben'!$C$36</f>
        <v>32.700000000000003</v>
      </c>
      <c r="T69" s="45">
        <f>Q69*R69*S69</f>
        <v>327</v>
      </c>
      <c r="U69" s="652">
        <f t="shared" si="5"/>
        <v>1.0995843522836128E-2</v>
      </c>
      <c r="V69" s="40"/>
      <c r="W69" t="s">
        <v>481</v>
      </c>
      <c r="X69" s="94">
        <f>'Variante Vorgaben'!$C$187</f>
        <v>1</v>
      </c>
      <c r="Y69" s="46">
        <f>'Variante Bewässerung'!$E$107</f>
        <v>10</v>
      </c>
      <c r="Z69" s="947">
        <f>'Variante Vorgaben'!$C$36</f>
        <v>32.700000000000003</v>
      </c>
      <c r="AA69" s="45">
        <f>X69*Y69*Z69</f>
        <v>327</v>
      </c>
      <c r="AB69" s="652">
        <f t="shared" si="6"/>
        <v>9.8242406618349199E-3</v>
      </c>
      <c r="AC69" s="40"/>
      <c r="AD69" t="s">
        <v>481</v>
      </c>
      <c r="AE69" s="94">
        <f>'Variante Vorgaben'!$C$187</f>
        <v>1</v>
      </c>
      <c r="AF69" s="46">
        <f>'Variante Bewässerung'!$E$107</f>
        <v>10</v>
      </c>
      <c r="AG69" s="947">
        <f>'Variante Vorgaben'!$C$36</f>
        <v>32.700000000000003</v>
      </c>
      <c r="AH69" s="45">
        <f>AE69*AF69*AG69</f>
        <v>327</v>
      </c>
      <c r="AI69" s="653">
        <f>AH69/$F$81</f>
        <v>2.5647267127816849E-2</v>
      </c>
      <c r="AJ69" s="40"/>
      <c r="AK69" t="s">
        <v>481</v>
      </c>
      <c r="AL69" s="94">
        <f>'Variante Vorgaben'!$C$187</f>
        <v>1</v>
      </c>
      <c r="AM69" s="46">
        <f>'Variante Bewässerung'!$E$107</f>
        <v>10</v>
      </c>
      <c r="AN69" s="947">
        <f>'Variante Vorgaben'!$C$36</f>
        <v>32.700000000000003</v>
      </c>
      <c r="AO69" s="45">
        <f>AL69*AM69*AN69</f>
        <v>327</v>
      </c>
      <c r="AP69" s="652">
        <f t="shared" si="8"/>
        <v>8.7433867655231472E-3</v>
      </c>
      <c r="AQ69" s="40"/>
      <c r="AR69" t="s">
        <v>481</v>
      </c>
      <c r="AS69" s="94">
        <f>'Variante Vorgaben'!$C$187</f>
        <v>1</v>
      </c>
      <c r="AT69" s="46">
        <f>'Variante Bewässerung'!$E$107</f>
        <v>10</v>
      </c>
      <c r="AU69" s="947">
        <f>'Variante Vorgaben'!$C$36</f>
        <v>32.700000000000003</v>
      </c>
      <c r="AV69" s="45">
        <f>AS69*AT69*AU69</f>
        <v>327</v>
      </c>
      <c r="AW69" s="652">
        <f t="shared" si="13"/>
        <v>9.2027971830701532E-3</v>
      </c>
      <c r="AX69" s="40"/>
      <c r="AY69" t="s">
        <v>481</v>
      </c>
      <c r="AZ69" s="94">
        <f>'Variante Vorgaben'!$C$187</f>
        <v>1</v>
      </c>
      <c r="BA69" s="46">
        <f>'Variante Bewässerung'!$E$107</f>
        <v>10</v>
      </c>
      <c r="BB69" s="947">
        <f>'Variante Vorgaben'!$C$36</f>
        <v>32.700000000000003</v>
      </c>
      <c r="BC69" s="45">
        <f>AZ69*BA69*BB69</f>
        <v>327</v>
      </c>
      <c r="BD69" s="652">
        <f t="shared" si="14"/>
        <v>9.2012967427341254E-3</v>
      </c>
      <c r="BE69" s="40"/>
      <c r="BF69" t="s">
        <v>481</v>
      </c>
      <c r="BG69" s="94">
        <f>'Variante Vorgaben'!$C$187</f>
        <v>1</v>
      </c>
      <c r="BH69" s="46">
        <f>'Variante Bewässerung'!$E$107</f>
        <v>10</v>
      </c>
      <c r="BI69" s="947">
        <f>'Variante Vorgaben'!$C$36</f>
        <v>32.700000000000003</v>
      </c>
      <c r="BJ69" s="45">
        <f>BG69*BH69*BI69</f>
        <v>327</v>
      </c>
      <c r="BK69" s="652">
        <f t="shared" si="9"/>
        <v>8.3508279238749105E-3</v>
      </c>
      <c r="BL69" s="40"/>
      <c r="BM69" t="s">
        <v>481</v>
      </c>
      <c r="BN69" s="94">
        <f>'Variante Vorgaben'!$C$187</f>
        <v>1</v>
      </c>
      <c r="BO69" s="46">
        <f>'Variante Bewässerung'!$E$107</f>
        <v>10</v>
      </c>
      <c r="BP69" s="947">
        <f>'Variante Vorgaben'!$C$36</f>
        <v>32.700000000000003</v>
      </c>
      <c r="BQ69" s="45">
        <f>BN69*BO69*BP69</f>
        <v>327</v>
      </c>
      <c r="BR69" s="652">
        <f t="shared" si="15"/>
        <v>8.2301826595762399E-3</v>
      </c>
      <c r="BS69" s="40"/>
      <c r="BT69" t="s">
        <v>481</v>
      </c>
      <c r="BU69" s="94">
        <f>'Variante Vorgaben'!$C$187</f>
        <v>1</v>
      </c>
      <c r="BV69" s="46">
        <f>'Variante Bewässerung'!$E$107</f>
        <v>10</v>
      </c>
      <c r="BW69" s="947">
        <f>'Variante Vorgaben'!$C$36</f>
        <v>32.700000000000003</v>
      </c>
      <c r="BX69" s="45">
        <f>BU69*BV69*BW69</f>
        <v>327</v>
      </c>
      <c r="BY69" s="652">
        <f t="shared" si="17"/>
        <v>8.789309385813451E-3</v>
      </c>
      <c r="BZ69" s="40"/>
      <c r="CA69" t="s">
        <v>481</v>
      </c>
      <c r="CB69" s="94">
        <f>'Variante Vorgaben'!$C$187</f>
        <v>1</v>
      </c>
      <c r="CC69" s="46">
        <f>'Variante Bewässerung'!$E$107</f>
        <v>10</v>
      </c>
      <c r="CD69" s="947">
        <f>'Variante Vorgaben'!$C$36</f>
        <v>32.700000000000003</v>
      </c>
      <c r="CE69" s="45">
        <f>CB69*CC69*CD69</f>
        <v>327</v>
      </c>
      <c r="CF69" s="652">
        <f t="shared" si="16"/>
        <v>9.2620448416843113E-3</v>
      </c>
      <c r="CG69" s="40"/>
      <c r="CH69" t="s">
        <v>481</v>
      </c>
      <c r="CI69" s="94">
        <f>'Variante Vorgaben'!$C$187</f>
        <v>1</v>
      </c>
      <c r="CJ69" s="46">
        <f>'Variante Bewässerung'!$E$107</f>
        <v>10</v>
      </c>
      <c r="CK69" s="947">
        <f>'Variante Vorgaben'!$C$36</f>
        <v>32.700000000000003</v>
      </c>
      <c r="CL69" s="45">
        <f>CI69*CJ69*CK69</f>
        <v>327</v>
      </c>
      <c r="CM69" s="652">
        <f t="shared" si="10"/>
        <v>9.0320427695044989E-3</v>
      </c>
      <c r="CN69" s="40"/>
      <c r="CO69" t="s">
        <v>481</v>
      </c>
      <c r="CP69" s="94">
        <f>'Variante Vorgaben'!$C$187</f>
        <v>1</v>
      </c>
      <c r="CQ69" s="46">
        <f>'Variante Bewässerung'!$E$107</f>
        <v>10</v>
      </c>
      <c r="CR69" s="947">
        <f>'Variante Vorgaben'!$C$36</f>
        <v>32.700000000000003</v>
      </c>
      <c r="CS69" s="45">
        <f>CP69*CQ69*CR69</f>
        <v>327</v>
      </c>
      <c r="CT69" s="652">
        <f t="shared" si="11"/>
        <v>8.9821839596763847E-3</v>
      </c>
      <c r="CU69" s="40"/>
      <c r="CV69" t="s">
        <v>481</v>
      </c>
      <c r="CW69" s="94">
        <f>'Variante Vorgaben'!$C$187</f>
        <v>1</v>
      </c>
      <c r="CX69" s="46">
        <f>'Variante Bewässerung'!$E$107</f>
        <v>10</v>
      </c>
      <c r="CY69" s="947">
        <f>'Variante Vorgaben'!$C$36</f>
        <v>32.700000000000003</v>
      </c>
      <c r="CZ69" s="45">
        <f>CW69*CX69*CY69</f>
        <v>327</v>
      </c>
      <c r="DA69" s="652">
        <f t="shared" si="12"/>
        <v>7.9695731344842854E-3</v>
      </c>
    </row>
    <row r="70" spans="1:106" s="1" customFormat="1" ht="12.75" x14ac:dyDescent="0.2">
      <c r="A70" s="40"/>
      <c r="B70" t="s">
        <v>530</v>
      </c>
      <c r="C70" s="94">
        <f>'Variante Vorgaben'!$C$187</f>
        <v>1</v>
      </c>
      <c r="D70" s="46">
        <f>'Variante Bewässerung'!$E$106</f>
        <v>4</v>
      </c>
      <c r="E70" s="947">
        <f>'Variante Vorgaben'!$C$36</f>
        <v>32.700000000000003</v>
      </c>
      <c r="F70" s="45">
        <f>C70*D70*E70</f>
        <v>130.80000000000001</v>
      </c>
      <c r="G70" s="653">
        <f t="shared" si="3"/>
        <v>1.025890685112674E-2</v>
      </c>
      <c r="H70" s="40"/>
      <c r="I70" t="s">
        <v>530</v>
      </c>
      <c r="J70" s="94">
        <f>'Variante Vorgaben'!$C$187</f>
        <v>1</v>
      </c>
      <c r="K70" s="46">
        <f>'Variante Bewässerung'!$E$106</f>
        <v>4</v>
      </c>
      <c r="L70" s="947">
        <f>'Variante Vorgaben'!$C$36</f>
        <v>32.700000000000003</v>
      </c>
      <c r="M70" s="45">
        <f>J70*K70*L70</f>
        <v>130.80000000000001</v>
      </c>
      <c r="N70" s="652">
        <f t="shared" si="4"/>
        <v>8.0570171566782221E-3</v>
      </c>
      <c r="O70" s="40"/>
      <c r="P70" t="s">
        <v>530</v>
      </c>
      <c r="Q70" s="94">
        <f>'Variante Vorgaben'!$C$187</f>
        <v>1</v>
      </c>
      <c r="R70" s="46">
        <f>'Variante Bewässerung'!$E$106</f>
        <v>4</v>
      </c>
      <c r="S70" s="947">
        <f>'Variante Vorgaben'!$C$36</f>
        <v>32.700000000000003</v>
      </c>
      <c r="T70" s="45">
        <f>Q70*R70*S70</f>
        <v>130.80000000000001</v>
      </c>
      <c r="U70" s="652">
        <f t="shared" si="5"/>
        <v>4.3983374091344516E-3</v>
      </c>
      <c r="V70" s="40"/>
      <c r="W70" s="15" t="s">
        <v>530</v>
      </c>
      <c r="X70" s="94">
        <f>'Variante Vorgaben'!$C$187</f>
        <v>1</v>
      </c>
      <c r="Y70" s="46">
        <f>'Variante Bewässerung'!$E$106</f>
        <v>4</v>
      </c>
      <c r="Z70" s="947">
        <f>'Variante Vorgaben'!$C$36</f>
        <v>32.700000000000003</v>
      </c>
      <c r="AA70" s="45">
        <f>X70*Y70*Z70</f>
        <v>130.80000000000001</v>
      </c>
      <c r="AB70" s="652">
        <f t="shared" si="6"/>
        <v>3.929696264733969E-3</v>
      </c>
      <c r="AC70" s="40"/>
      <c r="AD70" t="s">
        <v>530</v>
      </c>
      <c r="AE70" s="94">
        <f>'Variante Vorgaben'!$C$187</f>
        <v>1</v>
      </c>
      <c r="AF70" s="46">
        <f>'Variante Bewässerung'!$E$106</f>
        <v>4</v>
      </c>
      <c r="AG70" s="947">
        <f>'Variante Vorgaben'!$C$36</f>
        <v>32.700000000000003</v>
      </c>
      <c r="AH70" s="45">
        <f>AE70*AF70*AG70</f>
        <v>130.80000000000001</v>
      </c>
      <c r="AI70" s="653">
        <f>AH70/$F$81</f>
        <v>1.025890685112674E-2</v>
      </c>
      <c r="AJ70" s="40"/>
      <c r="AK70" t="s">
        <v>530</v>
      </c>
      <c r="AL70" s="94">
        <f>'Variante Vorgaben'!$C$187</f>
        <v>1</v>
      </c>
      <c r="AM70" s="46">
        <f>'Variante Bewässerung'!$E$106</f>
        <v>4</v>
      </c>
      <c r="AN70" s="947">
        <f>'Variante Vorgaben'!$C$36</f>
        <v>32.700000000000003</v>
      </c>
      <c r="AO70" s="45">
        <f>AL70*AM70*AN70</f>
        <v>130.80000000000001</v>
      </c>
      <c r="AP70" s="653">
        <f>AO70/$F$81</f>
        <v>1.025890685112674E-2</v>
      </c>
      <c r="AQ70" s="40"/>
      <c r="AR70" t="s">
        <v>530</v>
      </c>
      <c r="AS70" s="94">
        <f>'Variante Vorgaben'!$C$187</f>
        <v>1</v>
      </c>
      <c r="AT70" s="46">
        <f>'Variante Bewässerung'!$E$106</f>
        <v>4</v>
      </c>
      <c r="AU70" s="947">
        <f>'Variante Vorgaben'!$C$36</f>
        <v>32.700000000000003</v>
      </c>
      <c r="AV70" s="45">
        <f>AS70*AT70*AU70</f>
        <v>130.80000000000001</v>
      </c>
      <c r="AW70" s="652">
        <f t="shared" ref="AW70:AW75" si="18">AV70/$AV$81</f>
        <v>3.6811188732280621E-3</v>
      </c>
      <c r="AX70" s="40"/>
      <c r="AY70" t="s">
        <v>530</v>
      </c>
      <c r="AZ70" s="94">
        <f>'Variante Vorgaben'!$C$187</f>
        <v>1</v>
      </c>
      <c r="BA70" s="46">
        <f>'Variante Bewässerung'!$E$106</f>
        <v>4</v>
      </c>
      <c r="BB70" s="947">
        <f>'Variante Vorgaben'!$C$36</f>
        <v>32.700000000000003</v>
      </c>
      <c r="BC70" s="45">
        <f>AZ70*BA70*BB70</f>
        <v>130.80000000000001</v>
      </c>
      <c r="BD70" s="652">
        <f t="shared" si="14"/>
        <v>3.6805186970936504E-3</v>
      </c>
      <c r="BE70" s="40"/>
      <c r="BF70" t="s">
        <v>530</v>
      </c>
      <c r="BG70" s="94">
        <f>'Variante Vorgaben'!$C$187</f>
        <v>1</v>
      </c>
      <c r="BH70" s="46">
        <f>'Variante Bewässerung'!$E$106</f>
        <v>4</v>
      </c>
      <c r="BI70" s="947">
        <f>'Variante Vorgaben'!$C$36</f>
        <v>32.700000000000003</v>
      </c>
      <c r="BJ70" s="45">
        <f>BG70*BH70*BI70</f>
        <v>130.80000000000001</v>
      </c>
      <c r="BK70" s="652">
        <f t="shared" si="9"/>
        <v>3.340331169549965E-3</v>
      </c>
      <c r="BL70" s="40"/>
      <c r="BM70" t="s">
        <v>530</v>
      </c>
      <c r="BN70" s="94">
        <f>'Variante Vorgaben'!$C$187</f>
        <v>1</v>
      </c>
      <c r="BO70" s="46">
        <f>'Variante Bewässerung'!$E$106</f>
        <v>4</v>
      </c>
      <c r="BP70" s="947">
        <f>'Variante Vorgaben'!$C$36</f>
        <v>32.700000000000003</v>
      </c>
      <c r="BQ70" s="45">
        <f>BN70*BO70*BP70</f>
        <v>130.80000000000001</v>
      </c>
      <c r="BR70" s="652">
        <f t="shared" ref="BR70:BR75" si="19">BQ70/$BQ$81</f>
        <v>3.2920730638304964E-3</v>
      </c>
      <c r="BS70" s="40"/>
      <c r="BT70" t="s">
        <v>530</v>
      </c>
      <c r="BU70" s="94">
        <f>'Variante Vorgaben'!$C$187</f>
        <v>1</v>
      </c>
      <c r="BV70" s="46">
        <f>'Variante Bewässerung'!$E$106</f>
        <v>4</v>
      </c>
      <c r="BW70" s="947">
        <f>'Variante Vorgaben'!$C$36</f>
        <v>32.700000000000003</v>
      </c>
      <c r="BX70" s="45">
        <f>BU70*BV70*BW70</f>
        <v>130.80000000000001</v>
      </c>
      <c r="BY70" s="652">
        <f t="shared" si="17"/>
        <v>3.5157237543253809E-3</v>
      </c>
      <c r="BZ70" s="40"/>
      <c r="CA70" t="s">
        <v>530</v>
      </c>
      <c r="CB70" s="94">
        <f>'Variante Vorgaben'!$C$187</f>
        <v>1</v>
      </c>
      <c r="CC70" s="46">
        <f>'Variante Bewässerung'!$E$106</f>
        <v>4</v>
      </c>
      <c r="CD70" s="947">
        <f>'Variante Vorgaben'!$C$36</f>
        <v>32.700000000000003</v>
      </c>
      <c r="CE70" s="45">
        <f>CB70*CC70*CD70</f>
        <v>130.80000000000001</v>
      </c>
      <c r="CF70" s="652">
        <f t="shared" si="16"/>
        <v>3.7048179366737251E-3</v>
      </c>
      <c r="CG70" s="40"/>
      <c r="CH70" t="s">
        <v>530</v>
      </c>
      <c r="CI70" s="94">
        <f>'Variante Vorgaben'!$C$187</f>
        <v>1</v>
      </c>
      <c r="CJ70" s="46">
        <f>'Variante Bewässerung'!$E$106</f>
        <v>4</v>
      </c>
      <c r="CK70" s="947">
        <f>'Variante Vorgaben'!$C$36</f>
        <v>32.700000000000003</v>
      </c>
      <c r="CL70" s="45">
        <f>CI70*CJ70*CK70</f>
        <v>130.80000000000001</v>
      </c>
      <c r="CM70" s="652">
        <f t="shared" si="10"/>
        <v>3.6128171078018E-3</v>
      </c>
      <c r="CN70" s="40"/>
      <c r="CO70" t="s">
        <v>530</v>
      </c>
      <c r="CP70" s="94">
        <f>'Variante Vorgaben'!$C$187</f>
        <v>1</v>
      </c>
      <c r="CQ70" s="46">
        <f>'Variante Bewässerung'!$E$106</f>
        <v>4</v>
      </c>
      <c r="CR70" s="947">
        <f>'Variante Vorgaben'!$C$36</f>
        <v>32.700000000000003</v>
      </c>
      <c r="CS70" s="45">
        <f>CP70*CQ70*CR70</f>
        <v>130.80000000000001</v>
      </c>
      <c r="CT70" s="652">
        <f t="shared" si="11"/>
        <v>3.5928735838705538E-3</v>
      </c>
      <c r="CU70" s="40"/>
      <c r="CV70" t="s">
        <v>530</v>
      </c>
      <c r="CW70" s="94">
        <f>'Variante Vorgaben'!$C$187</f>
        <v>1</v>
      </c>
      <c r="CX70" s="46">
        <f>'Variante Bewässerung'!$E$106</f>
        <v>4</v>
      </c>
      <c r="CY70" s="947">
        <f>'Variante Vorgaben'!$C$36</f>
        <v>32.700000000000003</v>
      </c>
      <c r="CZ70" s="45">
        <f>CW70*CX70*CY70</f>
        <v>130.80000000000001</v>
      </c>
      <c r="DA70" s="653">
        <f>CZ70/$F$81</f>
        <v>1.025890685112674E-2</v>
      </c>
    </row>
    <row r="71" spans="1:106" s="1" customFormat="1" ht="13.5" thickBot="1" x14ac:dyDescent="0.25">
      <c r="A71" s="40"/>
      <c r="B71" t="s">
        <v>484</v>
      </c>
      <c r="C71" s="94">
        <f>'Variante Vorgaben'!$C$187</f>
        <v>1</v>
      </c>
      <c r="D71" s="46">
        <f>'Variante Bewässerung'!$E$107</f>
        <v>10</v>
      </c>
      <c r="E71" s="947">
        <f>'Variante Vorgaben'!$C$36</f>
        <v>32.700000000000003</v>
      </c>
      <c r="F71" s="45">
        <f>C71*D71*E71</f>
        <v>327</v>
      </c>
      <c r="G71" s="653">
        <f t="shared" si="3"/>
        <v>2.5647267127816849E-2</v>
      </c>
      <c r="H71" s="40"/>
      <c r="I71" t="s">
        <v>484</v>
      </c>
      <c r="J71" s="94">
        <f>'Variante Vorgaben'!$C$187</f>
        <v>1</v>
      </c>
      <c r="K71" s="46">
        <f>'Variante Bewässerung'!$E$107</f>
        <v>10</v>
      </c>
      <c r="L71" s="947">
        <f>'Variante Vorgaben'!$C$36</f>
        <v>32.700000000000003</v>
      </c>
      <c r="M71" s="45">
        <f>J71*K71*L71</f>
        <v>327</v>
      </c>
      <c r="N71" s="653">
        <f>M71/$F$81</f>
        <v>2.5647267127816849E-2</v>
      </c>
      <c r="O71" s="40"/>
      <c r="P71" t="s">
        <v>484</v>
      </c>
      <c r="Q71" s="94">
        <f>'Variante Vorgaben'!$C$187</f>
        <v>1</v>
      </c>
      <c r="R71" s="46">
        <f>'Variante Bewässerung'!$E$107</f>
        <v>10</v>
      </c>
      <c r="S71" s="947">
        <f>'Variante Vorgaben'!$C$36</f>
        <v>32.700000000000003</v>
      </c>
      <c r="T71" s="420">
        <f>Q71*R71*S71</f>
        <v>327</v>
      </c>
      <c r="U71" s="652">
        <f t="shared" si="5"/>
        <v>1.0995843522836128E-2</v>
      </c>
      <c r="V71" s="40"/>
      <c r="W71" t="s">
        <v>484</v>
      </c>
      <c r="X71" s="94">
        <f>'Variante Vorgaben'!$C$187</f>
        <v>1</v>
      </c>
      <c r="Y71" s="46">
        <f>'Variante Bewässerung'!$E$107</f>
        <v>10</v>
      </c>
      <c r="Z71" s="947">
        <f>'Variante Vorgaben'!$C$36</f>
        <v>32.700000000000003</v>
      </c>
      <c r="AA71" s="420">
        <f>X71*Y71*Z71</f>
        <v>327</v>
      </c>
      <c r="AB71" s="652">
        <f t="shared" si="6"/>
        <v>9.8242406618349199E-3</v>
      </c>
      <c r="AC71" s="40"/>
      <c r="AD71" t="s">
        <v>484</v>
      </c>
      <c r="AE71" s="94">
        <f>'Variante Vorgaben'!$C$187</f>
        <v>1</v>
      </c>
      <c r="AF71" s="46">
        <f>'Variante Bewässerung'!$E$107</f>
        <v>10</v>
      </c>
      <c r="AG71" s="947">
        <f>'Variante Vorgaben'!$C$36</f>
        <v>32.700000000000003</v>
      </c>
      <c r="AH71" s="420">
        <f>AE71*AF71*AG71</f>
        <v>327</v>
      </c>
      <c r="AI71" s="653">
        <f>AH71/$F$81</f>
        <v>2.5647267127816849E-2</v>
      </c>
      <c r="AJ71" s="40"/>
      <c r="AK71" t="s">
        <v>484</v>
      </c>
      <c r="AL71" s="94">
        <f>'Variante Vorgaben'!$C$187</f>
        <v>1</v>
      </c>
      <c r="AM71" s="46">
        <f>'Variante Bewässerung'!$E$107</f>
        <v>10</v>
      </c>
      <c r="AN71" s="947">
        <f>'Variante Vorgaben'!$C$36</f>
        <v>32.700000000000003</v>
      </c>
      <c r="AO71" s="420">
        <f>AL71*AM71*AN71</f>
        <v>327</v>
      </c>
      <c r="AP71" s="653">
        <f>AO71/$F$81</f>
        <v>2.5647267127816849E-2</v>
      </c>
      <c r="AQ71" s="40"/>
      <c r="AR71" t="s">
        <v>484</v>
      </c>
      <c r="AS71" s="94">
        <f>'Variante Vorgaben'!$C$187</f>
        <v>1</v>
      </c>
      <c r="AT71" s="46">
        <f>'Variante Bewässerung'!$E$107</f>
        <v>10</v>
      </c>
      <c r="AU71" s="947">
        <f>'Variante Vorgaben'!$C$36</f>
        <v>32.700000000000003</v>
      </c>
      <c r="AV71" s="420">
        <f>AS71*AT71*AU71</f>
        <v>327</v>
      </c>
      <c r="AW71" s="652">
        <f t="shared" si="18"/>
        <v>9.2027971830701532E-3</v>
      </c>
      <c r="AX71" s="40"/>
      <c r="AY71" t="s">
        <v>484</v>
      </c>
      <c r="AZ71" s="94">
        <f>'Variante Vorgaben'!$C$187</f>
        <v>1</v>
      </c>
      <c r="BA71" s="46">
        <f>'Variante Bewässerung'!$E$107</f>
        <v>10</v>
      </c>
      <c r="BB71" s="947">
        <f>'Variante Vorgaben'!$C$36</f>
        <v>32.700000000000003</v>
      </c>
      <c r="BC71" s="420">
        <f>AZ71*BA71*BB71</f>
        <v>327</v>
      </c>
      <c r="BD71" s="652">
        <f t="shared" si="14"/>
        <v>9.2012967427341254E-3</v>
      </c>
      <c r="BE71" s="40"/>
      <c r="BF71" t="s">
        <v>484</v>
      </c>
      <c r="BG71" s="94">
        <f>'Variante Vorgaben'!$C$187</f>
        <v>1</v>
      </c>
      <c r="BH71" s="46">
        <f>'Variante Bewässerung'!$E$107</f>
        <v>10</v>
      </c>
      <c r="BI71" s="947">
        <f>'Variante Vorgaben'!$C$36</f>
        <v>32.700000000000003</v>
      </c>
      <c r="BJ71" s="420">
        <f>BG71*BH71*BI71</f>
        <v>327</v>
      </c>
      <c r="BK71" s="652">
        <f t="shared" si="9"/>
        <v>8.3508279238749105E-3</v>
      </c>
      <c r="BL71" s="40"/>
      <c r="BM71" t="s">
        <v>484</v>
      </c>
      <c r="BN71" s="94">
        <f>'Variante Vorgaben'!$C$187</f>
        <v>1</v>
      </c>
      <c r="BO71" s="46">
        <f>'Variante Bewässerung'!$E$107</f>
        <v>10</v>
      </c>
      <c r="BP71" s="947">
        <f>'Variante Vorgaben'!$C$36</f>
        <v>32.700000000000003</v>
      </c>
      <c r="BQ71" s="420">
        <f>BN71*BO71*BP71</f>
        <v>327</v>
      </c>
      <c r="BR71" s="652">
        <f t="shared" si="19"/>
        <v>8.2301826595762399E-3</v>
      </c>
      <c r="BS71" s="40"/>
      <c r="BT71" t="s">
        <v>484</v>
      </c>
      <c r="BU71" s="94">
        <f>'Variante Vorgaben'!$C$187</f>
        <v>1</v>
      </c>
      <c r="BV71" s="46">
        <f>'Variante Bewässerung'!$E$107</f>
        <v>10</v>
      </c>
      <c r="BW71" s="947">
        <f>'Variante Vorgaben'!$C$36</f>
        <v>32.700000000000003</v>
      </c>
      <c r="BX71" s="420">
        <f>BU71*BV71*BW71</f>
        <v>327</v>
      </c>
      <c r="BY71" s="652">
        <f t="shared" si="17"/>
        <v>8.789309385813451E-3</v>
      </c>
      <c r="BZ71" s="40"/>
      <c r="CA71" t="s">
        <v>484</v>
      </c>
      <c r="CB71" s="94">
        <f>'Variante Vorgaben'!$C$187</f>
        <v>1</v>
      </c>
      <c r="CC71" s="46">
        <f>'Variante Bewässerung'!$E$107</f>
        <v>10</v>
      </c>
      <c r="CD71" s="947">
        <f>'Variante Vorgaben'!$C$36</f>
        <v>32.700000000000003</v>
      </c>
      <c r="CE71" s="420">
        <f>CB71*CC71*CD71</f>
        <v>327</v>
      </c>
      <c r="CF71" s="652">
        <f t="shared" si="16"/>
        <v>9.2620448416843113E-3</v>
      </c>
      <c r="CG71" s="40"/>
      <c r="CH71" t="s">
        <v>484</v>
      </c>
      <c r="CI71" s="94">
        <f>'Variante Vorgaben'!$C$187</f>
        <v>1</v>
      </c>
      <c r="CJ71" s="46">
        <f>'Variante Bewässerung'!$E$107</f>
        <v>10</v>
      </c>
      <c r="CK71" s="947">
        <f>'Variante Vorgaben'!$C$36</f>
        <v>32.700000000000003</v>
      </c>
      <c r="CL71" s="420">
        <f>CI71*CJ71*CK71</f>
        <v>327</v>
      </c>
      <c r="CM71" s="652">
        <f t="shared" si="10"/>
        <v>9.0320427695044989E-3</v>
      </c>
      <c r="CN71" s="40"/>
      <c r="CO71" t="s">
        <v>484</v>
      </c>
      <c r="CP71" s="94">
        <f>'Variante Vorgaben'!$C$187</f>
        <v>1</v>
      </c>
      <c r="CQ71" s="46">
        <f>'Variante Bewässerung'!$E$107</f>
        <v>10</v>
      </c>
      <c r="CR71" s="947">
        <f>'Variante Vorgaben'!$C$36</f>
        <v>32.700000000000003</v>
      </c>
      <c r="CS71" s="420">
        <f>CP71*CQ71*CR71</f>
        <v>327</v>
      </c>
      <c r="CT71" s="652">
        <f t="shared" si="11"/>
        <v>8.9821839596763847E-3</v>
      </c>
      <c r="CU71" s="40"/>
      <c r="CV71" t="s">
        <v>484</v>
      </c>
      <c r="CW71" s="94">
        <f>'Variante Vorgaben'!$C$187</f>
        <v>1</v>
      </c>
      <c r="CX71" s="46">
        <f>'Variante Bewässerung'!$E$107</f>
        <v>10</v>
      </c>
      <c r="CY71" s="947">
        <f>'Variante Vorgaben'!$C$36</f>
        <v>32.700000000000003</v>
      </c>
      <c r="CZ71" s="420">
        <f>CW71*CX71*CY71</f>
        <v>327</v>
      </c>
      <c r="DA71" s="653">
        <f>CZ71/$F$81</f>
        <v>2.5647267127816849E-2</v>
      </c>
    </row>
    <row r="72" spans="1:106" s="1" customFormat="1" ht="12.75" x14ac:dyDescent="0.2">
      <c r="A72" s="3"/>
      <c r="B72" s="283"/>
      <c r="D72" s="36"/>
      <c r="E72" s="47"/>
      <c r="F72" s="949">
        <f>SUM(F62:F71)</f>
        <v>4126.8000000000011</v>
      </c>
      <c r="G72" s="653">
        <f t="shared" si="3"/>
        <v>0.32367321707362262</v>
      </c>
      <c r="H72" s="3"/>
      <c r="I72" s="283"/>
      <c r="K72" s="36"/>
      <c r="L72" s="47"/>
      <c r="M72" s="948">
        <f>SUM(M62:M71)</f>
        <v>4609.5000000000009</v>
      </c>
      <c r="N72" s="649"/>
      <c r="O72" s="3"/>
      <c r="P72" s="283"/>
      <c r="R72" s="36"/>
      <c r="S72" s="47"/>
      <c r="T72" s="131">
        <f>SUM(T62:T71)</f>
        <v>10510.2</v>
      </c>
      <c r="U72" s="652">
        <f t="shared" si="5"/>
        <v>0.35342053392572564</v>
      </c>
      <c r="V72" s="3"/>
      <c r="W72" s="283"/>
      <c r="Y72" s="36"/>
      <c r="Z72" s="47"/>
      <c r="AA72" s="131">
        <f>SUM(AA62:AA71)</f>
        <v>10641</v>
      </c>
      <c r="AB72" s="652">
        <f t="shared" si="6"/>
        <v>0.31969340942686664</v>
      </c>
      <c r="AC72" s="3"/>
      <c r="AD72" s="283"/>
      <c r="AF72" s="36"/>
      <c r="AG72" s="47"/>
      <c r="AH72" s="131">
        <f>SUM(AH62:AH71)</f>
        <v>10641</v>
      </c>
      <c r="AI72" s="649"/>
      <c r="AJ72" s="3"/>
      <c r="AK72" s="283"/>
      <c r="AM72" s="36"/>
      <c r="AN72" s="47"/>
      <c r="AO72" s="949">
        <f>SUM(AO62:AO71)</f>
        <v>10641</v>
      </c>
      <c r="AP72" s="649"/>
      <c r="AQ72" s="3"/>
      <c r="AR72" s="283"/>
      <c r="AT72" s="36"/>
      <c r="AU72" s="47"/>
      <c r="AV72" s="949">
        <f>SUM(AV62:AV71)</f>
        <v>10641</v>
      </c>
      <c r="AW72" s="652">
        <f t="shared" si="18"/>
        <v>0.29947084044357647</v>
      </c>
      <c r="AX72" s="3"/>
      <c r="AY72" s="283"/>
      <c r="BA72" s="36"/>
      <c r="BB72" s="47"/>
      <c r="BC72" s="949">
        <f>SUM(BC62:BC71)</f>
        <v>10641</v>
      </c>
      <c r="BD72" s="652">
        <f>BC72/$BC$81</f>
        <v>0.29942201418787101</v>
      </c>
      <c r="BE72" s="3"/>
      <c r="BF72" s="283"/>
      <c r="BH72" s="36"/>
      <c r="BI72" s="47"/>
      <c r="BJ72" s="949">
        <f>SUM(BJ62:BJ71)</f>
        <v>10641</v>
      </c>
      <c r="BK72" s="652">
        <f t="shared" si="9"/>
        <v>0.27174666647692031</v>
      </c>
      <c r="BL72" s="3"/>
      <c r="BM72" s="283"/>
      <c r="BO72" s="36"/>
      <c r="BP72" s="47"/>
      <c r="BQ72" s="949">
        <f>SUM(BQ62:BQ71)</f>
        <v>10641</v>
      </c>
      <c r="BR72" s="652">
        <f t="shared" si="19"/>
        <v>0.26782071461942131</v>
      </c>
      <c r="BS72" s="3"/>
      <c r="BT72" s="283"/>
      <c r="BV72" s="36"/>
      <c r="BW72" s="47"/>
      <c r="BX72" s="949">
        <f>SUM(BX62:BX71)</f>
        <v>10641</v>
      </c>
      <c r="BY72" s="652">
        <f t="shared" si="17"/>
        <v>0.28601541643559919</v>
      </c>
      <c r="BZ72" s="3"/>
      <c r="CA72" s="283"/>
      <c r="CC72" s="36"/>
      <c r="CD72" s="47"/>
      <c r="CE72" s="949">
        <f>SUM(CE62:CE71)</f>
        <v>10641</v>
      </c>
      <c r="CF72" s="652">
        <f>CE72/$CE$81</f>
        <v>0.30139883535279133</v>
      </c>
      <c r="CG72" s="3"/>
      <c r="CH72" s="283"/>
      <c r="CJ72" s="36"/>
      <c r="CK72" s="47"/>
      <c r="CL72" s="949">
        <f>SUM(CL62:CL71)</f>
        <v>10641</v>
      </c>
      <c r="CM72" s="652">
        <f t="shared" si="10"/>
        <v>0.29391427250855467</v>
      </c>
      <c r="CN72" s="3"/>
      <c r="CO72" s="283"/>
      <c r="CQ72" s="36"/>
      <c r="CR72" s="47"/>
      <c r="CS72" s="131">
        <f>SUM(CS62:CS71)</f>
        <v>10641</v>
      </c>
      <c r="CT72" s="652">
        <f t="shared" si="11"/>
        <v>0.29229180279790951</v>
      </c>
      <c r="CU72" s="3"/>
      <c r="CV72" s="283"/>
      <c r="CX72" s="36"/>
      <c r="CY72" s="47"/>
      <c r="CZ72" s="949">
        <f>SUM(CZ62:CZ71)</f>
        <v>10641</v>
      </c>
      <c r="DA72" s="649"/>
    </row>
    <row r="73" spans="1:106" s="1" customFormat="1" ht="12.75" x14ac:dyDescent="0.2">
      <c r="A73" s="40" t="s">
        <v>342</v>
      </c>
      <c r="B73" s="670" t="str">
        <f>'Variante Vorgaben'!G70</f>
        <v>baumfallend</v>
      </c>
      <c r="C73" s="678">
        <f>'Variante Vorgaben'!G71</f>
        <v>120</v>
      </c>
      <c r="D73" s="46">
        <f>(D9+D10+('Variante Vorgaben'!$D$71*D12))/C73</f>
        <v>0</v>
      </c>
      <c r="E73" s="44">
        <f>'Variante Vorgaben'!$C$35</f>
        <v>22.754999999999999</v>
      </c>
      <c r="F73" s="45">
        <f>D73*E73</f>
        <v>0</v>
      </c>
      <c r="G73" s="652">
        <f>F73/$F$81</f>
        <v>0</v>
      </c>
      <c r="H73" s="40" t="s">
        <v>342</v>
      </c>
      <c r="I73" s="670" t="s">
        <v>343</v>
      </c>
      <c r="J73" s="678">
        <f>'Variante Vorgaben'!$G$72</f>
        <v>120</v>
      </c>
      <c r="K73" s="46">
        <f>(K9+K10+('Variante Vorgaben'!$D$72*K12))/J73</f>
        <v>99.75</v>
      </c>
      <c r="L73" s="44">
        <f>'Variante Vorgaben'!$C$35</f>
        <v>22.754999999999999</v>
      </c>
      <c r="M73" s="45">
        <f>K73*L73</f>
        <v>2269.8112499999997</v>
      </c>
      <c r="N73" s="652">
        <f>M73/$M$81</f>
        <v>0.13981581180176789</v>
      </c>
      <c r="O73" s="40" t="s">
        <v>342</v>
      </c>
      <c r="P73" s="670" t="s">
        <v>343</v>
      </c>
      <c r="Q73" s="678">
        <f>'Variante Vorgaben'!$G$73</f>
        <v>120</v>
      </c>
      <c r="R73" s="46">
        <f>(R9+R10+('Variante Vorgaben'!$D$73*R12))/Q73</f>
        <v>124.6875</v>
      </c>
      <c r="S73" s="44">
        <f>'Variante Vorgaben'!$C$35</f>
        <v>22.754999999999999</v>
      </c>
      <c r="T73" s="45">
        <f>R73*S73</f>
        <v>2837.2640624999999</v>
      </c>
      <c r="U73" s="652">
        <f t="shared" si="5"/>
        <v>9.5407069309530107E-2</v>
      </c>
      <c r="V73" s="40" t="s">
        <v>342</v>
      </c>
      <c r="W73" s="670" t="s">
        <v>343</v>
      </c>
      <c r="X73" s="678">
        <f>'Variante Vorgaben'!$G$74</f>
        <v>120</v>
      </c>
      <c r="Y73" s="46">
        <f>(Y9+Y10+('Variante Vorgaben'!$D$74*Y12))/X73</f>
        <v>216.125</v>
      </c>
      <c r="Z73" s="44">
        <f>'Variante Vorgaben'!$C$35</f>
        <v>22.754999999999999</v>
      </c>
      <c r="AA73" s="45">
        <f>Y73*Z73</f>
        <v>4917.9243749999996</v>
      </c>
      <c r="AB73" s="652">
        <f t="shared" si="6"/>
        <v>0.147751904026618</v>
      </c>
      <c r="AC73" s="40" t="s">
        <v>342</v>
      </c>
      <c r="AD73" s="670" t="s">
        <v>343</v>
      </c>
      <c r="AE73" s="678">
        <f>'Variante Vorgaben'!$G$75</f>
        <v>120</v>
      </c>
      <c r="AF73" s="46">
        <f>(AF9+AF10+('Variante Vorgaben'!$D$75*AF12))/AE73</f>
        <v>290.9375</v>
      </c>
      <c r="AG73" s="44">
        <f>'Variante Vorgaben'!$C$35</f>
        <v>22.754999999999999</v>
      </c>
      <c r="AH73" s="45">
        <f>AF73*AG73</f>
        <v>6620.2828124999996</v>
      </c>
      <c r="AI73" s="652">
        <f>AH73/$AH$81</f>
        <v>0.18716637130943492</v>
      </c>
      <c r="AJ73" s="40" t="s">
        <v>342</v>
      </c>
      <c r="AK73" s="670" t="s">
        <v>343</v>
      </c>
      <c r="AL73" s="678">
        <f>'Variante Vorgaben'!$G$76</f>
        <v>120</v>
      </c>
      <c r="AM73" s="46">
        <f>(AM9+AM10+('Variante Vorgaben'!$D$76*AM12))/AL73</f>
        <v>365.75</v>
      </c>
      <c r="AN73" s="44">
        <f>'Variante Vorgaben'!$C$35</f>
        <v>22.754999999999999</v>
      </c>
      <c r="AO73" s="45">
        <f>AM73*AN73</f>
        <v>8322.6412499999988</v>
      </c>
      <c r="AP73" s="652">
        <f>AO73/$AO$81</f>
        <v>0.22253232831635172</v>
      </c>
      <c r="AQ73" s="40" t="s">
        <v>342</v>
      </c>
      <c r="AR73" s="670" t="s">
        <v>343</v>
      </c>
      <c r="AS73" s="678">
        <f>'Variante Vorgaben'!$G$77</f>
        <v>120</v>
      </c>
      <c r="AT73" s="46">
        <f>(AT9+AT10+('Variante Vorgaben'!$D$77*AT12))/AS73</f>
        <v>298.2109375</v>
      </c>
      <c r="AU73" s="44">
        <f>'Variante Vorgaben'!$C$35</f>
        <v>22.754999999999999</v>
      </c>
      <c r="AV73" s="45">
        <f>AT73*AU73</f>
        <v>6785.7898828124999</v>
      </c>
      <c r="AW73" s="652">
        <f t="shared" si="18"/>
        <v>0.19097323553043677</v>
      </c>
      <c r="AX73" s="40" t="s">
        <v>342</v>
      </c>
      <c r="AY73" s="670" t="s">
        <v>343</v>
      </c>
      <c r="AZ73" s="678">
        <f>'Variante Vorgaben'!$G$78</f>
        <v>120</v>
      </c>
      <c r="BA73" s="46">
        <f>(BA9+BA10+('Variante Vorgaben'!$D$78*BA12))/AZ73</f>
        <v>298.2109375</v>
      </c>
      <c r="BB73" s="44">
        <f>'Variante Vorgaben'!$C$35</f>
        <v>22.754999999999999</v>
      </c>
      <c r="BC73" s="45">
        <f>BA73*BB73</f>
        <v>6785.7898828124999</v>
      </c>
      <c r="BD73" s="652">
        <f>BC73/$BC$81</f>
        <v>0.1909420989162105</v>
      </c>
      <c r="BE73" s="40" t="s">
        <v>342</v>
      </c>
      <c r="BF73" s="670" t="s">
        <v>343</v>
      </c>
      <c r="BG73" s="678">
        <f>'Variante Vorgaben'!$G$79</f>
        <v>120</v>
      </c>
      <c r="BH73" s="46">
        <f>(BH9+BH10+('Variante Vorgaben'!$D$79*BH12))/BG73</f>
        <v>432.25</v>
      </c>
      <c r="BI73" s="44">
        <f>'Variante Vorgaben'!$C$35</f>
        <v>22.754999999999999</v>
      </c>
      <c r="BJ73" s="45">
        <f>BH73*BI73</f>
        <v>9835.8487499999992</v>
      </c>
      <c r="BK73" s="652">
        <f t="shared" si="9"/>
        <v>0.2511849553410096</v>
      </c>
      <c r="BL73" s="40" t="s">
        <v>342</v>
      </c>
      <c r="BM73" s="670" t="s">
        <v>343</v>
      </c>
      <c r="BN73" s="678">
        <f>'Variante Vorgaben'!$G$80</f>
        <v>120</v>
      </c>
      <c r="BO73" s="46">
        <f>(BO9+BO10+('Variante Vorgaben'!$D$80*BO12))/BN73</f>
        <v>457.1875</v>
      </c>
      <c r="BP73" s="44">
        <f>'Variante Vorgaben'!$C$35</f>
        <v>22.754999999999999</v>
      </c>
      <c r="BQ73" s="45">
        <f>BO73*BP73</f>
        <v>10403.301562499999</v>
      </c>
      <c r="BR73" s="652">
        <f t="shared" si="19"/>
        <v>0.26183814104596298</v>
      </c>
      <c r="BS73" s="40" t="s">
        <v>342</v>
      </c>
      <c r="BT73" s="670" t="s">
        <v>343</v>
      </c>
      <c r="BU73" s="678">
        <f>'Variante Vorgaben'!$G$81</f>
        <v>120</v>
      </c>
      <c r="BV73" s="46">
        <f>(BV9+BV10+('Variante Vorgaben'!$D$81*BV12))/BU73</f>
        <v>367.828125</v>
      </c>
      <c r="BW73" s="44">
        <f>'Variante Vorgaben'!$C$35</f>
        <v>22.754999999999999</v>
      </c>
      <c r="BX73" s="45">
        <f>BV73*BW73</f>
        <v>8369.9289843749993</v>
      </c>
      <c r="BY73" s="652">
        <f>BX73/$BX$81</f>
        <v>0.2249721571283157</v>
      </c>
      <c r="BZ73" s="40" t="s">
        <v>342</v>
      </c>
      <c r="CA73" s="670" t="s">
        <v>343</v>
      </c>
      <c r="CB73" s="678">
        <f>'Variante Vorgaben'!$G$82</f>
        <v>120</v>
      </c>
      <c r="CC73" s="46">
        <f>(CC9+CC10+('Variante Vorgaben'!$D$82*CC12))/CB73</f>
        <v>299.25</v>
      </c>
      <c r="CD73" s="44">
        <f>'Variante Vorgaben'!$C$35</f>
        <v>22.754999999999999</v>
      </c>
      <c r="CE73" s="45">
        <f>CC73*CD73</f>
        <v>6809.4337500000001</v>
      </c>
      <c r="CF73" s="652">
        <f>CE73/$CE$81</f>
        <v>0.19287241816201395</v>
      </c>
      <c r="CG73" s="40" t="s">
        <v>342</v>
      </c>
      <c r="CH73" s="670" t="s">
        <v>343</v>
      </c>
      <c r="CI73" s="678">
        <f>'Variante Vorgaben'!$G$83</f>
        <v>120</v>
      </c>
      <c r="CJ73" s="46">
        <f>(CJ9+CJ10+('Variante Vorgaben'!$D$83*CJ12))/CI73</f>
        <v>332.5</v>
      </c>
      <c r="CK73" s="44">
        <f>'Variante Vorgaben'!$C$35</f>
        <v>22.754999999999999</v>
      </c>
      <c r="CL73" s="45">
        <f>CJ73*CK73</f>
        <v>7566.0374999999995</v>
      </c>
      <c r="CM73" s="652">
        <f t="shared" si="10"/>
        <v>0.2089809611488529</v>
      </c>
      <c r="CN73" s="40" t="s">
        <v>342</v>
      </c>
      <c r="CO73" s="670" t="s">
        <v>343</v>
      </c>
      <c r="CP73" s="678">
        <f>'Variante Vorgaben'!$G$84</f>
        <v>120</v>
      </c>
      <c r="CQ73" s="46">
        <f>(CQ9+CQ10+('Variante Vorgaben'!$D$84*CQ12))/CP73</f>
        <v>340.8125</v>
      </c>
      <c r="CR73" s="44">
        <f>'Variante Vorgaben'!$C$35</f>
        <v>22.754999999999999</v>
      </c>
      <c r="CS73" s="45">
        <f>CQ73*CR73</f>
        <v>7755.1884375</v>
      </c>
      <c r="CT73" s="652">
        <f t="shared" si="11"/>
        <v>0.21302302503847176</v>
      </c>
      <c r="CU73" s="40" t="s">
        <v>342</v>
      </c>
      <c r="CV73" s="670" t="s">
        <v>343</v>
      </c>
      <c r="CW73" s="678">
        <f>'Variante Vorgaben'!$G$85</f>
        <v>120</v>
      </c>
      <c r="CX73" s="46">
        <f>(CX9+CX10+('Variante Vorgaben'!$D$85*CX12))/CW73</f>
        <v>290.9375</v>
      </c>
      <c r="CY73" s="44">
        <f>'Variante Vorgaben'!$C$35</f>
        <v>22.754999999999999</v>
      </c>
      <c r="CZ73" s="45">
        <f>CX73*CY73</f>
        <v>6620.2828124999996</v>
      </c>
      <c r="DA73" s="652">
        <f>CZ73/$CZ$81</f>
        <v>0.16134809799751704</v>
      </c>
    </row>
    <row r="74" spans="1:106" s="1" customFormat="1" ht="13.5" thickBot="1" x14ac:dyDescent="0.25">
      <c r="A74" s="40"/>
      <c r="B74" s="41" t="s">
        <v>95</v>
      </c>
      <c r="C74" s="43"/>
      <c r="D74" s="647">
        <f>'Variante Vorgaben'!F94+'Variante Vorgaben'!G94</f>
        <v>20</v>
      </c>
      <c r="E74" s="44">
        <f>'Variante Vorgaben'!$C$32</f>
        <v>41.4</v>
      </c>
      <c r="F74" s="420">
        <f>D74*E74</f>
        <v>828</v>
      </c>
      <c r="G74" s="652">
        <f>F74/$F$81</f>
        <v>6.4941703919976612E-2</v>
      </c>
      <c r="H74" s="40"/>
      <c r="I74" s="41" t="s">
        <v>95</v>
      </c>
      <c r="J74" s="43"/>
      <c r="K74" s="647">
        <f>'Variante Vorgaben'!F95+'Variante Vorgaben'!G95</f>
        <v>20</v>
      </c>
      <c r="L74" s="44">
        <f>'Variante Vorgaben'!$C$32</f>
        <v>41.4</v>
      </c>
      <c r="M74" s="420">
        <f>K74*L74</f>
        <v>828</v>
      </c>
      <c r="N74" s="652">
        <f>M74/$M$81</f>
        <v>5.100313612943095E-2</v>
      </c>
      <c r="O74" s="40"/>
      <c r="P74" s="41" t="s">
        <v>95</v>
      </c>
      <c r="Q74" s="43"/>
      <c r="R74" s="647">
        <f>'Variante Vorgaben'!$F$93+'Variante Vorgaben'!$G$93</f>
        <v>40</v>
      </c>
      <c r="S74" s="44">
        <f>'Variante Vorgaben'!$C$32</f>
        <v>41.4</v>
      </c>
      <c r="T74" s="420">
        <f>R74*S74</f>
        <v>1656</v>
      </c>
      <c r="U74" s="652">
        <f t="shared" si="5"/>
        <v>5.5685372702803146E-2</v>
      </c>
      <c r="V74" s="40"/>
      <c r="W74" s="41" t="s">
        <v>95</v>
      </c>
      <c r="X74" s="43"/>
      <c r="Y74" s="647">
        <f>'Variante Vorgaben'!$F$93+'Variante Vorgaben'!$G$93</f>
        <v>40</v>
      </c>
      <c r="Z74" s="44">
        <f>'Variante Vorgaben'!$C$32</f>
        <v>41.4</v>
      </c>
      <c r="AA74" s="420">
        <f>Y74*Z74</f>
        <v>1656</v>
      </c>
      <c r="AB74" s="652">
        <f t="shared" si="6"/>
        <v>4.9752117847090604E-2</v>
      </c>
      <c r="AC74" s="40"/>
      <c r="AD74" s="41" t="s">
        <v>95</v>
      </c>
      <c r="AE74" s="43"/>
      <c r="AF74" s="647">
        <f>'Variante Vorgaben'!$F$93+'Variante Vorgaben'!$G$93</f>
        <v>40</v>
      </c>
      <c r="AG74" s="44">
        <f>'Variante Vorgaben'!$C$32</f>
        <v>41.4</v>
      </c>
      <c r="AH74" s="420">
        <f>AF74*AG74</f>
        <v>1656</v>
      </c>
      <c r="AI74" s="652">
        <f>AH74/$AH$81</f>
        <v>4.6817865590757075E-2</v>
      </c>
      <c r="AJ74" s="40"/>
      <c r="AK74" s="41" t="s">
        <v>95</v>
      </c>
      <c r="AL74" s="43"/>
      <c r="AM74" s="647">
        <f>'Variante Vorgaben'!$F$93+'Variante Vorgaben'!$G$93</f>
        <v>40</v>
      </c>
      <c r="AN74" s="44">
        <f>'Variante Vorgaben'!$C$32</f>
        <v>41.4</v>
      </c>
      <c r="AO74" s="420">
        <f>AM74*AN74</f>
        <v>1656</v>
      </c>
      <c r="AP74" s="652">
        <f>AO74/$AO$81</f>
        <v>4.4278435729988783E-2</v>
      </c>
      <c r="AQ74" s="40"/>
      <c r="AR74" s="41" t="s">
        <v>95</v>
      </c>
      <c r="AS74" s="43"/>
      <c r="AT74" s="647">
        <f>'Variante Vorgaben'!$F$93+'Variante Vorgaben'!$G$93</f>
        <v>40</v>
      </c>
      <c r="AU74" s="44">
        <f>'Variante Vorgaben'!$C$32</f>
        <v>41.4</v>
      </c>
      <c r="AV74" s="420">
        <f>AT74*AU74</f>
        <v>1656</v>
      </c>
      <c r="AW74" s="652">
        <f t="shared" si="18"/>
        <v>4.6604991239034173E-2</v>
      </c>
      <c r="AX74" s="40"/>
      <c r="AY74" s="41" t="s">
        <v>95</v>
      </c>
      <c r="AZ74" s="43"/>
      <c r="BA74" s="647">
        <f>'Variante Vorgaben'!$F$93+'Variante Vorgaben'!$G$93</f>
        <v>40</v>
      </c>
      <c r="BB74" s="44">
        <f>'Variante Vorgaben'!$C$32</f>
        <v>41.4</v>
      </c>
      <c r="BC74" s="420">
        <f>BA74*BB74</f>
        <v>1656</v>
      </c>
      <c r="BD74" s="652">
        <f>BC74/$BC$81</f>
        <v>4.6597392678800337E-2</v>
      </c>
      <c r="BE74" s="40"/>
      <c r="BF74" s="41" t="s">
        <v>95</v>
      </c>
      <c r="BG74" s="43"/>
      <c r="BH74" s="647">
        <f>'Variante Vorgaben'!$F$93+'Variante Vorgaben'!$G$93</f>
        <v>40</v>
      </c>
      <c r="BI74" s="44">
        <f>'Variante Vorgaben'!$C$32</f>
        <v>41.4</v>
      </c>
      <c r="BJ74" s="420">
        <f>BH74*BI74</f>
        <v>1656</v>
      </c>
      <c r="BK74" s="652">
        <f t="shared" si="9"/>
        <v>4.2290431320907811E-2</v>
      </c>
      <c r="BL74" s="40"/>
      <c r="BM74" s="41" t="s">
        <v>95</v>
      </c>
      <c r="BN74" s="43"/>
      <c r="BO74" s="647">
        <f>'Variante Vorgaben'!$F$93+'Variante Vorgaben'!$G$93</f>
        <v>40</v>
      </c>
      <c r="BP74" s="44">
        <f>'Variante Vorgaben'!$C$32</f>
        <v>41.4</v>
      </c>
      <c r="BQ74" s="420">
        <f>BO74*BP74</f>
        <v>1656</v>
      </c>
      <c r="BR74" s="652">
        <f t="shared" si="19"/>
        <v>4.1679457138404444E-2</v>
      </c>
      <c r="BS74" s="40"/>
      <c r="BT74" s="41" t="s">
        <v>95</v>
      </c>
      <c r="BU74" s="43"/>
      <c r="BV74" s="647">
        <f>'Variante Vorgaben'!$F$93+'Variante Vorgaben'!$G$93</f>
        <v>40</v>
      </c>
      <c r="BW74" s="44">
        <f>'Variante Vorgaben'!$C$32</f>
        <v>41.4</v>
      </c>
      <c r="BX74" s="420">
        <f>BV74*BW74</f>
        <v>1656</v>
      </c>
      <c r="BY74" s="652">
        <f>BX74/$BX$81</f>
        <v>4.4510997990541513E-2</v>
      </c>
      <c r="BZ74" s="40"/>
      <c r="CA74" s="41" t="s">
        <v>95</v>
      </c>
      <c r="CB74" s="43"/>
      <c r="CC74" s="647">
        <f>'Variante Vorgaben'!$F$93+'Variante Vorgaben'!$G$93</f>
        <v>40</v>
      </c>
      <c r="CD74" s="44">
        <f>'Variante Vorgaben'!$C$32</f>
        <v>41.4</v>
      </c>
      <c r="CE74" s="420">
        <f>CC74*CD74</f>
        <v>1656</v>
      </c>
      <c r="CF74" s="652">
        <f>CE74/$CE$81</f>
        <v>4.6905034427612298E-2</v>
      </c>
      <c r="CG74" s="40"/>
      <c r="CH74" s="41" t="s">
        <v>95</v>
      </c>
      <c r="CI74" s="43"/>
      <c r="CJ74" s="647">
        <f>'Variante Vorgaben'!$F$93+'Variante Vorgaben'!$G$93</f>
        <v>40</v>
      </c>
      <c r="CK74" s="44">
        <f>'Variante Vorgaben'!$C$32</f>
        <v>41.4</v>
      </c>
      <c r="CL74" s="420">
        <f>CJ74*CK74</f>
        <v>1656</v>
      </c>
      <c r="CM74" s="652">
        <f t="shared" si="10"/>
        <v>4.5740253291435634E-2</v>
      </c>
      <c r="CN74" s="40"/>
      <c r="CO74" s="41" t="s">
        <v>95</v>
      </c>
      <c r="CP74" s="43"/>
      <c r="CQ74" s="647">
        <f>'Variante Vorgaben'!$F$93+'Variante Vorgaben'!$G$93</f>
        <v>40</v>
      </c>
      <c r="CR74" s="44">
        <f>'Variante Vorgaben'!$C$32</f>
        <v>41.4</v>
      </c>
      <c r="CS74" s="420">
        <f>CQ74*CR74</f>
        <v>1656</v>
      </c>
      <c r="CT74" s="652">
        <f t="shared" si="11"/>
        <v>4.5487757300379489E-2</v>
      </c>
      <c r="CU74" s="40"/>
      <c r="CV74" s="41" t="s">
        <v>95</v>
      </c>
      <c r="CW74" s="43"/>
      <c r="CX74" s="647">
        <f>'Variante Vorgaben'!$F$93+'Variante Vorgaben'!$G$93</f>
        <v>40</v>
      </c>
      <c r="CY74" s="44">
        <f>'Variante Vorgaben'!$C$32</f>
        <v>41.4</v>
      </c>
      <c r="CZ74" s="420">
        <f>CX74*CY74</f>
        <v>1656</v>
      </c>
      <c r="DA74" s="652">
        <f>CZ74/$CZ$81</f>
        <v>4.0359673121425008E-2</v>
      </c>
    </row>
    <row r="75" spans="1:106" s="1" customFormat="1" ht="12.75" x14ac:dyDescent="0.2">
      <c r="A75" s="109" t="s">
        <v>84</v>
      </c>
      <c r="B75" s="284">
        <f>('Variante Vorgaben'!$F$34*D66)+('Variante Vorgaben'!$F$34*D73)</f>
        <v>0</v>
      </c>
      <c r="C75" s="109" t="s">
        <v>82</v>
      </c>
      <c r="D75" s="285">
        <f>SUM(D62:D74)</f>
        <v>154</v>
      </c>
      <c r="E75" s="47"/>
      <c r="F75" s="53">
        <f>SUM(F73:F74)</f>
        <v>828</v>
      </c>
      <c r="G75" s="649">
        <f>F75/$F$81</f>
        <v>6.4941703919976612E-2</v>
      </c>
      <c r="H75" s="109" t="s">
        <v>84</v>
      </c>
      <c r="I75" s="284">
        <f>('Variante Vorgaben'!$F$34*K66)+('Variante Vorgaben'!$F$34*K73)</f>
        <v>101.78749999999999</v>
      </c>
      <c r="J75" s="109" t="s">
        <v>82</v>
      </c>
      <c r="K75" s="285">
        <f>SUM(K62:K74)</f>
        <v>274.75</v>
      </c>
      <c r="L75" s="47"/>
      <c r="M75" s="53">
        <f>SUM(M73:M74)</f>
        <v>3097.8112499999997</v>
      </c>
      <c r="N75" s="649">
        <f>M75/$M$81</f>
        <v>0.19081894793119883</v>
      </c>
      <c r="O75" s="109" t="s">
        <v>84</v>
      </c>
      <c r="P75" s="284">
        <f>('Variante Vorgaben'!$F$34*R66)+('Variante Vorgaben'!$F$34*R73)</f>
        <v>233.484375</v>
      </c>
      <c r="Q75" s="109" t="s">
        <v>82</v>
      </c>
      <c r="R75" s="285">
        <f>SUM(R62:R74)</f>
        <v>540.6875</v>
      </c>
      <c r="S75" s="47"/>
      <c r="T75" s="53">
        <f>SUM(T73:T74)</f>
        <v>4493.2640625000004</v>
      </c>
      <c r="U75" s="649">
        <f t="shared" si="5"/>
        <v>0.15109244201233327</v>
      </c>
      <c r="V75" s="109" t="s">
        <v>84</v>
      </c>
      <c r="W75" s="284">
        <f>('Variante Vorgaben'!$F$34*Y66)+('Variante Vorgaben'!$F$34*Y73)</f>
        <v>311.20624999999995</v>
      </c>
      <c r="X75" s="109" t="s">
        <v>82</v>
      </c>
      <c r="Y75" s="285">
        <f>SUM(Y62:Y74)</f>
        <v>636.125</v>
      </c>
      <c r="Z75" s="47"/>
      <c r="AA75" s="53">
        <f>SUM(AA73:AA74)</f>
        <v>6573.9243749999996</v>
      </c>
      <c r="AB75" s="649">
        <f t="shared" si="6"/>
        <v>0.19750402187370861</v>
      </c>
      <c r="AC75" s="109" t="s">
        <v>84</v>
      </c>
      <c r="AD75" s="284">
        <f>('Variante Vorgaben'!$F$34*AF66)+('Variante Vorgaben'!$F$34*AF73)</f>
        <v>374.796875</v>
      </c>
      <c r="AE75" s="109" t="s">
        <v>82</v>
      </c>
      <c r="AF75" s="285">
        <f>SUM(AF62:AF74)</f>
        <v>710.9375</v>
      </c>
      <c r="AG75" s="47"/>
      <c r="AH75" s="53">
        <f>SUM(AH73:AH74)</f>
        <v>8276.2828124999996</v>
      </c>
      <c r="AI75" s="649">
        <f>AH75/$AH$81</f>
        <v>0.23398423690019199</v>
      </c>
      <c r="AJ75" s="109" t="s">
        <v>84</v>
      </c>
      <c r="AK75" s="284">
        <f>('Variante Vorgaben'!$F$34*AM66)+('Variante Vorgaben'!$F$34*AM73)</f>
        <v>438.38749999999999</v>
      </c>
      <c r="AL75" s="109" t="s">
        <v>82</v>
      </c>
      <c r="AM75" s="285">
        <f>SUM(AM62:AM74)</f>
        <v>785.75</v>
      </c>
      <c r="AN75" s="47"/>
      <c r="AO75" s="53">
        <f>SUM(AO73:AO74)</f>
        <v>9978.6412499999988</v>
      </c>
      <c r="AP75" s="649">
        <f>AO75/$AO$81</f>
        <v>0.26681076404634052</v>
      </c>
      <c r="AQ75" s="109" t="s">
        <v>84</v>
      </c>
      <c r="AR75" s="284">
        <f>('Variante Vorgaben'!$F$34*AT66)+('Variante Vorgaben'!$F$34*AT73)</f>
        <v>380.97929687499999</v>
      </c>
      <c r="AS75" s="109" t="s">
        <v>82</v>
      </c>
      <c r="AT75" s="285">
        <f>SUM(AT62:AT74)</f>
        <v>718.2109375</v>
      </c>
      <c r="AU75" s="47"/>
      <c r="AV75" s="53">
        <f>SUM(AV73:AV74)</f>
        <v>8441.7898828124999</v>
      </c>
      <c r="AW75" s="649">
        <f t="shared" si="18"/>
        <v>0.23757822676947093</v>
      </c>
      <c r="AX75" s="109" t="s">
        <v>84</v>
      </c>
      <c r="AY75" s="284">
        <f>('Variante Vorgaben'!$F$34*BA66)+('Variante Vorgaben'!$F$34*BA73)</f>
        <v>380.97929687499999</v>
      </c>
      <c r="AZ75" s="109" t="s">
        <v>82</v>
      </c>
      <c r="BA75" s="285">
        <f>SUM(BA62:BA74)</f>
        <v>718.2109375</v>
      </c>
      <c r="BB75" s="47"/>
      <c r="BC75" s="53">
        <f>SUM(BC73:BC74)</f>
        <v>8441.7898828124999</v>
      </c>
      <c r="BD75" s="649">
        <f>BC75/$BC$81</f>
        <v>0.23753949159501084</v>
      </c>
      <c r="BE75" s="109" t="s">
        <v>84</v>
      </c>
      <c r="BF75" s="284">
        <f>('Variante Vorgaben'!$F$34*BH66)+('Variante Vorgaben'!$F$34*BH73)</f>
        <v>494.91249999999997</v>
      </c>
      <c r="BG75" s="109" t="s">
        <v>82</v>
      </c>
      <c r="BH75" s="285">
        <f>SUM(BH62:BH74)</f>
        <v>852.25</v>
      </c>
      <c r="BI75" s="47"/>
      <c r="BJ75" s="53">
        <f>SUM(BJ73:BJ74)</f>
        <v>11491.848749999999</v>
      </c>
      <c r="BK75" s="649">
        <f t="shared" si="9"/>
        <v>0.29347538666191741</v>
      </c>
      <c r="BL75" s="109" t="s">
        <v>84</v>
      </c>
      <c r="BM75" s="284">
        <f>('Variante Vorgaben'!$F$34*BO66)+('Variante Vorgaben'!$F$34*BO73)</f>
        <v>516.109375</v>
      </c>
      <c r="BN75" s="109" t="s">
        <v>82</v>
      </c>
      <c r="BO75" s="285">
        <f>SUM(BO62:BO74)</f>
        <v>877.1875</v>
      </c>
      <c r="BP75" s="47"/>
      <c r="BQ75" s="53">
        <f>SUM(BQ73:BQ74)</f>
        <v>12059.301562499999</v>
      </c>
      <c r="BR75" s="649">
        <f t="shared" si="19"/>
        <v>0.30351759818436741</v>
      </c>
      <c r="BS75" s="109" t="s">
        <v>84</v>
      </c>
      <c r="BT75" s="284">
        <f>('Variante Vorgaben'!$F$34*BV66)+('Variante Vorgaben'!$F$34*BV73)</f>
        <v>440.15390624999998</v>
      </c>
      <c r="BU75" s="109" t="s">
        <v>82</v>
      </c>
      <c r="BV75" s="285">
        <f>SUM(BV62:BV74)</f>
        <v>787.828125</v>
      </c>
      <c r="BW75" s="47"/>
      <c r="BX75" s="53">
        <f>SUM(BX73:BX74)</f>
        <v>10025.928984374999</v>
      </c>
      <c r="BY75" s="649">
        <f>BX75/$BX$81</f>
        <v>0.26948315511885723</v>
      </c>
      <c r="BZ75" s="109" t="s">
        <v>84</v>
      </c>
      <c r="CA75" s="284">
        <f>('Variante Vorgaben'!$F$34*CC66)+('Variante Vorgaben'!$F$34*CC73)</f>
        <v>381.86249999999995</v>
      </c>
      <c r="CB75" s="109" t="s">
        <v>82</v>
      </c>
      <c r="CC75" s="285">
        <f>SUM(CC62:CC74)</f>
        <v>719.25</v>
      </c>
      <c r="CD75" s="47"/>
      <c r="CE75" s="53">
        <f>SUM(CE73:CE74)</f>
        <v>8465.4337500000001</v>
      </c>
      <c r="CF75" s="649">
        <f>CE75/$CE$81</f>
        <v>0.23977745258962624</v>
      </c>
      <c r="CG75" s="109" t="s">
        <v>84</v>
      </c>
      <c r="CH75" s="284">
        <f>('Variante Vorgaben'!$F$34*CJ66)+('Variante Vorgaben'!$F$34*CJ73)</f>
        <v>410.125</v>
      </c>
      <c r="CI75" s="109" t="s">
        <v>82</v>
      </c>
      <c r="CJ75" s="285">
        <f>SUM(CJ62:CJ74)</f>
        <v>752.5</v>
      </c>
      <c r="CK75" s="47"/>
      <c r="CL75" s="53">
        <f>SUM(CL73:CL74)</f>
        <v>9222.0374999999985</v>
      </c>
      <c r="CM75" s="649">
        <f t="shared" si="10"/>
        <v>0.2547212144402885</v>
      </c>
      <c r="CN75" s="109" t="s">
        <v>84</v>
      </c>
      <c r="CO75" s="284">
        <f>('Variante Vorgaben'!$F$34*CQ66)+('Variante Vorgaben'!$F$34*CQ73)</f>
        <v>417.19062500000001</v>
      </c>
      <c r="CP75" s="109" t="s">
        <v>82</v>
      </c>
      <c r="CQ75" s="285">
        <f>SUM(CQ62:CQ74)</f>
        <v>760.8125</v>
      </c>
      <c r="CR75" s="47"/>
      <c r="CS75" s="53">
        <f>SUM(CS73:CS74)</f>
        <v>9411.1884375000009</v>
      </c>
      <c r="CT75" s="649">
        <f t="shared" si="11"/>
        <v>0.25851078233885127</v>
      </c>
      <c r="CU75" s="109" t="s">
        <v>84</v>
      </c>
      <c r="CV75" s="284">
        <f>('Variante Vorgaben'!$F$34*CX66)+('Variante Vorgaben'!$F$34*CX73)</f>
        <v>374.796875</v>
      </c>
      <c r="CW75" s="109" t="s">
        <v>82</v>
      </c>
      <c r="CX75" s="285">
        <f>SUM(CX62:CX74)</f>
        <v>710.9375</v>
      </c>
      <c r="CY75" s="47"/>
      <c r="CZ75" s="53">
        <f>SUM(CZ73:CZ74)</f>
        <v>8276.2828124999996</v>
      </c>
      <c r="DA75" s="649">
        <f>CZ75/$CZ$81</f>
        <v>0.20170777111894203</v>
      </c>
    </row>
    <row r="76" spans="1:106" s="1" customFormat="1" ht="12.75" x14ac:dyDescent="0.2">
      <c r="A76" s="670"/>
      <c r="B76" s="679"/>
      <c r="C76" s="670"/>
      <c r="D76" s="680"/>
      <c r="E76" s="44"/>
      <c r="F76" s="81"/>
      <c r="G76" s="652"/>
      <c r="H76" s="670"/>
      <c r="I76" s="679"/>
      <c r="J76" s="670"/>
      <c r="K76" s="680"/>
      <c r="L76" s="44"/>
      <c r="M76" s="81"/>
      <c r="N76" s="652"/>
      <c r="O76" s="670"/>
      <c r="P76" s="679"/>
      <c r="Q76" s="670"/>
      <c r="R76" s="680"/>
      <c r="S76" s="44"/>
      <c r="T76" s="81"/>
      <c r="U76" s="652"/>
      <c r="V76" s="670"/>
      <c r="W76" s="679"/>
      <c r="X76" s="670"/>
      <c r="Y76" s="680"/>
      <c r="Z76" s="44"/>
      <c r="AA76" s="81"/>
      <c r="AB76" s="652"/>
      <c r="AC76" s="670"/>
      <c r="AD76" s="679"/>
      <c r="AE76" s="670"/>
      <c r="AF76" s="680"/>
      <c r="AG76" s="44"/>
      <c r="AH76" s="81"/>
      <c r="AI76" s="652"/>
      <c r="AJ76" s="670"/>
      <c r="AK76" s="679"/>
      <c r="AL76" s="670"/>
      <c r="AM76" s="680"/>
      <c r="AN76" s="44"/>
      <c r="AO76" s="81"/>
      <c r="AP76" s="652"/>
      <c r="AQ76" s="670"/>
      <c r="AR76" s="679"/>
      <c r="AS76" s="670"/>
      <c r="AT76" s="680"/>
      <c r="AU76" s="44"/>
      <c r="AV76" s="81"/>
      <c r="AW76" s="652"/>
      <c r="AX76" s="670"/>
      <c r="AY76" s="679"/>
      <c r="AZ76" s="670"/>
      <c r="BA76" s="680"/>
      <c r="BB76" s="44"/>
      <c r="BC76" s="81"/>
      <c r="BD76" s="652"/>
      <c r="BE76" s="670"/>
      <c r="BF76" s="679"/>
      <c r="BG76" s="670"/>
      <c r="BH76" s="680"/>
      <c r="BI76" s="44"/>
      <c r="BJ76" s="81"/>
      <c r="BK76" s="652"/>
      <c r="BL76" s="670"/>
      <c r="BM76" s="679"/>
      <c r="BN76" s="670"/>
      <c r="BO76" s="680"/>
      <c r="BP76" s="44"/>
      <c r="BQ76" s="81"/>
      <c r="BR76" s="652"/>
      <c r="BS76" s="670"/>
      <c r="BT76" s="679"/>
      <c r="BU76" s="670"/>
      <c r="BV76" s="680"/>
      <c r="BW76" s="44"/>
      <c r="BX76" s="81"/>
      <c r="BY76" s="652"/>
      <c r="BZ76" s="670"/>
      <c r="CA76" s="679"/>
      <c r="CB76" s="670"/>
      <c r="CC76" s="680"/>
      <c r="CD76" s="44"/>
      <c r="CE76" s="81"/>
      <c r="CF76" s="652"/>
      <c r="CG76" s="670"/>
      <c r="CH76" s="679"/>
      <c r="CI76" s="670"/>
      <c r="CJ76" s="680"/>
      <c r="CK76" s="44"/>
      <c r="CL76" s="81"/>
      <c r="CM76" s="652"/>
      <c r="CN76" s="670"/>
      <c r="CO76" s="679"/>
      <c r="CP76" s="670"/>
      <c r="CQ76" s="680"/>
      <c r="CR76" s="44"/>
      <c r="CS76" s="81"/>
      <c r="CT76" s="652"/>
      <c r="CU76" s="670"/>
      <c r="CV76" s="679"/>
      <c r="CW76" s="670"/>
      <c r="CX76" s="680"/>
      <c r="CY76" s="44"/>
      <c r="CZ76" s="81"/>
      <c r="DA76" s="652"/>
    </row>
    <row r="77" spans="1:106" s="1" customFormat="1" ht="18" customHeight="1" x14ac:dyDescent="0.2">
      <c r="A77" s="40" t="s">
        <v>65</v>
      </c>
      <c r="B77" s="41" t="s">
        <v>63</v>
      </c>
      <c r="C77" s="43"/>
      <c r="D77" s="43"/>
      <c r="E77" s="44"/>
      <c r="F77" s="45">
        <f>'Variante Vorgaben'!$C$42</f>
        <v>660</v>
      </c>
      <c r="G77" s="652">
        <f>F77/$F$81</f>
        <v>5.1765126313024837E-2</v>
      </c>
      <c r="H77" s="40" t="s">
        <v>65</v>
      </c>
      <c r="I77" s="41" t="s">
        <v>63</v>
      </c>
      <c r="J77" s="43"/>
      <c r="K77" s="43"/>
      <c r="L77" s="44"/>
      <c r="M77" s="45">
        <f>'Variante Vorgaben'!$C$42</f>
        <v>660</v>
      </c>
      <c r="N77" s="652">
        <f>M77/$M$81</f>
        <v>4.0654673726358004E-2</v>
      </c>
      <c r="O77" s="40" t="s">
        <v>65</v>
      </c>
      <c r="P77" s="41" t="s">
        <v>63</v>
      </c>
      <c r="Q77" s="43"/>
      <c r="R77" s="43"/>
      <c r="S77" s="44"/>
      <c r="T77" s="45">
        <f>'Variante Vorgaben'!$C$42</f>
        <v>660</v>
      </c>
      <c r="U77" s="652">
        <f>T77/$T$81</f>
        <v>2.2193445642421546E-2</v>
      </c>
      <c r="V77" s="40" t="s">
        <v>65</v>
      </c>
      <c r="W77" s="41" t="s">
        <v>63</v>
      </c>
      <c r="X77" s="43"/>
      <c r="Y77" s="43"/>
      <c r="Z77" s="44"/>
      <c r="AA77" s="45">
        <f>'Variante Vorgaben'!$C$42</f>
        <v>660</v>
      </c>
      <c r="AB77" s="652">
        <f>AA77/$AA$81</f>
        <v>1.982874262021727E-2</v>
      </c>
      <c r="AC77" s="40" t="s">
        <v>65</v>
      </c>
      <c r="AD77" s="41" t="s">
        <v>63</v>
      </c>
      <c r="AE77" s="43"/>
      <c r="AF77" s="43"/>
      <c r="AG77" s="44"/>
      <c r="AH77" s="45">
        <f>'Variante Vorgaben'!$C$42</f>
        <v>660</v>
      </c>
      <c r="AI77" s="652">
        <f>AH77/$AH$81</f>
        <v>1.8659294257185793E-2</v>
      </c>
      <c r="AJ77" s="40" t="s">
        <v>65</v>
      </c>
      <c r="AK77" s="41" t="s">
        <v>63</v>
      </c>
      <c r="AL77" s="43"/>
      <c r="AM77" s="43"/>
      <c r="AN77" s="44"/>
      <c r="AO77" s="45">
        <f>'Variante Vorgaben'!$C$42</f>
        <v>660</v>
      </c>
      <c r="AP77" s="652">
        <f>AO77/$AO$81</f>
        <v>1.7647202646010024E-2</v>
      </c>
      <c r="AQ77" s="40" t="s">
        <v>65</v>
      </c>
      <c r="AR77" s="41" t="s">
        <v>63</v>
      </c>
      <c r="AS77" s="43"/>
      <c r="AT77" s="43"/>
      <c r="AU77" s="44"/>
      <c r="AV77" s="45">
        <f>'Variante Vorgaben'!$C$42</f>
        <v>660</v>
      </c>
      <c r="AW77" s="652">
        <f>AV77/$AV$81</f>
        <v>1.8574453030049853E-2</v>
      </c>
      <c r="AX77" s="40" t="s">
        <v>65</v>
      </c>
      <c r="AY77" s="41" t="s">
        <v>63</v>
      </c>
      <c r="AZ77" s="43"/>
      <c r="BA77" s="43"/>
      <c r="BB77" s="44"/>
      <c r="BC77" s="45">
        <f>'Variante Vorgaben'!$C$42</f>
        <v>660</v>
      </c>
      <c r="BD77" s="652">
        <f>BC77/$BC$81</f>
        <v>1.8571424618362455E-2</v>
      </c>
      <c r="BE77" s="40" t="s">
        <v>65</v>
      </c>
      <c r="BF77" s="41" t="s">
        <v>63</v>
      </c>
      <c r="BG77" s="43"/>
      <c r="BH77" s="43"/>
      <c r="BI77" s="44"/>
      <c r="BJ77" s="45">
        <f>'Variante Vorgaben'!$C$42</f>
        <v>660</v>
      </c>
      <c r="BK77" s="652">
        <f>BJ77/$BJ$81</f>
        <v>1.6854882048187893E-2</v>
      </c>
      <c r="BL77" s="40" t="s">
        <v>65</v>
      </c>
      <c r="BM77" s="41" t="s">
        <v>63</v>
      </c>
      <c r="BN77" s="43"/>
      <c r="BO77" s="43"/>
      <c r="BP77" s="44"/>
      <c r="BQ77" s="45">
        <f>'Variante Vorgaben'!$C$42</f>
        <v>660</v>
      </c>
      <c r="BR77" s="652">
        <f>BQ77/$BQ$81</f>
        <v>1.6611377845016265E-2</v>
      </c>
      <c r="BS77" s="40" t="s">
        <v>65</v>
      </c>
      <c r="BT77" s="41" t="s">
        <v>63</v>
      </c>
      <c r="BU77" s="43"/>
      <c r="BV77" s="43"/>
      <c r="BW77" s="44"/>
      <c r="BX77" s="45">
        <f>'Variante Vorgaben'!$C$42</f>
        <v>660</v>
      </c>
      <c r="BY77" s="652">
        <f>BX77/$BX$81</f>
        <v>1.7739890503476692E-2</v>
      </c>
      <c r="BZ77" s="40" t="s">
        <v>65</v>
      </c>
      <c r="CA77" s="41" t="s">
        <v>63</v>
      </c>
      <c r="CB77" s="43"/>
      <c r="CC77" s="43"/>
      <c r="CD77" s="44"/>
      <c r="CE77" s="45">
        <f>'Variante Vorgaben'!$C$42</f>
        <v>660</v>
      </c>
      <c r="CF77" s="652">
        <f>CE77/$CE$81</f>
        <v>1.8694035460280263E-2</v>
      </c>
      <c r="CG77" s="40" t="s">
        <v>65</v>
      </c>
      <c r="CH77" s="41" t="s">
        <v>63</v>
      </c>
      <c r="CI77" s="43"/>
      <c r="CJ77" s="43"/>
      <c r="CK77" s="44"/>
      <c r="CL77" s="45">
        <f>'Variante Vorgaben'!$C$42</f>
        <v>660</v>
      </c>
      <c r="CM77" s="652">
        <f>CL77/$CL$81</f>
        <v>1.822981109441275E-2</v>
      </c>
      <c r="CN77" s="40" t="s">
        <v>65</v>
      </c>
      <c r="CO77" s="41" t="s">
        <v>63</v>
      </c>
      <c r="CP77" s="43"/>
      <c r="CQ77" s="43"/>
      <c r="CR77" s="44"/>
      <c r="CS77" s="45">
        <f>'Variante Vorgaben'!$C$42</f>
        <v>660</v>
      </c>
      <c r="CT77" s="652">
        <f>CS77/$CS$81</f>
        <v>1.8129178634209216E-2</v>
      </c>
      <c r="CU77" s="40" t="s">
        <v>65</v>
      </c>
      <c r="CV77" s="41" t="s">
        <v>63</v>
      </c>
      <c r="CW77" s="43"/>
      <c r="CX77" s="43"/>
      <c r="CY77" s="44"/>
      <c r="CZ77" s="45">
        <f>'Variante Vorgaben'!$C$42</f>
        <v>660</v>
      </c>
      <c r="DA77" s="652">
        <f>CZ77/$CZ$81</f>
        <v>1.6085376968683882E-2</v>
      </c>
    </row>
    <row r="78" spans="1:106" s="1" customFormat="1" ht="13.5" thickBot="1" x14ac:dyDescent="0.25">
      <c r="A78" s="19"/>
      <c r="B78" s="19" t="s">
        <v>150</v>
      </c>
      <c r="C78" s="681">
        <f>'Variante Vorgaben'!$C$41</f>
        <v>0.6</v>
      </c>
      <c r="D78" s="682">
        <f>'Variante Vorgaben'!$C$40</f>
        <v>1.4999999999999999E-2</v>
      </c>
      <c r="E78" s="146">
        <f>(F84)*(-1)</f>
        <v>98699.605099999986</v>
      </c>
      <c r="F78" s="501">
        <f>D78*E78*C78</f>
        <v>888.29644589999975</v>
      </c>
      <c r="G78" s="652">
        <f>F78/$F$81</f>
        <v>6.9670875341552307E-2</v>
      </c>
      <c r="H78" s="19"/>
      <c r="I78" s="19" t="s">
        <v>150</v>
      </c>
      <c r="J78" s="681">
        <f>'Variante Vorgaben'!$C$41</f>
        <v>0.6</v>
      </c>
      <c r="K78" s="682">
        <f>'Variante Vorgaben'!$C$40</f>
        <v>1.4999999999999999E-2</v>
      </c>
      <c r="L78" s="146">
        <f>(M84)*(-1)</f>
        <v>110349.50154589998</v>
      </c>
      <c r="M78" s="501">
        <f>K78*L78*J78</f>
        <v>993.14551391309976</v>
      </c>
      <c r="N78" s="652">
        <f>M78/$M$81</f>
        <v>6.1175767925656384E-2</v>
      </c>
      <c r="O78" s="19"/>
      <c r="P78" s="19" t="s">
        <v>150</v>
      </c>
      <c r="Q78" s="681">
        <f>'Variante Vorgaben'!$C$41</f>
        <v>0.6</v>
      </c>
      <c r="R78" s="682">
        <f>'Variante Vorgaben'!$C$40</f>
        <v>1.4999999999999999E-2</v>
      </c>
      <c r="S78" s="146">
        <f>(T84)*(-1)</f>
        <v>114181.59737231309</v>
      </c>
      <c r="T78" s="501">
        <f>R78*S78*Q78</f>
        <v>1027.6343763508178</v>
      </c>
      <c r="U78" s="652">
        <f>T78/$T$81</f>
        <v>3.4555678290644903E-2</v>
      </c>
      <c r="V78" s="19"/>
      <c r="W78" s="19" t="s">
        <v>150</v>
      </c>
      <c r="X78" s="681">
        <f>'Variante Vorgaben'!$C$41</f>
        <v>0.6</v>
      </c>
      <c r="Y78" s="682">
        <f>'Variante Vorgaben'!$C$40</f>
        <v>1.4999999999999999E-2</v>
      </c>
      <c r="Z78" s="146">
        <f>(AA84)*(-1)</f>
        <v>128692.35713928891</v>
      </c>
      <c r="AA78" s="501">
        <f>Y78*Z78*X78</f>
        <v>1158.2312142536002</v>
      </c>
      <c r="AB78" s="652">
        <f>AA78/$AA$81</f>
        <v>3.4797376730509644E-2</v>
      </c>
      <c r="AC78" s="19"/>
      <c r="AD78" s="19" t="s">
        <v>150</v>
      </c>
      <c r="AE78" s="681">
        <f>'Variante Vorgaben'!$C$41</f>
        <v>0.6</v>
      </c>
      <c r="AF78" s="682">
        <f>'Variante Vorgaben'!$C$40</f>
        <v>1.4999999999999999E-2</v>
      </c>
      <c r="AG78" s="146">
        <f>(AH84)*(-1)</f>
        <v>136389.27236395917</v>
      </c>
      <c r="AH78" s="501">
        <f>AF78*AG78*AE78</f>
        <v>1227.5034512756324</v>
      </c>
      <c r="AI78" s="652">
        <f>AH78/$AH$81</f>
        <v>3.4703557725853255E-2</v>
      </c>
      <c r="AJ78" s="19"/>
      <c r="AK78" s="19" t="s">
        <v>150</v>
      </c>
      <c r="AL78" s="681">
        <f>'Variante Vorgaben'!$C$41</f>
        <v>0.6</v>
      </c>
      <c r="AM78" s="682">
        <f>'Variante Vorgaben'!$C$40</f>
        <v>1.4999999999999999E-2</v>
      </c>
      <c r="AN78" s="146">
        <f>(AO84)*(-1)</f>
        <v>137695.63506002649</v>
      </c>
      <c r="AO78" s="501">
        <f>AM78*AN78*AL78</f>
        <v>1239.2607155402382</v>
      </c>
      <c r="AP78" s="652">
        <f>AO78/$AO$81</f>
        <v>3.3135583300572674E-2</v>
      </c>
      <c r="AQ78" s="19"/>
      <c r="AR78" s="19" t="s">
        <v>150</v>
      </c>
      <c r="AS78" s="681">
        <f>'Variante Vorgaben'!$C$41</f>
        <v>0.6</v>
      </c>
      <c r="AT78" s="682">
        <f>'Variante Vorgaben'!$C$40</f>
        <v>1.4999999999999999E-2</v>
      </c>
      <c r="AU78" s="146">
        <f>(AV84)*(-1)</f>
        <v>132553.93025473339</v>
      </c>
      <c r="AV78" s="501">
        <f>AT78*AU78*AS78</f>
        <v>1192.9853722926005</v>
      </c>
      <c r="AW78" s="652">
        <f>AV78/$AV$81</f>
        <v>3.3574319338159762E-2</v>
      </c>
      <c r="AX78" s="19"/>
      <c r="AY78" s="19" t="s">
        <v>150</v>
      </c>
      <c r="AZ78" s="681">
        <f>'Variante Vorgaben'!$C$41</f>
        <v>0.6</v>
      </c>
      <c r="BA78" s="682">
        <f>'Variante Vorgaben'!$C$40</f>
        <v>1.4999999999999999E-2</v>
      </c>
      <c r="BB78" s="146">
        <f>(BC84)*(-1)</f>
        <v>133197.73635293744</v>
      </c>
      <c r="BC78" s="501">
        <f>BA78*BB78*AZ78</f>
        <v>1198.7796271764369</v>
      </c>
      <c r="BD78" s="652">
        <f>BC78/$BC$81</f>
        <v>3.3731887091114916E-2</v>
      </c>
      <c r="BE78" s="19"/>
      <c r="BF78" s="19" t="s">
        <v>150</v>
      </c>
      <c r="BG78" s="681">
        <f>'Variante Vorgaben'!$C$41</f>
        <v>0.6</v>
      </c>
      <c r="BH78" s="682">
        <f>'Variante Vorgaben'!$C$40</f>
        <v>1.4999999999999999E-2</v>
      </c>
      <c r="BI78" s="146">
        <f>(BJ84)*(-1)</f>
        <v>133847.33670602535</v>
      </c>
      <c r="BJ78" s="501">
        <f>BH78*BI78*BG78</f>
        <v>1204.6260303542281</v>
      </c>
      <c r="BK78" s="652">
        <f>BJ78/$BJ$81</f>
        <v>3.0763378263329279E-2</v>
      </c>
      <c r="BL78" s="19"/>
      <c r="BM78" s="19" t="s">
        <v>150</v>
      </c>
      <c r="BN78" s="681">
        <f>'Variante Vorgaben'!$C$41</f>
        <v>0.6</v>
      </c>
      <c r="BO78" s="682">
        <f>'Variante Vorgaben'!$C$40</f>
        <v>1.4999999999999999E-2</v>
      </c>
      <c r="BP78" s="146">
        <f>(BQ84)*(-1)</f>
        <v>122928.93075721292</v>
      </c>
      <c r="BQ78" s="501">
        <f>BO78*BP78*BN78</f>
        <v>1106.3603768149162</v>
      </c>
      <c r="BR78" s="652">
        <f>BQ78/$BQ$81</f>
        <v>2.784571250307143E-2</v>
      </c>
      <c r="BS78" s="19"/>
      <c r="BT78" s="19" t="s">
        <v>150</v>
      </c>
      <c r="BU78" s="681">
        <f>'Variante Vorgaben'!$C$41</f>
        <v>0.6</v>
      </c>
      <c r="BV78" s="682">
        <f>'Variante Vorgaben'!$C$40</f>
        <v>1.4999999999999999E-2</v>
      </c>
      <c r="BW78" s="146">
        <f>(BX84)*(-1)</f>
        <v>109758.98423298617</v>
      </c>
      <c r="BX78" s="501">
        <f>BV78*BW78*BU78</f>
        <v>987.83085809687543</v>
      </c>
      <c r="BY78" s="652">
        <f>BX78/$BX$81</f>
        <v>2.6551532209990895E-2</v>
      </c>
      <c r="BZ78" s="19"/>
      <c r="CA78" s="19" t="s">
        <v>150</v>
      </c>
      <c r="CB78" s="681">
        <f>'Variante Vorgaben'!$C$41</f>
        <v>0.6</v>
      </c>
      <c r="CC78" s="682">
        <f>'Variante Vorgaben'!$C$40</f>
        <v>1.4999999999999999E-2</v>
      </c>
      <c r="CD78" s="146">
        <f>(CE84)*(-1)</f>
        <v>104186.40999342682</v>
      </c>
      <c r="CE78" s="501">
        <f>CC78*CD78*CB78</f>
        <v>937.67768994084133</v>
      </c>
      <c r="CF78" s="652">
        <f>CE78/$CE$81</f>
        <v>2.6559060584951166E-2</v>
      </c>
      <c r="CG78" s="19"/>
      <c r="CH78" s="19" t="s">
        <v>150</v>
      </c>
      <c r="CI78" s="681">
        <f>'Variante Vorgaben'!$C$41</f>
        <v>0.6</v>
      </c>
      <c r="CJ78" s="682">
        <f>'Variante Vorgaben'!$C$40</f>
        <v>1.4999999999999999E-2</v>
      </c>
      <c r="CK78" s="146">
        <f>(CL84)*(-1)</f>
        <v>104485.18862086764</v>
      </c>
      <c r="CL78" s="501">
        <f>CJ78*CK78*CI78</f>
        <v>940.36669758780863</v>
      </c>
      <c r="CM78" s="652">
        <f>CL78/$CL$81</f>
        <v>2.5973798873488659E-2</v>
      </c>
      <c r="CN78" s="19"/>
      <c r="CO78" s="19" t="s">
        <v>150</v>
      </c>
      <c r="CP78" s="681">
        <f>'Variante Vorgaben'!$C$41</f>
        <v>0.6</v>
      </c>
      <c r="CQ78" s="682">
        <f>'Variante Vorgaben'!$C$40</f>
        <v>1.4999999999999999E-2</v>
      </c>
      <c r="CR78" s="146">
        <f>(CS84)*(-1)</f>
        <v>101915.62302678879</v>
      </c>
      <c r="CS78" s="501">
        <f>CQ78*CR78*CP78</f>
        <v>917.24060724109893</v>
      </c>
      <c r="CT78" s="652">
        <f>CS78/$CS$81</f>
        <v>2.5195180029127906E-2</v>
      </c>
      <c r="CU78" s="19"/>
      <c r="CV78" s="19" t="s">
        <v>150</v>
      </c>
      <c r="CW78" s="681">
        <f>'Variante Vorgaben'!$C$41</f>
        <v>0.6</v>
      </c>
      <c r="CX78" s="682">
        <f>'Variante Vorgaben'!$C$40</f>
        <v>1.4999999999999999E-2</v>
      </c>
      <c r="CY78" s="146">
        <f>(CZ84)*(-1)</f>
        <v>98605.173035071552</v>
      </c>
      <c r="CZ78" s="501">
        <f>CX78*CY78*CW78</f>
        <v>887.44655731564399</v>
      </c>
      <c r="DA78" s="652">
        <f>CZ78/$CZ$81</f>
        <v>2.1628655172701301E-2</v>
      </c>
    </row>
    <row r="79" spans="1:106" s="1" customFormat="1" ht="12.75" x14ac:dyDescent="0.2">
      <c r="A79" s="19"/>
      <c r="B79" s="19"/>
      <c r="C79" s="681"/>
      <c r="D79" s="682"/>
      <c r="E79" s="279"/>
      <c r="F79" s="83">
        <f>SUM(F77:F78)</f>
        <v>1548.2964458999998</v>
      </c>
      <c r="G79" s="649">
        <f>F79/$F$81</f>
        <v>0.12143600165457713</v>
      </c>
      <c r="H79" s="19"/>
      <c r="I79" s="19"/>
      <c r="J79" s="681"/>
      <c r="K79" s="682"/>
      <c r="L79" s="279"/>
      <c r="M79" s="83">
        <f>SUM(M77:M78)</f>
        <v>1653.1455139130999</v>
      </c>
      <c r="N79" s="649">
        <f>M79/$M$81</f>
        <v>0.10183044165201439</v>
      </c>
      <c r="O79" s="19"/>
      <c r="P79" s="19"/>
      <c r="Q79" s="681"/>
      <c r="R79" s="682"/>
      <c r="S79" s="279"/>
      <c r="T79" s="83">
        <f>SUM(T77:T78)</f>
        <v>1687.6343763508178</v>
      </c>
      <c r="U79" s="649">
        <f>T79/$T$81</f>
        <v>5.6749123933066449E-2</v>
      </c>
      <c r="V79" s="19"/>
      <c r="W79" s="19"/>
      <c r="X79" s="681"/>
      <c r="Y79" s="682"/>
      <c r="Z79" s="279"/>
      <c r="AA79" s="83">
        <f>SUM(AA77:AA78)</f>
        <v>1818.2312142536002</v>
      </c>
      <c r="AB79" s="649">
        <f>AA79/$AA$81</f>
        <v>5.4626119350726914E-2</v>
      </c>
      <c r="AC79" s="19"/>
      <c r="AD79" s="19"/>
      <c r="AE79" s="681"/>
      <c r="AF79" s="682"/>
      <c r="AG79" s="279"/>
      <c r="AH79" s="83">
        <f>SUM(AH77:AH78)</f>
        <v>1887.5034512756324</v>
      </c>
      <c r="AI79" s="649">
        <f>AH79/$AH$81</f>
        <v>5.3362851983039042E-2</v>
      </c>
      <c r="AJ79" s="19"/>
      <c r="AK79" s="19"/>
      <c r="AL79" s="681"/>
      <c r="AM79" s="682"/>
      <c r="AN79" s="279"/>
      <c r="AO79" s="83">
        <f>SUM(AO77:AO78)</f>
        <v>1899.2607155402382</v>
      </c>
      <c r="AP79" s="649">
        <f>AO79/$AO$81</f>
        <v>5.0782785946582698E-2</v>
      </c>
      <c r="AQ79" s="19"/>
      <c r="AR79" s="19"/>
      <c r="AS79" s="681"/>
      <c r="AT79" s="682"/>
      <c r="AU79" s="279"/>
      <c r="AV79" s="83">
        <f>SUM(AV77:AV78)</f>
        <v>1852.9853722926005</v>
      </c>
      <c r="AW79" s="649">
        <f>AV79/$AV$81</f>
        <v>5.2148772368209612E-2</v>
      </c>
      <c r="AX79" s="19"/>
      <c r="AY79" s="19"/>
      <c r="AZ79" s="681"/>
      <c r="BA79" s="682"/>
      <c r="BB79" s="279"/>
      <c r="BC79" s="83">
        <f>SUM(BC77:BC78)</f>
        <v>1858.7796271764369</v>
      </c>
      <c r="BD79" s="649">
        <f>BC79/$BC$81</f>
        <v>5.2303311709477371E-2</v>
      </c>
      <c r="BE79" s="19"/>
      <c r="BF79" s="19"/>
      <c r="BG79" s="681"/>
      <c r="BH79" s="682"/>
      <c r="BI79" s="279"/>
      <c r="BJ79" s="83">
        <f>SUM(BJ77:BJ78)</f>
        <v>1864.6260303542281</v>
      </c>
      <c r="BK79" s="649">
        <f>BJ79/$BJ$81</f>
        <v>4.7618260311517176E-2</v>
      </c>
      <c r="BL79" s="19"/>
      <c r="BM79" s="19"/>
      <c r="BN79" s="681"/>
      <c r="BO79" s="682"/>
      <c r="BP79" s="279"/>
      <c r="BQ79" s="83">
        <f>SUM(BQ77:BQ78)</f>
        <v>1766.3603768149162</v>
      </c>
      <c r="BR79" s="649">
        <f>BQ79/$BQ$81</f>
        <v>4.4457090348087695E-2</v>
      </c>
      <c r="BS79" s="19"/>
      <c r="BT79" s="19"/>
      <c r="BU79" s="681"/>
      <c r="BV79" s="682"/>
      <c r="BW79" s="279"/>
      <c r="BX79" s="83">
        <f>SUM(BX77:BX78)</f>
        <v>1647.8308580968755</v>
      </c>
      <c r="BY79" s="649">
        <f>BX79/$BX$81</f>
        <v>4.4291422713467588E-2</v>
      </c>
      <c r="BZ79" s="19"/>
      <c r="CA79" s="19"/>
      <c r="CB79" s="681"/>
      <c r="CC79" s="682"/>
      <c r="CD79" s="279"/>
      <c r="CE79" s="83">
        <f>SUM(CE77:CE78)</f>
        <v>1597.6776899408414</v>
      </c>
      <c r="CF79" s="649">
        <f>CE79/$CE$81</f>
        <v>4.5253096045231429E-2</v>
      </c>
      <c r="CG79" s="19"/>
      <c r="CH79" s="19"/>
      <c r="CI79" s="681"/>
      <c r="CJ79" s="682"/>
      <c r="CK79" s="279"/>
      <c r="CL79" s="83">
        <f>SUM(CL77:CL78)</f>
        <v>1600.3666975878086</v>
      </c>
      <c r="CM79" s="649">
        <f>CL79/$CL$81</f>
        <v>4.420360996790141E-2</v>
      </c>
      <c r="CN79" s="19"/>
      <c r="CO79" s="19"/>
      <c r="CP79" s="681"/>
      <c r="CQ79" s="682"/>
      <c r="CR79" s="279"/>
      <c r="CS79" s="83">
        <f>SUM(CS77:CS78)</f>
        <v>1577.240607241099</v>
      </c>
      <c r="CT79" s="649">
        <f>CS79/$CS$81</f>
        <v>4.3324358663337122E-2</v>
      </c>
      <c r="CU79" s="19"/>
      <c r="CV79" s="19"/>
      <c r="CW79" s="681"/>
      <c r="CX79" s="682"/>
      <c r="CY79" s="279"/>
      <c r="CZ79" s="83">
        <f>SUM(CZ77:CZ78)</f>
        <v>1547.446557315644</v>
      </c>
      <c r="DA79" s="649">
        <f>CZ79/$CZ$81</f>
        <v>3.7714032141385183E-2</v>
      </c>
    </row>
    <row r="80" spans="1:106" s="16" customFormat="1" ht="15.75" x14ac:dyDescent="0.25">
      <c r="A80" s="514" t="s">
        <v>35</v>
      </c>
      <c r="B80" s="520"/>
      <c r="C80" s="536"/>
      <c r="D80" s="521"/>
      <c r="E80" s="522"/>
      <c r="F80" s="598">
        <f>F45+F60+F72+F75+F79</f>
        <v>9007.0964459000006</v>
      </c>
      <c r="G80" s="654">
        <f>F80/$F$81</f>
        <v>0.70644467459940996</v>
      </c>
      <c r="H80" s="514" t="s">
        <v>35</v>
      </c>
      <c r="I80" s="520"/>
      <c r="J80" s="536"/>
      <c r="K80" s="521"/>
      <c r="L80" s="522"/>
      <c r="M80" s="598">
        <f>M79+M75+M60+M45+M72</f>
        <v>12330.1458264131</v>
      </c>
      <c r="N80" s="654">
        <f>M80/$M$81</f>
        <v>0.75951220541096887</v>
      </c>
      <c r="O80" s="514" t="s">
        <v>35</v>
      </c>
      <c r="P80" s="520"/>
      <c r="Q80" s="536"/>
      <c r="R80" s="521"/>
      <c r="S80" s="522"/>
      <c r="T80" s="598">
        <f>T79+T75+T60+T45+T72</f>
        <v>21509.459766975819</v>
      </c>
      <c r="U80" s="654">
        <f>T80/$T$81</f>
        <v>0.72328640323671367</v>
      </c>
      <c r="V80" s="514" t="s">
        <v>35</v>
      </c>
      <c r="W80" s="520"/>
      <c r="X80" s="536"/>
      <c r="Y80" s="521"/>
      <c r="Z80" s="522"/>
      <c r="AA80" s="598">
        <f>AA79+AA75+AA60+AA45+AA72</f>
        <v>24560.915224670265</v>
      </c>
      <c r="AB80" s="654">
        <f>AA80/$AA$81</f>
        <v>0.73789707046509478</v>
      </c>
      <c r="AC80" s="514" t="s">
        <v>35</v>
      </c>
      <c r="AD80" s="520"/>
      <c r="AE80" s="536"/>
      <c r="AF80" s="521"/>
      <c r="AG80" s="522"/>
      <c r="AH80" s="598">
        <f>AH79+AH75+AH60+AH45+AH72</f>
        <v>26637.562696067296</v>
      </c>
      <c r="AI80" s="654">
        <f>AH80/$AH$81</f>
        <v>0.7530880615759924</v>
      </c>
      <c r="AJ80" s="514" t="s">
        <v>35</v>
      </c>
      <c r="AK80" s="520"/>
      <c r="AL80" s="536"/>
      <c r="AM80" s="521"/>
      <c r="AN80" s="522"/>
      <c r="AO80" s="598">
        <f>AO79+AO75+AO60+AO45+AO72</f>
        <v>28656.695194706903</v>
      </c>
      <c r="AP80" s="654">
        <f>AO80/$AO$81</f>
        <v>0.76622804131202182</v>
      </c>
      <c r="AQ80" s="514" t="s">
        <v>35</v>
      </c>
      <c r="AR80" s="520"/>
      <c r="AS80" s="536"/>
      <c r="AT80" s="521"/>
      <c r="AU80" s="522"/>
      <c r="AV80" s="598">
        <f>AV79+AV75+AV60+AV45+AV72</f>
        <v>26798.206098204057</v>
      </c>
      <c r="AW80" s="654">
        <f>AV80/$AV$81</f>
        <v>0.75418487948588908</v>
      </c>
      <c r="AX80" s="514" t="s">
        <v>35</v>
      </c>
      <c r="AY80" s="520"/>
      <c r="AZ80" s="536"/>
      <c r="BA80" s="521"/>
      <c r="BB80" s="522"/>
      <c r="BC80" s="598">
        <f>BC79+BC75+BC60+BC45+BC72</f>
        <v>26804.000353087897</v>
      </c>
      <c r="BD80" s="654">
        <f>BC80/$BC$81</f>
        <v>0.75422495761807951</v>
      </c>
      <c r="BE80" s="514" t="s">
        <v>35</v>
      </c>
      <c r="BF80" s="520"/>
      <c r="BG80" s="536"/>
      <c r="BH80" s="521"/>
      <c r="BI80" s="522"/>
      <c r="BJ80" s="598">
        <f>BJ79+BJ75+BJ60+BJ45+BJ72</f>
        <v>30406.394051187563</v>
      </c>
      <c r="BK80" s="654">
        <f>BJ80/$BJ$81</f>
        <v>0.77650937158104305</v>
      </c>
      <c r="BL80" s="514" t="s">
        <v>35</v>
      </c>
      <c r="BM80" s="520"/>
      <c r="BN80" s="536"/>
      <c r="BO80" s="521"/>
      <c r="BP80" s="522"/>
      <c r="BQ80" s="598">
        <f>BQ79+BQ75+BQ60+BQ45+BQ72</f>
        <v>30977.25347577325</v>
      </c>
      <c r="BR80" s="654">
        <f>BQ80/$BQ$81</f>
        <v>0.77965888194986788</v>
      </c>
      <c r="BS80" s="514" t="s">
        <v>35</v>
      </c>
      <c r="BT80" s="520"/>
      <c r="BU80" s="536"/>
      <c r="BV80" s="521"/>
      <c r="BW80" s="522"/>
      <c r="BX80" s="598">
        <f>BX79+BX75+BX60+BX45+BX72</f>
        <v>28461.025760440625</v>
      </c>
      <c r="BY80" s="654">
        <f>BX80/$BX$81</f>
        <v>0.7649931524346153</v>
      </c>
      <c r="BZ80" s="514" t="s">
        <v>35</v>
      </c>
      <c r="CA80" s="520"/>
      <c r="CB80" s="536"/>
      <c r="CC80" s="521"/>
      <c r="CD80" s="522"/>
      <c r="CE80" s="598">
        <f>CE79+CE75+CE60+CE45+CE72</f>
        <v>26570.778627440843</v>
      </c>
      <c r="CF80" s="654">
        <f>CE80/$CE$81</f>
        <v>0.75259860283126678</v>
      </c>
      <c r="CG80" s="514" t="s">
        <v>35</v>
      </c>
      <c r="CH80" s="520"/>
      <c r="CI80" s="536"/>
      <c r="CJ80" s="521"/>
      <c r="CK80" s="522"/>
      <c r="CL80" s="598">
        <f>CL79+CL75+CL60+CL45+CL72</f>
        <v>27465.634405921141</v>
      </c>
      <c r="CM80" s="654">
        <f>CL80/$CL$81</f>
        <v>0.75862625273961481</v>
      </c>
      <c r="CN80" s="514" t="s">
        <v>35</v>
      </c>
      <c r="CO80" s="520"/>
      <c r="CP80" s="536"/>
      <c r="CQ80" s="521"/>
      <c r="CR80" s="522"/>
      <c r="CS80" s="598">
        <f>CS79+CS75+CS60+CS45+CS72</f>
        <v>27665.550008282768</v>
      </c>
      <c r="CT80" s="654">
        <f>CS80/$CS$81</f>
        <v>0.75992984562697963</v>
      </c>
      <c r="CU80" s="514" t="s">
        <v>35</v>
      </c>
      <c r="CV80" s="520"/>
      <c r="CW80" s="536"/>
      <c r="CX80" s="521"/>
      <c r="CY80" s="522"/>
      <c r="CZ80" s="598">
        <f>CZ79+CZ75+CZ60+CZ45+CZ72</f>
        <v>26297.505802107309</v>
      </c>
      <c r="DA80" s="654">
        <f>CZ80/$CZ$81</f>
        <v>0.64091711236825399</v>
      </c>
      <c r="DB80" s="1340"/>
    </row>
    <row r="81" spans="1:115" s="292" customFormat="1" ht="20.25" x14ac:dyDescent="0.3">
      <c r="A81" s="508" t="s">
        <v>248</v>
      </c>
      <c r="B81" s="537"/>
      <c r="C81" s="538"/>
      <c r="D81" s="539"/>
      <c r="E81" s="540"/>
      <c r="F81" s="512">
        <f>F80+F44</f>
        <v>12749.896445900002</v>
      </c>
      <c r="G81" s="311">
        <f>F81/$F$81</f>
        <v>1</v>
      </c>
      <c r="H81" s="508" t="s">
        <v>234</v>
      </c>
      <c r="I81" s="537"/>
      <c r="J81" s="538"/>
      <c r="K81" s="539"/>
      <c r="L81" s="540"/>
      <c r="M81" s="512">
        <f>M80+M44</f>
        <v>16234.295826413099</v>
      </c>
      <c r="N81" s="311">
        <f>M81/$M$81</f>
        <v>1</v>
      </c>
      <c r="O81" s="508" t="s">
        <v>235</v>
      </c>
      <c r="P81" s="537"/>
      <c r="Q81" s="538"/>
      <c r="R81" s="539"/>
      <c r="S81" s="540"/>
      <c r="T81" s="512">
        <f>T80+T44</f>
        <v>29738.509766975818</v>
      </c>
      <c r="U81" s="311">
        <f>T81/$T$81</f>
        <v>1</v>
      </c>
      <c r="V81" s="508" t="s">
        <v>236</v>
      </c>
      <c r="W81" s="537"/>
      <c r="X81" s="538"/>
      <c r="Y81" s="539"/>
      <c r="Z81" s="540"/>
      <c r="AA81" s="512">
        <f>AA80+AA44</f>
        <v>33285.015224670264</v>
      </c>
      <c r="AB81" s="311">
        <f>AA81/$AA$81</f>
        <v>1</v>
      </c>
      <c r="AC81" s="508" t="s">
        <v>237</v>
      </c>
      <c r="AD81" s="537"/>
      <c r="AE81" s="538"/>
      <c r="AF81" s="539"/>
      <c r="AG81" s="540"/>
      <c r="AH81" s="512">
        <f>AH80+AH44</f>
        <v>35371.112696067299</v>
      </c>
      <c r="AI81" s="311">
        <f>AH81/$AH$81</f>
        <v>1</v>
      </c>
      <c r="AJ81" s="508" t="s">
        <v>238</v>
      </c>
      <c r="AK81" s="537"/>
      <c r="AL81" s="538"/>
      <c r="AM81" s="539"/>
      <c r="AN81" s="540"/>
      <c r="AO81" s="512">
        <f>AO80+AO44</f>
        <v>37399.695194706903</v>
      </c>
      <c r="AP81" s="311">
        <f>AO81/$AO$81</f>
        <v>1</v>
      </c>
      <c r="AQ81" s="508" t="s">
        <v>239</v>
      </c>
      <c r="AR81" s="537"/>
      <c r="AS81" s="538"/>
      <c r="AT81" s="539"/>
      <c r="AU81" s="540"/>
      <c r="AV81" s="512">
        <f>AV80+AV44</f>
        <v>35532.674848204057</v>
      </c>
      <c r="AW81" s="311">
        <f>AV81/$AV$81</f>
        <v>1</v>
      </c>
      <c r="AX81" s="508" t="s">
        <v>240</v>
      </c>
      <c r="AY81" s="537"/>
      <c r="AZ81" s="538"/>
      <c r="BA81" s="539"/>
      <c r="BB81" s="540"/>
      <c r="BC81" s="512">
        <f>BC80+BC44</f>
        <v>35538.469103087897</v>
      </c>
      <c r="BD81" s="311">
        <f>BC81/$BC$81</f>
        <v>1</v>
      </c>
      <c r="BE81" s="508" t="s">
        <v>241</v>
      </c>
      <c r="BF81" s="537"/>
      <c r="BG81" s="538"/>
      <c r="BH81" s="539"/>
      <c r="BI81" s="540"/>
      <c r="BJ81" s="512">
        <f>BJ80+BJ44</f>
        <v>39157.794051187564</v>
      </c>
      <c r="BK81" s="311">
        <f>BJ81/$BJ$81</f>
        <v>1</v>
      </c>
      <c r="BL81" s="508" t="s">
        <v>242</v>
      </c>
      <c r="BM81" s="537"/>
      <c r="BN81" s="538"/>
      <c r="BO81" s="539"/>
      <c r="BP81" s="540"/>
      <c r="BQ81" s="512">
        <f>BQ80+BQ44</f>
        <v>39731.803475773253</v>
      </c>
      <c r="BR81" s="311">
        <f>BQ81/$BQ$81</f>
        <v>1</v>
      </c>
      <c r="BS81" s="508" t="s">
        <v>243</v>
      </c>
      <c r="BT81" s="537"/>
      <c r="BU81" s="538"/>
      <c r="BV81" s="539"/>
      <c r="BW81" s="540"/>
      <c r="BX81" s="512">
        <f>BX80+BX44</f>
        <v>37204.288260440626</v>
      </c>
      <c r="BY81" s="311">
        <f>BX81/$BX$81</f>
        <v>1</v>
      </c>
      <c r="BZ81" s="508" t="s">
        <v>244</v>
      </c>
      <c r="CA81" s="537"/>
      <c r="CB81" s="538"/>
      <c r="CC81" s="539"/>
      <c r="CD81" s="540"/>
      <c r="CE81" s="512">
        <f>CE80+CE44</f>
        <v>35305.378627440841</v>
      </c>
      <c r="CF81" s="311">
        <f>CE81/$CE$81</f>
        <v>1</v>
      </c>
      <c r="CG81" s="508" t="s">
        <v>245</v>
      </c>
      <c r="CH81" s="537"/>
      <c r="CI81" s="538"/>
      <c r="CJ81" s="539"/>
      <c r="CK81" s="540"/>
      <c r="CL81" s="512">
        <f>CL80+CL44</f>
        <v>36204.434405921143</v>
      </c>
      <c r="CM81" s="311">
        <f>CL81/$CL$81</f>
        <v>1</v>
      </c>
      <c r="CN81" s="508" t="s">
        <v>246</v>
      </c>
      <c r="CO81" s="537"/>
      <c r="CP81" s="538"/>
      <c r="CQ81" s="539"/>
      <c r="CR81" s="540"/>
      <c r="CS81" s="512">
        <f>CS80+CS44</f>
        <v>36405.40000828277</v>
      </c>
      <c r="CT81" s="311">
        <f>CS81/$CS$81</f>
        <v>1</v>
      </c>
      <c r="CU81" s="508" t="s">
        <v>247</v>
      </c>
      <c r="CV81" s="537"/>
      <c r="CW81" s="538"/>
      <c r="CX81" s="539"/>
      <c r="CY81" s="540"/>
      <c r="CZ81" s="512">
        <f>CZ80+CZ44+CV87</f>
        <v>41031.055802107308</v>
      </c>
      <c r="DA81" s="311">
        <f>CZ81/$CZ$81</f>
        <v>1</v>
      </c>
      <c r="DB81" s="1342"/>
    </row>
    <row r="82" spans="1:115" s="16" customFormat="1" ht="15.75" x14ac:dyDescent="0.25">
      <c r="A82" s="293" t="s">
        <v>212</v>
      </c>
      <c r="F82" s="294">
        <f>F15</f>
        <v>1100</v>
      </c>
      <c r="G82" s="295"/>
      <c r="H82" s="293" t="s">
        <v>212</v>
      </c>
      <c r="M82" s="294">
        <f>M15</f>
        <v>12402.2</v>
      </c>
      <c r="N82" s="295"/>
      <c r="O82" s="293" t="s">
        <v>212</v>
      </c>
      <c r="T82" s="294">
        <f>T15</f>
        <v>15227.750000000002</v>
      </c>
      <c r="U82" s="295"/>
      <c r="V82" s="293" t="s">
        <v>212</v>
      </c>
      <c r="AA82" s="294">
        <f>AA15</f>
        <v>25588.100000000002</v>
      </c>
      <c r="AB82" s="295"/>
      <c r="AC82" s="293" t="s">
        <v>212</v>
      </c>
      <c r="AH82" s="294">
        <f>AH15</f>
        <v>34064.75</v>
      </c>
      <c r="AI82" s="295"/>
      <c r="AJ82" s="293" t="s">
        <v>212</v>
      </c>
      <c r="AO82" s="294">
        <f>AO15</f>
        <v>42541.4</v>
      </c>
      <c r="AP82" s="295"/>
      <c r="AQ82" s="293" t="s">
        <v>212</v>
      </c>
      <c r="AV82" s="294">
        <f>AV15</f>
        <v>34888.868750000001</v>
      </c>
      <c r="AW82" s="295"/>
      <c r="AX82" s="293" t="s">
        <v>212</v>
      </c>
      <c r="BC82" s="294">
        <f>BC15</f>
        <v>34888.868750000001</v>
      </c>
      <c r="BD82" s="295"/>
      <c r="BE82" s="293" t="s">
        <v>212</v>
      </c>
      <c r="BJ82" s="294">
        <f>BJ15</f>
        <v>50076.200000000004</v>
      </c>
      <c r="BK82" s="295"/>
      <c r="BL82" s="293" t="s">
        <v>212</v>
      </c>
      <c r="BQ82" s="294">
        <f>BQ15</f>
        <v>52901.750000000007</v>
      </c>
      <c r="BR82" s="295"/>
      <c r="BS82" s="293" t="s">
        <v>212</v>
      </c>
      <c r="BX82" s="294">
        <f>BX15</f>
        <v>42776.862499999996</v>
      </c>
      <c r="BY82" s="295"/>
      <c r="BZ82" s="293" t="s">
        <v>212</v>
      </c>
      <c r="CE82" s="294">
        <f>CE15</f>
        <v>35006.600000000006</v>
      </c>
      <c r="CF82" s="295"/>
      <c r="CG82" s="293" t="s">
        <v>212</v>
      </c>
      <c r="CL82" s="294">
        <f>CL15</f>
        <v>38774</v>
      </c>
      <c r="CM82" s="295"/>
      <c r="CN82" s="293" t="s">
        <v>212</v>
      </c>
      <c r="CS82" s="294">
        <f>CS15</f>
        <v>39715.85</v>
      </c>
      <c r="CT82" s="295"/>
      <c r="CU82" s="293" t="s">
        <v>212</v>
      </c>
      <c r="CZ82" s="294">
        <f>CZ15</f>
        <v>34064.75</v>
      </c>
      <c r="DA82" s="295"/>
      <c r="DB82" s="1340"/>
    </row>
    <row r="83" spans="1:115" s="16" customFormat="1" ht="15.75" x14ac:dyDescent="0.25">
      <c r="A83" s="293" t="s">
        <v>218</v>
      </c>
      <c r="F83" s="294">
        <f>F82-F81</f>
        <v>-11649.896445900002</v>
      </c>
      <c r="G83" s="295"/>
      <c r="H83" s="293" t="s">
        <v>218</v>
      </c>
      <c r="M83" s="294">
        <f>M82-M81</f>
        <v>-3832.0958264130986</v>
      </c>
      <c r="N83" s="295"/>
      <c r="O83" s="293" t="s">
        <v>218</v>
      </c>
      <c r="T83" s="294">
        <f>T82-T81</f>
        <v>-14510.759766975816</v>
      </c>
      <c r="U83" s="295"/>
      <c r="V83" s="293" t="s">
        <v>218</v>
      </c>
      <c r="AA83" s="294">
        <f>AA82-AA81</f>
        <v>-7696.9152246702615</v>
      </c>
      <c r="AB83" s="295"/>
      <c r="AC83" s="293" t="s">
        <v>218</v>
      </c>
      <c r="AH83" s="294">
        <f>AH82-AH81</f>
        <v>-1306.3626960672991</v>
      </c>
      <c r="AI83" s="295"/>
      <c r="AJ83" s="293" t="s">
        <v>218</v>
      </c>
      <c r="AO83" s="294">
        <f>AO82-AO81</f>
        <v>5141.7048052930986</v>
      </c>
      <c r="AP83" s="295"/>
      <c r="AQ83" s="293" t="s">
        <v>218</v>
      </c>
      <c r="AV83" s="294">
        <f>AV82-AV81</f>
        <v>-643.80609820405516</v>
      </c>
      <c r="AW83" s="295"/>
      <c r="AX83" s="293" t="s">
        <v>218</v>
      </c>
      <c r="BC83" s="294">
        <f>BC82-BC81</f>
        <v>-649.6003530878952</v>
      </c>
      <c r="BD83" s="295"/>
      <c r="BE83" s="293" t="s">
        <v>218</v>
      </c>
      <c r="BJ83" s="294">
        <f>BJ82-BJ81</f>
        <v>10918.40594881244</v>
      </c>
      <c r="BK83" s="295"/>
      <c r="BL83" s="293" t="s">
        <v>218</v>
      </c>
      <c r="BQ83" s="294">
        <f>BQ82-BQ81</f>
        <v>13169.946524226754</v>
      </c>
      <c r="BR83" s="295"/>
      <c r="BS83" s="293" t="s">
        <v>218</v>
      </c>
      <c r="BX83" s="294">
        <f>BX82-BX81</f>
        <v>5572.5742395593697</v>
      </c>
      <c r="BY83" s="295"/>
      <c r="BZ83" s="293" t="s">
        <v>218</v>
      </c>
      <c r="CE83" s="294">
        <f>CE82-CE81</f>
        <v>-298.77862744083541</v>
      </c>
      <c r="CF83" s="295"/>
      <c r="CG83" s="293" t="s">
        <v>218</v>
      </c>
      <c r="CL83" s="294">
        <f>CL82-CL81</f>
        <v>2569.5655940788565</v>
      </c>
      <c r="CM83" s="295"/>
      <c r="CN83" s="293" t="s">
        <v>218</v>
      </c>
      <c r="CS83" s="294">
        <f>CS82-CS81</f>
        <v>3310.4499917172288</v>
      </c>
      <c r="CT83" s="295"/>
      <c r="CU83" s="293" t="s">
        <v>218</v>
      </c>
      <c r="CZ83" s="294">
        <f>CZ82-CZ81</f>
        <v>-6966.3058021073084</v>
      </c>
      <c r="DA83" s="295"/>
      <c r="DB83" s="1340"/>
    </row>
    <row r="84" spans="1:115" s="23" customFormat="1" ht="18.75" thickBot="1" x14ac:dyDescent="0.3">
      <c r="A84" s="275" t="s">
        <v>407</v>
      </c>
      <c r="B84" s="102"/>
      <c r="C84" s="242"/>
      <c r="D84" s="242"/>
      <c r="E84" s="341"/>
      <c r="F84" s="683">
        <f>'Variante Erstellung'!E136*(-1)</f>
        <v>-98699.605099999986</v>
      </c>
      <c r="G84" s="316"/>
      <c r="H84" s="275" t="s">
        <v>219</v>
      </c>
      <c r="I84" s="102"/>
      <c r="J84" s="242"/>
      <c r="K84" s="242"/>
      <c r="L84" s="341"/>
      <c r="M84" s="683">
        <f>F85</f>
        <v>-110349.50154589998</v>
      </c>
      <c r="N84" s="316"/>
      <c r="O84" s="275" t="s">
        <v>220</v>
      </c>
      <c r="P84" s="102"/>
      <c r="Q84" s="242"/>
      <c r="R84" s="242"/>
      <c r="S84" s="341"/>
      <c r="T84" s="683">
        <f>M85</f>
        <v>-114181.59737231309</v>
      </c>
      <c r="U84" s="316"/>
      <c r="V84" s="275" t="s">
        <v>221</v>
      </c>
      <c r="W84" s="102"/>
      <c r="X84" s="242"/>
      <c r="Y84" s="242"/>
      <c r="Z84" s="341"/>
      <c r="AA84" s="683">
        <f>T85</f>
        <v>-128692.35713928891</v>
      </c>
      <c r="AB84" s="316"/>
      <c r="AC84" s="275" t="s">
        <v>222</v>
      </c>
      <c r="AD84" s="102"/>
      <c r="AE84" s="242"/>
      <c r="AF84" s="242"/>
      <c r="AG84" s="341"/>
      <c r="AH84" s="683">
        <f>AA85</f>
        <v>-136389.27236395917</v>
      </c>
      <c r="AI84" s="316"/>
      <c r="AJ84" s="275" t="s">
        <v>223</v>
      </c>
      <c r="AK84" s="102"/>
      <c r="AL84" s="242"/>
      <c r="AM84" s="242"/>
      <c r="AN84" s="341"/>
      <c r="AO84" s="683">
        <f>AH85</f>
        <v>-137695.63506002649</v>
      </c>
      <c r="AP84" s="316"/>
      <c r="AQ84" s="275" t="s">
        <v>224</v>
      </c>
      <c r="AR84" s="102"/>
      <c r="AS84" s="242"/>
      <c r="AT84" s="242"/>
      <c r="AU84" s="341"/>
      <c r="AV84" s="683">
        <f>AO85</f>
        <v>-132553.93025473339</v>
      </c>
      <c r="AW84" s="316"/>
      <c r="AX84" s="275" t="s">
        <v>225</v>
      </c>
      <c r="AY84" s="102"/>
      <c r="AZ84" s="242"/>
      <c r="BA84" s="242"/>
      <c r="BB84" s="341"/>
      <c r="BC84" s="683">
        <f>AV85</f>
        <v>-133197.73635293744</v>
      </c>
      <c r="BD84" s="316"/>
      <c r="BE84" s="275" t="s">
        <v>226</v>
      </c>
      <c r="BF84" s="102"/>
      <c r="BG84" s="242"/>
      <c r="BH84" s="242"/>
      <c r="BI84" s="341"/>
      <c r="BJ84" s="683">
        <f>BC85</f>
        <v>-133847.33670602535</v>
      </c>
      <c r="BK84" s="316"/>
      <c r="BL84" s="275" t="s">
        <v>227</v>
      </c>
      <c r="BM84" s="102"/>
      <c r="BN84" s="242"/>
      <c r="BO84" s="242"/>
      <c r="BP84" s="341"/>
      <c r="BQ84" s="683">
        <f>BJ85</f>
        <v>-122928.93075721292</v>
      </c>
      <c r="BR84" s="316"/>
      <c r="BS84" s="275" t="s">
        <v>228</v>
      </c>
      <c r="BT84" s="102"/>
      <c r="BU84" s="242"/>
      <c r="BV84" s="242"/>
      <c r="BW84" s="341"/>
      <c r="BX84" s="683">
        <f>BQ85</f>
        <v>-109758.98423298617</v>
      </c>
      <c r="BY84" s="316"/>
      <c r="BZ84" s="275" t="s">
        <v>229</v>
      </c>
      <c r="CA84" s="102"/>
      <c r="CB84" s="242"/>
      <c r="CC84" s="242"/>
      <c r="CD84" s="341"/>
      <c r="CE84" s="683">
        <f>BX85</f>
        <v>-104186.40999342682</v>
      </c>
      <c r="CF84" s="316"/>
      <c r="CG84" s="275" t="s">
        <v>230</v>
      </c>
      <c r="CH84" s="102"/>
      <c r="CI84" s="242"/>
      <c r="CJ84" s="242"/>
      <c r="CK84" s="341"/>
      <c r="CL84" s="683">
        <f>CE85</f>
        <v>-104485.18862086764</v>
      </c>
      <c r="CM84" s="316"/>
      <c r="CN84" s="275" t="s">
        <v>231</v>
      </c>
      <c r="CO84" s="102"/>
      <c r="CP84" s="242"/>
      <c r="CQ84" s="242"/>
      <c r="CR84" s="341"/>
      <c r="CS84" s="683">
        <f>CL85</f>
        <v>-101915.62302678879</v>
      </c>
      <c r="CT84" s="316"/>
      <c r="CU84" s="275" t="s">
        <v>232</v>
      </c>
      <c r="CV84" s="102"/>
      <c r="CW84" s="242"/>
      <c r="CX84" s="242"/>
      <c r="CY84" s="341"/>
      <c r="CZ84" s="683">
        <f>CS85</f>
        <v>-98605.173035071552</v>
      </c>
      <c r="DA84" s="316"/>
      <c r="DB84" s="1343"/>
    </row>
    <row r="85" spans="1:115" s="306" customFormat="1" ht="24" customHeight="1" x14ac:dyDescent="0.3">
      <c r="A85" s="305" t="s">
        <v>219</v>
      </c>
      <c r="F85" s="307">
        <f>F84-F81+F82</f>
        <v>-110349.50154589998</v>
      </c>
      <c r="G85" s="312"/>
      <c r="H85" s="305" t="s">
        <v>220</v>
      </c>
      <c r="M85" s="307">
        <f>((M81)*(-1))+M84+M82</f>
        <v>-114181.59737231309</v>
      </c>
      <c r="N85" s="312"/>
      <c r="O85" s="305" t="s">
        <v>221</v>
      </c>
      <c r="T85" s="307">
        <f>((T81)*(-1))+T84+T82</f>
        <v>-128692.35713928891</v>
      </c>
      <c r="U85" s="312"/>
      <c r="V85" s="305" t="s">
        <v>222</v>
      </c>
      <c r="AA85" s="307">
        <f>((AA81)*(-1))+AA84+AA82</f>
        <v>-136389.27236395917</v>
      </c>
      <c r="AB85" s="312"/>
      <c r="AC85" s="305" t="s">
        <v>223</v>
      </c>
      <c r="AH85" s="307">
        <f>((AH81)*(-1))+AH84+AH82</f>
        <v>-137695.63506002649</v>
      </c>
      <c r="AI85" s="312"/>
      <c r="AJ85" s="305" t="s">
        <v>224</v>
      </c>
      <c r="AO85" s="307">
        <f>((AO81)*(-1))+AO84+AO82</f>
        <v>-132553.93025473339</v>
      </c>
      <c r="AP85" s="312"/>
      <c r="AQ85" s="305" t="s">
        <v>225</v>
      </c>
      <c r="AV85" s="307">
        <f>((AV81)*(-1))+AV84+AV82</f>
        <v>-133197.73635293744</v>
      </c>
      <c r="AW85" s="312"/>
      <c r="AX85" s="305" t="s">
        <v>226</v>
      </c>
      <c r="BC85" s="307">
        <f>((BC81)*(-1))+BC84+BC82</f>
        <v>-133847.33670602535</v>
      </c>
      <c r="BD85" s="312"/>
      <c r="BE85" s="305" t="s">
        <v>227</v>
      </c>
      <c r="BJ85" s="307">
        <f>((BJ81)*(-1))+BJ84+BJ82</f>
        <v>-122928.93075721292</v>
      </c>
      <c r="BK85" s="312"/>
      <c r="BL85" s="305" t="s">
        <v>228</v>
      </c>
      <c r="BQ85" s="307">
        <f>((BQ81)*(-1))+BQ84+BQ82</f>
        <v>-109758.98423298617</v>
      </c>
      <c r="BR85" s="312"/>
      <c r="BS85" s="305" t="s">
        <v>229</v>
      </c>
      <c r="BX85" s="307">
        <f>((BX81)*(-1))+BX84+BX82</f>
        <v>-104186.40999342682</v>
      </c>
      <c r="BY85" s="312"/>
      <c r="BZ85" s="305" t="s">
        <v>230</v>
      </c>
      <c r="CE85" s="307">
        <f>((CE81)*(-1))+CE84+CE82</f>
        <v>-104485.18862086764</v>
      </c>
      <c r="CF85" s="312"/>
      <c r="CG85" s="305" t="s">
        <v>231</v>
      </c>
      <c r="CL85" s="307">
        <f>((CL81)*(-1))+CL84+CL82</f>
        <v>-101915.62302678879</v>
      </c>
      <c r="CM85" s="312"/>
      <c r="CN85" s="305" t="s">
        <v>232</v>
      </c>
      <c r="CS85" s="307">
        <f>((CS81)*(-1))+CS84+CS82</f>
        <v>-98605.173035071552</v>
      </c>
      <c r="CT85" s="312"/>
      <c r="CU85" s="305" t="s">
        <v>233</v>
      </c>
      <c r="CZ85" s="307">
        <f>((CZ81)*(-1))+CZ84+CZ82</f>
        <v>-105571.47883717885</v>
      </c>
      <c r="DA85" s="312"/>
      <c r="DB85" s="1344"/>
      <c r="DC85" s="300"/>
      <c r="DD85" s="300"/>
      <c r="DE85" s="300"/>
      <c r="DF85" s="300"/>
      <c r="DG85" s="303"/>
      <c r="DH85" s="303"/>
      <c r="DI85" s="303"/>
      <c r="DJ85" s="303"/>
      <c r="DK85" s="303"/>
    </row>
    <row r="86" spans="1:115" s="310" customFormat="1" ht="15" x14ac:dyDescent="0.2">
      <c r="A86" s="308" t="s">
        <v>64</v>
      </c>
      <c r="B86" s="308"/>
      <c r="C86" s="309"/>
      <c r="D86" s="309"/>
      <c r="E86" s="309"/>
      <c r="F86" s="309">
        <f>F85*(-1)</f>
        <v>110349.50154589998</v>
      </c>
      <c r="G86" s="309"/>
      <c r="H86" s="308" t="s">
        <v>64</v>
      </c>
      <c r="I86" s="308"/>
      <c r="J86" s="309"/>
      <c r="K86" s="309"/>
      <c r="L86" s="309"/>
      <c r="M86" s="309">
        <f>M85*(-1)</f>
        <v>114181.59737231309</v>
      </c>
      <c r="N86" s="309"/>
      <c r="O86" s="308" t="s">
        <v>64</v>
      </c>
      <c r="P86" s="308"/>
      <c r="Q86" s="309"/>
      <c r="R86" s="309"/>
      <c r="S86" s="309"/>
      <c r="T86" s="309">
        <f>T85*(-1)</f>
        <v>128692.35713928891</v>
      </c>
      <c r="U86" s="309"/>
      <c r="V86" s="308" t="s">
        <v>64</v>
      </c>
      <c r="W86" s="308"/>
      <c r="X86" s="309"/>
      <c r="Y86" s="309"/>
      <c r="Z86" s="309"/>
      <c r="AA86" s="309">
        <f>T86-($T$86/'Variante Vorgaben'!$B$29)</f>
        <v>117967.99404434818</v>
      </c>
      <c r="AB86" s="309"/>
      <c r="AC86" s="308" t="s">
        <v>64</v>
      </c>
      <c r="AD86" s="308"/>
      <c r="AE86" s="309"/>
      <c r="AF86" s="309"/>
      <c r="AG86" s="309"/>
      <c r="AH86" s="309">
        <f>AA86-($T$86/'Variante Vorgaben'!$B$29)</f>
        <v>107243.63094940744</v>
      </c>
      <c r="AI86" s="309"/>
      <c r="AJ86" s="308" t="s">
        <v>64</v>
      </c>
      <c r="AK86" s="308"/>
      <c r="AL86" s="309"/>
      <c r="AM86" s="309"/>
      <c r="AN86" s="309"/>
      <c r="AO86" s="309">
        <f>AH86-($T$86/'Variante Vorgaben'!$B$29)</f>
        <v>96519.2678544667</v>
      </c>
      <c r="AP86" s="309"/>
      <c r="AQ86" s="308" t="s">
        <v>64</v>
      </c>
      <c r="AR86" s="308"/>
      <c r="AS86" s="309"/>
      <c r="AT86" s="309"/>
      <c r="AU86" s="309"/>
      <c r="AV86" s="309">
        <f>AO86-($T$86/'Variante Vorgaben'!$B$29)</f>
        <v>85794.904759525962</v>
      </c>
      <c r="AW86" s="309"/>
      <c r="AX86" s="308" t="s">
        <v>64</v>
      </c>
      <c r="AY86" s="308"/>
      <c r="AZ86" s="309"/>
      <c r="BA86" s="309"/>
      <c r="BB86" s="309"/>
      <c r="BC86" s="309">
        <f>AV86-($T$86/'Variante Vorgaben'!$B$29)</f>
        <v>75070.541664585224</v>
      </c>
      <c r="BD86" s="309"/>
      <c r="BE86" s="308" t="s">
        <v>64</v>
      </c>
      <c r="BF86" s="308"/>
      <c r="BG86" s="309"/>
      <c r="BH86" s="309"/>
      <c r="BI86" s="309"/>
      <c r="BJ86" s="309">
        <f>BC86-($T$86/'Variante Vorgaben'!$B$29)</f>
        <v>64346.178569644479</v>
      </c>
      <c r="BK86" s="309"/>
      <c r="BL86" s="308" t="s">
        <v>64</v>
      </c>
      <c r="BM86" s="308"/>
      <c r="BN86" s="309"/>
      <c r="BO86" s="309"/>
      <c r="BP86" s="309"/>
      <c r="BQ86" s="309">
        <f>BJ86-($T$86/'Variante Vorgaben'!$B$29)</f>
        <v>53621.815474703733</v>
      </c>
      <c r="BR86" s="309"/>
      <c r="BS86" s="308" t="s">
        <v>64</v>
      </c>
      <c r="BT86" s="308"/>
      <c r="BU86" s="309"/>
      <c r="BV86" s="309"/>
      <c r="BW86" s="309"/>
      <c r="BX86" s="309">
        <f>BQ86-($T$86/'Variante Vorgaben'!$B$29)</f>
        <v>42897.452379762988</v>
      </c>
      <c r="BY86" s="309"/>
      <c r="BZ86" s="308" t="s">
        <v>64</v>
      </c>
      <c r="CA86" s="308"/>
      <c r="CB86" s="309"/>
      <c r="CC86" s="309"/>
      <c r="CD86" s="309"/>
      <c r="CE86" s="309">
        <f>BX86-($T$86/'Variante Vorgaben'!$B$29)</f>
        <v>32173.089284822243</v>
      </c>
      <c r="CF86" s="309"/>
      <c r="CG86" s="308" t="s">
        <v>64</v>
      </c>
      <c r="CH86" s="308"/>
      <c r="CI86" s="309"/>
      <c r="CJ86" s="309"/>
      <c r="CK86" s="309"/>
      <c r="CL86" s="309">
        <f>CE86-($T$86/'Variante Vorgaben'!$B$29)</f>
        <v>21448.726189881498</v>
      </c>
      <c r="CM86" s="309"/>
      <c r="CN86" s="308" t="s">
        <v>64</v>
      </c>
      <c r="CO86" s="308"/>
      <c r="CP86" s="309"/>
      <c r="CQ86" s="309"/>
      <c r="CR86" s="309"/>
      <c r="CS86" s="309">
        <f>CL86-($T$86/'Variante Vorgaben'!$B$29)</f>
        <v>10724.363094940754</v>
      </c>
      <c r="CT86" s="309"/>
      <c r="CU86" s="308" t="s">
        <v>64</v>
      </c>
      <c r="CV86" s="308"/>
      <c r="CW86" s="309"/>
      <c r="CX86" s="309"/>
      <c r="CY86" s="309"/>
      <c r="CZ86" s="309">
        <f>CS86-($T$86/'Variante Vorgaben'!$B$29)</f>
        <v>0</v>
      </c>
      <c r="DA86" s="309"/>
      <c r="DB86" s="1340"/>
    </row>
    <row r="87" spans="1:115" x14ac:dyDescent="0.2">
      <c r="A87"/>
      <c r="B87"/>
      <c r="C87"/>
      <c r="D87"/>
      <c r="E87"/>
      <c r="F87"/>
      <c r="G87"/>
      <c r="H87" s="198"/>
      <c r="I87"/>
      <c r="O87" s="205"/>
      <c r="P87" s="17"/>
      <c r="Q87" s="17"/>
      <c r="R87" s="17"/>
      <c r="S87" s="17"/>
      <c r="T87" s="110"/>
      <c r="CU87" s="317" t="s">
        <v>129</v>
      </c>
      <c r="CV87" s="143">
        <f>'Variante Vorgaben'!C38</f>
        <v>6000</v>
      </c>
    </row>
    <row r="88" spans="1:115" x14ac:dyDescent="0.2">
      <c r="S88" s="1337"/>
    </row>
    <row r="89" spans="1:115" x14ac:dyDescent="0.2">
      <c r="S89" s="1337"/>
      <c r="CQ89" s="1337"/>
    </row>
    <row r="90" spans="1:115" x14ac:dyDescent="0.2">
      <c r="S90" s="1337"/>
      <c r="CQ90" s="1337"/>
    </row>
    <row r="91" spans="1:115" x14ac:dyDescent="0.2">
      <c r="S91" s="1337"/>
      <c r="CQ91" s="1337"/>
    </row>
    <row r="92" spans="1:115" x14ac:dyDescent="0.2">
      <c r="S92" s="1337"/>
      <c r="CQ92" s="1337"/>
    </row>
    <row r="93" spans="1:115" x14ac:dyDescent="0.2">
      <c r="S93" s="1337"/>
      <c r="CQ93" s="1337"/>
    </row>
    <row r="94" spans="1:115" x14ac:dyDescent="0.2">
      <c r="S94" s="1337"/>
      <c r="CQ94" s="1337"/>
    </row>
    <row r="95" spans="1:115" x14ac:dyDescent="0.2">
      <c r="CQ95" s="1337"/>
    </row>
  </sheetData>
  <mergeCells count="76">
    <mergeCell ref="DA7:DA8"/>
    <mergeCell ref="BK7:BK8"/>
    <mergeCell ref="BR7:BR8"/>
    <mergeCell ref="BY7:BY8"/>
    <mergeCell ref="CF7:CF8"/>
    <mergeCell ref="CP7:CQ7"/>
    <mergeCell ref="CI7:CJ7"/>
    <mergeCell ref="CM7:CM8"/>
    <mergeCell ref="CT7:CT8"/>
    <mergeCell ref="CW7:CX7"/>
    <mergeCell ref="BN7:BO7"/>
    <mergeCell ref="BU7:BV7"/>
    <mergeCell ref="CB7:CC7"/>
    <mergeCell ref="CW6:DA6"/>
    <mergeCell ref="BG6:BK6"/>
    <mergeCell ref="BN6:BR6"/>
    <mergeCell ref="BU6:BY6"/>
    <mergeCell ref="CB6:CF6"/>
    <mergeCell ref="CI6:CM6"/>
    <mergeCell ref="AC36:AC37"/>
    <mergeCell ref="V36:V37"/>
    <mergeCell ref="BS36:BS37"/>
    <mergeCell ref="BL36:BL37"/>
    <mergeCell ref="CP6:CT6"/>
    <mergeCell ref="X6:AB6"/>
    <mergeCell ref="AE6:AI6"/>
    <mergeCell ref="AL6:AP6"/>
    <mergeCell ref="AS6:AW6"/>
    <mergeCell ref="AZ6:BD6"/>
    <mergeCell ref="BG7:BH7"/>
    <mergeCell ref="AP7:AP8"/>
    <mergeCell ref="AJ36:AJ37"/>
    <mergeCell ref="AW7:AW8"/>
    <mergeCell ref="BD7:BD8"/>
    <mergeCell ref="AL7:AM7"/>
    <mergeCell ref="C6:G6"/>
    <mergeCell ref="G7:G8"/>
    <mergeCell ref="J7:K7"/>
    <mergeCell ref="Q7:R7"/>
    <mergeCell ref="O36:O37"/>
    <mergeCell ref="H36:H37"/>
    <mergeCell ref="J6:N6"/>
    <mergeCell ref="Q6:U6"/>
    <mergeCell ref="AS7:AT7"/>
    <mergeCell ref="AZ7:BA7"/>
    <mergeCell ref="CU36:CU37"/>
    <mergeCell ref="CN36:CN37"/>
    <mergeCell ref="AQ36:AQ37"/>
    <mergeCell ref="AX36:AX37"/>
    <mergeCell ref="AQ57:AQ58"/>
    <mergeCell ref="AX57:AX58"/>
    <mergeCell ref="CG36:CG37"/>
    <mergeCell ref="BZ36:BZ37"/>
    <mergeCell ref="BE36:BE37"/>
    <mergeCell ref="CN57:CN58"/>
    <mergeCell ref="CU57:CU58"/>
    <mergeCell ref="BE57:BE58"/>
    <mergeCell ref="BL57:BL58"/>
    <mergeCell ref="BS57:BS58"/>
    <mergeCell ref="BZ57:BZ58"/>
    <mergeCell ref="H57:H58"/>
    <mergeCell ref="A57:A58"/>
    <mergeCell ref="V57:V58"/>
    <mergeCell ref="B1:C1"/>
    <mergeCell ref="CG57:CG58"/>
    <mergeCell ref="AC57:AC58"/>
    <mergeCell ref="AJ57:AJ58"/>
    <mergeCell ref="O57:O58"/>
    <mergeCell ref="A36:A37"/>
    <mergeCell ref="C7:D7"/>
    <mergeCell ref="X7:Y7"/>
    <mergeCell ref="AE7:AF7"/>
    <mergeCell ref="N7:N8"/>
    <mergeCell ref="U7:U8"/>
    <mergeCell ref="AB7:AB8"/>
    <mergeCell ref="AI7:AI8"/>
  </mergeCells>
  <phoneticPr fontId="0" type="noConversion"/>
  <printOptions gridLines="1" gridLinesSet="0"/>
  <pageMargins left="0.39370078740157483" right="0.39370078740157483" top="0.39370078740157483" bottom="0.39370078740157483" header="0.51181102362204722" footer="0.51181102362204722"/>
  <pageSetup paperSize="9" scale="65" orientation="portrait" r:id="rId1"/>
  <headerFooter alignWithMargins="0">
    <oddFooter>&amp;LArbokost 2008&amp;RAgroscope Changins - Wädenswil ACW</oddFooter>
  </headerFooter>
  <colBreaks count="4" manualBreakCount="4">
    <brk id="7" max="1048575" man="1"/>
    <brk id="14" max="1048575" man="1"/>
    <brk id="21" max="1048575" man="1"/>
    <brk id="42" max="1048575"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tandardErtragsphase1">
    <tabColor indexed="8"/>
    <pageSetUpPr fitToPage="1"/>
  </sheetPr>
  <dimension ref="A1:M204"/>
  <sheetViews>
    <sheetView topLeftCell="A22" zoomScale="75" workbookViewId="0">
      <selection activeCell="S40" sqref="S40"/>
    </sheetView>
  </sheetViews>
  <sheetFormatPr baseColWidth="10" defaultRowHeight="12.75" x14ac:dyDescent="0.2"/>
  <cols>
    <col min="1" max="1" width="31" customWidth="1"/>
    <col min="2" max="2" width="32.140625" customWidth="1"/>
    <col min="3" max="3" width="18.140625" customWidth="1"/>
    <col min="4" max="4" width="14.7109375" customWidth="1"/>
    <col min="5" max="5" width="18.5703125" customWidth="1"/>
    <col min="6" max="6" width="20.7109375" customWidth="1"/>
    <col min="7" max="7" width="10.85546875" style="1" customWidth="1"/>
    <col min="8" max="8" width="6.42578125" customWidth="1"/>
    <col min="9" max="9" width="15.42578125" customWidth="1"/>
    <col min="10" max="10" width="23.42578125" style="10" bestFit="1" customWidth="1"/>
    <col min="11" max="11" width="11.42578125" style="14" customWidth="1"/>
    <col min="12" max="12" width="14.140625" bestFit="1" customWidth="1"/>
    <col min="13" max="256" width="9.140625" customWidth="1"/>
  </cols>
  <sheetData>
    <row r="1" spans="1:11" ht="42.75" customHeight="1" x14ac:dyDescent="0.4">
      <c r="A1" s="1135" t="str">
        <f>'Variante Erstellung'!$A$1</f>
        <v>Arbokost 2023</v>
      </c>
      <c r="B1" s="1432" t="str">
        <f>'Variante Vorgaben'!B8</f>
        <v>Gala</v>
      </c>
      <c r="C1" s="1432"/>
      <c r="D1" s="687"/>
      <c r="E1" s="688"/>
      <c r="F1" s="689"/>
      <c r="G1" s="690"/>
      <c r="J1"/>
      <c r="K1"/>
    </row>
    <row r="2" spans="1:11" ht="23.25" customHeight="1" x14ac:dyDescent="0.25">
      <c r="A2" s="881" t="s">
        <v>469</v>
      </c>
      <c r="B2" s="900"/>
      <c r="C2" s="686"/>
      <c r="D2" s="687"/>
      <c r="E2" s="688"/>
      <c r="F2" s="689"/>
      <c r="G2" s="690"/>
      <c r="J2"/>
      <c r="K2"/>
    </row>
    <row r="3" spans="1:11" ht="18" customHeight="1" x14ac:dyDescent="0.6">
      <c r="A3" s="729"/>
      <c r="B3" s="900"/>
      <c r="C3" s="686"/>
      <c r="D3" s="687"/>
      <c r="E3" s="688"/>
      <c r="F3" s="689"/>
      <c r="G3" s="690"/>
      <c r="J3"/>
      <c r="K3"/>
    </row>
    <row r="4" spans="1:11" ht="18.75" customHeight="1" x14ac:dyDescent="0.2">
      <c r="A4" s="749"/>
      <c r="B4" s="750">
        <f>'Variante Vorgaben'!B24</f>
        <v>3000</v>
      </c>
      <c r="C4" s="878"/>
      <c r="D4" s="878"/>
      <c r="E4" s="878"/>
      <c r="F4" s="918" t="s">
        <v>450</v>
      </c>
      <c r="G4" s="478"/>
      <c r="H4" s="1"/>
      <c r="I4" s="1"/>
    </row>
    <row r="5" spans="1:11" ht="26.25" x14ac:dyDescent="0.4">
      <c r="A5" s="1439" t="s">
        <v>435</v>
      </c>
      <c r="B5" s="1439"/>
      <c r="C5" s="1439"/>
      <c r="D5" s="1439"/>
      <c r="E5" s="1439"/>
      <c r="F5" s="1439"/>
      <c r="G5" s="1440"/>
    </row>
    <row r="6" spans="1:11" s="1" customFormat="1" ht="20.25" x14ac:dyDescent="0.3">
      <c r="A6" s="19"/>
      <c r="B6" s="258"/>
      <c r="C6" s="19"/>
      <c r="D6" s="751"/>
      <c r="E6" s="752"/>
      <c r="F6" s="752"/>
      <c r="G6" s="753"/>
      <c r="J6" s="35"/>
      <c r="K6" s="121"/>
    </row>
    <row r="7" spans="1:11" s="1" customFormat="1" ht="15.75" x14ac:dyDescent="0.25">
      <c r="A7" s="19"/>
      <c r="B7" s="19"/>
      <c r="C7" s="1434" t="s">
        <v>363</v>
      </c>
      <c r="D7" s="1434"/>
      <c r="E7" s="754" t="s">
        <v>364</v>
      </c>
      <c r="F7" s="722" t="s">
        <v>365</v>
      </c>
      <c r="G7" s="1441" t="s">
        <v>366</v>
      </c>
      <c r="I7" s="2"/>
      <c r="J7" s="35"/>
      <c r="K7" s="121"/>
    </row>
    <row r="8" spans="1:11" s="1" customFormat="1" x14ac:dyDescent="0.2">
      <c r="C8" s="184" t="s">
        <v>69</v>
      </c>
      <c r="D8" s="184" t="s">
        <v>55</v>
      </c>
      <c r="E8" s="206" t="s">
        <v>152</v>
      </c>
      <c r="F8" s="755" t="s">
        <v>22</v>
      </c>
      <c r="G8" s="1442"/>
      <c r="J8" s="35"/>
      <c r="K8" s="121"/>
    </row>
    <row r="9" spans="1:11" s="1" customFormat="1" x14ac:dyDescent="0.2">
      <c r="A9" s="73"/>
      <c r="B9" s="85" t="str">
        <f>'Variante Vorgaben'!B47</f>
        <v>Klasse I</v>
      </c>
      <c r="C9" s="80">
        <f>D9/$B$4</f>
        <v>9.8000000000000007</v>
      </c>
      <c r="D9" s="46">
        <f>D12*G9</f>
        <v>29400.000000000004</v>
      </c>
      <c r="E9" s="44">
        <f>'Variante Vorgaben'!B65</f>
        <v>1.1200000000000003</v>
      </c>
      <c r="F9" s="45">
        <f>D9*E9</f>
        <v>32928.000000000015</v>
      </c>
      <c r="G9" s="59">
        <f>'Variante Vorgaben'!B86</f>
        <v>0.70000000000000007</v>
      </c>
      <c r="J9" s="35"/>
      <c r="K9" s="121"/>
    </row>
    <row r="10" spans="1:11" s="1" customFormat="1" x14ac:dyDescent="0.2">
      <c r="B10" s="73" t="str">
        <f>'Variante Vorgaben'!C47</f>
        <v>Klasse II</v>
      </c>
      <c r="C10" s="80">
        <f>D10/$B$4</f>
        <v>2.8</v>
      </c>
      <c r="D10" s="46">
        <f>$D$12*G10</f>
        <v>8400</v>
      </c>
      <c r="E10" s="44">
        <f>'Variante Vorgaben'!C65</f>
        <v>0.45000000000000012</v>
      </c>
      <c r="F10" s="45">
        <f>D10*E10</f>
        <v>3780.0000000000009</v>
      </c>
      <c r="G10" s="59">
        <f>'Variante Vorgaben'!C86</f>
        <v>0.19999999999999998</v>
      </c>
      <c r="J10" s="35"/>
      <c r="K10" s="121"/>
    </row>
    <row r="11" spans="1:11" s="19" customFormat="1" ht="13.5" thickBot="1" x14ac:dyDescent="0.25">
      <c r="A11" s="142"/>
      <c r="B11" s="85" t="str">
        <f>'Variante Vorgaben'!D47</f>
        <v>Most</v>
      </c>
      <c r="C11" s="756">
        <f>D11/$B$4</f>
        <v>1.4</v>
      </c>
      <c r="D11" s="244">
        <f>D12*G11</f>
        <v>4200</v>
      </c>
      <c r="E11" s="376">
        <f>'Variante Vorgaben'!D65</f>
        <v>0.23</v>
      </c>
      <c r="F11" s="420">
        <f>D11*E11</f>
        <v>966</v>
      </c>
      <c r="G11" s="757">
        <f>'Variante Vorgaben'!F86</f>
        <v>9.9999999999999992E-2</v>
      </c>
      <c r="J11" s="43"/>
      <c r="K11" s="127"/>
    </row>
    <row r="12" spans="1:11" s="1" customFormat="1" ht="19.5" customHeight="1" x14ac:dyDescent="0.2">
      <c r="B12" s="85"/>
      <c r="C12" s="57">
        <f>SUM(C9:C11)</f>
        <v>14.000000000000002</v>
      </c>
      <c r="D12" s="297">
        <f>'Variante Vorgaben'!E65</f>
        <v>42000</v>
      </c>
      <c r="E12" s="58">
        <f>F12/D12</f>
        <v>0.89700000000000035</v>
      </c>
      <c r="F12" s="81">
        <f>SUM(F9:F11)</f>
        <v>37674.000000000015</v>
      </c>
      <c r="G12" s="59">
        <f>SUM(G8:G11)</f>
        <v>1</v>
      </c>
      <c r="I12" s="8"/>
      <c r="J12" s="35"/>
      <c r="K12" s="121"/>
    </row>
    <row r="13" spans="1:11" s="1" customFormat="1" ht="19.5" customHeight="1" x14ac:dyDescent="0.2">
      <c r="B13" s="85"/>
      <c r="C13" s="57"/>
      <c r="D13" s="297"/>
      <c r="E13" s="58"/>
      <c r="F13" s="81"/>
      <c r="G13" s="59"/>
      <c r="I13" s="8"/>
      <c r="J13" s="35"/>
      <c r="K13" s="121"/>
    </row>
    <row r="14" spans="1:11" s="1" customFormat="1" ht="12.2" customHeight="1" thickBot="1" x14ac:dyDescent="0.25">
      <c r="A14" s="40"/>
      <c r="B14" s="85" t="str">
        <f>'Variante Vorgaben'!A39</f>
        <v>Direktzahlungen ÖLN</v>
      </c>
      <c r="C14" s="56"/>
      <c r="D14" s="57"/>
      <c r="E14" s="58"/>
      <c r="F14" s="544">
        <f>'Variante Vorgaben'!C39</f>
        <v>1100</v>
      </c>
      <c r="G14" s="59"/>
      <c r="I14" s="324"/>
      <c r="J14" s="35"/>
      <c r="K14" s="121"/>
    </row>
    <row r="15" spans="1:11" ht="24" customHeight="1" x14ac:dyDescent="0.35">
      <c r="A15" s="758" t="s">
        <v>367</v>
      </c>
      <c r="B15" s="742"/>
      <c r="C15" s="742"/>
      <c r="D15" s="742"/>
      <c r="E15" s="742"/>
      <c r="F15" s="512">
        <f>SUM(F12:F14)</f>
        <v>38774.000000000015</v>
      </c>
      <c r="G15" s="742"/>
    </row>
    <row r="16" spans="1:11" ht="24" customHeight="1" x14ac:dyDescent="0.2">
      <c r="A16" s="40" t="s">
        <v>29</v>
      </c>
      <c r="B16" s="41"/>
      <c r="C16" s="184" t="s">
        <v>11</v>
      </c>
      <c r="D16" s="184" t="s">
        <v>136</v>
      </c>
      <c r="E16" s="206" t="s">
        <v>56</v>
      </c>
      <c r="F16" s="759" t="s">
        <v>13</v>
      </c>
      <c r="G16" s="184" t="s">
        <v>57</v>
      </c>
    </row>
    <row r="17" spans="1:11" x14ac:dyDescent="0.2">
      <c r="A17" s="40"/>
      <c r="B17" s="41" t="str">
        <f>'Variante Vorgaben'!B100</f>
        <v>Stickstoff</v>
      </c>
      <c r="C17" s="106">
        <v>1</v>
      </c>
      <c r="D17" s="11">
        <f>'Variante Vorgaben'!B111</f>
        <v>200</v>
      </c>
      <c r="E17" s="105">
        <f>'Variante Vorgaben'!$B$101*(1+Eingabeseite!$C$32)</f>
        <v>0.95</v>
      </c>
      <c r="F17" s="30">
        <f>D17*E17*C17</f>
        <v>190</v>
      </c>
      <c r="G17" s="132">
        <f>F17/$F$88</f>
        <v>4.0187789524069109E-3</v>
      </c>
    </row>
    <row r="18" spans="1:11" x14ac:dyDescent="0.2">
      <c r="A18" s="17"/>
      <c r="B18" s="41" t="str">
        <f>'Variante Vorgaben'!C100</f>
        <v>Grundüngung</v>
      </c>
      <c r="C18" s="106">
        <f>'Variante Vorgaben'!C112</f>
        <v>1</v>
      </c>
      <c r="D18" s="11">
        <f>'Variante Vorgaben'!C111</f>
        <v>400</v>
      </c>
      <c r="E18" s="105">
        <f>'Variante Vorgaben'!$C$101*(1+Eingabeseite!$C$32)</f>
        <v>0.43</v>
      </c>
      <c r="F18" s="30">
        <f>D18*E18</f>
        <v>172</v>
      </c>
      <c r="G18" s="132">
        <f>F18/$F$88</f>
        <v>3.6380525253367829E-3</v>
      </c>
    </row>
    <row r="19" spans="1:11" ht="13.5" thickBot="1" x14ac:dyDescent="0.25">
      <c r="A19" s="17"/>
      <c r="B19" s="29" t="str">
        <f>'Variante Vorgaben'!$D$100</f>
        <v>Hühnermist</v>
      </c>
      <c r="C19" s="655">
        <f>'Variante Vorgaben'!$D$112</f>
        <v>1</v>
      </c>
      <c r="D19" s="1360">
        <f>'Variante Vorgaben'!$D$111</f>
        <v>1000</v>
      </c>
      <c r="E19" s="1361">
        <f>'Variante Vorgaben'!$D$101</f>
        <v>0.35</v>
      </c>
      <c r="F19" s="677">
        <f>C19*D19*E19</f>
        <v>350</v>
      </c>
      <c r="G19" s="132"/>
    </row>
    <row r="20" spans="1:11" x14ac:dyDescent="0.2">
      <c r="A20" s="70"/>
      <c r="B20" s="41"/>
      <c r="C20" s="43">
        <f>SUM(C17:C19)</f>
        <v>3</v>
      </c>
      <c r="D20" s="43"/>
      <c r="E20" s="44"/>
      <c r="F20" s="81">
        <f>SUM(F17:F19)</f>
        <v>712</v>
      </c>
      <c r="G20" s="469">
        <f>F20/$F$88</f>
        <v>1.5059845337440635E-2</v>
      </c>
    </row>
    <row r="21" spans="1:11" x14ac:dyDescent="0.2">
      <c r="A21" s="17" t="s">
        <v>637</v>
      </c>
      <c r="C21" s="11"/>
      <c r="D21" s="11"/>
      <c r="E21" s="105"/>
      <c r="F21" s="105"/>
      <c r="G21" s="132"/>
    </row>
    <row r="22" spans="1:11" x14ac:dyDescent="0.2">
      <c r="A22" s="17"/>
      <c r="C22" s="11"/>
      <c r="D22" s="11"/>
      <c r="E22" s="105"/>
      <c r="F22" s="105"/>
      <c r="G22" s="132"/>
    </row>
    <row r="23" spans="1:11" x14ac:dyDescent="0.2">
      <c r="A23" s="193" t="str">
        <f>'Variante Vorgaben'!$A$117</f>
        <v>Fungizide</v>
      </c>
      <c r="B23" s="29"/>
      <c r="C23" s="13"/>
      <c r="D23" s="13"/>
      <c r="E23" s="357"/>
      <c r="F23" s="25">
        <f>'Variante Vorgaben'!$D$117*(1+Eingabeseite!$C$31)</f>
        <v>2844</v>
      </c>
      <c r="G23" s="132"/>
    </row>
    <row r="24" spans="1:11" x14ac:dyDescent="0.2">
      <c r="A24" s="193" t="str">
        <f>'Variante Vorgaben'!$A$118</f>
        <v>Feuerbrandbekämpfung</v>
      </c>
      <c r="B24" s="29"/>
      <c r="C24" s="13"/>
      <c r="D24" s="13"/>
      <c r="E24" s="357"/>
      <c r="F24" s="25">
        <f>'Variante Vorgaben'!$D$118*(1+Eingabeseite!$C$31)</f>
        <v>1057</v>
      </c>
      <c r="G24" s="132"/>
    </row>
    <row r="25" spans="1:11" x14ac:dyDescent="0.2">
      <c r="A25" s="193" t="str">
        <f>'Variante Vorgaben'!$A$119</f>
        <v>Insektizide</v>
      </c>
      <c r="B25" s="29"/>
      <c r="C25" s="13"/>
      <c r="D25" s="13"/>
      <c r="E25" s="357"/>
      <c r="F25" s="25">
        <f>'Variante Vorgaben'!$D$119*(1+Eingabeseite!$C$31)</f>
        <v>1241</v>
      </c>
      <c r="G25" s="132"/>
    </row>
    <row r="26" spans="1:11" x14ac:dyDescent="0.2">
      <c r="A26" s="193" t="str">
        <f>'Variante Vorgaben'!$A$120</f>
        <v>Herbizide</v>
      </c>
      <c r="B26" s="29"/>
      <c r="C26" s="13"/>
      <c r="D26" s="13"/>
      <c r="E26" s="357"/>
      <c r="F26" s="25">
        <f>'Variante Vorgaben'!$D$120*(1+Eingabeseite!$C$31)</f>
        <v>430</v>
      </c>
      <c r="G26" s="132"/>
    </row>
    <row r="27" spans="1:11" x14ac:dyDescent="0.2">
      <c r="A27" s="193" t="str">
        <f>'Variante Vorgaben'!$A$121</f>
        <v>Behangsregulierung</v>
      </c>
      <c r="B27" s="29"/>
      <c r="C27" s="13"/>
      <c r="D27" s="13"/>
      <c r="E27" s="357"/>
      <c r="F27" s="30">
        <f>'Variante Vorgaben'!$D$121*(1+Eingabeseite!$C$31)</f>
        <v>10</v>
      </c>
      <c r="G27" s="132"/>
    </row>
    <row r="28" spans="1:11" ht="13.5" thickBot="1" x14ac:dyDescent="0.25">
      <c r="A28" s="193" t="str">
        <f>'Variante Vorgaben'!$A$122</f>
        <v>Blattdüngung</v>
      </c>
      <c r="B28" s="29"/>
      <c r="C28" s="13"/>
      <c r="D28" s="13"/>
      <c r="E28" s="357"/>
      <c r="F28" s="677">
        <f>'Variante Vorgaben'!$D$122*(1+Eingabeseite!$C$33)</f>
        <v>360</v>
      </c>
      <c r="G28" s="132"/>
      <c r="I28" s="37"/>
    </row>
    <row r="29" spans="1:11" x14ac:dyDescent="0.2">
      <c r="A29" s="1365"/>
      <c r="B29" s="29"/>
      <c r="C29" s="13"/>
      <c r="D29" s="13"/>
      <c r="E29" s="357"/>
      <c r="F29" s="1371">
        <f>SUM(F23:F28)</f>
        <v>5942</v>
      </c>
      <c r="G29" s="132"/>
    </row>
    <row r="30" spans="1:11" s="1" customFormat="1" x14ac:dyDescent="0.2">
      <c r="A30" s="142" t="str">
        <f>'Variante Hagel'!A75</f>
        <v>Hagelversicherung</v>
      </c>
      <c r="B30" s="287">
        <f>Eingabeseite!D35</f>
        <v>0</v>
      </c>
      <c r="C30" s="531">
        <f>'Variante Hagel'!D78</f>
        <v>0.112</v>
      </c>
      <c r="D30" s="43">
        <f>'Variante Hagel'!C93*(1+Eingabeseite!C35)</f>
        <v>32928</v>
      </c>
      <c r="E30" s="44">
        <f>'Variante Hagel'!E78</f>
        <v>0.8</v>
      </c>
      <c r="F30" s="81">
        <f>B30*C30*D30*E30</f>
        <v>0</v>
      </c>
      <c r="G30" s="132">
        <f>F30/$F$88</f>
        <v>0</v>
      </c>
      <c r="J30" s="35"/>
      <c r="K30" s="121"/>
    </row>
    <row r="31" spans="1:11" s="1" customFormat="1" x14ac:dyDescent="0.2">
      <c r="A31" s="142" t="s">
        <v>598</v>
      </c>
      <c r="B31" s="984"/>
      <c r="C31" s="531"/>
      <c r="D31" s="127"/>
      <c r="E31" s="128"/>
      <c r="F31" s="81">
        <f>'Variante Vorgaben'!$C$188</f>
        <v>1317.8</v>
      </c>
      <c r="G31" s="132"/>
      <c r="J31" s="35"/>
      <c r="K31" s="121"/>
    </row>
    <row r="32" spans="1:11" s="67" customFormat="1" x14ac:dyDescent="0.2">
      <c r="A32" s="216" t="s">
        <v>368</v>
      </c>
      <c r="B32" s="760"/>
      <c r="C32" s="201"/>
      <c r="D32" s="761"/>
      <c r="E32" s="200"/>
      <c r="F32" s="83"/>
      <c r="G32" s="201"/>
      <c r="J32" s="252"/>
      <c r="K32" s="607"/>
    </row>
    <row r="33" spans="1:13" s="67" customFormat="1" x14ac:dyDescent="0.2">
      <c r="A33" s="1433" t="str">
        <f>'Variante Vorgaben'!E38</f>
        <v>Branchenbeiträge</v>
      </c>
      <c r="B33" s="142" t="str">
        <f>'Variante Vorgaben'!F38</f>
        <v>Klasse I+II</v>
      </c>
      <c r="C33" s="142"/>
      <c r="D33" s="142" t="s">
        <v>537</v>
      </c>
      <c r="E33" s="200">
        <f>'Variante Vorgaben'!G38</f>
        <v>325</v>
      </c>
      <c r="F33" s="146">
        <f>E33</f>
        <v>325</v>
      </c>
      <c r="G33" s="201">
        <f t="shared" ref="G33:G38" si="0">F33/$F$88</f>
        <v>6.8742271554328742E-3</v>
      </c>
      <c r="J33" s="252"/>
      <c r="K33" s="607"/>
    </row>
    <row r="34" spans="1:13" s="67" customFormat="1" x14ac:dyDescent="0.2">
      <c r="A34" s="1433"/>
      <c r="B34" s="142" t="str">
        <f>'Variante Vorgaben'!F39</f>
        <v>Mostobst</v>
      </c>
      <c r="C34" s="142"/>
      <c r="D34" s="142" t="s">
        <v>58</v>
      </c>
      <c r="E34" s="200">
        <f>'Variante Vorgaben'!G39</f>
        <v>1</v>
      </c>
      <c r="F34" s="146">
        <f>E34*$D$11/100</f>
        <v>42</v>
      </c>
      <c r="G34" s="201">
        <f t="shared" si="0"/>
        <v>8.88361663163633E-4</v>
      </c>
      <c r="J34" s="252"/>
      <c r="K34" s="607"/>
    </row>
    <row r="35" spans="1:13" s="67" customFormat="1" x14ac:dyDescent="0.2">
      <c r="A35" s="670" t="str">
        <f>'Variante Vorgaben'!E41</f>
        <v>Gebindekosten</v>
      </c>
      <c r="B35" s="608" t="str">
        <f>'Variante Vorgaben'!F41</f>
        <v>Klasse I+II</v>
      </c>
      <c r="C35" s="142"/>
      <c r="D35" s="142" t="s">
        <v>58</v>
      </c>
      <c r="E35" s="609">
        <f>'Variante Vorgaben'!G41</f>
        <v>0</v>
      </c>
      <c r="F35" s="146">
        <f>($D$9+$D$10)/100*E35</f>
        <v>0</v>
      </c>
      <c r="G35" s="201">
        <f t="shared" si="0"/>
        <v>0</v>
      </c>
      <c r="J35" s="252"/>
      <c r="K35" s="607"/>
    </row>
    <row r="36" spans="1:13" s="67" customFormat="1" x14ac:dyDescent="0.2">
      <c r="A36" s="670" t="str">
        <f>'Variante Vorgaben'!E42</f>
        <v>Sortierkosten</v>
      </c>
      <c r="B36" s="142" t="str">
        <f>'Variante Vorgaben'!F42</f>
        <v>Klasse I+II</v>
      </c>
      <c r="C36" s="142"/>
      <c r="D36" s="142" t="s">
        <v>58</v>
      </c>
      <c r="E36" s="200">
        <f>'Variante Vorgaben'!G42</f>
        <v>0</v>
      </c>
      <c r="F36" s="146">
        <f>($D$9+$D$10)/100*E36</f>
        <v>0</v>
      </c>
      <c r="G36" s="201">
        <f t="shared" si="0"/>
        <v>0</v>
      </c>
      <c r="J36" s="252"/>
      <c r="K36" s="607"/>
    </row>
    <row r="37" spans="1:13" s="67" customFormat="1" ht="13.5" thickBot="1" x14ac:dyDescent="0.25">
      <c r="A37" s="670"/>
      <c r="B37" s="142" t="str">
        <f>'Variante Vorgaben'!F43</f>
        <v>Abgang</v>
      </c>
      <c r="C37" s="142"/>
      <c r="D37" s="142" t="s">
        <v>58</v>
      </c>
      <c r="E37" s="200">
        <f>'Variante Vorgaben'!G43</f>
        <v>0</v>
      </c>
      <c r="F37" s="501">
        <f>(E37/100)*Eingabeseite!D13*'Variante Ertragsphase'!D12</f>
        <v>0</v>
      </c>
      <c r="G37" s="201">
        <f t="shared" si="0"/>
        <v>0</v>
      </c>
      <c r="J37" s="252"/>
      <c r="K37" s="607"/>
    </row>
    <row r="38" spans="1:13" s="67" customFormat="1" x14ac:dyDescent="0.2">
      <c r="A38" s="530"/>
      <c r="B38" s="142"/>
      <c r="C38" s="142"/>
      <c r="D38" s="142"/>
      <c r="E38" s="200"/>
      <c r="F38" s="83">
        <f>SUM(F33:F37)</f>
        <v>367</v>
      </c>
      <c r="G38" s="469">
        <f t="shared" si="0"/>
        <v>7.7625888185965074E-3</v>
      </c>
      <c r="J38" s="252"/>
      <c r="K38" s="607"/>
    </row>
    <row r="39" spans="1:13" s="67" customFormat="1" x14ac:dyDescent="0.2">
      <c r="A39" s="530"/>
      <c r="B39" s="142"/>
      <c r="C39" s="142"/>
      <c r="D39" s="142"/>
      <c r="E39" s="200"/>
      <c r="F39" s="83"/>
      <c r="G39" s="201"/>
      <c r="J39" s="252"/>
      <c r="K39" s="607"/>
    </row>
    <row r="40" spans="1:13" s="67" customFormat="1" ht="32.450000000000003" customHeight="1" x14ac:dyDescent="0.2">
      <c r="A40" s="762" t="s">
        <v>189</v>
      </c>
      <c r="B40" s="763" t="s">
        <v>302</v>
      </c>
      <c r="C40" s="764">
        <f>'Variante Standjahre'!T86</f>
        <v>128692.35713928891</v>
      </c>
      <c r="D40" s="765">
        <f>'Variante Vorgaben'!B29</f>
        <v>12</v>
      </c>
      <c r="E40" s="766"/>
      <c r="F40" s="764">
        <f>C40/D40</f>
        <v>10724.363094940743</v>
      </c>
      <c r="G40" s="778">
        <f>F40/$F$88</f>
        <v>0.22683602465219632</v>
      </c>
      <c r="J40" s="252"/>
      <c r="K40" s="607"/>
    </row>
    <row r="41" spans="1:13" s="67" customFormat="1" ht="18.75" customHeight="1" x14ac:dyDescent="0.2">
      <c r="A41" s="762"/>
      <c r="B41" s="763"/>
      <c r="C41" s="764"/>
      <c r="D41" s="765"/>
      <c r="E41" s="766"/>
      <c r="F41" s="764"/>
      <c r="G41" s="767"/>
      <c r="J41" s="252"/>
      <c r="K41" s="607"/>
    </row>
    <row r="42" spans="1:13" s="67" customFormat="1" ht="21.2" customHeight="1" x14ac:dyDescent="0.2">
      <c r="A42" s="85" t="s">
        <v>171</v>
      </c>
      <c r="B42" s="768" t="s">
        <v>369</v>
      </c>
      <c r="C42" s="674"/>
      <c r="D42" s="670"/>
      <c r="E42" s="675"/>
      <c r="F42" s="83">
        <f>'Variante Vorgaben'!E161</f>
        <v>400</v>
      </c>
      <c r="G42" s="469">
        <f>F42/$F$88</f>
        <v>8.4605872682250761E-3</v>
      </c>
      <c r="J42" s="252"/>
      <c r="K42" s="607"/>
    </row>
    <row r="43" spans="1:13" s="67" customFormat="1" ht="11.1" customHeight="1" x14ac:dyDescent="0.2">
      <c r="A43" s="85"/>
      <c r="B43" s="768"/>
      <c r="C43" s="674"/>
      <c r="D43" s="670"/>
      <c r="E43" s="675"/>
      <c r="F43" s="83"/>
      <c r="G43" s="201"/>
      <c r="J43" s="252"/>
      <c r="K43" s="607"/>
    </row>
    <row r="44" spans="1:13" s="67" customFormat="1" ht="21.2" customHeight="1" x14ac:dyDescent="0.2">
      <c r="A44" s="85"/>
      <c r="B44" s="674" t="s">
        <v>130</v>
      </c>
      <c r="C44" s="674"/>
      <c r="D44" s="670"/>
      <c r="E44" s="675">
        <f>(PMT('Variante Vorgaben'!C40,'Variante Vorgaben'!B29,'Variante Vorgaben'!C38))*(-1)</f>
        <v>550.07995743737365</v>
      </c>
      <c r="F44" s="83">
        <f>E44</f>
        <v>550.07995743737365</v>
      </c>
      <c r="G44" s="201"/>
      <c r="J44" s="252"/>
      <c r="K44" s="607"/>
    </row>
    <row r="45" spans="1:13" s="67" customFormat="1" ht="21.2" customHeight="1" x14ac:dyDescent="0.2">
      <c r="A45" s="73"/>
      <c r="B45" s="264"/>
      <c r="C45" s="264"/>
      <c r="D45" s="109"/>
      <c r="E45" s="265"/>
      <c r="F45" s="131"/>
      <c r="G45" s="201"/>
      <c r="J45" s="252"/>
      <c r="K45" s="607"/>
    </row>
    <row r="46" spans="1:13" s="16" customFormat="1" ht="27" customHeight="1" x14ac:dyDescent="0.3">
      <c r="A46" s="508" t="s">
        <v>211</v>
      </c>
      <c r="B46" s="537"/>
      <c r="C46" s="610"/>
      <c r="D46" s="610"/>
      <c r="E46" s="611"/>
      <c r="F46" s="506">
        <f>F20+F29+F30+F31+F38+F40+F42+F44</f>
        <v>20013.243052378115</v>
      </c>
      <c r="G46" s="933">
        <f>F46/$F$88</f>
        <v>0.42330947341211062</v>
      </c>
      <c r="J46" s="120"/>
      <c r="K46" s="123"/>
    </row>
    <row r="47" spans="1:13" ht="18.75" customHeight="1" x14ac:dyDescent="0.25">
      <c r="A47" s="17" t="s">
        <v>176</v>
      </c>
      <c r="B47" s="13"/>
      <c r="C47" s="147" t="s">
        <v>59</v>
      </c>
      <c r="D47" s="676">
        <f>'Variante Vorgaben'!C157</f>
        <v>10</v>
      </c>
      <c r="E47" s="44">
        <f>'Variante Vorgaben'!D157</f>
        <v>15</v>
      </c>
      <c r="F47" s="271">
        <f>D47*E47</f>
        <v>150</v>
      </c>
      <c r="G47" s="469">
        <f>F47/$F$88</f>
        <v>3.1727202255844036E-3</v>
      </c>
      <c r="J47" s="1443"/>
      <c r="K47" s="1443"/>
      <c r="L47" s="1444"/>
      <c r="M47" s="1444"/>
    </row>
    <row r="48" spans="1:13" s="1" customFormat="1" ht="18.75" customHeight="1" x14ac:dyDescent="0.2">
      <c r="A48" s="40"/>
      <c r="B48" s="19"/>
      <c r="C48" s="147"/>
      <c r="D48" s="676"/>
      <c r="E48" s="44"/>
      <c r="F48" s="81"/>
      <c r="G48" s="132"/>
      <c r="J48" s="252"/>
      <c r="K48" s="252"/>
      <c r="L48" s="35"/>
      <c r="M48" s="35"/>
    </row>
    <row r="49" spans="1:13" ht="18" customHeight="1" x14ac:dyDescent="0.2">
      <c r="C49" s="38" t="s">
        <v>11</v>
      </c>
      <c r="D49" s="118" t="s">
        <v>104</v>
      </c>
      <c r="E49" s="288" t="s">
        <v>105</v>
      </c>
      <c r="F49" s="289" t="s">
        <v>22</v>
      </c>
      <c r="G49" s="132"/>
      <c r="J49" s="38" t="s">
        <v>416</v>
      </c>
      <c r="K49" s="141" t="s">
        <v>82</v>
      </c>
      <c r="L49" s="1"/>
      <c r="M49" s="140"/>
    </row>
    <row r="50" spans="1:13" s="1" customFormat="1" x14ac:dyDescent="0.2">
      <c r="A50" s="40" t="s">
        <v>98</v>
      </c>
      <c r="B50" s="142" t="str">
        <f>'Variante Vorgaben'!B133</f>
        <v>Anbaugebläsepritze 1000 l mit Bordcomputer</v>
      </c>
      <c r="C50" s="1369">
        <v>22</v>
      </c>
      <c r="D50" s="39">
        <f>'Variante Vorgaben'!C133</f>
        <v>1</v>
      </c>
      <c r="E50" s="44">
        <f>'Variante Vorgaben'!$D$133*(1+Eingabeseite!$C$30)</f>
        <v>37</v>
      </c>
      <c r="F50" s="45">
        <f>C50*E50</f>
        <v>814</v>
      </c>
      <c r="G50" s="132">
        <f>F50/$F$88</f>
        <v>1.7217295090838029E-2</v>
      </c>
      <c r="J50" s="605">
        <f>'Variante Vorgaben'!G133</f>
        <v>11.67</v>
      </c>
      <c r="K50" s="121">
        <f>C50*J50</f>
        <v>256.74</v>
      </c>
      <c r="L50" s="324"/>
    </row>
    <row r="51" spans="1:13" s="1" customFormat="1" x14ac:dyDescent="0.2">
      <c r="A51" s="40"/>
      <c r="B51" s="142" t="str">
        <f>'Variante Vorgaben'!B134</f>
        <v>Herbizidspritze beideseitig + Herbizidfass</v>
      </c>
      <c r="C51" s="1370">
        <v>6</v>
      </c>
      <c r="D51" s="39">
        <f>'Variante Vorgaben'!C134</f>
        <v>1</v>
      </c>
      <c r="E51" s="44">
        <f>'Variante Vorgaben'!$D$134*(1+Eingabeseite!$C$30)</f>
        <v>69</v>
      </c>
      <c r="F51" s="45">
        <f t="shared" ref="F51:F52" si="1">C51*E51</f>
        <v>414</v>
      </c>
      <c r="G51" s="132">
        <f>F51/$F$88</f>
        <v>8.7567078226129542E-3</v>
      </c>
      <c r="J51" s="605">
        <f>'Variante Vorgaben'!G134</f>
        <v>13.22</v>
      </c>
      <c r="K51" s="121">
        <f>C51*J51</f>
        <v>79.320000000000007</v>
      </c>
      <c r="L51" s="324"/>
    </row>
    <row r="52" spans="1:13" s="1" customFormat="1" x14ac:dyDescent="0.2">
      <c r="A52" s="40"/>
      <c r="B52" s="142" t="str">
        <f>'Variante Vorgaben'!B135</f>
        <v>Düngerstreuer Einkasten 2.5 m</v>
      </c>
      <c r="C52" s="531">
        <f>C20</f>
        <v>3</v>
      </c>
      <c r="D52" s="39">
        <f>'Variante Vorgaben'!C135</f>
        <v>1</v>
      </c>
      <c r="E52" s="44">
        <f>'Variante Vorgaben'!$D$135*(1+Eingabeseite!$C$30)</f>
        <v>18</v>
      </c>
      <c r="F52" s="45">
        <f t="shared" si="1"/>
        <v>54</v>
      </c>
      <c r="G52" s="132">
        <f>F52/$F$88</f>
        <v>1.1421792812103852E-3</v>
      </c>
      <c r="J52" s="605">
        <f>'Variante Vorgaben'!G135</f>
        <v>7.03</v>
      </c>
      <c r="K52" s="121">
        <f>C52*J52</f>
        <v>21.09</v>
      </c>
      <c r="L52" s="324"/>
    </row>
    <row r="53" spans="1:13" s="1" customFormat="1" x14ac:dyDescent="0.2">
      <c r="A53" s="40"/>
      <c r="B53" s="142" t="str">
        <f>'Variante Vorgaben'!B136</f>
        <v>Erntewagen 4 Grosskisten</v>
      </c>
      <c r="C53" s="1329">
        <f>'Variante Vorgaben'!C136</f>
        <v>960</v>
      </c>
      <c r="D53" s="19"/>
      <c r="E53" s="1328">
        <f>'Variante Vorgaben'!$D$136*(1+Eingabeseite!$C$30)</f>
        <v>9.1999999999999993</v>
      </c>
      <c r="F53" s="45">
        <f>D54*E53</f>
        <v>382.37499999999994</v>
      </c>
      <c r="G53" s="132">
        <f>F53/$F$88</f>
        <v>8.0877926417189071E-3</v>
      </c>
      <c r="J53" s="605">
        <f>'Variante Vorgaben'!G136</f>
        <v>1.53</v>
      </c>
      <c r="K53" s="121">
        <f>D54*J53</f>
        <v>63.590625000000003</v>
      </c>
      <c r="L53" s="324"/>
    </row>
    <row r="54" spans="1:13" s="1" customFormat="1" x14ac:dyDescent="0.2">
      <c r="A54" s="40"/>
      <c r="B54" s="282" t="s">
        <v>204</v>
      </c>
      <c r="C54" s="532">
        <f>'Variante Vorgaben'!E136</f>
        <v>4</v>
      </c>
      <c r="D54" s="1326">
        <f>((D9+D10)+('Variante Vorgaben'!D86*D12))/C53</f>
        <v>41.5625</v>
      </c>
      <c r="E54" s="1327">
        <f>C53/C77/C54*(1+Eingabeseite!$C$30)</f>
        <v>2</v>
      </c>
      <c r="F54" s="45"/>
      <c r="G54" s="132"/>
      <c r="J54" s="35"/>
      <c r="K54" s="127"/>
      <c r="L54" s="612"/>
    </row>
    <row r="55" spans="1:13" s="1" customFormat="1" x14ac:dyDescent="0.2">
      <c r="A55" s="40"/>
      <c r="B55" s="142" t="str">
        <f>'Variante Vorgaben'!B137</f>
        <v>Sichelmulchgerät mit beids. Schwenkarm</v>
      </c>
      <c r="C55" s="202">
        <f>'Variante Vorgaben'!E137</f>
        <v>7</v>
      </c>
      <c r="D55" s="39">
        <f>'Variante Vorgaben'!C137</f>
        <v>1</v>
      </c>
      <c r="E55" s="44">
        <f>'Variante Vorgaben'!$D$137*(1+Eingabeseite!$C$30)</f>
        <v>42</v>
      </c>
      <c r="F55" s="45">
        <f>C55*E55</f>
        <v>294</v>
      </c>
      <c r="G55" s="132">
        <f t="shared" ref="G55:G63" si="2">F55/$F$88</f>
        <v>6.2185316421454308E-3</v>
      </c>
      <c r="J55" s="605">
        <f>'Variante Vorgaben'!G137</f>
        <v>14.5</v>
      </c>
      <c r="K55" s="127">
        <f>C55*J55</f>
        <v>101.5</v>
      </c>
      <c r="L55" s="612"/>
    </row>
    <row r="56" spans="1:13" s="1" customFormat="1" ht="13.5" thickBot="1" x14ac:dyDescent="0.25">
      <c r="A56" s="40"/>
      <c r="B56" s="142" t="str">
        <f>'Variante Vorgaben'!B138</f>
        <v>Schnittholzhacker</v>
      </c>
      <c r="C56" s="202">
        <f>'Variante Vorgaben'!E138</f>
        <v>1</v>
      </c>
      <c r="D56" s="647">
        <f>'Variante Vorgaben'!C138</f>
        <v>2</v>
      </c>
      <c r="E56" s="44">
        <f>'Variante Vorgaben'!$D$138*(1+Eingabeseite!$C$30)</f>
        <v>68.3</v>
      </c>
      <c r="F56" s="420">
        <f>E56*D56*C56</f>
        <v>136.6</v>
      </c>
      <c r="G56" s="132">
        <f t="shared" si="2"/>
        <v>2.8892905520988632E-3</v>
      </c>
      <c r="J56" s="605">
        <f>'Variante Vorgaben'!G138</f>
        <v>29.05</v>
      </c>
      <c r="K56" s="127">
        <f>C56*J56</f>
        <v>29.05</v>
      </c>
      <c r="L56" s="612"/>
    </row>
    <row r="57" spans="1:13" s="1" customFormat="1" x14ac:dyDescent="0.2">
      <c r="A57" s="40"/>
      <c r="B57" s="142" t="s">
        <v>106</v>
      </c>
      <c r="C57" s="202"/>
      <c r="D57" s="533">
        <f>(C50*D50)+(C51*D51)+(C52*D52)+(D54*E54*'Variante Vorgaben'!H130)+(C55*D55)+(C56*D56)</f>
        <v>60.78125</v>
      </c>
      <c r="E57" s="44"/>
      <c r="F57" s="83">
        <f>SUM(F50:F56)</f>
        <v>2094.9749999999999</v>
      </c>
      <c r="G57" s="132">
        <f t="shared" si="2"/>
        <v>4.4311797030624572E-2</v>
      </c>
      <c r="J57" s="605"/>
      <c r="K57" s="127"/>
      <c r="L57" s="612"/>
    </row>
    <row r="58" spans="1:13" s="1" customFormat="1" x14ac:dyDescent="0.2">
      <c r="A58" s="40"/>
      <c r="B58" s="983" t="str">
        <f>'Variante Vorgaben'!B140</f>
        <v>Hebebühne schwer, selbstfahrend, elektrisch</v>
      </c>
      <c r="D58" s="658">
        <f>'Variante Vorgaben'!C140*D54</f>
        <v>6.927083333333333</v>
      </c>
      <c r="E58" s="44">
        <f>'Variante Vorgaben'!$D$140*(1+Eingabeseite!$C$30)</f>
        <v>17.5</v>
      </c>
      <c r="F58" s="45">
        <f>D58*E58</f>
        <v>121.22395833333333</v>
      </c>
      <c r="G58" s="132">
        <f t="shared" si="2"/>
        <v>2.5640646961971178E-3</v>
      </c>
      <c r="J58" s="35"/>
      <c r="K58" s="127"/>
      <c r="L58" s="612"/>
    </row>
    <row r="59" spans="1:13" s="1" customFormat="1" x14ac:dyDescent="0.2">
      <c r="A59" s="779"/>
      <c r="B59" s="85" t="str">
        <f>'Variante Vorgaben'!B130</f>
        <v>Obstbautraktor 4-Rad</v>
      </c>
      <c r="C59" s="43"/>
      <c r="D59" s="533">
        <f>D57</f>
        <v>60.78125</v>
      </c>
      <c r="E59" s="44">
        <f>'Variante Vorgaben'!$D$130*(1+Eingabeseite!$C$30)</f>
        <v>41</v>
      </c>
      <c r="F59" s="146">
        <f>D59*E59</f>
        <v>2492.03125</v>
      </c>
      <c r="G59" s="132">
        <f t="shared" si="2"/>
        <v>5.2710119664422551E-2</v>
      </c>
      <c r="H59" s="549">
        <f>(D54*E54*'Variante Vorgaben'!H130)</f>
        <v>20.78125</v>
      </c>
      <c r="I59" s="1" t="s">
        <v>107</v>
      </c>
      <c r="J59" s="246">
        <f>'Variante Vorgaben'!G143</f>
        <v>0</v>
      </c>
      <c r="K59" s="127">
        <f>D59*J59</f>
        <v>0</v>
      </c>
      <c r="L59" s="612"/>
    </row>
    <row r="60" spans="1:13" s="1" customFormat="1" x14ac:dyDescent="0.2">
      <c r="A60" s="1446" t="s">
        <v>408</v>
      </c>
      <c r="B60" s="142" t="str">
        <f>'Variante Vorgaben'!$B$130</f>
        <v>Obstbautraktor 4-Rad</v>
      </c>
      <c r="D60" s="478">
        <v>10</v>
      </c>
      <c r="E60" s="44">
        <f>'Variante Vorgaben'!$D$130*(1+Eingabeseite!$C$30)</f>
        <v>41</v>
      </c>
      <c r="F60" s="146">
        <f>E60*D60</f>
        <v>410</v>
      </c>
      <c r="G60" s="132">
        <f t="shared" si="2"/>
        <v>8.6721019499307033E-3</v>
      </c>
      <c r="H60" s="549"/>
      <c r="J60" s="246"/>
      <c r="K60" s="127"/>
      <c r="L60" s="612"/>
    </row>
    <row r="61" spans="1:13" s="1" customFormat="1" x14ac:dyDescent="0.2">
      <c r="A61" s="1446"/>
      <c r="B61" s="142" t="str">
        <f>'Variante Vorgaben'!B140</f>
        <v>Hebebühne schwer, selbstfahrend, elektrisch</v>
      </c>
      <c r="D61" s="478">
        <v>10</v>
      </c>
      <c r="E61" s="44">
        <f>'Variante Vorgaben'!D140*(1+Eingabeseite!$C$30)</f>
        <v>17.5</v>
      </c>
      <c r="F61" s="146">
        <f>E61*D61</f>
        <v>175</v>
      </c>
      <c r="G61" s="132">
        <f t="shared" si="2"/>
        <v>3.7015069298484706E-3</v>
      </c>
      <c r="H61" s="549"/>
      <c r="J61" s="246"/>
      <c r="K61" s="127"/>
      <c r="L61" s="612"/>
    </row>
    <row r="62" spans="1:13" s="1" customFormat="1" ht="13.5" thickBot="1" x14ac:dyDescent="0.25">
      <c r="A62" s="671"/>
      <c r="B62" s="41" t="str">
        <f>'Variante Vorgaben'!B139</f>
        <v>Diverse Kleingeräte</v>
      </c>
      <c r="C62" s="43"/>
      <c r="D62" s="43"/>
      <c r="E62" s="44"/>
      <c r="F62" s="501">
        <f>'Variante Vorgaben'!$D$139*(1+Eingabeseite!$C$30)</f>
        <v>500</v>
      </c>
      <c r="G62" s="132">
        <f t="shared" si="2"/>
        <v>1.0575734085281344E-2</v>
      </c>
      <c r="J62" s="35"/>
      <c r="K62" s="323">
        <f>SUM(K50:K59)</f>
        <v>551.29062499999986</v>
      </c>
      <c r="L62" s="19"/>
    </row>
    <row r="63" spans="1:13" s="1" customFormat="1" x14ac:dyDescent="0.2">
      <c r="A63" s="535"/>
      <c r="B63" s="4"/>
      <c r="C63" s="35"/>
      <c r="D63" s="35"/>
      <c r="E63" s="47"/>
      <c r="F63" s="83">
        <f>SUM(F57:F62)</f>
        <v>5793.2302083333334</v>
      </c>
      <c r="G63" s="469">
        <f t="shared" si="2"/>
        <v>0.12253532435630476</v>
      </c>
      <c r="J63" s="35"/>
      <c r="K63" s="127"/>
      <c r="L63" s="19"/>
    </row>
    <row r="64" spans="1:13" x14ac:dyDescent="0.2">
      <c r="A64" s="75"/>
      <c r="B64" s="15"/>
      <c r="C64" s="35"/>
      <c r="D64" s="35"/>
      <c r="E64" s="47"/>
      <c r="F64" s="53"/>
      <c r="G64" s="132"/>
      <c r="K64" s="127"/>
      <c r="L64" s="13"/>
    </row>
    <row r="65" spans="1:12" x14ac:dyDescent="0.2">
      <c r="B65" s="15"/>
      <c r="C65" s="43"/>
      <c r="D65" s="118" t="s">
        <v>27</v>
      </c>
      <c r="E65" s="291" t="s">
        <v>21</v>
      </c>
      <c r="F65" s="289" t="s">
        <v>22</v>
      </c>
      <c r="G65" s="132"/>
      <c r="K65" s="127"/>
      <c r="L65" s="13"/>
    </row>
    <row r="66" spans="1:12" s="1" customFormat="1" x14ac:dyDescent="0.2">
      <c r="A66" s="40" t="s">
        <v>62</v>
      </c>
      <c r="B66" s="41" t="s">
        <v>29</v>
      </c>
      <c r="C66" s="43"/>
      <c r="D66" s="349">
        <f>C52*D52</f>
        <v>3</v>
      </c>
      <c r="E66" s="44">
        <f>'Variante Vorgaben'!$C$36</f>
        <v>32.700000000000003</v>
      </c>
      <c r="F66" s="45">
        <f>D66*E66</f>
        <v>98.100000000000009</v>
      </c>
      <c r="G66" s="132">
        <f t="shared" ref="G66:G79" si="3">F66/$F$88</f>
        <v>2.0749590275322E-3</v>
      </c>
      <c r="J66" s="35"/>
      <c r="K66" s="121"/>
    </row>
    <row r="67" spans="1:12" s="1" customFormat="1" x14ac:dyDescent="0.2">
      <c r="A67" s="40"/>
      <c r="B67" s="41" t="s">
        <v>147</v>
      </c>
      <c r="C67" s="19"/>
      <c r="D67" s="46">
        <f>((C50*D50)+(C51*D51))+'Variante Vorgaben'!B93+'Variante Vorgaben'!C93</f>
        <v>48</v>
      </c>
      <c r="E67" s="44">
        <f>'Variante Vorgaben'!$C$36</f>
        <v>32.700000000000003</v>
      </c>
      <c r="F67" s="45">
        <f>D67*E67</f>
        <v>1569.6000000000001</v>
      </c>
      <c r="G67" s="132">
        <f t="shared" si="3"/>
        <v>3.3199344440515199E-2</v>
      </c>
      <c r="J67" s="35"/>
      <c r="K67" s="121"/>
    </row>
    <row r="68" spans="1:12" s="1" customFormat="1" x14ac:dyDescent="0.2">
      <c r="A68" s="40"/>
      <c r="B68" s="41" t="str">
        <f>'Variante Vorgaben'!D90</f>
        <v>Baumerziehung 
(Sommer+Winter)</v>
      </c>
      <c r="C68" s="43"/>
      <c r="D68" s="127">
        <f>'Variante Vorgaben'!D93</f>
        <v>120</v>
      </c>
      <c r="E68" s="44">
        <f>'Variante Vorgaben'!$C$36</f>
        <v>32.700000000000003</v>
      </c>
      <c r="F68" s="45">
        <f>D68*E68</f>
        <v>3924.0000000000005</v>
      </c>
      <c r="G68" s="132">
        <f t="shared" si="3"/>
        <v>8.2998361101287998E-2</v>
      </c>
      <c r="J68" s="35"/>
      <c r="K68" s="121"/>
    </row>
    <row r="69" spans="1:12" s="1" customFormat="1" x14ac:dyDescent="0.2">
      <c r="A69" s="40"/>
      <c r="B69" s="41" t="s">
        <v>96</v>
      </c>
      <c r="C69" s="43"/>
      <c r="D69" s="202">
        <f>(C55*D55)+(C56*D56)</f>
        <v>9</v>
      </c>
      <c r="E69" s="44">
        <f>'Variante Vorgaben'!$C$36</f>
        <v>32.700000000000003</v>
      </c>
      <c r="F69" s="45">
        <f>D69*E69</f>
        <v>294.3</v>
      </c>
      <c r="G69" s="132">
        <f t="shared" si="3"/>
        <v>6.2248770825965999E-3</v>
      </c>
      <c r="J69" s="35"/>
      <c r="K69" s="121"/>
    </row>
    <row r="70" spans="1:12" s="1" customFormat="1" x14ac:dyDescent="0.2">
      <c r="A70" s="40"/>
      <c r="B70" s="304" t="str">
        <f>'Variante Vorgaben'!E90</f>
        <v>Behangsregulierung (von Hand)</v>
      </c>
      <c r="C70" s="19" t="s">
        <v>197</v>
      </c>
      <c r="D70" s="46">
        <f>'Variante Vorgaben'!E93</f>
        <v>150</v>
      </c>
      <c r="E70" s="44">
        <f>'Variante Vorgaben'!C37</f>
        <v>22.5</v>
      </c>
      <c r="F70" s="45">
        <f>D70*E70</f>
        <v>3375</v>
      </c>
      <c r="G70" s="132">
        <f t="shared" si="3"/>
        <v>7.1386205075649078E-2</v>
      </c>
      <c r="J70" s="35"/>
      <c r="K70" s="121"/>
    </row>
    <row r="71" spans="1:12" s="1" customFormat="1" x14ac:dyDescent="0.2">
      <c r="A71" s="40"/>
      <c r="B71" s="304" t="s">
        <v>409</v>
      </c>
      <c r="C71" s="46">
        <f>'Variante Vorgaben'!$C$179</f>
        <v>1</v>
      </c>
      <c r="D71" s="838">
        <v>15</v>
      </c>
      <c r="E71" s="44">
        <f>'Variante Vorgaben'!C37</f>
        <v>22.5</v>
      </c>
      <c r="F71" s="45">
        <f>C71*D71*E71</f>
        <v>337.5</v>
      </c>
      <c r="G71" s="132">
        <f t="shared" si="3"/>
        <v>7.1386205075649077E-3</v>
      </c>
      <c r="J71" s="35"/>
      <c r="K71" s="121"/>
    </row>
    <row r="72" spans="1:12" s="1" customFormat="1" x14ac:dyDescent="0.2">
      <c r="A72" s="40"/>
      <c r="B72" s="304" t="s">
        <v>410</v>
      </c>
      <c r="C72" s="46">
        <f>'Variante Vorgaben'!$C$179</f>
        <v>1</v>
      </c>
      <c r="D72" s="838">
        <v>10</v>
      </c>
      <c r="E72" s="44">
        <f>'Variante Vorgaben'!C37</f>
        <v>22.5</v>
      </c>
      <c r="F72" s="45">
        <f>C72*D72*E72</f>
        <v>225</v>
      </c>
      <c r="G72" s="132">
        <f t="shared" si="3"/>
        <v>4.7590803383766051E-3</v>
      </c>
      <c r="J72" s="35"/>
      <c r="K72" s="121"/>
    </row>
    <row r="73" spans="1:12" s="1" customFormat="1" x14ac:dyDescent="0.2">
      <c r="A73" s="40"/>
      <c r="B73" s="55" t="s">
        <v>483</v>
      </c>
      <c r="C73" s="94">
        <f>'Variante Vorgaben'!$C$187</f>
        <v>1</v>
      </c>
      <c r="D73" s="46">
        <f>'Variante Bewässerung'!$E$107</f>
        <v>10</v>
      </c>
      <c r="E73" s="947">
        <f>'Variante Vorgaben'!$C$36</f>
        <v>32.700000000000003</v>
      </c>
      <c r="F73" s="45">
        <f>C73*D73*E73</f>
        <v>327</v>
      </c>
      <c r="G73" s="132">
        <f t="shared" si="3"/>
        <v>6.9165300917739996E-3</v>
      </c>
      <c r="J73" s="35"/>
      <c r="K73" s="121"/>
    </row>
    <row r="74" spans="1:12" s="1" customFormat="1" ht="13.5" thickBot="1" x14ac:dyDescent="0.25">
      <c r="A74" s="40"/>
      <c r="B74" t="s">
        <v>609</v>
      </c>
      <c r="C74" s="94">
        <f>'Variante Vorgaben'!$C$187</f>
        <v>1</v>
      </c>
      <c r="D74" s="46">
        <f>'Variante Bewässerung'!$E$106</f>
        <v>4</v>
      </c>
      <c r="E74" s="947">
        <f>'Variante Vorgaben'!$C$36</f>
        <v>32.700000000000003</v>
      </c>
      <c r="F74" s="45">
        <f>C74*D74*E74</f>
        <v>130.80000000000001</v>
      </c>
      <c r="G74" s="132">
        <f t="shared" si="3"/>
        <v>2.7666120367096001E-3</v>
      </c>
      <c r="J74" s="35"/>
      <c r="K74" s="121"/>
    </row>
    <row r="75" spans="1:12" s="1" customFormat="1" ht="15.75" x14ac:dyDescent="0.25">
      <c r="A75" s="40"/>
      <c r="B75"/>
      <c r="C75" s="112"/>
      <c r="D75" s="13"/>
      <c r="E75" s="112"/>
      <c r="F75" s="962">
        <f>SUM(F66:F74)</f>
        <v>10281.299999999999</v>
      </c>
      <c r="G75" s="132">
        <f t="shared" si="3"/>
        <v>0.21746458970200616</v>
      </c>
      <c r="J75" s="35"/>
      <c r="K75" s="121"/>
    </row>
    <row r="76" spans="1:12" s="1" customFormat="1" x14ac:dyDescent="0.2">
      <c r="A76" s="40"/>
      <c r="B76" s="304"/>
      <c r="C76" s="19"/>
      <c r="D76" s="325"/>
      <c r="E76" s="47"/>
      <c r="F76" s="34"/>
      <c r="G76" s="132"/>
      <c r="J76" s="35"/>
      <c r="K76" s="121"/>
    </row>
    <row r="77" spans="1:12" s="1" customFormat="1" x14ac:dyDescent="0.2">
      <c r="A77" s="40" t="s">
        <v>342</v>
      </c>
      <c r="B77" s="670" t="s">
        <v>343</v>
      </c>
      <c r="C77" s="678">
        <f>'Variante Vorgaben'!G86</f>
        <v>120</v>
      </c>
      <c r="D77" s="46">
        <f>(D9+D10+('Variante Vorgaben'!D86*D12))/C77</f>
        <v>332.5</v>
      </c>
      <c r="E77" s="44">
        <f>'Variante Vorgaben'!$C$35</f>
        <v>22.754999999999999</v>
      </c>
      <c r="F77" s="45">
        <f>D77*E77</f>
        <v>7566.0374999999995</v>
      </c>
      <c r="G77" s="132">
        <f t="shared" si="3"/>
        <v>0.16003280135853371</v>
      </c>
      <c r="J77" s="35"/>
      <c r="K77" s="121"/>
    </row>
    <row r="78" spans="1:12" s="1" customFormat="1" ht="13.5" thickBot="1" x14ac:dyDescent="0.25">
      <c r="A78" s="40"/>
      <c r="B78" s="41" t="s">
        <v>95</v>
      </c>
      <c r="C78" s="43"/>
      <c r="D78" s="46">
        <f>'Variante Vorgaben'!F93+'Variante Vorgaben'!G93</f>
        <v>40</v>
      </c>
      <c r="E78" s="44">
        <f>'Variante Vorgaben'!$C$32</f>
        <v>41.4</v>
      </c>
      <c r="F78" s="420">
        <f>D78*E78</f>
        <v>1656</v>
      </c>
      <c r="G78" s="132">
        <f t="shared" si="3"/>
        <v>3.5026831290451817E-2</v>
      </c>
      <c r="J78" s="35"/>
      <c r="K78" s="121"/>
    </row>
    <row r="79" spans="1:12" s="1" customFormat="1" ht="15.75" x14ac:dyDescent="0.25">
      <c r="A79" s="670" t="s">
        <v>84</v>
      </c>
      <c r="B79" s="679">
        <f>('Variante Vorgaben'!F34*D70)+('Variante Vorgaben'!F34*D77)</f>
        <v>410.125</v>
      </c>
      <c r="C79" s="670" t="s">
        <v>82</v>
      </c>
      <c r="D79" s="774">
        <f>SUM(D66:D70,D77:D78)+ C71*D71+C72*D72+C73*D73+C74*D74</f>
        <v>741.5</v>
      </c>
      <c r="E79" s="44"/>
      <c r="F79" s="271">
        <f>SUM(F75:F78)</f>
        <v>19503.337499999998</v>
      </c>
      <c r="G79" s="469">
        <f t="shared" si="3"/>
        <v>0.41252422235099168</v>
      </c>
      <c r="J79" s="35"/>
      <c r="K79" s="121"/>
    </row>
    <row r="80" spans="1:12" s="1" customFormat="1" x14ac:dyDescent="0.2">
      <c r="A80" s="670"/>
      <c r="B80" s="679"/>
      <c r="C80" s="670"/>
      <c r="D80" s="774"/>
      <c r="E80" s="44"/>
      <c r="F80" s="81"/>
      <c r="G80" s="132"/>
      <c r="J80" s="35"/>
      <c r="K80" s="121"/>
    </row>
    <row r="81" spans="1:11" s="1" customFormat="1" x14ac:dyDescent="0.2">
      <c r="A81" s="670"/>
      <c r="B81" s="679"/>
      <c r="C81" s="670"/>
      <c r="D81" s="774"/>
      <c r="E81" s="44"/>
      <c r="F81" s="81"/>
      <c r="G81" s="132"/>
      <c r="J81" s="35"/>
      <c r="K81" s="121"/>
    </row>
    <row r="82" spans="1:11" s="1" customFormat="1" x14ac:dyDescent="0.2">
      <c r="A82" s="40" t="s">
        <v>65</v>
      </c>
      <c r="B82" s="41" t="s">
        <v>63</v>
      </c>
      <c r="C82" s="43"/>
      <c r="D82" s="43"/>
      <c r="E82" s="44"/>
      <c r="F82" s="45">
        <f>'Variante Vorgaben'!C42</f>
        <v>660</v>
      </c>
      <c r="G82" s="132">
        <f>F82/$F$88</f>
        <v>1.3959968992571375E-2</v>
      </c>
      <c r="J82" s="35"/>
      <c r="K82" s="121"/>
    </row>
    <row r="83" spans="1:11" s="1" customFormat="1" ht="13.5" thickBot="1" x14ac:dyDescent="0.25">
      <c r="A83" s="19"/>
      <c r="B83" s="19" t="s">
        <v>188</v>
      </c>
      <c r="C83" s="775">
        <f>'Variante Vorgaben'!C41</f>
        <v>0.6</v>
      </c>
      <c r="D83" s="776">
        <f>'Variante Vorgaben'!C40</f>
        <v>1.4999999999999999E-2</v>
      </c>
      <c r="E83" s="146">
        <f>C40</f>
        <v>128692.35713928891</v>
      </c>
      <c r="F83" s="420">
        <f>$D$83*E83*$C$83</f>
        <v>1158.2312142536002</v>
      </c>
      <c r="G83" s="132">
        <f>F83/$F$88</f>
        <v>2.4498290662437201E-2</v>
      </c>
      <c r="J83" s="35"/>
      <c r="K83" s="121"/>
    </row>
    <row r="84" spans="1:11" s="1" customFormat="1" ht="15.75" x14ac:dyDescent="0.25">
      <c r="A84" s="19"/>
      <c r="B84" s="19"/>
      <c r="C84" s="19"/>
      <c r="D84" s="19"/>
      <c r="E84" s="19"/>
      <c r="F84" s="271">
        <f>SUM(F82:F83)</f>
        <v>1818.2312142536002</v>
      </c>
      <c r="G84" s="469">
        <f>F84/$F$88</f>
        <v>3.8458259655008577E-2</v>
      </c>
      <c r="J84" s="35"/>
      <c r="K84" s="121"/>
    </row>
    <row r="85" spans="1:11" s="1" customFormat="1" x14ac:dyDescent="0.2">
      <c r="F85" s="131"/>
      <c r="G85" s="132"/>
      <c r="J85" s="35"/>
      <c r="K85" s="121"/>
    </row>
    <row r="86" spans="1:11" ht="20.25" x14ac:dyDescent="0.3">
      <c r="A86" s="508" t="s">
        <v>35</v>
      </c>
      <c r="B86" s="537"/>
      <c r="C86" s="538"/>
      <c r="D86" s="539"/>
      <c r="E86" s="540"/>
      <c r="F86" s="512">
        <f>F84+F79+F63+F47</f>
        <v>27264.798922586931</v>
      </c>
      <c r="G86" s="935">
        <f>F86/$F$88</f>
        <v>0.57669052658788944</v>
      </c>
    </row>
    <row r="87" spans="1:11" s="1" customFormat="1" ht="20.25" x14ac:dyDescent="0.3">
      <c r="A87" s="546"/>
      <c r="B87" s="547"/>
      <c r="C87" s="936"/>
      <c r="D87" s="937"/>
      <c r="E87" s="938"/>
      <c r="F87" s="558"/>
      <c r="G87" s="908"/>
      <c r="J87" s="35"/>
      <c r="K87" s="121"/>
    </row>
    <row r="88" spans="1:11" s="331" customFormat="1" ht="27.75" customHeight="1" x14ac:dyDescent="0.35">
      <c r="A88" s="758" t="s">
        <v>216</v>
      </c>
      <c r="B88" s="919"/>
      <c r="C88" s="920"/>
      <c r="D88" s="921"/>
      <c r="E88" s="922"/>
      <c r="F88" s="559">
        <f>F86+F46</f>
        <v>47278.041974965046</v>
      </c>
      <c r="G88" s="923">
        <f>F88/$F$88</f>
        <v>1</v>
      </c>
      <c r="H88" s="328"/>
      <c r="I88" s="328"/>
      <c r="J88" s="329"/>
      <c r="K88" s="330"/>
    </row>
    <row r="89" spans="1:11" s="331" customFormat="1" ht="13.7" customHeight="1" x14ac:dyDescent="0.35">
      <c r="A89" s="758"/>
      <c r="B89" s="919"/>
      <c r="C89" s="920"/>
      <c r="D89" s="921"/>
      <c r="E89" s="922"/>
      <c r="F89" s="559"/>
      <c r="G89" s="923"/>
      <c r="H89" s="328"/>
      <c r="I89" s="328"/>
      <c r="J89" s="329"/>
      <c r="K89" s="330"/>
    </row>
    <row r="90" spans="1:11" s="331" customFormat="1" ht="23.25" x14ac:dyDescent="0.35">
      <c r="A90" s="928" t="s">
        <v>421</v>
      </c>
      <c r="B90" s="929"/>
      <c r="C90" s="930"/>
      <c r="D90" s="931"/>
      <c r="E90" s="932"/>
      <c r="F90" s="570">
        <f>F88/D12</f>
        <v>1.1256676660705964</v>
      </c>
      <c r="G90" s="923"/>
      <c r="H90" s="328"/>
      <c r="I90" s="328"/>
      <c r="J90" s="329"/>
      <c r="K90" s="330"/>
    </row>
    <row r="91" spans="1:11" s="331" customFormat="1" ht="30" customHeight="1" x14ac:dyDescent="0.35">
      <c r="A91" s="344" t="s">
        <v>294</v>
      </c>
      <c r="B91" s="101"/>
      <c r="C91" s="316"/>
      <c r="D91" s="358" t="s">
        <v>422</v>
      </c>
      <c r="E91" s="359" t="s">
        <v>67</v>
      </c>
      <c r="F91" s="100"/>
      <c r="G91" s="842"/>
      <c r="H91" s="328"/>
      <c r="I91" s="328"/>
      <c r="J91" s="329"/>
      <c r="K91" s="330"/>
    </row>
    <row r="92" spans="1:11" s="331" customFormat="1" ht="23.25" x14ac:dyDescent="0.35">
      <c r="A92" s="352"/>
      <c r="B92" s="355"/>
      <c r="C92" s="939" t="s">
        <v>424</v>
      </c>
      <c r="D92" s="940">
        <f>F9/F12</f>
        <v>0.87402452619843929</v>
      </c>
      <c r="E92" s="941">
        <f>D92*F88</f>
        <v>41322.168236758749</v>
      </c>
      <c r="F92" s="942">
        <f>E92/D9</f>
        <v>1.4055159264203654</v>
      </c>
      <c r="G92" s="842"/>
      <c r="H92" s="328"/>
      <c r="I92" s="328"/>
      <c r="J92" s="329"/>
      <c r="K92" s="330"/>
    </row>
    <row r="93" spans="1:11" s="331" customFormat="1" ht="23.25" x14ac:dyDescent="0.35">
      <c r="A93" s="613"/>
      <c r="B93" s="355"/>
      <c r="C93" s="939" t="s">
        <v>425</v>
      </c>
      <c r="D93" s="940">
        <f>F10/F12</f>
        <v>0.10033444816053511</v>
      </c>
      <c r="E93" s="941">
        <f>D93*F88</f>
        <v>4743.6162516687336</v>
      </c>
      <c r="F93" s="942">
        <f>E93/D10</f>
        <v>0.56471622043675396</v>
      </c>
      <c r="G93" s="842"/>
      <c r="H93" s="328"/>
      <c r="I93" s="328"/>
      <c r="J93" s="329"/>
      <c r="K93" s="330"/>
    </row>
    <row r="94" spans="1:11" s="331" customFormat="1" ht="23.25" x14ac:dyDescent="0.35">
      <c r="A94" s="339"/>
      <c r="B94" s="340"/>
      <c r="C94" s="242"/>
      <c r="D94" s="351"/>
      <c r="E94" s="341"/>
      <c r="F94" s="350"/>
      <c r="G94" s="842"/>
      <c r="H94" s="328"/>
      <c r="I94" s="328"/>
      <c r="J94" s="329"/>
      <c r="K94" s="330"/>
    </row>
    <row r="95" spans="1:11" s="97" customFormat="1" ht="23.45" customHeight="1" x14ac:dyDescent="0.25">
      <c r="A95" s="928" t="s">
        <v>418</v>
      </c>
      <c r="B95" s="929"/>
      <c r="C95" s="930"/>
      <c r="D95" s="931"/>
      <c r="E95" s="932"/>
      <c r="F95" s="528">
        <f>F15-F88</f>
        <v>-8504.0419749650318</v>
      </c>
      <c r="G95" s="843"/>
      <c r="H95" s="332"/>
      <c r="I95" s="332"/>
      <c r="J95" s="333"/>
      <c r="K95" s="334"/>
    </row>
    <row r="96" spans="1:11" s="97" customFormat="1" ht="13.7" customHeight="1" x14ac:dyDescent="0.25">
      <c r="A96" s="476"/>
      <c r="B96" s="101"/>
      <c r="C96" s="316"/>
      <c r="D96" s="345"/>
      <c r="E96" s="346"/>
      <c r="F96" s="276"/>
      <c r="G96" s="843"/>
      <c r="H96" s="332"/>
      <c r="I96" s="332"/>
      <c r="J96" s="333" t="s">
        <v>417</v>
      </c>
      <c r="K96" s="334"/>
    </row>
    <row r="97" spans="1:11" s="50" customFormat="1" ht="18.75" customHeight="1" x14ac:dyDescent="0.3">
      <c r="A97" s="614" t="s">
        <v>419</v>
      </c>
      <c r="B97" s="300"/>
      <c r="C97" s="298"/>
      <c r="D97" s="347"/>
      <c r="E97" s="348"/>
      <c r="F97" s="615">
        <f>F15/F88</f>
        <v>0.82012702684539807</v>
      </c>
      <c r="G97" s="844"/>
      <c r="H97" s="64"/>
      <c r="I97" s="64"/>
      <c r="J97" s="119"/>
      <c r="K97" s="122"/>
    </row>
    <row r="98" spans="1:11" s="50" customFormat="1" ht="13.5" customHeight="1" x14ac:dyDescent="0.3">
      <c r="A98" s="150"/>
      <c r="B98" s="300"/>
      <c r="C98" s="298"/>
      <c r="D98" s="347"/>
      <c r="E98" s="348"/>
      <c r="F98" s="553"/>
      <c r="G98" s="844"/>
      <c r="H98" s="64"/>
      <c r="I98" s="64"/>
      <c r="J98" s="119"/>
      <c r="K98" s="122"/>
    </row>
    <row r="99" spans="1:11" s="50" customFormat="1" ht="21.6" customHeight="1" x14ac:dyDescent="0.3">
      <c r="A99" s="616" t="s">
        <v>208</v>
      </c>
      <c r="B99" s="616"/>
      <c r="C99" s="101" t="s">
        <v>209</v>
      </c>
      <c r="D99" s="617"/>
      <c r="E99" s="617"/>
      <c r="F99" s="617">
        <f>F12-F46</f>
        <v>17660.7569476219</v>
      </c>
      <c r="G99" s="844"/>
      <c r="H99" s="64"/>
      <c r="I99" s="64"/>
      <c r="J99" s="119"/>
      <c r="K99" s="122"/>
    </row>
    <row r="100" spans="1:11" s="50" customFormat="1" ht="21.6" customHeight="1" x14ac:dyDescent="0.3">
      <c r="A100" s="616"/>
      <c r="B100" s="616"/>
      <c r="C100" s="111" t="s">
        <v>78</v>
      </c>
      <c r="D100" s="617"/>
      <c r="E100" s="617"/>
      <c r="F100" s="554">
        <f>F15-F46</f>
        <v>18760.7569476219</v>
      </c>
      <c r="G100" s="844"/>
      <c r="H100" s="64"/>
      <c r="I100" s="64"/>
      <c r="J100" s="119"/>
      <c r="K100" s="122"/>
    </row>
    <row r="101" spans="1:11" s="50" customFormat="1" ht="13.5" customHeight="1" x14ac:dyDescent="0.3">
      <c r="A101" s="150"/>
      <c r="B101" s="300"/>
      <c r="C101" s="298"/>
      <c r="D101" s="347"/>
      <c r="E101" s="348"/>
      <c r="F101" s="553"/>
      <c r="G101" s="844"/>
      <c r="H101" s="64"/>
      <c r="I101" s="64"/>
      <c r="J101" s="119"/>
      <c r="K101" s="122"/>
    </row>
    <row r="102" spans="1:11" s="50" customFormat="1" ht="25.35" customHeight="1" x14ac:dyDescent="0.3">
      <c r="A102" s="299" t="s">
        <v>420</v>
      </c>
      <c r="B102" s="300"/>
      <c r="C102" s="298"/>
      <c r="D102" s="347"/>
      <c r="E102" s="348"/>
      <c r="F102" s="618">
        <f>F95+F40</f>
        <v>2220.3211199757116</v>
      </c>
      <c r="G102" s="844"/>
      <c r="H102" s="64"/>
      <c r="I102" s="64"/>
      <c r="J102" s="119"/>
      <c r="K102" s="122"/>
    </row>
    <row r="103" spans="1:11" s="50" customFormat="1" ht="18.75" customHeight="1" x14ac:dyDescent="0.3">
      <c r="A103" s="342"/>
      <c r="B103" s="303"/>
      <c r="C103" s="301"/>
      <c r="D103" s="326"/>
      <c r="E103" s="327"/>
      <c r="F103" s="343"/>
      <c r="G103" s="844"/>
      <c r="H103" s="64"/>
      <c r="I103" s="64"/>
      <c r="J103" s="119"/>
      <c r="K103" s="122"/>
    </row>
    <row r="104" spans="1:11" s="1" customFormat="1" ht="16.5" customHeight="1" x14ac:dyDescent="0.25">
      <c r="A104" s="150" t="s">
        <v>66</v>
      </c>
      <c r="B104" s="142"/>
      <c r="C104" s="202"/>
      <c r="D104" s="349"/>
      <c r="E104" s="200"/>
      <c r="F104" s="276">
        <f>F88-F79</f>
        <v>27774.704474965049</v>
      </c>
      <c r="G104" s="132"/>
      <c r="H104" s="65"/>
      <c r="J104" s="35"/>
      <c r="K104" s="121"/>
    </row>
    <row r="105" spans="1:11" s="1" customFormat="1" ht="16.5" customHeight="1" x14ac:dyDescent="0.25">
      <c r="A105" s="314" t="s">
        <v>183</v>
      </c>
      <c r="B105" s="142"/>
      <c r="C105" s="202"/>
      <c r="D105" s="349"/>
      <c r="E105" s="200"/>
      <c r="F105" s="276">
        <f>F79</f>
        <v>19503.337499999998</v>
      </c>
      <c r="G105" s="1333"/>
      <c r="H105" s="65"/>
      <c r="I105" s="8"/>
      <c r="J105" s="35"/>
      <c r="K105" s="121"/>
    </row>
    <row r="106" spans="1:11" ht="18" x14ac:dyDescent="0.25">
      <c r="A106" s="314" t="s">
        <v>213</v>
      </c>
      <c r="B106" s="85"/>
      <c r="C106" s="85"/>
      <c r="D106" s="85"/>
      <c r="E106" s="85"/>
      <c r="F106" s="276">
        <f>F15-F104</f>
        <v>10999.295525034966</v>
      </c>
      <c r="G106" s="19"/>
      <c r="H106" s="63"/>
    </row>
    <row r="107" spans="1:11" ht="20.25" x14ac:dyDescent="0.3">
      <c r="A107" s="656" t="s">
        <v>217</v>
      </c>
      <c r="B107" s="934"/>
      <c r="C107" s="934"/>
      <c r="D107" s="497"/>
      <c r="E107" s="497"/>
      <c r="F107" s="556">
        <f>F106/D79</f>
        <v>14.833844268422071</v>
      </c>
      <c r="G107" s="19"/>
    </row>
    <row r="108" spans="1:11" s="1" customFormat="1" ht="20.25" x14ac:dyDescent="0.3">
      <c r="A108" s="656"/>
      <c r="B108" s="934"/>
      <c r="C108" s="934"/>
      <c r="D108" s="497"/>
      <c r="E108" s="497"/>
      <c r="F108" s="556"/>
      <c r="G108" s="19"/>
      <c r="J108" s="35"/>
      <c r="K108" s="121"/>
    </row>
    <row r="109" spans="1:11" s="292" customFormat="1" ht="20.25" x14ac:dyDescent="0.3">
      <c r="A109" s="656" t="s">
        <v>83</v>
      </c>
      <c r="B109" s="656"/>
      <c r="C109" s="656"/>
      <c r="D109" s="555"/>
      <c r="E109" s="555"/>
      <c r="F109" s="557">
        <f>(F106-(B79*'Variante Vorgaben'!C34))/(D79-B79)</f>
        <v>7.202325235865608</v>
      </c>
      <c r="G109" s="300"/>
      <c r="J109" s="335"/>
      <c r="K109" s="336"/>
    </row>
    <row r="110" spans="1:11" s="303" customFormat="1" ht="20.25" x14ac:dyDescent="0.3">
      <c r="A110" s="258"/>
      <c r="B110" s="258"/>
      <c r="C110" s="258"/>
      <c r="D110" s="258"/>
      <c r="E110" s="258"/>
      <c r="F110" s="337"/>
      <c r="G110" s="300"/>
      <c r="J110" s="301"/>
      <c r="K110" s="338"/>
    </row>
    <row r="111" spans="1:11" ht="22.7" customHeight="1" x14ac:dyDescent="0.25">
      <c r="A111" s="353" t="s">
        <v>112</v>
      </c>
      <c r="B111" s="1445" t="s">
        <v>423</v>
      </c>
      <c r="C111" s="1445"/>
      <c r="D111" s="1445"/>
      <c r="E111" s="1445"/>
      <c r="F111" s="571">
        <f>K62+F79+F30+F31+F38+F29+F20+F75</f>
        <v>38674.728124999994</v>
      </c>
      <c r="G111" s="45">
        <f>F15</f>
        <v>38774.000000000015</v>
      </c>
    </row>
    <row r="112" spans="1:11" s="1" customFormat="1" ht="15" customHeight="1" x14ac:dyDescent="0.25">
      <c r="A112" s="353"/>
      <c r="B112" s="354"/>
      <c r="C112" s="354"/>
      <c r="D112" s="354"/>
      <c r="E112" s="354"/>
      <c r="F112" s="571"/>
      <c r="G112" s="45"/>
      <c r="J112" s="35"/>
      <c r="K112" s="121"/>
    </row>
    <row r="113" spans="1:11" ht="15.75" x14ac:dyDescent="0.25">
      <c r="A113" s="150" t="s">
        <v>131</v>
      </c>
      <c r="B113" s="111" t="s">
        <v>214</v>
      </c>
      <c r="C113" s="142"/>
      <c r="D113" s="142"/>
      <c r="E113" s="142"/>
      <c r="F113" s="572">
        <f>F15/D79</f>
        <v>52.291301416048569</v>
      </c>
      <c r="G113" s="19"/>
    </row>
    <row r="114" spans="1:11" x14ac:dyDescent="0.2">
      <c r="A114" s="85"/>
      <c r="B114" s="142" t="s">
        <v>173</v>
      </c>
      <c r="C114" s="142"/>
      <c r="D114" s="142"/>
      <c r="E114" s="142"/>
      <c r="F114" s="356">
        <f>(D9+D10)/D79</f>
        <v>50.977747808496289</v>
      </c>
      <c r="G114" s="19"/>
    </row>
    <row r="115" spans="1:11" x14ac:dyDescent="0.2">
      <c r="A115" s="85"/>
      <c r="B115" s="142"/>
      <c r="C115" s="142"/>
      <c r="D115" s="142"/>
      <c r="E115" s="142"/>
      <c r="F115" s="356"/>
      <c r="G115" s="19"/>
    </row>
    <row r="116" spans="1:11" s="1" customFormat="1" ht="20.25" x14ac:dyDescent="0.3">
      <c r="A116" s="299" t="s">
        <v>132</v>
      </c>
      <c r="B116" s="111" t="s">
        <v>207</v>
      </c>
      <c r="C116" s="111"/>
      <c r="D116" s="111"/>
      <c r="E116" s="111"/>
      <c r="F116" s="573">
        <f>(F95+F83)/E83</f>
        <v>-5.7080396412047728E-2</v>
      </c>
      <c r="G116" s="19"/>
      <c r="J116" s="35"/>
      <c r="K116" s="8"/>
    </row>
    <row r="117" spans="1:11" x14ac:dyDescent="0.2">
      <c r="F117" s="357"/>
      <c r="G117" s="19"/>
    </row>
    <row r="118" spans="1:11" x14ac:dyDescent="0.2">
      <c r="F118" s="37"/>
      <c r="G118" s="19"/>
    </row>
    <row r="119" spans="1:11" x14ac:dyDescent="0.2">
      <c r="F119" s="37"/>
      <c r="G119" s="19"/>
    </row>
    <row r="120" spans="1:11" ht="20.25" x14ac:dyDescent="0.3">
      <c r="A120" s="546" t="s">
        <v>187</v>
      </c>
      <c r="B120" s="547"/>
      <c r="C120" s="547"/>
      <c r="D120" s="547"/>
      <c r="E120" s="547"/>
      <c r="F120" s="550"/>
      <c r="G120" s="19"/>
    </row>
    <row r="121" spans="1:11" x14ac:dyDescent="0.2">
      <c r="F121" s="37"/>
      <c r="G121" s="19"/>
    </row>
    <row r="122" spans="1:11" s="168" customFormat="1" ht="21.75" customHeight="1" x14ac:dyDescent="0.2">
      <c r="A122" s="785" t="s">
        <v>181</v>
      </c>
      <c r="B122" s="780" t="s">
        <v>202</v>
      </c>
      <c r="C122" s="780" t="s">
        <v>185</v>
      </c>
      <c r="G122" s="845"/>
      <c r="J122" s="169"/>
      <c r="K122" s="170"/>
    </row>
    <row r="123" spans="1:11" s="1" customFormat="1" x14ac:dyDescent="0.2">
      <c r="A123" s="19" t="s">
        <v>183</v>
      </c>
      <c r="B123" s="45">
        <f>F79</f>
        <v>19503.337499999998</v>
      </c>
      <c r="C123" s="786">
        <f>B123/$B$126</f>
        <v>0.41252422235099168</v>
      </c>
      <c r="D123" s="6"/>
      <c r="E123" s="6"/>
      <c r="F123" s="6"/>
      <c r="G123" s="19"/>
      <c r="J123" s="35"/>
      <c r="K123" s="121"/>
    </row>
    <row r="124" spans="1:11" s="1" customFormat="1" x14ac:dyDescent="0.2">
      <c r="A124" s="19" t="s">
        <v>278</v>
      </c>
      <c r="B124" s="45">
        <f>F84</f>
        <v>1818.2312142536002</v>
      </c>
      <c r="C124" s="786">
        <f>B124/$B$126</f>
        <v>3.8458259655008577E-2</v>
      </c>
      <c r="D124" s="6"/>
      <c r="E124" s="6"/>
      <c r="F124" s="6"/>
      <c r="G124" s="19"/>
      <c r="J124" s="35"/>
      <c r="K124" s="121"/>
    </row>
    <row r="125" spans="1:11" s="1" customFormat="1" ht="13.5" thickBot="1" x14ac:dyDescent="0.25">
      <c r="A125" s="19" t="s">
        <v>182</v>
      </c>
      <c r="B125" s="420">
        <f>F88-B123-B124</f>
        <v>25956.473260711449</v>
      </c>
      <c r="C125" s="786">
        <f>B125/$B$126</f>
        <v>0.54901751799399978</v>
      </c>
      <c r="D125" s="6"/>
      <c r="E125" s="6"/>
      <c r="F125" s="6"/>
      <c r="G125" s="19"/>
      <c r="J125" s="35"/>
      <c r="K125" s="121"/>
    </row>
    <row r="126" spans="1:11" s="1" customFormat="1" x14ac:dyDescent="0.2">
      <c r="A126" s="85" t="str">
        <f>A88</f>
        <v>Produktionskosten pro ha</v>
      </c>
      <c r="B126" s="45">
        <f>F88</f>
        <v>47278.041974965046</v>
      </c>
      <c r="C126" s="786">
        <f>B126/$B$126</f>
        <v>1</v>
      </c>
      <c r="D126" s="94"/>
      <c r="E126" s="6"/>
      <c r="F126" s="6"/>
      <c r="G126" s="19"/>
      <c r="J126" s="35"/>
      <c r="K126" s="121"/>
    </row>
    <row r="127" spans="1:11" s="1" customFormat="1" x14ac:dyDescent="0.2">
      <c r="A127" s="19"/>
      <c r="B127" s="19"/>
      <c r="C127" s="19"/>
      <c r="F127" s="8"/>
      <c r="G127" s="19"/>
      <c r="J127" s="35"/>
      <c r="K127" s="121"/>
    </row>
    <row r="128" spans="1:11" s="168" customFormat="1" ht="30.75" customHeight="1" x14ac:dyDescent="0.2">
      <c r="A128" s="787" t="s">
        <v>274</v>
      </c>
      <c r="B128" s="780" t="s">
        <v>202</v>
      </c>
      <c r="C128" s="788" t="s">
        <v>301</v>
      </c>
      <c r="D128" s="171"/>
      <c r="G128" s="845"/>
      <c r="J128" s="169"/>
      <c r="K128" s="170"/>
    </row>
    <row r="129" spans="1:11" s="1" customFormat="1" x14ac:dyDescent="0.2">
      <c r="A129" s="142" t="str">
        <f>B82</f>
        <v>für Boden</v>
      </c>
      <c r="B129" s="45">
        <f>F82</f>
        <v>660</v>
      </c>
      <c r="C129" s="469">
        <f>B129/$B$131</f>
        <v>0.36299013834218863</v>
      </c>
      <c r="G129" s="19"/>
      <c r="J129" s="35"/>
      <c r="K129" s="121"/>
    </row>
    <row r="130" spans="1:11" s="1" customFormat="1" ht="13.5" thickBot="1" x14ac:dyDescent="0.25">
      <c r="A130" s="142" t="str">
        <f>B83</f>
        <v xml:space="preserve">für Investition Obstanlage </v>
      </c>
      <c r="B130" s="420">
        <f>F83</f>
        <v>1158.2312142536002</v>
      </c>
      <c r="C130" s="469">
        <f>B130/$B$131</f>
        <v>0.63700986165781137</v>
      </c>
      <c r="G130" s="19"/>
      <c r="J130" s="35"/>
      <c r="K130" s="121"/>
    </row>
    <row r="131" spans="1:11" s="1" customFormat="1" x14ac:dyDescent="0.2">
      <c r="A131" s="789" t="s">
        <v>184</v>
      </c>
      <c r="B131" s="45">
        <f>SUM(B129:B130)</f>
        <v>1818.2312142536002</v>
      </c>
      <c r="C131" s="469">
        <f>B131/$B$131</f>
        <v>1</v>
      </c>
      <c r="G131" s="19"/>
      <c r="J131" s="35"/>
      <c r="K131" s="121"/>
    </row>
    <row r="132" spans="1:11" ht="13.7" customHeight="1" x14ac:dyDescent="0.2">
      <c r="A132" s="13"/>
      <c r="B132" s="13"/>
      <c r="C132" s="13"/>
      <c r="F132" s="37"/>
      <c r="G132" s="19"/>
    </row>
    <row r="133" spans="1:11" s="168" customFormat="1" ht="24.6" customHeight="1" x14ac:dyDescent="0.2">
      <c r="A133" s="790" t="s">
        <v>426</v>
      </c>
      <c r="B133" s="780" t="s">
        <v>202</v>
      </c>
      <c r="C133" s="788" t="s">
        <v>301</v>
      </c>
      <c r="D133" s="171"/>
      <c r="G133" s="845"/>
      <c r="J133" s="169"/>
      <c r="K133" s="170"/>
    </row>
    <row r="134" spans="1:11" s="1" customFormat="1" x14ac:dyDescent="0.2">
      <c r="A134" s="142" t="str">
        <f>B66</f>
        <v>Düngung</v>
      </c>
      <c r="B134" s="45">
        <f>F66</f>
        <v>98.100000000000009</v>
      </c>
      <c r="C134" s="469">
        <f t="shared" ref="C134:C143" si="4">B134/$B$143</f>
        <v>5.1508128872708378E-3</v>
      </c>
      <c r="G134" s="19"/>
      <c r="J134" s="35"/>
      <c r="K134" s="121"/>
    </row>
    <row r="135" spans="1:11" s="1" customFormat="1" x14ac:dyDescent="0.2">
      <c r="A135" s="142" t="str">
        <f>B67</f>
        <v>Pflanzenschutz inkl. Kontrolle und Mausen</v>
      </c>
      <c r="B135" s="45">
        <f>F67</f>
        <v>1569.6000000000001</v>
      </c>
      <c r="C135" s="469">
        <f t="shared" si="4"/>
        <v>8.2413006196333405E-2</v>
      </c>
      <c r="G135" s="19"/>
      <c r="J135" s="35"/>
      <c r="K135" s="121"/>
    </row>
    <row r="136" spans="1:11" s="1" customFormat="1" x14ac:dyDescent="0.2">
      <c r="A136" s="142" t="str">
        <f>B68</f>
        <v>Baumerziehung 
(Sommer+Winter)</v>
      </c>
      <c r="B136" s="45">
        <f>F68</f>
        <v>3924.0000000000005</v>
      </c>
      <c r="C136" s="469">
        <f t="shared" si="4"/>
        <v>0.20603251549083351</v>
      </c>
      <c r="G136" s="19"/>
      <c r="J136" s="35"/>
      <c r="K136" s="121"/>
    </row>
    <row r="137" spans="1:11" s="1" customFormat="1" x14ac:dyDescent="0.2">
      <c r="A137" s="142" t="str">
        <f>B69</f>
        <v>Mulchen und Schnittholz hacken</v>
      </c>
      <c r="B137" s="45">
        <f>F69</f>
        <v>294.3</v>
      </c>
      <c r="C137" s="469">
        <f t="shared" si="4"/>
        <v>1.5452438661812513E-2</v>
      </c>
      <c r="G137" s="19"/>
      <c r="J137" s="35"/>
      <c r="K137" s="121"/>
    </row>
    <row r="138" spans="1:11" s="1" customFormat="1" x14ac:dyDescent="0.2">
      <c r="A138" s="142" t="str">
        <f>B70</f>
        <v>Behangsregulierung (von Hand)</v>
      </c>
      <c r="B138" s="45">
        <f>F70</f>
        <v>3375</v>
      </c>
      <c r="C138" s="469">
        <f t="shared" si="4"/>
        <v>0.17720686538775818</v>
      </c>
      <c r="G138" s="19"/>
      <c r="J138" s="35"/>
      <c r="K138" s="121"/>
    </row>
    <row r="139" spans="1:11" s="1" customFormat="1" x14ac:dyDescent="0.2">
      <c r="A139" s="41" t="s">
        <v>610</v>
      </c>
      <c r="B139" s="45">
        <f>F77</f>
        <v>7566.0374999999995</v>
      </c>
      <c r="C139" s="469">
        <f t="shared" si="4"/>
        <v>0.39726038186110524</v>
      </c>
      <c r="G139" s="19"/>
      <c r="J139" s="35"/>
      <c r="K139" s="121"/>
    </row>
    <row r="140" spans="1:11" s="1" customFormat="1" x14ac:dyDescent="0.2">
      <c r="A140" s="142" t="s">
        <v>409</v>
      </c>
      <c r="B140" s="45">
        <f>F71</f>
        <v>337.5</v>
      </c>
      <c r="C140" s="469">
        <f t="shared" si="4"/>
        <v>1.7720686538775818E-2</v>
      </c>
      <c r="G140" s="19"/>
      <c r="J140" s="35"/>
      <c r="K140" s="121"/>
    </row>
    <row r="141" spans="1:11" s="1" customFormat="1" x14ac:dyDescent="0.2">
      <c r="A141" s="142" t="s">
        <v>427</v>
      </c>
      <c r="B141" s="45">
        <f>F72</f>
        <v>225</v>
      </c>
      <c r="C141" s="469">
        <f t="shared" si="4"/>
        <v>1.1813791025850544E-2</v>
      </c>
      <c r="G141" s="19"/>
      <c r="J141" s="35"/>
      <c r="K141" s="121"/>
    </row>
    <row r="142" spans="1:11" s="1" customFormat="1" ht="13.5" thickBot="1" x14ac:dyDescent="0.25">
      <c r="A142" s="142" t="str">
        <f>B78</f>
        <v>Verwaltung + übrige Arbeiten</v>
      </c>
      <c r="B142" s="420">
        <f>F78</f>
        <v>1656</v>
      </c>
      <c r="C142" s="469">
        <f t="shared" si="4"/>
        <v>8.6949501950260008E-2</v>
      </c>
      <c r="G142" s="19"/>
      <c r="J142" s="35"/>
      <c r="K142" s="121"/>
    </row>
    <row r="143" spans="1:11" s="1" customFormat="1" x14ac:dyDescent="0.2">
      <c r="A143" s="789" t="str">
        <f>A123</f>
        <v>Arbeitskosten</v>
      </c>
      <c r="B143" s="45">
        <f>SUM(B134:B142)</f>
        <v>19045.537499999999</v>
      </c>
      <c r="C143" s="469">
        <f t="shared" si="4"/>
        <v>1</v>
      </c>
      <c r="G143" s="19"/>
      <c r="J143" s="35"/>
      <c r="K143" s="121"/>
    </row>
    <row r="144" spans="1:11" x14ac:dyDescent="0.2">
      <c r="A144" s="13"/>
      <c r="B144" s="13"/>
      <c r="C144" s="13"/>
      <c r="G144" s="19"/>
    </row>
    <row r="145" spans="1:11" x14ac:dyDescent="0.2">
      <c r="A145" s="13"/>
      <c r="B145" s="13"/>
      <c r="C145" s="13"/>
      <c r="F145" s="37"/>
      <c r="G145" s="19"/>
    </row>
    <row r="146" spans="1:11" s="168" customFormat="1" ht="18" customHeight="1" x14ac:dyDescent="0.2">
      <c r="A146" s="616" t="s">
        <v>190</v>
      </c>
      <c r="B146" s="780" t="s">
        <v>202</v>
      </c>
      <c r="C146" s="780" t="s">
        <v>291</v>
      </c>
      <c r="D146" s="171"/>
      <c r="E146" s="171"/>
      <c r="F146" s="148"/>
      <c r="G146" s="845"/>
      <c r="J146" s="169"/>
      <c r="K146" s="170"/>
    </row>
    <row r="147" spans="1:11" s="1" customFormat="1" x14ac:dyDescent="0.2">
      <c r="A147" s="142" t="str">
        <f>A32</f>
        <v xml:space="preserve">Abzüge   </v>
      </c>
      <c r="B147" s="45">
        <f>F38</f>
        <v>367</v>
      </c>
      <c r="C147" s="405">
        <f>B147/$B$151</f>
        <v>1.4139054882910576E-2</v>
      </c>
      <c r="D147" s="172"/>
      <c r="E147" s="34"/>
      <c r="F147" s="173"/>
      <c r="G147" s="19"/>
      <c r="J147" s="35"/>
      <c r="K147" s="121"/>
    </row>
    <row r="148" spans="1:11" s="1" customFormat="1" ht="15.75" customHeight="1" x14ac:dyDescent="0.2">
      <c r="A148" s="763" t="str">
        <f>A40</f>
        <v xml:space="preserve">Abschreibung Obstanlage </v>
      </c>
      <c r="B148" s="551">
        <f>F40</f>
        <v>10724.363094940743</v>
      </c>
      <c r="C148" s="405">
        <f>B148/$B$151</f>
        <v>0.41316718905620675</v>
      </c>
      <c r="G148" s="19"/>
      <c r="J148" s="35"/>
      <c r="K148" s="121"/>
    </row>
    <row r="149" spans="1:11" s="1" customFormat="1" x14ac:dyDescent="0.2">
      <c r="A149" s="142" t="str">
        <f>A50</f>
        <v>Maschinen und Geräte</v>
      </c>
      <c r="B149" s="45">
        <f>F63</f>
        <v>5793.2302083333334</v>
      </c>
      <c r="C149" s="405">
        <f>B149/$B$151</f>
        <v>0.22319019036773968</v>
      </c>
      <c r="G149" s="19"/>
      <c r="J149" s="35"/>
      <c r="K149" s="121"/>
    </row>
    <row r="150" spans="1:11" s="1" customFormat="1" ht="13.5" thickBot="1" x14ac:dyDescent="0.25">
      <c r="A150" s="142" t="s">
        <v>437</v>
      </c>
      <c r="B150" s="420">
        <f>B151-B147-B148-B149</f>
        <v>9071.8799574373734</v>
      </c>
      <c r="C150" s="405">
        <f>B150/$B$151</f>
        <v>0.349503565693143</v>
      </c>
      <c r="G150" s="19"/>
      <c r="J150" s="35"/>
      <c r="K150" s="121"/>
    </row>
    <row r="151" spans="1:11" s="1" customFormat="1" x14ac:dyDescent="0.2">
      <c r="A151" s="19" t="str">
        <f>A125</f>
        <v>Sachkosten</v>
      </c>
      <c r="B151" s="45">
        <f>B125</f>
        <v>25956.473260711449</v>
      </c>
      <c r="C151" s="405">
        <f>B151/$B$151</f>
        <v>1</v>
      </c>
      <c r="G151" s="19"/>
      <c r="J151" s="35"/>
      <c r="K151" s="121"/>
    </row>
    <row r="152" spans="1:11" x14ac:dyDescent="0.2">
      <c r="A152" s="13"/>
      <c r="B152" s="13"/>
      <c r="C152" s="13"/>
      <c r="G152" s="19"/>
    </row>
    <row r="153" spans="1:11" x14ac:dyDescent="0.2">
      <c r="A153" s="13"/>
      <c r="B153" s="13"/>
      <c r="C153" s="13"/>
      <c r="G153" s="19"/>
    </row>
    <row r="154" spans="1:11" s="168" customFormat="1" ht="46.5" customHeight="1" x14ac:dyDescent="0.2">
      <c r="A154" s="787" t="s">
        <v>186</v>
      </c>
      <c r="B154" s="780" t="s">
        <v>202</v>
      </c>
      <c r="C154" s="780" t="s">
        <v>185</v>
      </c>
      <c r="G154" s="845"/>
      <c r="J154" s="169"/>
      <c r="K154" s="170"/>
    </row>
    <row r="155" spans="1:11" s="1" customFormat="1" x14ac:dyDescent="0.2">
      <c r="A155" s="19" t="str">
        <f>A46</f>
        <v>Total Direktkosten</v>
      </c>
      <c r="B155" s="45">
        <f>F46</f>
        <v>20013.243052378115</v>
      </c>
      <c r="C155" s="786">
        <f>G46</f>
        <v>0.42330947341211062</v>
      </c>
      <c r="G155" s="19"/>
      <c r="J155" s="35"/>
      <c r="K155" s="121"/>
    </row>
    <row r="156" spans="1:11" s="1" customFormat="1" ht="13.5" thickBot="1" x14ac:dyDescent="0.25">
      <c r="A156" s="19" t="str">
        <f>A86</f>
        <v>Total Strukturkosten</v>
      </c>
      <c r="B156" s="420">
        <f>F86</f>
        <v>27264.798922586931</v>
      </c>
      <c r="C156" s="786">
        <f>G86</f>
        <v>0.57669052658788944</v>
      </c>
      <c r="G156" s="19"/>
      <c r="J156" s="35"/>
      <c r="K156" s="121"/>
    </row>
    <row r="157" spans="1:11" s="1" customFormat="1" x14ac:dyDescent="0.2">
      <c r="A157" s="19" t="str">
        <f>A88</f>
        <v>Produktionskosten pro ha</v>
      </c>
      <c r="B157" s="45">
        <f>SUM(B155:B156)</f>
        <v>47278.041974965046</v>
      </c>
      <c r="C157" s="786">
        <f>SUM(C155:C156)</f>
        <v>1</v>
      </c>
      <c r="G157" s="19"/>
      <c r="J157" s="35"/>
      <c r="K157" s="121"/>
    </row>
    <row r="158" spans="1:11" x14ac:dyDescent="0.2">
      <c r="A158" s="13"/>
      <c r="B158" s="13"/>
      <c r="C158" s="13"/>
      <c r="G158" s="19"/>
    </row>
    <row r="159" spans="1:11" x14ac:dyDescent="0.2">
      <c r="G159" s="19"/>
    </row>
    <row r="160" spans="1:11" ht="20.25" x14ac:dyDescent="0.3">
      <c r="A160" s="546" t="s">
        <v>429</v>
      </c>
      <c r="B160" s="546"/>
      <c r="C160" s="546"/>
      <c r="D160" s="546"/>
      <c r="E160" s="546"/>
      <c r="F160" s="552"/>
      <c r="G160" s="19"/>
    </row>
    <row r="161" spans="1:11" s="1" customFormat="1" ht="11.1" customHeight="1" x14ac:dyDescent="0.3">
      <c r="A161" s="302"/>
      <c r="B161" s="302"/>
      <c r="C161" s="302"/>
      <c r="D161" s="302"/>
      <c r="E161" s="302"/>
      <c r="F161" s="362"/>
      <c r="G161" s="19"/>
      <c r="J161" s="35"/>
      <c r="K161" s="121"/>
    </row>
    <row r="162" spans="1:11" x14ac:dyDescent="0.2">
      <c r="A162" s="13"/>
      <c r="B162" s="780" t="s">
        <v>202</v>
      </c>
      <c r="C162" s="780" t="s">
        <v>185</v>
      </c>
    </row>
    <row r="163" spans="1:11" x14ac:dyDescent="0.2">
      <c r="A163" s="70" t="s">
        <v>275</v>
      </c>
      <c r="B163" s="13"/>
      <c r="C163" s="13"/>
    </row>
    <row r="164" spans="1:11" x14ac:dyDescent="0.2">
      <c r="A164" s="107" t="s">
        <v>102</v>
      </c>
      <c r="B164" s="83">
        <f>F29-F28</f>
        <v>5582</v>
      </c>
      <c r="C164" s="286">
        <f>B164/$F$88</f>
        <v>0.11806749532808093</v>
      </c>
    </row>
    <row r="165" spans="1:11" x14ac:dyDescent="0.2">
      <c r="A165" s="13"/>
      <c r="B165" s="45"/>
      <c r="C165" s="286"/>
    </row>
    <row r="166" spans="1:11" x14ac:dyDescent="0.2">
      <c r="A166" s="70" t="s">
        <v>23</v>
      </c>
      <c r="B166" s="43"/>
      <c r="C166" s="286"/>
    </row>
    <row r="167" spans="1:11" x14ac:dyDescent="0.2">
      <c r="A167" s="19" t="str">
        <f>B50</f>
        <v>Anbaugebläsepritze 1000 l mit Bordcomputer</v>
      </c>
      <c r="B167" s="45">
        <f>F50</f>
        <v>814</v>
      </c>
      <c r="C167" s="286">
        <f>B167/$F$88</f>
        <v>1.7217295090838029E-2</v>
      </c>
    </row>
    <row r="168" spans="1:11" x14ac:dyDescent="0.2">
      <c r="A168" s="19" t="str">
        <f>B51</f>
        <v>Herbizidspritze beideseitig + Herbizidfass</v>
      </c>
      <c r="B168" s="45">
        <f>F51</f>
        <v>414</v>
      </c>
      <c r="C168" s="286">
        <f>B168/$F$88</f>
        <v>8.7567078226129542E-3</v>
      </c>
    </row>
    <row r="169" spans="1:11" ht="13.5" thickBot="1" x14ac:dyDescent="0.25">
      <c r="A169" s="19" t="s">
        <v>24</v>
      </c>
      <c r="B169" s="784">
        <f>((C50*D50)+(C51*D51))*E59</f>
        <v>1148</v>
      </c>
      <c r="C169" s="286">
        <f>B169/$F$88</f>
        <v>2.4281885459805967E-2</v>
      </c>
    </row>
    <row r="170" spans="1:11" x14ac:dyDescent="0.2">
      <c r="A170" s="19"/>
      <c r="B170" s="83">
        <f>SUM(B167:B169)</f>
        <v>2376</v>
      </c>
      <c r="C170" s="286">
        <f>B170/$F$88</f>
        <v>5.0255888373256952E-2</v>
      </c>
    </row>
    <row r="171" spans="1:11" x14ac:dyDescent="0.2">
      <c r="A171" s="19"/>
      <c r="B171" s="43"/>
      <c r="C171" s="286"/>
    </row>
    <row r="172" spans="1:11" x14ac:dyDescent="0.2">
      <c r="A172" s="85" t="s">
        <v>28</v>
      </c>
      <c r="B172" s="43"/>
      <c r="C172" s="286"/>
    </row>
    <row r="173" spans="1:11" ht="13.5" thickBot="1" x14ac:dyDescent="0.25">
      <c r="A173" s="19" t="str">
        <f>B67</f>
        <v>Pflanzenschutz inkl. Kontrolle und Mausen</v>
      </c>
      <c r="B173" s="544">
        <f>F67</f>
        <v>1569.6000000000001</v>
      </c>
      <c r="C173" s="286">
        <f>B173/$F$88</f>
        <v>3.3199344440515199E-2</v>
      </c>
    </row>
    <row r="174" spans="1:11" x14ac:dyDescent="0.2">
      <c r="A174" s="19"/>
      <c r="B174" s="19"/>
      <c r="C174" s="13"/>
    </row>
    <row r="175" spans="1:11" x14ac:dyDescent="0.2">
      <c r="A175" s="85" t="s">
        <v>282</v>
      </c>
      <c r="B175" s="83">
        <f>B164+B170+B173</f>
        <v>9527.6</v>
      </c>
      <c r="C175" s="781">
        <f>B175/$F$88</f>
        <v>0.2015227281418531</v>
      </c>
    </row>
    <row r="176" spans="1:11" x14ac:dyDescent="0.2">
      <c r="A176" s="13" t="s">
        <v>277</v>
      </c>
      <c r="B176" s="45">
        <f>F88-B182</f>
        <v>37750.441974965048</v>
      </c>
      <c r="C176" s="286">
        <f>B176/$F$88</f>
        <v>0.79847727185814699</v>
      </c>
    </row>
    <row r="177" spans="1:11" x14ac:dyDescent="0.2">
      <c r="A177" s="13"/>
      <c r="B177" s="19"/>
      <c r="C177" s="13"/>
    </row>
    <row r="178" spans="1:11" ht="25.5" x14ac:dyDescent="0.25">
      <c r="A178" s="293" t="s">
        <v>276</v>
      </c>
      <c r="B178" s="780" t="s">
        <v>202</v>
      </c>
      <c r="C178" s="782" t="s">
        <v>430</v>
      </c>
    </row>
    <row r="179" spans="1:11" x14ac:dyDescent="0.2">
      <c r="A179" s="13" t="s">
        <v>275</v>
      </c>
      <c r="B179" s="45">
        <f>B164</f>
        <v>5582</v>
      </c>
      <c r="C179" s="286">
        <f>B179/$B$182</f>
        <v>0.58587682102523198</v>
      </c>
    </row>
    <row r="180" spans="1:11" x14ac:dyDescent="0.2">
      <c r="A180" s="13" t="s">
        <v>23</v>
      </c>
      <c r="B180" s="45">
        <f>B170</f>
        <v>2376</v>
      </c>
      <c r="C180" s="286">
        <f>B180/$B$182</f>
        <v>0.24938074646290775</v>
      </c>
    </row>
    <row r="181" spans="1:11" ht="13.5" thickBot="1" x14ac:dyDescent="0.25">
      <c r="A181" s="13" t="s">
        <v>28</v>
      </c>
      <c r="B181" s="420">
        <f>B173</f>
        <v>1569.6000000000001</v>
      </c>
      <c r="C181" s="286">
        <f>B181/$B$182</f>
        <v>0.1647424325118603</v>
      </c>
    </row>
    <row r="182" spans="1:11" s="168" customFormat="1" ht="28.5" customHeight="1" x14ac:dyDescent="0.2">
      <c r="A182" s="783" t="s">
        <v>287</v>
      </c>
      <c r="B182" s="764">
        <f>SUM(B179:B181)</f>
        <v>9527.6</v>
      </c>
      <c r="C182" s="286">
        <f>B182/$B$182</f>
        <v>1</v>
      </c>
      <c r="G182" s="171"/>
      <c r="J182" s="169"/>
      <c r="K182" s="170"/>
    </row>
    <row r="183" spans="1:11" ht="15.75" customHeight="1" x14ac:dyDescent="0.2">
      <c r="A183" s="1"/>
      <c r="B183" s="34"/>
      <c r="C183" s="89"/>
      <c r="D183" s="1"/>
    </row>
    <row r="185" spans="1:11" ht="20.25" x14ac:dyDescent="0.3">
      <c r="A185" s="546" t="s">
        <v>428</v>
      </c>
      <c r="B185" s="547"/>
      <c r="C185" s="547"/>
      <c r="D185" s="547"/>
      <c r="E185" s="547"/>
      <c r="F185" s="550"/>
    </row>
    <row r="186" spans="1:11" s="1" customFormat="1" ht="20.25" x14ac:dyDescent="0.3">
      <c r="A186" s="302"/>
      <c r="B186" s="303"/>
      <c r="C186" s="303"/>
      <c r="D186" s="303"/>
      <c r="E186" s="303"/>
      <c r="F186" s="363"/>
      <c r="J186" s="35"/>
      <c r="K186" s="121"/>
    </row>
    <row r="187" spans="1:11" x14ac:dyDescent="0.2">
      <c r="A187" s="13"/>
      <c r="B187" s="780" t="s">
        <v>202</v>
      </c>
      <c r="C187" s="780" t="s">
        <v>185</v>
      </c>
      <c r="D187" s="13"/>
    </row>
    <row r="188" spans="1:11" x14ac:dyDescent="0.2">
      <c r="A188" s="70" t="s">
        <v>23</v>
      </c>
      <c r="B188" s="19"/>
      <c r="C188" s="13"/>
      <c r="D188" s="13"/>
    </row>
    <row r="189" spans="1:11" x14ac:dyDescent="0.2">
      <c r="A189" s="107" t="str">
        <f>B53</f>
        <v>Erntewagen 4 Grosskisten</v>
      </c>
      <c r="B189" s="45">
        <f>F53</f>
        <v>382.37499999999994</v>
      </c>
      <c r="C189" s="286">
        <f>B189/$F$88</f>
        <v>8.0877926417189071E-3</v>
      </c>
      <c r="D189" s="13"/>
    </row>
    <row r="190" spans="1:11" x14ac:dyDescent="0.2">
      <c r="A190" s="107" t="s">
        <v>24</v>
      </c>
      <c r="B190" s="366">
        <f>(D54*E54)</f>
        <v>83.125</v>
      </c>
      <c r="C190" s="286">
        <f>B190/$F$88</f>
        <v>1.7582157916780235E-3</v>
      </c>
      <c r="D190" s="13"/>
    </row>
    <row r="191" spans="1:11" x14ac:dyDescent="0.2">
      <c r="A191" s="107"/>
      <c r="B191" s="366"/>
      <c r="C191" s="286"/>
      <c r="D191" s="13"/>
    </row>
    <row r="192" spans="1:11" x14ac:dyDescent="0.2">
      <c r="A192" s="70" t="s">
        <v>28</v>
      </c>
      <c r="B192" s="43"/>
      <c r="C192" s="286"/>
      <c r="D192" s="13"/>
    </row>
    <row r="193" spans="1:4" x14ac:dyDescent="0.2">
      <c r="A193" s="669" t="str">
        <f>B77</f>
        <v>baumfallend</v>
      </c>
      <c r="B193" s="45">
        <f>F77</f>
        <v>7566.0374999999995</v>
      </c>
      <c r="C193" s="286">
        <f>B193/$F$88</f>
        <v>0.16003280135853371</v>
      </c>
      <c r="D193" s="13"/>
    </row>
    <row r="194" spans="1:4" ht="13.5" thickBot="1" x14ac:dyDescent="0.25">
      <c r="A194" s="669" t="s">
        <v>431</v>
      </c>
      <c r="B194" s="420">
        <f>F78</f>
        <v>1656</v>
      </c>
      <c r="C194" s="286">
        <f>B194/$F$88</f>
        <v>3.5026831290451817E-2</v>
      </c>
      <c r="D194" s="13"/>
    </row>
    <row r="195" spans="1:4" ht="15.75" x14ac:dyDescent="0.25">
      <c r="A195" s="293" t="s">
        <v>283</v>
      </c>
      <c r="B195" s="83">
        <f>SUM(B189:B194)</f>
        <v>9687.5374999999985</v>
      </c>
      <c r="C195" s="781">
        <f>B195/$F$88</f>
        <v>0.20490564108238243</v>
      </c>
      <c r="D195" s="13"/>
    </row>
    <row r="196" spans="1:4" x14ac:dyDescent="0.2">
      <c r="A196" s="13" t="s">
        <v>277</v>
      </c>
      <c r="B196" s="45">
        <f>F88-B195</f>
        <v>37590.504474965048</v>
      </c>
      <c r="C196" s="286">
        <f>B196/$F$88</f>
        <v>0.79509435891761759</v>
      </c>
      <c r="D196" s="13"/>
    </row>
    <row r="197" spans="1:4" x14ac:dyDescent="0.2">
      <c r="A197" s="13"/>
      <c r="B197" s="19"/>
      <c r="C197" s="13"/>
      <c r="D197" s="13"/>
    </row>
    <row r="198" spans="1:4" ht="15.75" x14ac:dyDescent="0.25">
      <c r="A198" s="293" t="s">
        <v>276</v>
      </c>
      <c r="B198" s="780" t="s">
        <v>202</v>
      </c>
      <c r="C198" s="780" t="s">
        <v>293</v>
      </c>
      <c r="D198" s="13"/>
    </row>
    <row r="199" spans="1:4" x14ac:dyDescent="0.2">
      <c r="A199" s="13" t="s">
        <v>23</v>
      </c>
      <c r="B199" s="45">
        <f>B189+B190</f>
        <v>465.49999999999994</v>
      </c>
      <c r="C199" s="286">
        <f>B199/$B$201</f>
        <v>4.805142689770233E-2</v>
      </c>
      <c r="D199" s="13"/>
    </row>
    <row r="200" spans="1:4" ht="13.5" thickBot="1" x14ac:dyDescent="0.25">
      <c r="A200" s="13" t="s">
        <v>28</v>
      </c>
      <c r="B200" s="420">
        <f>B193+B194</f>
        <v>9222.0374999999985</v>
      </c>
      <c r="C200" s="286">
        <f>B200/$B$201</f>
        <v>0.95194857310229763</v>
      </c>
      <c r="D200" s="13"/>
    </row>
    <row r="201" spans="1:4" x14ac:dyDescent="0.2">
      <c r="A201" s="13" t="s">
        <v>283</v>
      </c>
      <c r="B201" s="83">
        <f>SUM(B199:B200)</f>
        <v>9687.5374999999985</v>
      </c>
      <c r="C201" s="286">
        <f>B201/$B$201</f>
        <v>1</v>
      </c>
      <c r="D201" s="13"/>
    </row>
    <row r="202" spans="1:4" x14ac:dyDescent="0.2">
      <c r="A202" s="13"/>
      <c r="B202" s="45"/>
      <c r="C202" s="286"/>
      <c r="D202" s="13"/>
    </row>
    <row r="203" spans="1:4" x14ac:dyDescent="0.2">
      <c r="A203" s="13"/>
      <c r="B203" s="13"/>
      <c r="C203" s="13"/>
      <c r="D203" s="13"/>
    </row>
    <row r="204" spans="1:4" x14ac:dyDescent="0.2">
      <c r="A204" s="13"/>
      <c r="B204" s="13"/>
      <c r="C204" s="13"/>
      <c r="D204" s="13"/>
    </row>
  </sheetData>
  <mergeCells count="9">
    <mergeCell ref="B111:E111"/>
    <mergeCell ref="C7:D7"/>
    <mergeCell ref="A33:A34"/>
    <mergeCell ref="A60:A61"/>
    <mergeCell ref="B1:C1"/>
    <mergeCell ref="A5:G5"/>
    <mergeCell ref="G7:G8"/>
    <mergeCell ref="J47:K47"/>
    <mergeCell ref="L47:M47"/>
  </mergeCells>
  <phoneticPr fontId="0" type="noConversion"/>
  <printOptions gridLines="1" gridLinesSet="0"/>
  <pageMargins left="0.25" right="0.25" top="0.75" bottom="0.75" header="0.3" footer="0.3"/>
  <pageSetup paperSize="9" scale="71" fitToHeight="0" orientation="portrait" r:id="rId1"/>
  <headerFooter alignWithMargins="0">
    <oddFooter>&amp;LArbokost 2008&amp;RAgroscope Changins - Wädenswil ACW</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tandardCashflow1">
    <tabColor indexed="8"/>
  </sheetPr>
  <dimension ref="A1:L47"/>
  <sheetViews>
    <sheetView topLeftCell="A19" zoomScale="75" workbookViewId="0">
      <selection activeCell="C22" sqref="C22:C37"/>
    </sheetView>
  </sheetViews>
  <sheetFormatPr baseColWidth="10" defaultRowHeight="12.75" x14ac:dyDescent="0.2"/>
  <cols>
    <col min="1" max="1" width="32.140625" customWidth="1"/>
    <col min="2" max="2" width="10.42578125" bestFit="1" customWidth="1"/>
    <col min="3" max="3" width="19.5703125" customWidth="1"/>
    <col min="4" max="4" width="12.42578125" customWidth="1"/>
    <col min="5" max="5" width="21.85546875" customWidth="1"/>
    <col min="6" max="6" width="14.42578125" customWidth="1"/>
    <col min="7" max="7" width="13" customWidth="1"/>
    <col min="8" max="8" width="20.5703125" customWidth="1"/>
    <col min="9" max="9" width="11.42578125" customWidth="1"/>
    <col min="10" max="10" width="19" customWidth="1"/>
    <col min="11" max="11" width="14.85546875" customWidth="1"/>
    <col min="12" max="256" width="9.140625" customWidth="1"/>
  </cols>
  <sheetData>
    <row r="1" spans="1:10" ht="26.25" x14ac:dyDescent="0.4">
      <c r="A1" s="1135" t="str">
        <f>'Variante Erstellung'!A1</f>
        <v>Arbokost 2023</v>
      </c>
    </row>
    <row r="2" spans="1:10" ht="15.75" x14ac:dyDescent="0.25">
      <c r="A2" s="626" t="s">
        <v>455</v>
      </c>
    </row>
    <row r="3" spans="1:10" s="1" customFormat="1" ht="21" customHeight="1" x14ac:dyDescent="0.2">
      <c r="A3" s="625"/>
    </row>
    <row r="4" spans="1:10" ht="23.25" x14ac:dyDescent="0.35">
      <c r="A4" s="627" t="s">
        <v>454</v>
      </c>
      <c r="B4" s="628"/>
      <c r="C4" s="628"/>
      <c r="D4" s="628"/>
      <c r="E4" s="628"/>
      <c r="F4" s="629"/>
      <c r="G4" s="629"/>
      <c r="H4" s="629"/>
      <c r="I4" s="630"/>
      <c r="J4" s="630"/>
    </row>
    <row r="5" spans="1:10" s="1" customFormat="1" ht="30" customHeight="1" x14ac:dyDescent="0.35">
      <c r="A5" s="631"/>
      <c r="B5" s="632"/>
      <c r="C5" s="632"/>
      <c r="D5" s="632"/>
      <c r="E5" s="632"/>
      <c r="F5" s="43"/>
      <c r="G5" s="43"/>
      <c r="H5" s="43"/>
    </row>
    <row r="6" spans="1:10" s="1" customFormat="1" ht="30" customHeight="1" x14ac:dyDescent="0.35">
      <c r="A6" s="631"/>
      <c r="B6" s="632"/>
      <c r="C6" s="632"/>
      <c r="D6" s="632"/>
      <c r="E6" s="632"/>
      <c r="F6" s="43"/>
      <c r="G6" s="43"/>
      <c r="H6" s="43"/>
    </row>
    <row r="7" spans="1:10" s="1" customFormat="1" ht="30" customHeight="1" x14ac:dyDescent="0.35">
      <c r="A7" s="631"/>
      <c r="B7" s="632"/>
      <c r="C7" s="632"/>
      <c r="D7" s="632"/>
      <c r="E7" s="632"/>
      <c r="F7" s="43"/>
      <c r="G7" s="43"/>
      <c r="H7" s="43"/>
    </row>
    <row r="8" spans="1:10" s="1" customFormat="1" ht="30" customHeight="1" x14ac:dyDescent="0.35">
      <c r="A8" s="631"/>
      <c r="B8" s="632"/>
      <c r="C8" s="632"/>
      <c r="D8" s="632"/>
      <c r="E8" s="632"/>
      <c r="F8" s="43"/>
      <c r="G8" s="43"/>
      <c r="H8" s="43"/>
    </row>
    <row r="9" spans="1:10" s="1" customFormat="1" ht="30" customHeight="1" x14ac:dyDescent="0.35">
      <c r="A9" s="631"/>
      <c r="B9" s="632"/>
      <c r="C9" s="632"/>
      <c r="D9" s="632"/>
      <c r="E9" s="632"/>
      <c r="F9" s="43"/>
      <c r="G9" s="43"/>
      <c r="H9" s="43"/>
    </row>
    <row r="10" spans="1:10" s="1" customFormat="1" ht="30" customHeight="1" x14ac:dyDescent="0.35">
      <c r="A10" s="631"/>
      <c r="B10" s="632"/>
      <c r="C10" s="632"/>
      <c r="D10" s="632"/>
      <c r="E10" s="632"/>
      <c r="F10" s="43"/>
      <c r="G10" s="43"/>
      <c r="H10" s="43"/>
    </row>
    <row r="11" spans="1:10" s="1" customFormat="1" ht="30" customHeight="1" x14ac:dyDescent="0.35">
      <c r="A11" s="631"/>
      <c r="B11" s="632"/>
      <c r="C11" s="632"/>
      <c r="D11" s="632"/>
      <c r="E11" s="632"/>
      <c r="F11" s="43"/>
      <c r="G11" s="43"/>
      <c r="H11" s="43"/>
    </row>
    <row r="12" spans="1:10" s="1" customFormat="1" ht="30" customHeight="1" x14ac:dyDescent="0.35">
      <c r="A12" s="631"/>
      <c r="B12" s="632"/>
      <c r="C12" s="632"/>
      <c r="D12" s="632"/>
      <c r="E12" s="632"/>
      <c r="F12" s="43"/>
      <c r="G12" s="43"/>
      <c r="H12" s="43"/>
    </row>
    <row r="13" spans="1:10" s="1" customFormat="1" ht="30" customHeight="1" x14ac:dyDescent="0.35">
      <c r="A13" s="631"/>
      <c r="B13" s="632"/>
      <c r="C13" s="632"/>
      <c r="D13" s="632"/>
      <c r="E13" s="632"/>
      <c r="F13" s="43"/>
      <c r="G13" s="43"/>
      <c r="H13" s="43"/>
    </row>
    <row r="14" spans="1:10" s="1" customFormat="1" ht="30" customHeight="1" x14ac:dyDescent="0.35">
      <c r="A14" s="631"/>
      <c r="B14" s="632"/>
      <c r="C14" s="632"/>
      <c r="D14" s="632"/>
      <c r="E14" s="632"/>
      <c r="F14" s="43"/>
      <c r="G14" s="43"/>
      <c r="H14" s="43"/>
    </row>
    <row r="15" spans="1:10" s="1" customFormat="1" ht="24" customHeight="1" x14ac:dyDescent="0.35">
      <c r="A15" s="631"/>
      <c r="B15" s="632"/>
      <c r="C15" s="632"/>
      <c r="D15" s="632"/>
      <c r="E15" s="632"/>
      <c r="F15" s="43"/>
      <c r="G15" s="43"/>
      <c r="H15" s="43"/>
    </row>
    <row r="16" spans="1:10" s="1" customFormat="1" ht="163.5" customHeight="1" x14ac:dyDescent="0.35">
      <c r="A16" s="631"/>
      <c r="B16" s="632"/>
      <c r="C16" s="632"/>
      <c r="D16" s="632"/>
      <c r="E16" s="632"/>
      <c r="F16" s="43"/>
      <c r="G16" s="43"/>
      <c r="H16" s="43"/>
    </row>
    <row r="17" spans="1:12" x14ac:dyDescent="0.2">
      <c r="A17" s="1"/>
      <c r="B17" s="1"/>
      <c r="C17" s="66" t="str">
        <f>'Variante Vorgaben'!B47</f>
        <v>Klasse I</v>
      </c>
      <c r="D17" s="66" t="str">
        <f>'Variante Vorgaben'!C47</f>
        <v>Klasse II</v>
      </c>
      <c r="E17" s="66" t="str">
        <f>'Variante Vorgaben'!D47</f>
        <v>Most</v>
      </c>
    </row>
    <row r="18" spans="1:12" ht="18.75" x14ac:dyDescent="0.3">
      <c r="A18" s="3" t="s">
        <v>38</v>
      </c>
      <c r="B18" s="370">
        <f>'Variante Vorgaben'!B10</f>
        <v>3000</v>
      </c>
      <c r="C18" s="47">
        <f>'Variante Vorgaben'!B66</f>
        <v>1.1200000000000006</v>
      </c>
      <c r="D18" s="47">
        <f>'Variante Vorgaben'!C66</f>
        <v>0.45000000000000012</v>
      </c>
      <c r="E18" s="47">
        <f>'Variante Vorgaben'!D66</f>
        <v>0.23</v>
      </c>
    </row>
    <row r="19" spans="1:12" s="1" customFormat="1" ht="18.75" x14ac:dyDescent="0.3">
      <c r="A19" s="3"/>
      <c r="B19" s="370"/>
      <c r="C19" s="47"/>
      <c r="D19" s="47"/>
      <c r="E19" s="47"/>
    </row>
    <row r="20" spans="1:12" ht="47.25" x14ac:dyDescent="0.2">
      <c r="A20" s="815"/>
      <c r="B20" s="816"/>
      <c r="C20" s="822" t="s">
        <v>303</v>
      </c>
      <c r="D20" s="816"/>
      <c r="E20" s="816"/>
      <c r="F20" s="816"/>
      <c r="G20" s="816"/>
      <c r="H20" s="816"/>
      <c r="I20" s="816"/>
      <c r="J20" s="828"/>
    </row>
    <row r="21" spans="1:12" x14ac:dyDescent="0.2">
      <c r="A21" s="834"/>
      <c r="B21" s="743"/>
      <c r="C21" s="835" t="s">
        <v>202</v>
      </c>
      <c r="D21" s="829" t="s">
        <v>212</v>
      </c>
      <c r="E21" s="829" t="s">
        <v>215</v>
      </c>
      <c r="F21" s="830" t="s">
        <v>218</v>
      </c>
      <c r="G21" s="829" t="s">
        <v>167</v>
      </c>
      <c r="H21" s="831" t="s">
        <v>55</v>
      </c>
      <c r="I21" s="832" t="s">
        <v>69</v>
      </c>
      <c r="J21" s="833" t="s">
        <v>64</v>
      </c>
    </row>
    <row r="22" spans="1:12" ht="15.75" x14ac:dyDescent="0.25">
      <c r="A22" s="198" t="s">
        <v>70</v>
      </c>
      <c r="B22" s="11">
        <v>0</v>
      </c>
      <c r="C22" s="825">
        <f>'Variante Standjahre'!F84</f>
        <v>-98699.605099999986</v>
      </c>
      <c r="D22" s="366">
        <v>0</v>
      </c>
      <c r="E22" s="204">
        <f>C22*(-1)</f>
        <v>98699.605099999986</v>
      </c>
      <c r="F22" s="574">
        <f>D22-E22</f>
        <v>-98699.605099999986</v>
      </c>
      <c r="G22" s="132">
        <f t="shared" ref="G22:G37" si="0">D22/E22</f>
        <v>0</v>
      </c>
      <c r="H22" s="45"/>
      <c r="I22" s="45"/>
      <c r="J22" s="290">
        <f>('Variante Standjahre'!F84)*(-1)</f>
        <v>98699.605099999986</v>
      </c>
      <c r="K22" s="8"/>
      <c r="L22" s="8"/>
    </row>
    <row r="23" spans="1:12" ht="15.75" x14ac:dyDescent="0.25">
      <c r="A23" s="198" t="s">
        <v>71</v>
      </c>
      <c r="B23" s="11">
        <v>1</v>
      </c>
      <c r="C23" s="825">
        <f>'Variante Standjahre'!F85</f>
        <v>-110349.50154589998</v>
      </c>
      <c r="D23" s="366">
        <f>'Variante Standjahre'!F15</f>
        <v>1100</v>
      </c>
      <c r="E23" s="204">
        <f>'Variante Standjahre'!F81</f>
        <v>12749.896445900002</v>
      </c>
      <c r="F23" s="574">
        <f t="shared" ref="F23:F37" si="1">D23-E23</f>
        <v>-11649.896445900002</v>
      </c>
      <c r="G23" s="132">
        <f t="shared" si="0"/>
        <v>8.6275210521708057E-2</v>
      </c>
      <c r="H23" s="255">
        <f>'Variante Standjahre'!D12</f>
        <v>0</v>
      </c>
      <c r="I23" s="243">
        <f>H23/B18</f>
        <v>0</v>
      </c>
      <c r="J23" s="802">
        <f>'Variante Standjahre'!F86</f>
        <v>110349.50154589998</v>
      </c>
      <c r="K23" s="9"/>
      <c r="L23" s="7"/>
    </row>
    <row r="24" spans="1:12" ht="15.75" x14ac:dyDescent="0.25">
      <c r="A24" s="198" t="s">
        <v>40</v>
      </c>
      <c r="B24" s="11">
        <v>2</v>
      </c>
      <c r="C24" s="825">
        <f>'Variante Standjahre'!M85</f>
        <v>-114181.59737231309</v>
      </c>
      <c r="D24" s="366">
        <f>'Variante Standjahre'!M15</f>
        <v>12402.2</v>
      </c>
      <c r="E24" s="204">
        <f>'Variante Standjahre'!M81</f>
        <v>16234.295826413099</v>
      </c>
      <c r="F24" s="574">
        <f t="shared" si="1"/>
        <v>-3832.0958264130986</v>
      </c>
      <c r="G24" s="132">
        <f t="shared" si="0"/>
        <v>0.76395059771066254</v>
      </c>
      <c r="H24" s="255">
        <f>'Variante Standjahre'!K12</f>
        <v>12600</v>
      </c>
      <c r="I24" s="243">
        <f>H24/B18</f>
        <v>4.2</v>
      </c>
      <c r="J24" s="802">
        <f>'Variante Standjahre'!M86</f>
        <v>114181.59737231309</v>
      </c>
      <c r="K24" s="9"/>
      <c r="L24" s="7"/>
    </row>
    <row r="25" spans="1:12" s="48" customFormat="1" ht="15.75" x14ac:dyDescent="0.25">
      <c r="A25" s="238" t="s">
        <v>41</v>
      </c>
      <c r="B25" s="112">
        <v>3</v>
      </c>
      <c r="C25" s="825">
        <f>'Variante Standjahre'!T85</f>
        <v>-128692.35713928891</v>
      </c>
      <c r="D25" s="575">
        <f>'Variante Standjahre'!T15</f>
        <v>15227.750000000002</v>
      </c>
      <c r="E25" s="575">
        <f>'Variante Standjahre'!T81</f>
        <v>29738.509766975818</v>
      </c>
      <c r="F25" s="574">
        <f t="shared" si="1"/>
        <v>-14510.759766975816</v>
      </c>
      <c r="G25" s="469">
        <f t="shared" si="0"/>
        <v>0.512054911941492</v>
      </c>
      <c r="H25" s="297">
        <f>'Variante Standjahre'!R12</f>
        <v>15750</v>
      </c>
      <c r="I25" s="296">
        <f>H25/B18</f>
        <v>5.25</v>
      </c>
      <c r="J25" s="803">
        <f>'Variante Standjahre'!T86</f>
        <v>128692.35713928891</v>
      </c>
      <c r="K25" s="180"/>
      <c r="L25" s="181"/>
    </row>
    <row r="26" spans="1:12" s="55" customFormat="1" ht="15.75" x14ac:dyDescent="0.25">
      <c r="A26" s="804" t="s">
        <v>42</v>
      </c>
      <c r="B26" s="667">
        <v>4</v>
      </c>
      <c r="C26" s="825">
        <f>'Variante Standjahre'!AA85</f>
        <v>-136389.27236395917</v>
      </c>
      <c r="D26" s="204">
        <f>'Variante Standjahre'!AA15</f>
        <v>25588.100000000002</v>
      </c>
      <c r="E26" s="204">
        <f>'Variante Standjahre'!AA81</f>
        <v>33285.015224670264</v>
      </c>
      <c r="F26" s="574">
        <f t="shared" si="1"/>
        <v>-7696.9152246702615</v>
      </c>
      <c r="G26" s="201">
        <f t="shared" si="0"/>
        <v>0.76875734703088117</v>
      </c>
      <c r="H26" s="576">
        <f>'Variante Standjahre'!Y12</f>
        <v>27300</v>
      </c>
      <c r="I26" s="577">
        <f>H26/B18</f>
        <v>9.1</v>
      </c>
      <c r="J26" s="805">
        <f>'Variante Standjahre'!AA86</f>
        <v>117967.99404434818</v>
      </c>
      <c r="K26" s="178"/>
      <c r="L26" s="179"/>
    </row>
    <row r="27" spans="1:12" ht="15.75" x14ac:dyDescent="0.25">
      <c r="A27" s="198" t="s">
        <v>43</v>
      </c>
      <c r="B27" s="11">
        <v>5</v>
      </c>
      <c r="C27" s="825">
        <f>'Variante Standjahre'!AH85</f>
        <v>-137695.63506002649</v>
      </c>
      <c r="D27" s="366">
        <f>'Variante Standjahre'!AH15</f>
        <v>34064.75</v>
      </c>
      <c r="E27" s="204">
        <f>'Variante Standjahre'!AH81</f>
        <v>35371.112696067299</v>
      </c>
      <c r="F27" s="574">
        <f t="shared" si="1"/>
        <v>-1306.3626960672991</v>
      </c>
      <c r="G27" s="132">
        <f t="shared" si="0"/>
        <v>0.96306696067798436</v>
      </c>
      <c r="H27" s="255">
        <f>'Variante Standjahre'!AF12</f>
        <v>36750</v>
      </c>
      <c r="I27" s="243">
        <f>H27/B18</f>
        <v>12.25</v>
      </c>
      <c r="J27" s="802">
        <f>'Variante Standjahre'!AH86</f>
        <v>107243.63094940744</v>
      </c>
      <c r="K27" s="9"/>
      <c r="L27" s="7"/>
    </row>
    <row r="28" spans="1:12" ht="15.75" x14ac:dyDescent="0.25">
      <c r="A28" s="198" t="s">
        <v>44</v>
      </c>
      <c r="B28" s="11">
        <v>6</v>
      </c>
      <c r="C28" s="825">
        <f>'Variante Standjahre'!AO85</f>
        <v>-132553.93025473339</v>
      </c>
      <c r="D28" s="366">
        <f>'Variante Standjahre'!AO15</f>
        <v>42541.4</v>
      </c>
      <c r="E28" s="204">
        <f>'Variante Standjahre'!AO81</f>
        <v>37399.695194706903</v>
      </c>
      <c r="F28" s="574">
        <f t="shared" si="1"/>
        <v>5141.7048052930986</v>
      </c>
      <c r="G28" s="132">
        <f t="shared" si="0"/>
        <v>1.1374798585529862</v>
      </c>
      <c r="H28" s="255">
        <f>'Variante Standjahre'!AM12</f>
        <v>46200</v>
      </c>
      <c r="I28" s="243">
        <f>H28/B18</f>
        <v>15.4</v>
      </c>
      <c r="J28" s="802">
        <f>'Variante Standjahre'!AO86</f>
        <v>96519.2678544667</v>
      </c>
      <c r="K28" s="9"/>
      <c r="L28" s="7"/>
    </row>
    <row r="29" spans="1:12" ht="15.75" x14ac:dyDescent="0.25">
      <c r="A29" s="198" t="s">
        <v>45</v>
      </c>
      <c r="B29" s="11">
        <v>7</v>
      </c>
      <c r="C29" s="825">
        <f>'Variante Standjahre'!AV85</f>
        <v>-133197.73635293744</v>
      </c>
      <c r="D29" s="366">
        <f>'Variante Standjahre'!AV15</f>
        <v>34888.868750000001</v>
      </c>
      <c r="E29" s="204">
        <f>'Variante Standjahre'!AV81</f>
        <v>35532.674848204057</v>
      </c>
      <c r="F29" s="574">
        <f t="shared" si="1"/>
        <v>-643.80609820405516</v>
      </c>
      <c r="G29" s="132">
        <f t="shared" si="0"/>
        <v>0.98188129374007438</v>
      </c>
      <c r="H29" s="255">
        <f>'Variante Standjahre'!AT12</f>
        <v>37668.75</v>
      </c>
      <c r="I29" s="243">
        <f>H29/B18</f>
        <v>12.55625</v>
      </c>
      <c r="J29" s="802">
        <f>'Variante Standjahre'!AV86</f>
        <v>85794.904759525962</v>
      </c>
      <c r="K29" s="9"/>
      <c r="L29" s="7"/>
    </row>
    <row r="30" spans="1:12" ht="15.75" x14ac:dyDescent="0.25">
      <c r="A30" s="806" t="s">
        <v>46</v>
      </c>
      <c r="B30" s="106">
        <v>8</v>
      </c>
      <c r="C30" s="825">
        <f>'Variante Standjahre'!BC85</f>
        <v>-133847.33670602535</v>
      </c>
      <c r="D30" s="366">
        <f>'Variante Standjahre'!BC15</f>
        <v>34888.868750000001</v>
      </c>
      <c r="E30" s="204">
        <f>'Variante Standjahre'!BC81</f>
        <v>35538.469103087897</v>
      </c>
      <c r="F30" s="574">
        <f t="shared" si="1"/>
        <v>-649.6003530878952</v>
      </c>
      <c r="G30" s="132">
        <f t="shared" si="0"/>
        <v>0.98172120607661595</v>
      </c>
      <c r="H30" s="255">
        <f>'Variante Standjahre'!BA12</f>
        <v>37668.75</v>
      </c>
      <c r="I30" s="243">
        <f>H30/B18</f>
        <v>12.55625</v>
      </c>
      <c r="J30" s="802">
        <f>'Variante Standjahre'!BC86</f>
        <v>75070.541664585224</v>
      </c>
      <c r="K30" s="9"/>
      <c r="L30" s="7"/>
    </row>
    <row r="31" spans="1:12" ht="15.75" x14ac:dyDescent="0.25">
      <c r="A31" s="198" t="s">
        <v>47</v>
      </c>
      <c r="B31" s="11">
        <v>9</v>
      </c>
      <c r="C31" s="825">
        <f>'Variante Standjahre'!BJ85</f>
        <v>-122928.93075721292</v>
      </c>
      <c r="D31" s="366">
        <f>'Variante Standjahre'!BJ15</f>
        <v>50076.200000000004</v>
      </c>
      <c r="E31" s="204">
        <f>'Variante Standjahre'!BJ81</f>
        <v>39157.794051187564</v>
      </c>
      <c r="F31" s="574">
        <f t="shared" si="1"/>
        <v>10918.40594881244</v>
      </c>
      <c r="G31" s="132">
        <f t="shared" si="0"/>
        <v>1.2788309763961616</v>
      </c>
      <c r="H31" s="255">
        <f>'Variante Standjahre'!BH12</f>
        <v>54600</v>
      </c>
      <c r="I31" s="243">
        <f>H31/B18</f>
        <v>18.2</v>
      </c>
      <c r="J31" s="802">
        <f>'Variante Standjahre'!BJ86</f>
        <v>64346.178569644479</v>
      </c>
      <c r="K31" s="9"/>
      <c r="L31" s="7"/>
    </row>
    <row r="32" spans="1:12" ht="15.75" x14ac:dyDescent="0.25">
      <c r="A32" s="806" t="s">
        <v>48</v>
      </c>
      <c r="B32" s="11">
        <v>10</v>
      </c>
      <c r="C32" s="825">
        <f>'Variante Standjahre'!BQ85</f>
        <v>-109758.98423298617</v>
      </c>
      <c r="D32" s="366">
        <f>'Variante Standjahre'!BQ15</f>
        <v>52901.750000000007</v>
      </c>
      <c r="E32" s="204">
        <f>'Variante Standjahre'!BQ81</f>
        <v>39731.803475773253</v>
      </c>
      <c r="F32" s="574">
        <f t="shared" si="1"/>
        <v>13169.946524226754</v>
      </c>
      <c r="G32" s="132">
        <f t="shared" si="0"/>
        <v>1.331471148352408</v>
      </c>
      <c r="H32" s="255">
        <f>'Variante Standjahre'!BO12</f>
        <v>57750</v>
      </c>
      <c r="I32" s="243">
        <f>H32/B18</f>
        <v>19.25</v>
      </c>
      <c r="J32" s="802">
        <f>'Variante Standjahre'!BQ86</f>
        <v>53621.815474703733</v>
      </c>
      <c r="K32" s="9"/>
      <c r="L32" s="7"/>
    </row>
    <row r="33" spans="1:12" ht="15.75" x14ac:dyDescent="0.25">
      <c r="A33" s="806" t="s">
        <v>49</v>
      </c>
      <c r="B33" s="11">
        <v>11</v>
      </c>
      <c r="C33" s="825">
        <f>'Variante Standjahre'!BX85</f>
        <v>-104186.40999342682</v>
      </c>
      <c r="D33" s="578">
        <f>'Variante Standjahre'!BX15</f>
        <v>42776.862499999996</v>
      </c>
      <c r="E33" s="579">
        <f>'Variante Standjahre'!BX81</f>
        <v>37204.288260440626</v>
      </c>
      <c r="F33" s="574">
        <f t="shared" si="1"/>
        <v>5572.5742395593697</v>
      </c>
      <c r="G33" s="132">
        <f t="shared" si="0"/>
        <v>1.1497831164125425</v>
      </c>
      <c r="H33" s="255">
        <f>'Variante Standjahre'!BV12</f>
        <v>46462.5</v>
      </c>
      <c r="I33" s="243">
        <f>H33/B18</f>
        <v>15.487500000000001</v>
      </c>
      <c r="J33" s="802">
        <f>'Variante Standjahre'!BX86</f>
        <v>42897.452379762988</v>
      </c>
      <c r="K33" s="9"/>
      <c r="L33" s="7"/>
    </row>
    <row r="34" spans="1:12" ht="15.75" x14ac:dyDescent="0.25">
      <c r="A34" s="198" t="s">
        <v>50</v>
      </c>
      <c r="B34" s="11">
        <v>12</v>
      </c>
      <c r="C34" s="825">
        <f>'Variante Standjahre'!CE85</f>
        <v>-104485.18862086764</v>
      </c>
      <c r="D34" s="578">
        <f>'Variante Standjahre'!CE15</f>
        <v>35006.600000000006</v>
      </c>
      <c r="E34" s="579">
        <f>'Variante Standjahre'!CE81</f>
        <v>35305.378627440841</v>
      </c>
      <c r="F34" s="574">
        <f t="shared" si="1"/>
        <v>-298.77862744083541</v>
      </c>
      <c r="G34" s="132">
        <f t="shared" si="0"/>
        <v>0.99153730567249565</v>
      </c>
      <c r="H34" s="255">
        <f>'Variante Standjahre'!CC12</f>
        <v>37800</v>
      </c>
      <c r="I34" s="243">
        <f>H34/B18</f>
        <v>12.6</v>
      </c>
      <c r="J34" s="802">
        <f>'Variante Standjahre'!CE86</f>
        <v>32173.089284822243</v>
      </c>
      <c r="K34" s="9"/>
      <c r="L34" s="7"/>
    </row>
    <row r="35" spans="1:12" ht="15.75" x14ac:dyDescent="0.25">
      <c r="A35" s="198" t="s">
        <v>51</v>
      </c>
      <c r="B35" s="792">
        <v>13</v>
      </c>
      <c r="C35" s="825">
        <f>'Variante Standjahre'!CL85</f>
        <v>-101915.62302678879</v>
      </c>
      <c r="D35" s="578">
        <f>'Variante Standjahre'!CL15</f>
        <v>38774</v>
      </c>
      <c r="E35" s="579">
        <f>'Variante Standjahre'!CL81</f>
        <v>36204.434405921143</v>
      </c>
      <c r="F35" s="574">
        <f t="shared" si="1"/>
        <v>2569.5655940788565</v>
      </c>
      <c r="G35" s="132">
        <f t="shared" si="0"/>
        <v>1.0709737808708486</v>
      </c>
      <c r="H35" s="255">
        <f>'Variante Standjahre'!CJ12</f>
        <v>42000</v>
      </c>
      <c r="I35" s="243">
        <f>H35/B18</f>
        <v>14</v>
      </c>
      <c r="J35" s="802">
        <f>'Variante Standjahre'!CL86</f>
        <v>21448.726189881498</v>
      </c>
      <c r="K35" s="9"/>
      <c r="L35" s="7"/>
    </row>
    <row r="36" spans="1:12" ht="15.75" x14ac:dyDescent="0.25">
      <c r="A36" s="198" t="s">
        <v>52</v>
      </c>
      <c r="B36" s="11">
        <v>14</v>
      </c>
      <c r="C36" s="825">
        <f>'Variante Standjahre'!CS85</f>
        <v>-98605.173035071552</v>
      </c>
      <c r="D36" s="578">
        <f>'Variante Standjahre'!CS15</f>
        <v>39715.85</v>
      </c>
      <c r="E36" s="579">
        <f>'Variante Standjahre'!CS81</f>
        <v>36405.40000828277</v>
      </c>
      <c r="F36" s="574">
        <f t="shared" si="1"/>
        <v>3310.4499917172288</v>
      </c>
      <c r="G36" s="132">
        <f t="shared" si="0"/>
        <v>1.0909329382719062</v>
      </c>
      <c r="H36" s="255">
        <f>'Variante Standjahre'!CQ12</f>
        <v>43050</v>
      </c>
      <c r="I36" s="243">
        <f>H36/B18</f>
        <v>14.35</v>
      </c>
      <c r="J36" s="802">
        <f>'Variante Standjahre'!CS86</f>
        <v>10724.363094940754</v>
      </c>
      <c r="K36" s="9"/>
      <c r="L36" s="7"/>
    </row>
    <row r="37" spans="1:12" ht="15.75" x14ac:dyDescent="0.25">
      <c r="A37" s="807" t="s">
        <v>53</v>
      </c>
      <c r="B37" s="31">
        <v>15</v>
      </c>
      <c r="C37" s="826">
        <f>'Variante Standjahre'!CZ85</f>
        <v>-105571.47883717885</v>
      </c>
      <c r="D37" s="808">
        <f>'Variante Standjahre'!CZ15</f>
        <v>34064.75</v>
      </c>
      <c r="E37" s="809">
        <f>'Variante Standjahre'!CZ81</f>
        <v>41031.055802107308</v>
      </c>
      <c r="F37" s="810">
        <f t="shared" si="1"/>
        <v>-6966.3058021073084</v>
      </c>
      <c r="G37" s="827">
        <f t="shared" si="0"/>
        <v>0.83021870468783976</v>
      </c>
      <c r="H37" s="812">
        <f>'Variante Standjahre'!CX12</f>
        <v>36750</v>
      </c>
      <c r="I37" s="813">
        <f>H37/$B$18</f>
        <v>12.25</v>
      </c>
      <c r="J37" s="814">
        <f>'Variante Standjahre'!CZ86</f>
        <v>0</v>
      </c>
      <c r="K37" s="9"/>
      <c r="L37" s="7"/>
    </row>
    <row r="38" spans="1:12" x14ac:dyDescent="0.2">
      <c r="B38" s="10"/>
      <c r="C38" s="82"/>
      <c r="D38" s="114"/>
      <c r="E38" s="153"/>
      <c r="F38" s="8"/>
      <c r="G38" s="89"/>
      <c r="H38" s="213"/>
      <c r="I38" s="60"/>
      <c r="J38" s="214"/>
      <c r="K38" s="9"/>
      <c r="L38" s="7"/>
    </row>
    <row r="39" spans="1:12" x14ac:dyDescent="0.2">
      <c r="D39" s="12"/>
      <c r="E39" s="25"/>
    </row>
    <row r="40" spans="1:12" ht="24.75" customHeight="1" x14ac:dyDescent="0.25">
      <c r="A40" s="1447" t="s">
        <v>143</v>
      </c>
      <c r="B40" s="1447"/>
      <c r="C40" s="580">
        <f>C37</f>
        <v>-105571.47883717885</v>
      </c>
      <c r="D40" s="1"/>
      <c r="E40" s="1"/>
      <c r="F40" s="1"/>
      <c r="G40" s="1"/>
    </row>
    <row r="41" spans="1:12" ht="6" customHeight="1" x14ac:dyDescent="0.25">
      <c r="A41" s="633"/>
      <c r="B41" s="634"/>
      <c r="C41" s="635"/>
      <c r="D41" s="1"/>
      <c r="E41" s="1"/>
      <c r="F41" s="1"/>
      <c r="G41" s="1"/>
    </row>
    <row r="42" spans="1:12" ht="15.75" x14ac:dyDescent="0.25">
      <c r="A42" s="523" t="s">
        <v>73</v>
      </c>
      <c r="B42" s="435"/>
      <c r="C42" s="581">
        <f>'Variante Ertragsphase'!F107</f>
        <v>14.833844268422071</v>
      </c>
      <c r="D42" s="1"/>
      <c r="E42" s="1"/>
      <c r="F42" s="1"/>
      <c r="G42" s="1"/>
    </row>
    <row r="43" spans="1:12" ht="15.75" x14ac:dyDescent="0.25">
      <c r="A43" s="520" t="s">
        <v>74</v>
      </c>
      <c r="B43" s="436"/>
      <c r="C43" s="582">
        <f>'Variante Ertragsphase'!D79</f>
        <v>741.5</v>
      </c>
      <c r="D43" s="1"/>
      <c r="E43" s="1"/>
      <c r="F43" s="1"/>
      <c r="G43" s="1"/>
    </row>
    <row r="44" spans="1:12" ht="15.75" x14ac:dyDescent="0.25">
      <c r="A44" s="520" t="s">
        <v>201</v>
      </c>
      <c r="B44" s="438"/>
      <c r="C44" s="583">
        <f>2700/C43</f>
        <v>3.6412677006068779</v>
      </c>
      <c r="D44" s="1" t="s">
        <v>472</v>
      </c>
      <c r="E44" s="1"/>
      <c r="F44" s="1"/>
      <c r="G44" s="1"/>
    </row>
    <row r="45" spans="1:12" ht="9.75" customHeight="1" x14ac:dyDescent="0.2"/>
    <row r="47" spans="1:12" x14ac:dyDescent="0.2">
      <c r="C47" s="71"/>
      <c r="D47" s="71"/>
      <c r="E47" s="72"/>
    </row>
  </sheetData>
  <mergeCells count="1">
    <mergeCell ref="A40:B40"/>
  </mergeCells>
  <phoneticPr fontId="23" type="noConversion"/>
  <printOptions gridLines="1" gridLinesSet="0"/>
  <pageMargins left="0.78740157480314965" right="0.78740157480314965" top="0.59055118110236227" bottom="0.59055118110236227" header="0.51181102362204722" footer="0.51181102362204722"/>
  <pageSetup paperSize="9" scale="60" orientation="portrait" r:id="rId1"/>
  <headerFooter alignWithMargins="0">
    <oddFooter>&amp;LArbokost 2008&amp;RAgroscope Changins - Wädenswil ACW</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6</vt:i4>
      </vt:variant>
    </vt:vector>
  </HeadingPairs>
  <TitlesOfParts>
    <vt:vector size="22" baseType="lpstr">
      <vt:lpstr>Eingabeseite</vt:lpstr>
      <vt:lpstr>Notizen</vt:lpstr>
      <vt:lpstr>Variante Vorgaben</vt:lpstr>
      <vt:lpstr>Variante Hagel</vt:lpstr>
      <vt:lpstr>Variante Bewässerung</vt:lpstr>
      <vt:lpstr>Variante Erstellung</vt:lpstr>
      <vt:lpstr>Variante Standjahre</vt:lpstr>
      <vt:lpstr>Variante Ertragsphase</vt:lpstr>
      <vt:lpstr>Variante Cashflow</vt:lpstr>
      <vt:lpstr>Standard Vorgaben</vt:lpstr>
      <vt:lpstr>Standard Hagel</vt:lpstr>
      <vt:lpstr>Standard Bewässerung</vt:lpstr>
      <vt:lpstr>Standard Erstellung</vt:lpstr>
      <vt:lpstr>Standard Standjahre</vt:lpstr>
      <vt:lpstr>Standard Ertragsphase</vt:lpstr>
      <vt:lpstr>Standard Cashflow</vt:lpstr>
      <vt:lpstr>Eingabeseite!Druckbereich</vt:lpstr>
      <vt:lpstr>'Standard Cashflow'!Druckbereich</vt:lpstr>
      <vt:lpstr>'Standard Ertragsphase'!Druckbereich</vt:lpstr>
      <vt:lpstr>'Standard Standjahre'!Druckbereich</vt:lpstr>
      <vt:lpstr>'Variante Cashflow'!Druckbereich</vt:lpstr>
      <vt:lpstr>'Variante Ertragsphase'!Druckbereich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Arbokost für Apfel</dc:title>
  <dc:subject>Entwicklung</dc:subject>
  <dc:creator>Esther Bravin</dc:creator>
  <cp:lastModifiedBy>Prevost Martina</cp:lastModifiedBy>
  <cp:lastPrinted>2022-03-03T14:16:06Z</cp:lastPrinted>
  <dcterms:created xsi:type="dcterms:W3CDTF">1999-04-12T09:35:11Z</dcterms:created>
  <dcterms:modified xsi:type="dcterms:W3CDTF">2024-12-10T11:38:28Z</dcterms:modified>
</cp:coreProperties>
</file>