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harts/chart13.xml" ContentType="application/vnd.openxmlformats-officedocument.drawingml.chart+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xl/attachedToolbars.bin" ContentType="application/vnd.ms-excel.attachedToolbars"/>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O:\Data-Work\22_Plant_Production-CH\226.14_Ökonomie\01_Projekte\011_CH_Projekte\Arbokost\Endversionen_Internet\Arbokost_Internet_2023\Versionen_2023_ff\Deutsch\"/>
    </mc:Choice>
  </mc:AlternateContent>
  <bookViews>
    <workbookView xWindow="0" yWindow="0" windowWidth="15390" windowHeight="3830" tabRatio="805"/>
  </bookViews>
  <sheets>
    <sheet name="Eingabeseite" sheetId="22715" r:id="rId1"/>
    <sheet name="Notizen" sheetId="22743" state="hidden" r:id="rId2"/>
    <sheet name="Variante Vorgaben" sheetId="22744" r:id="rId3"/>
    <sheet name="Variante Hagel" sheetId="22749" r:id="rId4"/>
    <sheet name="Variante Bewässerung" sheetId="22750" r:id="rId5"/>
    <sheet name="Variante Erstellung" sheetId="22745" r:id="rId6"/>
    <sheet name="Variante Standjahre" sheetId="22746" r:id="rId7"/>
    <sheet name="Variante Ertragsphase" sheetId="22747" r:id="rId8"/>
    <sheet name="Variante Cashflow" sheetId="22748" r:id="rId9"/>
    <sheet name="Standard Vorgaben" sheetId="1" r:id="rId10"/>
    <sheet name="Standard Hagel" sheetId="22752" r:id="rId11"/>
    <sheet name="Standard Bewässerung" sheetId="22751" r:id="rId12"/>
    <sheet name="Standard Erstellung" sheetId="2" r:id="rId13"/>
    <sheet name="Standard Standjahre" sheetId="3" r:id="rId14"/>
    <sheet name="Standard Ertragsphase" sheetId="4" r:id="rId15"/>
    <sheet name="Standard Cashflow" sheetId="22714" r:id="rId16"/>
  </sheets>
  <definedNames>
    <definedName name="_xlnm.Print_Area" localSheetId="0">Eingabeseite!$A$1:$J$340</definedName>
    <definedName name="_xlnm.Print_Area" localSheetId="15">'Standard Cashflow'!$A$4:$J$45</definedName>
    <definedName name="_xlnm.Print_Area" localSheetId="14">'Standard Ertragsphase'!$A$1:$G$205</definedName>
    <definedName name="_xlnm.Print_Area" localSheetId="13">'Standard Standjahre'!$A$1:$DA$99</definedName>
    <definedName name="_xlnm.Print_Area" localSheetId="8">'Variante Cashflow'!$A$4:$J$45</definedName>
    <definedName name="_xlnm.Print_Area" localSheetId="7">'Variante Ertragsphase'!$A$1:$G$205</definedName>
  </definedNames>
  <calcPr calcId="162913"/>
</workbook>
</file>

<file path=xl/calcChain.xml><?xml version="1.0" encoding="utf-8"?>
<calcChain xmlns="http://schemas.openxmlformats.org/spreadsheetml/2006/main">
  <c r="E55" i="22749" l="1"/>
  <c r="D29" i="22749"/>
  <c r="C66" i="22749"/>
  <c r="C65" i="22749"/>
  <c r="C64" i="22749"/>
  <c r="C63" i="22749"/>
  <c r="E41" i="22749"/>
  <c r="E40" i="22749"/>
  <c r="E34" i="22749"/>
  <c r="D33" i="22749"/>
  <c r="E35" i="22752"/>
  <c r="D34" i="22752"/>
  <c r="D7" i="22750"/>
  <c r="F83" i="22750" s="1"/>
  <c r="A7" i="22750"/>
  <c r="D3" i="22751"/>
  <c r="F84" i="22751" s="1"/>
  <c r="A3" i="22751"/>
  <c r="F85" i="22751"/>
  <c r="F79" i="22751"/>
  <c r="F73" i="22751"/>
  <c r="F66" i="22751"/>
  <c r="F31" i="22751"/>
  <c r="F24" i="22751"/>
  <c r="F19" i="22751"/>
  <c r="F10" i="22751"/>
  <c r="D61" i="22752"/>
  <c r="D60" i="22752"/>
  <c r="D59" i="22752"/>
  <c r="C49" i="22752"/>
  <c r="C48" i="22752"/>
  <c r="C47" i="22752"/>
  <c r="C46" i="22752"/>
  <c r="C45" i="22752"/>
  <c r="D31" i="22752"/>
  <c r="D30" i="22752"/>
  <c r="D24" i="22752"/>
  <c r="D23" i="22752"/>
  <c r="D22" i="22752"/>
  <c r="D21" i="22752"/>
  <c r="D20" i="22752"/>
  <c r="D19" i="22752"/>
  <c r="D18" i="22752"/>
  <c r="D17" i="22752"/>
  <c r="D13" i="22752"/>
  <c r="D12" i="22752"/>
  <c r="D11" i="22752"/>
  <c r="D10" i="22752"/>
  <c r="D60" i="22749"/>
  <c r="D59" i="22749"/>
  <c r="D58" i="22749"/>
  <c r="D30" i="22749"/>
  <c r="D23" i="22749"/>
  <c r="D22" i="22749"/>
  <c r="D21" i="22749"/>
  <c r="D20" i="22749"/>
  <c r="D19" i="22749"/>
  <c r="D18" i="22749"/>
  <c r="D17" i="22749"/>
  <c r="D16" i="22749"/>
  <c r="D12" i="22749"/>
  <c r="D11" i="22749"/>
  <c r="D10" i="22749"/>
  <c r="D9" i="22749"/>
  <c r="C62" i="4"/>
  <c r="CW58" i="3"/>
  <c r="CP58" i="3"/>
  <c r="CI58" i="3"/>
  <c r="CB58" i="3"/>
  <c r="BU58" i="3"/>
  <c r="BN58" i="3"/>
  <c r="BG58" i="3"/>
  <c r="AZ58" i="3"/>
  <c r="AS58" i="3"/>
  <c r="AL58" i="3"/>
  <c r="AE58" i="3"/>
  <c r="X58" i="3"/>
  <c r="Q58" i="3"/>
  <c r="J58" i="3"/>
  <c r="C58" i="3"/>
  <c r="D65" i="3"/>
  <c r="D183" i="1"/>
  <c r="F13" i="22751" l="1"/>
  <c r="F22" i="22751"/>
  <c r="F26" i="22751"/>
  <c r="F64" i="22751"/>
  <c r="F68" i="22751"/>
  <c r="F77" i="22751"/>
  <c r="F81" i="22751"/>
  <c r="F12" i="22751"/>
  <c r="F14" i="22751"/>
  <c r="F18" i="22751"/>
  <c r="F23" i="22751"/>
  <c r="F25" i="22751"/>
  <c r="F27" i="22751"/>
  <c r="F30" i="22751"/>
  <c r="F65" i="22751"/>
  <c r="F67" i="22751"/>
  <c r="F72" i="22751"/>
  <c r="F76" i="22751"/>
  <c r="F78" i="22751"/>
  <c r="F80" i="22751"/>
  <c r="F12" i="22750"/>
  <c r="F14" i="22750"/>
  <c r="F19" i="22750"/>
  <c r="F23" i="22750"/>
  <c r="F25" i="22750"/>
  <c r="F27" i="22750"/>
  <c r="F31" i="22750"/>
  <c r="F63" i="22750"/>
  <c r="F65" i="22750"/>
  <c r="F70" i="22750"/>
  <c r="F74" i="22750"/>
  <c r="F76" i="22750"/>
  <c r="F78" i="22750"/>
  <c r="F82" i="22750"/>
  <c r="F10" i="22750"/>
  <c r="F13" i="22750"/>
  <c r="F18" i="22750"/>
  <c r="F22" i="22750"/>
  <c r="F24" i="22750"/>
  <c r="F26" i="22750"/>
  <c r="F30" i="22750"/>
  <c r="F62" i="22750"/>
  <c r="F64" i="22750"/>
  <c r="F66" i="22750"/>
  <c r="F71" i="22750"/>
  <c r="F75" i="22750"/>
  <c r="F77" i="22750"/>
  <c r="F79" i="22750"/>
  <c r="E72" i="22747" l="1"/>
  <c r="F20" i="22746" l="1"/>
  <c r="F19" i="22747"/>
  <c r="J68" i="4"/>
  <c r="J65" i="4"/>
  <c r="K65" i="4"/>
  <c r="K65" i="22747"/>
  <c r="CZ70" i="22746"/>
  <c r="CZ69" i="22746"/>
  <c r="CS70" i="22746"/>
  <c r="CS69" i="22746"/>
  <c r="CL70" i="22746"/>
  <c r="CL69" i="22746"/>
  <c r="CE70" i="22746"/>
  <c r="CE69" i="22746"/>
  <c r="BX70" i="22746"/>
  <c r="BX69" i="22746"/>
  <c r="BQ70" i="22746"/>
  <c r="BQ69" i="22746"/>
  <c r="BJ70" i="22746"/>
  <c r="BJ69" i="22746"/>
  <c r="BC70" i="22746"/>
  <c r="BC69" i="22746"/>
  <c r="AV70" i="22746"/>
  <c r="AV69" i="22746"/>
  <c r="AO70" i="22746"/>
  <c r="AO69" i="22746"/>
  <c r="AH70" i="22746"/>
  <c r="AH69" i="22746"/>
  <c r="AA70" i="22746"/>
  <c r="AA69" i="22746"/>
  <c r="T70" i="22746"/>
  <c r="T69" i="22746"/>
  <c r="M70" i="22746"/>
  <c r="M69" i="22746"/>
  <c r="CZ71" i="3"/>
  <c r="CS71" i="3"/>
  <c r="CL71" i="3"/>
  <c r="CE71" i="3"/>
  <c r="BX71" i="3"/>
  <c r="BQ71" i="3"/>
  <c r="BJ71" i="3"/>
  <c r="BC71" i="3"/>
  <c r="AV71" i="3"/>
  <c r="AO71" i="3"/>
  <c r="AH71" i="3"/>
  <c r="AA71" i="3"/>
  <c r="T71" i="3"/>
  <c r="M71" i="3"/>
  <c r="F64" i="22747"/>
  <c r="F74" i="22747"/>
  <c r="H185" i="22744"/>
  <c r="E85" i="4" l="1"/>
  <c r="E86" i="4"/>
  <c r="CY68" i="3"/>
  <c r="CZ68" i="3" s="1"/>
  <c r="CR68" i="3"/>
  <c r="CS68" i="3" s="1"/>
  <c r="CK68" i="3"/>
  <c r="CL68" i="3" s="1"/>
  <c r="CD68" i="3"/>
  <c r="CE68" i="3" s="1"/>
  <c r="BW68" i="3"/>
  <c r="BX68" i="3" s="1"/>
  <c r="BI68" i="3"/>
  <c r="BJ68" i="3" s="1"/>
  <c r="BB68" i="3"/>
  <c r="BC68" i="3" s="1"/>
  <c r="AU68" i="3"/>
  <c r="AV68" i="3" s="1"/>
  <c r="D72" i="22747"/>
  <c r="F72" i="22747" s="1"/>
  <c r="D66" i="22747"/>
  <c r="C66" i="22747"/>
  <c r="C66" i="4"/>
  <c r="X62" i="3"/>
  <c r="E72" i="4"/>
  <c r="Z68" i="3"/>
  <c r="AA68" i="3" s="1"/>
  <c r="F75" i="4"/>
  <c r="E74" i="4"/>
  <c r="D74" i="4"/>
  <c r="C74" i="4"/>
  <c r="B74" i="4"/>
  <c r="D73" i="4"/>
  <c r="C73" i="4"/>
  <c r="D85" i="4" s="1"/>
  <c r="F85" i="4" s="1"/>
  <c r="E73" i="4"/>
  <c r="F73" i="4" s="1"/>
  <c r="B73" i="4"/>
  <c r="B72" i="4"/>
  <c r="E68" i="4"/>
  <c r="F68" i="4" s="1"/>
  <c r="D68" i="4"/>
  <c r="B68" i="4"/>
  <c r="E67" i="4"/>
  <c r="F67" i="4" s="1"/>
  <c r="D67" i="4"/>
  <c r="C67" i="4"/>
  <c r="B67" i="4"/>
  <c r="X63" i="3"/>
  <c r="E64" i="4"/>
  <c r="B64" i="4"/>
  <c r="E63" i="4"/>
  <c r="F63" i="4" s="1"/>
  <c r="E62" i="4"/>
  <c r="D62" i="4"/>
  <c r="E61" i="4"/>
  <c r="F61" i="4" s="1"/>
  <c r="D61" i="4"/>
  <c r="C61" i="22747"/>
  <c r="E48" i="4"/>
  <c r="E47" i="4"/>
  <c r="E23" i="4"/>
  <c r="C23" i="4"/>
  <c r="F23" i="4" s="1"/>
  <c r="D23" i="4"/>
  <c r="C24" i="4"/>
  <c r="D24" i="4"/>
  <c r="E24" i="4"/>
  <c r="C25" i="4"/>
  <c r="D25" i="4"/>
  <c r="F25" i="4" s="1"/>
  <c r="E25" i="4"/>
  <c r="C26" i="4"/>
  <c r="D26" i="4"/>
  <c r="E26" i="4"/>
  <c r="C27" i="4"/>
  <c r="D27" i="4"/>
  <c r="F27" i="4" s="1"/>
  <c r="E27" i="4"/>
  <c r="C28" i="4"/>
  <c r="D28" i="4"/>
  <c r="E28" i="4"/>
  <c r="C29" i="4"/>
  <c r="D29" i="4"/>
  <c r="F29" i="4" s="1"/>
  <c r="E29" i="4"/>
  <c r="C30" i="4"/>
  <c r="D30" i="4"/>
  <c r="E30" i="4"/>
  <c r="C31" i="4"/>
  <c r="D31" i="4"/>
  <c r="F31" i="4" s="1"/>
  <c r="E31" i="4"/>
  <c r="C32" i="4"/>
  <c r="D32" i="4"/>
  <c r="E32" i="4"/>
  <c r="C33" i="4"/>
  <c r="D33" i="4"/>
  <c r="F33" i="4" s="1"/>
  <c r="E33" i="4"/>
  <c r="C34" i="4"/>
  <c r="D34" i="4"/>
  <c r="E34" i="4"/>
  <c r="C35" i="4"/>
  <c r="D35" i="4"/>
  <c r="F35" i="4" s="1"/>
  <c r="E35" i="4"/>
  <c r="C36" i="4"/>
  <c r="D36" i="4"/>
  <c r="E36" i="4"/>
  <c r="B31" i="4"/>
  <c r="B32" i="4"/>
  <c r="B33" i="4"/>
  <c r="B34" i="4"/>
  <c r="B35" i="4"/>
  <c r="B36" i="4"/>
  <c r="B30" i="4"/>
  <c r="B29" i="4"/>
  <c r="B24" i="4"/>
  <c r="B25" i="4"/>
  <c r="B26" i="4"/>
  <c r="B27" i="4"/>
  <c r="B28" i="4"/>
  <c r="B23" i="4"/>
  <c r="F21" i="22747"/>
  <c r="C20" i="4"/>
  <c r="D13" i="4"/>
  <c r="E12" i="4"/>
  <c r="E9" i="4"/>
  <c r="E10" i="4"/>
  <c r="E11" i="4"/>
  <c r="G12" i="4"/>
  <c r="G11" i="4"/>
  <c r="G10" i="4"/>
  <c r="G9" i="4"/>
  <c r="Q56" i="22746"/>
  <c r="Q38" i="22746"/>
  <c r="Q61" i="3"/>
  <c r="R68" i="22746"/>
  <c r="CW56" i="22746"/>
  <c r="T53" i="3"/>
  <c r="CV39" i="3"/>
  <c r="CO39" i="3"/>
  <c r="CH39" i="3"/>
  <c r="CA39" i="3"/>
  <c r="BT39" i="3"/>
  <c r="BM39" i="3"/>
  <c r="BF39" i="3"/>
  <c r="AY39" i="3"/>
  <c r="AR39" i="3"/>
  <c r="AK39" i="3"/>
  <c r="AD39" i="3"/>
  <c r="W39" i="3"/>
  <c r="P39" i="3"/>
  <c r="I39" i="3"/>
  <c r="P38" i="22746"/>
  <c r="M40" i="22746"/>
  <c r="F74" i="4" l="1"/>
  <c r="F36" i="4"/>
  <c r="F34" i="4"/>
  <c r="F32" i="4"/>
  <c r="F30" i="4"/>
  <c r="F28" i="4"/>
  <c r="F26" i="4"/>
  <c r="E37" i="4"/>
  <c r="F24" i="4"/>
  <c r="D37" i="4"/>
  <c r="F62" i="4"/>
  <c r="C37" i="4"/>
  <c r="D12" i="4"/>
  <c r="F12" i="4" s="1"/>
  <c r="G13" i="4"/>
  <c r="D11" i="4"/>
  <c r="F11" i="4" s="1"/>
  <c r="CY79" i="3"/>
  <c r="CR79" i="3"/>
  <c r="CK79" i="3"/>
  <c r="CD79" i="3"/>
  <c r="BW79" i="3"/>
  <c r="BP79" i="3"/>
  <c r="BI79" i="3"/>
  <c r="BB79" i="3"/>
  <c r="AU79" i="3"/>
  <c r="AN79" i="3"/>
  <c r="AG79" i="3"/>
  <c r="Z79" i="3"/>
  <c r="S79" i="3"/>
  <c r="L79" i="3"/>
  <c r="E79" i="3"/>
  <c r="K78" i="3"/>
  <c r="G9" i="3"/>
  <c r="D78" i="22746"/>
  <c r="C37" i="22744"/>
  <c r="E78" i="22746"/>
  <c r="F79" i="22746"/>
  <c r="F78" i="22746"/>
  <c r="F77" i="22746"/>
  <c r="D77" i="22746"/>
  <c r="F49" i="22747"/>
  <c r="F37" i="4" l="1"/>
  <c r="CY50" i="3"/>
  <c r="CW50" i="3"/>
  <c r="CY49" i="3"/>
  <c r="CW49" i="3"/>
  <c r="CR50" i="3"/>
  <c r="CP50" i="3"/>
  <c r="CR49" i="3"/>
  <c r="CP49" i="3"/>
  <c r="CK50" i="3"/>
  <c r="CI50" i="3"/>
  <c r="CK49" i="3"/>
  <c r="CI49" i="3"/>
  <c r="CD50" i="3"/>
  <c r="CB50" i="3"/>
  <c r="CD49" i="3"/>
  <c r="CB49" i="3"/>
  <c r="BW50" i="3"/>
  <c r="BU50" i="3"/>
  <c r="BW49" i="3"/>
  <c r="BU49" i="3"/>
  <c r="BP50" i="3"/>
  <c r="BN50" i="3"/>
  <c r="BP49" i="3"/>
  <c r="BN49" i="3"/>
  <c r="BI50" i="3"/>
  <c r="BG50" i="3"/>
  <c r="BI49" i="3"/>
  <c r="BG49" i="3"/>
  <c r="BB50" i="3"/>
  <c r="AZ50" i="3"/>
  <c r="BB49" i="3"/>
  <c r="AZ49" i="3"/>
  <c r="AU50" i="3"/>
  <c r="AS50" i="3"/>
  <c r="AU49" i="3"/>
  <c r="AS49" i="3"/>
  <c r="AN50" i="3"/>
  <c r="AL50" i="3"/>
  <c r="AN49" i="3"/>
  <c r="AL49" i="3"/>
  <c r="AG50" i="3"/>
  <c r="AE50" i="3"/>
  <c r="AG49" i="3"/>
  <c r="AE49" i="3"/>
  <c r="Z50" i="3"/>
  <c r="X50" i="3"/>
  <c r="Z49" i="3"/>
  <c r="X49" i="3"/>
  <c r="S50" i="3"/>
  <c r="Q50" i="3"/>
  <c r="S49" i="3"/>
  <c r="Q49" i="3"/>
  <c r="E50" i="3"/>
  <c r="C50" i="3"/>
  <c r="A50" i="3"/>
  <c r="E49" i="3"/>
  <c r="C49" i="3"/>
  <c r="A49" i="3"/>
  <c r="J50" i="3"/>
  <c r="J49" i="3"/>
  <c r="G11" i="3" l="1"/>
  <c r="DA12" i="3"/>
  <c r="CX12" i="3" s="1"/>
  <c r="DA11" i="3"/>
  <c r="CT11" i="3"/>
  <c r="CM11" i="3"/>
  <c r="CF11" i="3"/>
  <c r="BY11" i="3"/>
  <c r="BR11" i="3"/>
  <c r="BK11" i="3"/>
  <c r="BD11" i="3"/>
  <c r="AW11" i="3"/>
  <c r="AP11" i="3"/>
  <c r="AI11" i="3"/>
  <c r="AB11" i="3"/>
  <c r="U11" i="3"/>
  <c r="N11" i="3"/>
  <c r="G74" i="22744"/>
  <c r="D13" i="3"/>
  <c r="D11" i="3" s="1"/>
  <c r="R13" i="3"/>
  <c r="U12" i="3"/>
  <c r="Y13" i="3"/>
  <c r="AB12" i="3"/>
  <c r="Y12" i="3" s="1"/>
  <c r="AF13" i="3"/>
  <c r="AI12" i="3"/>
  <c r="AM13" i="3"/>
  <c r="AP12" i="3"/>
  <c r="AT13" i="3"/>
  <c r="AW12" i="3"/>
  <c r="BA13" i="3"/>
  <c r="BD12" i="3"/>
  <c r="BH13" i="3"/>
  <c r="BK12" i="3"/>
  <c r="BO13" i="3"/>
  <c r="BR12" i="3"/>
  <c r="BV13" i="3"/>
  <c r="BY12" i="3"/>
  <c r="BY10" i="3"/>
  <c r="BY9" i="3"/>
  <c r="CC13" i="3"/>
  <c r="CF12" i="3"/>
  <c r="CJ13" i="3"/>
  <c r="CM12" i="3"/>
  <c r="CJ12" i="3" s="1"/>
  <c r="CX13" i="3"/>
  <c r="CR12" i="3"/>
  <c r="CT12" i="3"/>
  <c r="CY12" i="3"/>
  <c r="CK12" i="3"/>
  <c r="CD12" i="3"/>
  <c r="BW12" i="3"/>
  <c r="BP12" i="3"/>
  <c r="BI12" i="3"/>
  <c r="BB12" i="3"/>
  <c r="AU12" i="3"/>
  <c r="AN12" i="3"/>
  <c r="AG12" i="3"/>
  <c r="Z12" i="3"/>
  <c r="S12" i="3"/>
  <c r="G12" i="3"/>
  <c r="N12" i="3"/>
  <c r="N10" i="3"/>
  <c r="L12" i="3"/>
  <c r="CV12" i="3"/>
  <c r="CO12" i="3"/>
  <c r="CH12" i="3"/>
  <c r="CA12" i="3"/>
  <c r="BT12" i="3"/>
  <c r="BM12" i="3"/>
  <c r="BF12" i="3"/>
  <c r="AY12" i="3"/>
  <c r="AR12" i="3"/>
  <c r="AK12" i="3"/>
  <c r="AD12" i="3"/>
  <c r="W12" i="3"/>
  <c r="P12" i="3"/>
  <c r="I12" i="3"/>
  <c r="B12" i="3"/>
  <c r="E12" i="3"/>
  <c r="G10" i="3"/>
  <c r="G13" i="3" s="1"/>
  <c r="CY58" i="3"/>
  <c r="CR58" i="3"/>
  <c r="CK58" i="3"/>
  <c r="CD58" i="3"/>
  <c r="BW58" i="3"/>
  <c r="BP58" i="3"/>
  <c r="BI58" i="3"/>
  <c r="BB58" i="3"/>
  <c r="AU58" i="3"/>
  <c r="AN58" i="3"/>
  <c r="AG58" i="3"/>
  <c r="Z58" i="3"/>
  <c r="S58" i="3"/>
  <c r="L58" i="3"/>
  <c r="E58" i="3"/>
  <c r="CO71" i="3"/>
  <c r="CR70" i="3"/>
  <c r="CS70" i="3" s="1"/>
  <c r="CQ70" i="3"/>
  <c r="CP70" i="3"/>
  <c r="CO70" i="3"/>
  <c r="CR69" i="3"/>
  <c r="CS69" i="3" s="1"/>
  <c r="CQ69" i="3"/>
  <c r="CP69" i="3"/>
  <c r="CQ79" i="3" s="1"/>
  <c r="CS79" i="3" s="1"/>
  <c r="CO69" i="3"/>
  <c r="CO68" i="3"/>
  <c r="CO67" i="3"/>
  <c r="CO66" i="3"/>
  <c r="CR64" i="3"/>
  <c r="CS64" i="3" s="1"/>
  <c r="CQ64" i="3"/>
  <c r="CO64" i="3"/>
  <c r="CR63" i="3"/>
  <c r="CS63" i="3" s="1"/>
  <c r="CQ63" i="3"/>
  <c r="CP63" i="3"/>
  <c r="CO63" i="3"/>
  <c r="CP62" i="3"/>
  <c r="CR61" i="3"/>
  <c r="CS61" i="3" s="1"/>
  <c r="CP61" i="3"/>
  <c r="CO61" i="3"/>
  <c r="CR60" i="3"/>
  <c r="CS60" i="3" s="1"/>
  <c r="CP60" i="3"/>
  <c r="CO60" i="3"/>
  <c r="CR59" i="3"/>
  <c r="CS59" i="3" s="1"/>
  <c r="CO59" i="3"/>
  <c r="CQ58" i="3"/>
  <c r="CO58" i="3"/>
  <c r="CR57" i="3"/>
  <c r="CS57" i="3" s="1"/>
  <c r="CQ57" i="3"/>
  <c r="CO57" i="3"/>
  <c r="CV71" i="3"/>
  <c r="CY70" i="3"/>
  <c r="CZ70" i="3" s="1"/>
  <c r="CX70" i="3"/>
  <c r="CW70" i="3"/>
  <c r="CV70" i="3"/>
  <c r="CY69" i="3"/>
  <c r="CZ69" i="3" s="1"/>
  <c r="CX69" i="3"/>
  <c r="CW69" i="3"/>
  <c r="CV69" i="3"/>
  <c r="CV68" i="3"/>
  <c r="CV67" i="3"/>
  <c r="CV66" i="3"/>
  <c r="CY64" i="3"/>
  <c r="CZ64" i="3" s="1"/>
  <c r="CX64" i="3"/>
  <c r="CV64" i="3"/>
  <c r="CY63" i="3"/>
  <c r="CZ63" i="3" s="1"/>
  <c r="CX63" i="3"/>
  <c r="CW63" i="3"/>
  <c r="CV63" i="3"/>
  <c r="CW62" i="3"/>
  <c r="CY61" i="3"/>
  <c r="CZ61" i="3" s="1"/>
  <c r="CW61" i="3"/>
  <c r="CV61" i="3"/>
  <c r="CY60" i="3"/>
  <c r="CZ60" i="3" s="1"/>
  <c r="CW60" i="3"/>
  <c r="CV60" i="3"/>
  <c r="CY59" i="3"/>
  <c r="CZ59" i="3" s="1"/>
  <c r="CV59" i="3"/>
  <c r="CX58" i="3"/>
  <c r="CV58" i="3"/>
  <c r="CY57" i="3"/>
  <c r="CZ57" i="3" s="1"/>
  <c r="CX57" i="3"/>
  <c r="CV57" i="3"/>
  <c r="CH71" i="3"/>
  <c r="CK70" i="3"/>
  <c r="CL70" i="3" s="1"/>
  <c r="CJ70" i="3"/>
  <c r="CI70" i="3"/>
  <c r="CH70" i="3"/>
  <c r="CK69" i="3"/>
  <c r="CL69" i="3" s="1"/>
  <c r="CJ69" i="3"/>
  <c r="CI69" i="3"/>
  <c r="CJ79" i="3" s="1"/>
  <c r="CL79" i="3" s="1"/>
  <c r="CH69" i="3"/>
  <c r="CH68" i="3"/>
  <c r="CH67" i="3"/>
  <c r="CH66" i="3"/>
  <c r="CK64" i="3"/>
  <c r="CL64" i="3" s="1"/>
  <c r="CJ64" i="3"/>
  <c r="CH64" i="3"/>
  <c r="CK63" i="3"/>
  <c r="CL63" i="3" s="1"/>
  <c r="CJ63" i="3"/>
  <c r="CI63" i="3"/>
  <c r="CH63" i="3"/>
  <c r="CI62" i="3"/>
  <c r="CK61" i="3"/>
  <c r="CL61" i="3" s="1"/>
  <c r="CI61" i="3"/>
  <c r="CH61" i="3"/>
  <c r="CK60" i="3"/>
  <c r="CL60" i="3" s="1"/>
  <c r="CH60" i="3"/>
  <c r="CK59" i="3"/>
  <c r="CL59" i="3" s="1"/>
  <c r="CH59" i="3"/>
  <c r="CJ58" i="3"/>
  <c r="CH58" i="3"/>
  <c r="CK57" i="3"/>
  <c r="CL57" i="3" s="1"/>
  <c r="CJ57" i="3"/>
  <c r="CH57" i="3"/>
  <c r="CA71" i="3"/>
  <c r="CD70" i="3"/>
  <c r="CE70" i="3" s="1"/>
  <c r="CC70" i="3"/>
  <c r="CB70" i="3"/>
  <c r="CA70" i="3"/>
  <c r="CD69" i="3"/>
  <c r="CE69" i="3" s="1"/>
  <c r="CC69" i="3"/>
  <c r="CB69" i="3"/>
  <c r="CC79" i="3" s="1"/>
  <c r="CE79" i="3" s="1"/>
  <c r="CA69" i="3"/>
  <c r="CA68" i="3"/>
  <c r="CA67" i="3"/>
  <c r="CA66" i="3"/>
  <c r="CD64" i="3"/>
  <c r="CE64" i="3" s="1"/>
  <c r="CC64" i="3"/>
  <c r="CA64" i="3"/>
  <c r="CD63" i="3"/>
  <c r="CE63" i="3" s="1"/>
  <c r="CC63" i="3"/>
  <c r="CB63" i="3"/>
  <c r="CA63" i="3"/>
  <c r="CB62" i="3"/>
  <c r="CD61" i="3"/>
  <c r="CE61" i="3" s="1"/>
  <c r="CB61" i="3"/>
  <c r="CA61" i="3"/>
  <c r="CD60" i="3"/>
  <c r="CE60" i="3" s="1"/>
  <c r="CB60" i="3"/>
  <c r="CA60" i="3"/>
  <c r="CD59" i="3"/>
  <c r="CE59" i="3" s="1"/>
  <c r="CA59" i="3"/>
  <c r="CC58" i="3"/>
  <c r="CA58" i="3"/>
  <c r="CD57" i="3"/>
  <c r="CE57" i="3" s="1"/>
  <c r="CC57" i="3"/>
  <c r="CA57" i="3"/>
  <c r="BT71" i="3"/>
  <c r="BW70" i="3"/>
  <c r="BX70" i="3" s="1"/>
  <c r="BV70" i="3"/>
  <c r="BU70" i="3"/>
  <c r="BT70" i="3"/>
  <c r="BW69" i="3"/>
  <c r="BX69" i="3" s="1"/>
  <c r="BV69" i="3"/>
  <c r="BU69" i="3"/>
  <c r="BT69" i="3"/>
  <c r="BT68" i="3"/>
  <c r="BT67" i="3"/>
  <c r="BT66" i="3"/>
  <c r="BW64" i="3"/>
  <c r="BX64" i="3" s="1"/>
  <c r="BV64" i="3"/>
  <c r="BT64" i="3"/>
  <c r="BW63" i="3"/>
  <c r="BX63" i="3" s="1"/>
  <c r="BV63" i="3"/>
  <c r="BU63" i="3"/>
  <c r="BT63" i="3"/>
  <c r="BU62" i="3"/>
  <c r="BW61" i="3"/>
  <c r="BX61" i="3" s="1"/>
  <c r="BU61" i="3"/>
  <c r="BT61" i="3"/>
  <c r="BW60" i="3"/>
  <c r="BX60" i="3" s="1"/>
  <c r="BU60" i="3"/>
  <c r="BT60" i="3"/>
  <c r="BW59" i="3"/>
  <c r="BX59" i="3" s="1"/>
  <c r="BT59" i="3"/>
  <c r="BV58" i="3"/>
  <c r="BT58" i="3"/>
  <c r="BW57" i="3"/>
  <c r="BX57" i="3" s="1"/>
  <c r="BV57" i="3"/>
  <c r="BT57" i="3"/>
  <c r="BM71" i="3"/>
  <c r="BP70" i="3"/>
  <c r="BQ70" i="3" s="1"/>
  <c r="BO70" i="3"/>
  <c r="BN70" i="3"/>
  <c r="BM70" i="3"/>
  <c r="BP69" i="3"/>
  <c r="BQ69" i="3" s="1"/>
  <c r="BO69" i="3"/>
  <c r="BN69" i="3"/>
  <c r="BO79" i="3" s="1"/>
  <c r="BQ79" i="3" s="1"/>
  <c r="BM69" i="3"/>
  <c r="BP68" i="3"/>
  <c r="BQ68" i="3" s="1"/>
  <c r="BM68" i="3"/>
  <c r="BM67" i="3"/>
  <c r="BM66" i="3"/>
  <c r="BP64" i="3"/>
  <c r="BQ64" i="3" s="1"/>
  <c r="BO64" i="3"/>
  <c r="BM64" i="3"/>
  <c r="BP63" i="3"/>
  <c r="BQ63" i="3" s="1"/>
  <c r="BO63" i="3"/>
  <c r="BN63" i="3"/>
  <c r="BM63" i="3"/>
  <c r="BN62" i="3"/>
  <c r="BP61" i="3"/>
  <c r="BQ61" i="3" s="1"/>
  <c r="BN61" i="3"/>
  <c r="BM61" i="3"/>
  <c r="BP60" i="3"/>
  <c r="BQ60" i="3" s="1"/>
  <c r="BM60" i="3"/>
  <c r="BP59" i="3"/>
  <c r="BQ59" i="3" s="1"/>
  <c r="BM59" i="3"/>
  <c r="BO58" i="3"/>
  <c r="BM58" i="3"/>
  <c r="BP57" i="3"/>
  <c r="BQ57" i="3" s="1"/>
  <c r="BO57" i="3"/>
  <c r="BM57" i="3"/>
  <c r="BF71" i="3"/>
  <c r="BI70" i="3"/>
  <c r="BJ70" i="3" s="1"/>
  <c r="BH70" i="3"/>
  <c r="BG70" i="3"/>
  <c r="BF70" i="3"/>
  <c r="BI69" i="3"/>
  <c r="BJ69" i="3" s="1"/>
  <c r="BH69" i="3"/>
  <c r="BG69" i="3"/>
  <c r="BF69" i="3"/>
  <c r="BF68" i="3"/>
  <c r="BF67" i="3"/>
  <c r="BF66" i="3"/>
  <c r="BI64" i="3"/>
  <c r="BJ64" i="3" s="1"/>
  <c r="BH64" i="3"/>
  <c r="BF64" i="3"/>
  <c r="BI63" i="3"/>
  <c r="BJ63" i="3" s="1"/>
  <c r="BH63" i="3"/>
  <c r="BG63" i="3"/>
  <c r="BF63" i="3"/>
  <c r="BG62" i="3"/>
  <c r="BI61" i="3"/>
  <c r="BJ61" i="3" s="1"/>
  <c r="BG61" i="3"/>
  <c r="BF61" i="3"/>
  <c r="BI60" i="3"/>
  <c r="BJ60" i="3" s="1"/>
  <c r="BG60" i="3"/>
  <c r="BF60" i="3"/>
  <c r="BI59" i="3"/>
  <c r="BJ59" i="3" s="1"/>
  <c r="BF59" i="3"/>
  <c r="BH58" i="3"/>
  <c r="BF58" i="3"/>
  <c r="BI57" i="3"/>
  <c r="BJ57" i="3" s="1"/>
  <c r="BH57" i="3"/>
  <c r="BF57" i="3"/>
  <c r="AY71" i="3"/>
  <c r="BB70" i="3"/>
  <c r="BC70" i="3" s="1"/>
  <c r="BA70" i="3"/>
  <c r="AZ70" i="3"/>
  <c r="AY70" i="3"/>
  <c r="BB69" i="3"/>
  <c r="BC69" i="3" s="1"/>
  <c r="BA69" i="3"/>
  <c r="AZ69" i="3"/>
  <c r="BA79" i="3" s="1"/>
  <c r="BC79" i="3" s="1"/>
  <c r="AY69" i="3"/>
  <c r="AY68" i="3"/>
  <c r="AY67" i="3"/>
  <c r="AY66" i="3"/>
  <c r="BB64" i="3"/>
  <c r="BC64" i="3" s="1"/>
  <c r="BA64" i="3"/>
  <c r="AY64" i="3"/>
  <c r="BB63" i="3"/>
  <c r="BC63" i="3" s="1"/>
  <c r="BA63" i="3"/>
  <c r="AZ63" i="3"/>
  <c r="AY63" i="3"/>
  <c r="AZ62" i="3"/>
  <c r="BB61" i="3"/>
  <c r="BC61" i="3" s="1"/>
  <c r="AZ61" i="3"/>
  <c r="AY61" i="3"/>
  <c r="BB60" i="3"/>
  <c r="BC60" i="3" s="1"/>
  <c r="AZ60" i="3"/>
  <c r="AY60" i="3"/>
  <c r="BB59" i="3"/>
  <c r="BC59" i="3" s="1"/>
  <c r="AY59" i="3"/>
  <c r="BA58" i="3"/>
  <c r="AY58" i="3"/>
  <c r="BB57" i="3"/>
  <c r="BC57" i="3" s="1"/>
  <c r="BA57" i="3"/>
  <c r="AY57" i="3"/>
  <c r="AR71" i="3"/>
  <c r="AU70" i="3"/>
  <c r="AV70" i="3" s="1"/>
  <c r="AT70" i="3"/>
  <c r="AS70" i="3"/>
  <c r="AR70" i="3"/>
  <c r="AU69" i="3"/>
  <c r="AV69" i="3" s="1"/>
  <c r="AT69" i="3"/>
  <c r="AS69" i="3"/>
  <c r="AR69" i="3"/>
  <c r="AR68" i="3"/>
  <c r="AR67" i="3"/>
  <c r="AR66" i="3"/>
  <c r="AU64" i="3"/>
  <c r="AV64" i="3" s="1"/>
  <c r="AT64" i="3"/>
  <c r="AR64" i="3"/>
  <c r="AU63" i="3"/>
  <c r="AV63" i="3" s="1"/>
  <c r="AT63" i="3"/>
  <c r="AS63" i="3"/>
  <c r="AR63" i="3"/>
  <c r="AS62" i="3"/>
  <c r="AU61" i="3"/>
  <c r="AV61" i="3" s="1"/>
  <c r="AS61" i="3"/>
  <c r="AR61" i="3"/>
  <c r="AU60" i="3"/>
  <c r="AV60" i="3" s="1"/>
  <c r="AR60" i="3"/>
  <c r="AU59" i="3"/>
  <c r="AV59" i="3" s="1"/>
  <c r="AR59" i="3"/>
  <c r="AT58" i="3"/>
  <c r="AR58" i="3"/>
  <c r="AU57" i="3"/>
  <c r="AV57" i="3" s="1"/>
  <c r="AT57" i="3"/>
  <c r="AR57" i="3"/>
  <c r="AK71" i="3"/>
  <c r="AN70" i="3"/>
  <c r="AO70" i="3" s="1"/>
  <c r="AM70" i="3"/>
  <c r="AL70" i="3"/>
  <c r="AK70" i="3"/>
  <c r="AN69" i="3"/>
  <c r="AO69" i="3" s="1"/>
  <c r="AM69" i="3"/>
  <c r="AL69" i="3"/>
  <c r="AK69" i="3"/>
  <c r="AN68" i="3"/>
  <c r="AO68" i="3" s="1"/>
  <c r="AK68" i="3"/>
  <c r="AK67" i="3"/>
  <c r="AK66" i="3"/>
  <c r="AN64" i="3"/>
  <c r="AO64" i="3" s="1"/>
  <c r="AM64" i="3"/>
  <c r="AK64" i="3"/>
  <c r="AN63" i="3"/>
  <c r="AO63" i="3" s="1"/>
  <c r="AM63" i="3"/>
  <c r="AL63" i="3"/>
  <c r="AK63" i="3"/>
  <c r="AL62" i="3"/>
  <c r="AN61" i="3"/>
  <c r="AO61" i="3" s="1"/>
  <c r="AL61" i="3"/>
  <c r="AK61" i="3"/>
  <c r="AN60" i="3"/>
  <c r="AO60" i="3" s="1"/>
  <c r="AL60" i="3"/>
  <c r="AK60" i="3"/>
  <c r="AN59" i="3"/>
  <c r="AO59" i="3" s="1"/>
  <c r="AK59" i="3"/>
  <c r="AM58" i="3"/>
  <c r="AK58" i="3"/>
  <c r="AN57" i="3"/>
  <c r="AO57" i="3" s="1"/>
  <c r="AM57" i="3"/>
  <c r="AK57" i="3"/>
  <c r="AD71" i="3"/>
  <c r="AG70" i="3"/>
  <c r="AH70" i="3" s="1"/>
  <c r="AF70" i="3"/>
  <c r="AE70" i="3"/>
  <c r="AD70" i="3"/>
  <c r="AG69" i="3"/>
  <c r="AH69" i="3" s="1"/>
  <c r="AF69" i="3"/>
  <c r="AE69" i="3"/>
  <c r="AD69" i="3"/>
  <c r="AG68" i="3"/>
  <c r="AH68" i="3" s="1"/>
  <c r="AD68" i="3"/>
  <c r="AD67" i="3"/>
  <c r="AD66" i="3"/>
  <c r="AG64" i="3"/>
  <c r="AH64" i="3" s="1"/>
  <c r="AF64" i="3"/>
  <c r="AD64" i="3"/>
  <c r="AG63" i="3"/>
  <c r="AH63" i="3" s="1"/>
  <c r="AF63" i="3"/>
  <c r="AE63" i="3"/>
  <c r="AD63" i="3"/>
  <c r="AE62" i="3"/>
  <c r="AG61" i="3"/>
  <c r="AH61" i="3" s="1"/>
  <c r="AE61" i="3"/>
  <c r="AD61" i="3"/>
  <c r="AG60" i="3"/>
  <c r="AH60" i="3" s="1"/>
  <c r="AE60" i="3"/>
  <c r="AD60" i="3"/>
  <c r="AG59" i="3"/>
  <c r="AH59" i="3" s="1"/>
  <c r="AD59" i="3"/>
  <c r="AF58" i="3"/>
  <c r="AD58" i="3"/>
  <c r="AG57" i="3"/>
  <c r="AH57" i="3" s="1"/>
  <c r="AF57" i="3"/>
  <c r="AD57" i="3"/>
  <c r="W71" i="3"/>
  <c r="Z70" i="3"/>
  <c r="AA70" i="3" s="1"/>
  <c r="Y70" i="3"/>
  <c r="X70" i="3"/>
  <c r="W70" i="3"/>
  <c r="Z69" i="3"/>
  <c r="AA69" i="3" s="1"/>
  <c r="Y69" i="3"/>
  <c r="X69" i="3"/>
  <c r="W69" i="3"/>
  <c r="W68" i="3"/>
  <c r="W67" i="3"/>
  <c r="W66" i="3"/>
  <c r="Z64" i="3"/>
  <c r="AA64" i="3" s="1"/>
  <c r="Y64" i="3"/>
  <c r="W64" i="3"/>
  <c r="Z63" i="3"/>
  <c r="AA63" i="3" s="1"/>
  <c r="Y63" i="3"/>
  <c r="W63" i="3"/>
  <c r="Z61" i="3"/>
  <c r="AA61" i="3" s="1"/>
  <c r="X61" i="3"/>
  <c r="W61" i="3"/>
  <c r="Z60" i="3"/>
  <c r="AA60" i="3" s="1"/>
  <c r="W60" i="3"/>
  <c r="Z59" i="3"/>
  <c r="AA59" i="3" s="1"/>
  <c r="W59" i="3"/>
  <c r="Y58" i="3"/>
  <c r="W58" i="3"/>
  <c r="Z57" i="3"/>
  <c r="AA57" i="3" s="1"/>
  <c r="Y57" i="3"/>
  <c r="W57" i="3"/>
  <c r="P71" i="3"/>
  <c r="S70" i="3"/>
  <c r="T70" i="3" s="1"/>
  <c r="R70" i="3"/>
  <c r="Q70" i="3"/>
  <c r="P70" i="3"/>
  <c r="S69" i="3"/>
  <c r="T69" i="3" s="1"/>
  <c r="R69" i="3"/>
  <c r="Q69" i="3"/>
  <c r="P69" i="3"/>
  <c r="S68" i="3"/>
  <c r="T68" i="3" s="1"/>
  <c r="P68" i="3"/>
  <c r="P67" i="3"/>
  <c r="P66" i="3"/>
  <c r="S64" i="3"/>
  <c r="T64" i="3" s="1"/>
  <c r="R64" i="3"/>
  <c r="P64" i="3"/>
  <c r="S63" i="3"/>
  <c r="T63" i="3" s="1"/>
  <c r="R63" i="3"/>
  <c r="Q63" i="3"/>
  <c r="P63" i="3"/>
  <c r="Q62" i="3"/>
  <c r="S61" i="3"/>
  <c r="T61" i="3" s="1"/>
  <c r="P61" i="3"/>
  <c r="S60" i="3"/>
  <c r="T60" i="3" s="1"/>
  <c r="P60" i="3"/>
  <c r="S59" i="3"/>
  <c r="T59" i="3" s="1"/>
  <c r="P59" i="3"/>
  <c r="R58" i="3"/>
  <c r="P58" i="3"/>
  <c r="S57" i="3"/>
  <c r="T57" i="3" s="1"/>
  <c r="R57" i="3"/>
  <c r="P57" i="3"/>
  <c r="I71" i="3"/>
  <c r="L70" i="3"/>
  <c r="M70" i="3" s="1"/>
  <c r="K70" i="3"/>
  <c r="J70" i="3"/>
  <c r="I70" i="3"/>
  <c r="L69" i="3"/>
  <c r="M69" i="3" s="1"/>
  <c r="K69" i="3"/>
  <c r="J69" i="3"/>
  <c r="I69" i="3"/>
  <c r="L68" i="3"/>
  <c r="M68" i="3" s="1"/>
  <c r="I68" i="3"/>
  <c r="I67" i="3"/>
  <c r="I66" i="3"/>
  <c r="L64" i="3"/>
  <c r="M64" i="3" s="1"/>
  <c r="K64" i="3"/>
  <c r="I64" i="3"/>
  <c r="L63" i="3"/>
  <c r="M63" i="3" s="1"/>
  <c r="K63" i="3"/>
  <c r="J63" i="3"/>
  <c r="I63" i="3"/>
  <c r="J62" i="3"/>
  <c r="L61" i="3"/>
  <c r="M61" i="3" s="1"/>
  <c r="J61" i="3"/>
  <c r="I61" i="3"/>
  <c r="L60" i="3"/>
  <c r="M60" i="3" s="1"/>
  <c r="I60" i="3"/>
  <c r="L59" i="3"/>
  <c r="M59" i="3" s="1"/>
  <c r="I59" i="3"/>
  <c r="K58" i="3"/>
  <c r="I58" i="3"/>
  <c r="L57" i="3"/>
  <c r="M57" i="3" s="1"/>
  <c r="K57" i="3"/>
  <c r="I57" i="3"/>
  <c r="F71" i="3"/>
  <c r="D70" i="3"/>
  <c r="C70" i="3"/>
  <c r="E69" i="3"/>
  <c r="F69" i="3" s="1"/>
  <c r="D69" i="3"/>
  <c r="C69" i="3"/>
  <c r="B69" i="3"/>
  <c r="P70" i="22746"/>
  <c r="S69" i="22746"/>
  <c r="R69" i="22746"/>
  <c r="Q69" i="22746"/>
  <c r="P69" i="22746"/>
  <c r="Q68" i="22746"/>
  <c r="P68" i="22746"/>
  <c r="P67" i="22746"/>
  <c r="P66" i="22746"/>
  <c r="P65" i="22746"/>
  <c r="R63" i="22746"/>
  <c r="P63" i="22746"/>
  <c r="R62" i="22746"/>
  <c r="Q62" i="22746"/>
  <c r="P62" i="22746"/>
  <c r="Q61" i="22746"/>
  <c r="Q60" i="22746"/>
  <c r="P60" i="22746"/>
  <c r="R59" i="22746"/>
  <c r="Q59" i="22746"/>
  <c r="P59" i="22746"/>
  <c r="R58" i="22746"/>
  <c r="Q58" i="22746"/>
  <c r="P58" i="22746"/>
  <c r="R57" i="22746"/>
  <c r="Q57" i="22746"/>
  <c r="P57" i="22746"/>
  <c r="R56" i="22746"/>
  <c r="P56" i="22746"/>
  <c r="C63" i="3"/>
  <c r="C62" i="3"/>
  <c r="D58" i="3"/>
  <c r="M58" i="3" l="1"/>
  <c r="AA58" i="3"/>
  <c r="AA65" i="3" s="1"/>
  <c r="AO58" i="3"/>
  <c r="AO65" i="3" s="1"/>
  <c r="BC58" i="3"/>
  <c r="BC65" i="3" s="1"/>
  <c r="BQ58" i="3"/>
  <c r="BQ65" i="3" s="1"/>
  <c r="CE58" i="3"/>
  <c r="CE65" i="3" s="1"/>
  <c r="CS58" i="3"/>
  <c r="T58" i="3"/>
  <c r="T65" i="3" s="1"/>
  <c r="AH58" i="3"/>
  <c r="AV58" i="3"/>
  <c r="AV65" i="3" s="1"/>
  <c r="BJ58" i="3"/>
  <c r="BJ65" i="3" s="1"/>
  <c r="BX58" i="3"/>
  <c r="BX65" i="3" s="1"/>
  <c r="CL58" i="3"/>
  <c r="CL65" i="3" s="1"/>
  <c r="CZ58" i="3"/>
  <c r="CZ65" i="3" s="1"/>
  <c r="M65" i="3"/>
  <c r="AH65" i="3"/>
  <c r="CS65" i="3"/>
  <c r="D79" i="3"/>
  <c r="F79" i="3" s="1"/>
  <c r="K79" i="3"/>
  <c r="M79" i="3" s="1"/>
  <c r="R79" i="3"/>
  <c r="T79" i="3" s="1"/>
  <c r="Y79" i="3"/>
  <c r="AA79" i="3" s="1"/>
  <c r="AF79" i="3"/>
  <c r="AH79" i="3" s="1"/>
  <c r="AM79" i="3"/>
  <c r="AO79" i="3" s="1"/>
  <c r="AT79" i="3"/>
  <c r="AV79" i="3" s="1"/>
  <c r="BH79" i="3"/>
  <c r="BJ79" i="3" s="1"/>
  <c r="BV79" i="3"/>
  <c r="BX79" i="3" s="1"/>
  <c r="CX79" i="3"/>
  <c r="CZ79" i="3" s="1"/>
  <c r="D12" i="3"/>
  <c r="CC12" i="3"/>
  <c r="BY13" i="3"/>
  <c r="BV12" i="3"/>
  <c r="AM12" i="3"/>
  <c r="AO12" i="3" s="1"/>
  <c r="AF12" i="3"/>
  <c r="F12" i="3"/>
  <c r="BO12" i="3"/>
  <c r="BH12" i="3"/>
  <c r="BA12" i="3"/>
  <c r="D10" i="3"/>
  <c r="AT12" i="3"/>
  <c r="R12" i="3"/>
  <c r="BQ12" i="3"/>
  <c r="CZ12" i="3"/>
  <c r="CL12" i="3"/>
  <c r="CE12" i="3"/>
  <c r="BX12" i="3"/>
  <c r="BJ12" i="3"/>
  <c r="BC12" i="3"/>
  <c r="AV12" i="3"/>
  <c r="AH12" i="3"/>
  <c r="AA12" i="3"/>
  <c r="T12" i="3"/>
  <c r="E68" i="3"/>
  <c r="F68" i="3" s="1"/>
  <c r="J58" i="22746"/>
  <c r="C58" i="22746"/>
  <c r="C38" i="22746"/>
  <c r="C56" i="22746"/>
  <c r="B70" i="3"/>
  <c r="B67" i="3"/>
  <c r="B68" i="3"/>
  <c r="B71" i="3"/>
  <c r="CY38" i="3" l="1"/>
  <c r="CX38" i="3"/>
  <c r="CW38" i="3"/>
  <c r="CV38" i="3"/>
  <c r="CY37" i="3"/>
  <c r="CX37" i="3"/>
  <c r="CW37" i="3"/>
  <c r="CV37" i="3"/>
  <c r="CY36" i="3"/>
  <c r="CX36" i="3"/>
  <c r="CW36" i="3"/>
  <c r="CV36" i="3"/>
  <c r="CY35" i="3"/>
  <c r="CX35" i="3"/>
  <c r="CW35" i="3"/>
  <c r="CV35" i="3"/>
  <c r="CY34" i="3"/>
  <c r="CX34" i="3"/>
  <c r="CW34" i="3"/>
  <c r="CV34" i="3"/>
  <c r="CY33" i="3"/>
  <c r="CX33" i="3"/>
  <c r="CW33" i="3"/>
  <c r="CV33" i="3"/>
  <c r="CY32" i="3"/>
  <c r="CX32" i="3"/>
  <c r="CW32" i="3"/>
  <c r="CV32" i="3"/>
  <c r="CU32" i="3"/>
  <c r="CY31" i="3"/>
  <c r="CX31" i="3"/>
  <c r="CW31" i="3"/>
  <c r="CV31" i="3"/>
  <c r="CY30" i="3"/>
  <c r="CX30" i="3"/>
  <c r="CW30" i="3"/>
  <c r="CV30" i="3"/>
  <c r="CY29" i="3"/>
  <c r="CX29" i="3"/>
  <c r="CW29" i="3"/>
  <c r="CV29" i="3"/>
  <c r="CY28" i="3"/>
  <c r="CX28" i="3"/>
  <c r="CW28" i="3"/>
  <c r="CV28" i="3"/>
  <c r="CY27" i="3"/>
  <c r="CX27" i="3"/>
  <c r="CW27" i="3"/>
  <c r="CV27" i="3"/>
  <c r="CY26" i="3"/>
  <c r="CX26" i="3"/>
  <c r="CW26" i="3"/>
  <c r="CV26" i="3"/>
  <c r="CY25" i="3"/>
  <c r="CX25" i="3"/>
  <c r="CW25" i="3"/>
  <c r="CV25" i="3"/>
  <c r="CR38" i="3"/>
  <c r="CQ38" i="3"/>
  <c r="CP38" i="3"/>
  <c r="CO38" i="3"/>
  <c r="CR37" i="3"/>
  <c r="CQ37" i="3"/>
  <c r="CP37" i="3"/>
  <c r="CO37" i="3"/>
  <c r="CR36" i="3"/>
  <c r="CQ36" i="3"/>
  <c r="CP36" i="3"/>
  <c r="CO36" i="3"/>
  <c r="CR35" i="3"/>
  <c r="CQ35" i="3"/>
  <c r="CP35" i="3"/>
  <c r="CO35" i="3"/>
  <c r="CR34" i="3"/>
  <c r="CQ34" i="3"/>
  <c r="CP34" i="3"/>
  <c r="CO34" i="3"/>
  <c r="CR33" i="3"/>
  <c r="CQ33" i="3"/>
  <c r="CP33" i="3"/>
  <c r="CO33" i="3"/>
  <c r="CR32" i="3"/>
  <c r="CQ32" i="3"/>
  <c r="CP32" i="3"/>
  <c r="CO32" i="3"/>
  <c r="CN32" i="3"/>
  <c r="CR31" i="3"/>
  <c r="CQ31" i="3"/>
  <c r="CP31" i="3"/>
  <c r="CO31" i="3"/>
  <c r="CR30" i="3"/>
  <c r="CQ30" i="3"/>
  <c r="CP30" i="3"/>
  <c r="CO30" i="3"/>
  <c r="CR29" i="3"/>
  <c r="CQ29" i="3"/>
  <c r="CP29" i="3"/>
  <c r="CO29" i="3"/>
  <c r="CR28" i="3"/>
  <c r="CQ28" i="3"/>
  <c r="CP28" i="3"/>
  <c r="CO28" i="3"/>
  <c r="CR27" i="3"/>
  <c r="CQ27" i="3"/>
  <c r="CP27" i="3"/>
  <c r="CO27" i="3"/>
  <c r="CR26" i="3"/>
  <c r="CQ26" i="3"/>
  <c r="CP26" i="3"/>
  <c r="CO26" i="3"/>
  <c r="CR25" i="3"/>
  <c r="CQ25" i="3"/>
  <c r="CP25" i="3"/>
  <c r="CO25" i="3"/>
  <c r="CK38" i="3"/>
  <c r="CJ38" i="3"/>
  <c r="CI38" i="3"/>
  <c r="CH38" i="3"/>
  <c r="CK37" i="3"/>
  <c r="CJ37" i="3"/>
  <c r="CI37" i="3"/>
  <c r="CH37" i="3"/>
  <c r="CK36" i="3"/>
  <c r="CJ36" i="3"/>
  <c r="CI36" i="3"/>
  <c r="CH36" i="3"/>
  <c r="CK35" i="3"/>
  <c r="CJ35" i="3"/>
  <c r="CI35" i="3"/>
  <c r="CH35" i="3"/>
  <c r="CK34" i="3"/>
  <c r="CJ34" i="3"/>
  <c r="CI34" i="3"/>
  <c r="CH34" i="3"/>
  <c r="CK33" i="3"/>
  <c r="CJ33" i="3"/>
  <c r="CI33" i="3"/>
  <c r="CH33" i="3"/>
  <c r="CK32" i="3"/>
  <c r="CJ32" i="3"/>
  <c r="CI32" i="3"/>
  <c r="CH32" i="3"/>
  <c r="CG32" i="3"/>
  <c r="CK31" i="3"/>
  <c r="CJ31" i="3"/>
  <c r="CI31" i="3"/>
  <c r="CH31" i="3"/>
  <c r="CK30" i="3"/>
  <c r="CJ30" i="3"/>
  <c r="CI30" i="3"/>
  <c r="CH30" i="3"/>
  <c r="CK29" i="3"/>
  <c r="CJ29" i="3"/>
  <c r="CI29" i="3"/>
  <c r="CH29" i="3"/>
  <c r="CK28" i="3"/>
  <c r="CJ28" i="3"/>
  <c r="CI28" i="3"/>
  <c r="CH28" i="3"/>
  <c r="CK27" i="3"/>
  <c r="CJ27" i="3"/>
  <c r="CI27" i="3"/>
  <c r="CH27" i="3"/>
  <c r="CK26" i="3"/>
  <c r="CJ26" i="3"/>
  <c r="CI26" i="3"/>
  <c r="CH26" i="3"/>
  <c r="CK25" i="3"/>
  <c r="CJ25" i="3"/>
  <c r="CI25" i="3"/>
  <c r="CH25" i="3"/>
  <c r="CD38" i="3"/>
  <c r="CC38" i="3"/>
  <c r="CB38" i="3"/>
  <c r="CA38" i="3"/>
  <c r="CD37" i="3"/>
  <c r="CC37" i="3"/>
  <c r="CB37" i="3"/>
  <c r="CA37" i="3"/>
  <c r="CD36" i="3"/>
  <c r="CC36" i="3"/>
  <c r="CB36" i="3"/>
  <c r="CA36" i="3"/>
  <c r="CD35" i="3"/>
  <c r="CC35" i="3"/>
  <c r="CB35" i="3"/>
  <c r="CA35" i="3"/>
  <c r="CD34" i="3"/>
  <c r="CC34" i="3"/>
  <c r="CB34" i="3"/>
  <c r="CA34" i="3"/>
  <c r="CD33" i="3"/>
  <c r="CC33" i="3"/>
  <c r="CB33" i="3"/>
  <c r="CA33" i="3"/>
  <c r="CD32" i="3"/>
  <c r="CC32" i="3"/>
  <c r="CB32" i="3"/>
  <c r="CA32" i="3"/>
  <c r="BZ32" i="3"/>
  <c r="CD31" i="3"/>
  <c r="CC31" i="3"/>
  <c r="CB31" i="3"/>
  <c r="CA31" i="3"/>
  <c r="CD30" i="3"/>
  <c r="CC30" i="3"/>
  <c r="CB30" i="3"/>
  <c r="CA30" i="3"/>
  <c r="CD29" i="3"/>
  <c r="CC29" i="3"/>
  <c r="CB29" i="3"/>
  <c r="CA29" i="3"/>
  <c r="CD28" i="3"/>
  <c r="CC28" i="3"/>
  <c r="CB28" i="3"/>
  <c r="CA28" i="3"/>
  <c r="CD27" i="3"/>
  <c r="CC27" i="3"/>
  <c r="CB27" i="3"/>
  <c r="CA27" i="3"/>
  <c r="CD26" i="3"/>
  <c r="CC26" i="3"/>
  <c r="CB26" i="3"/>
  <c r="CA26" i="3"/>
  <c r="CD25" i="3"/>
  <c r="CC25" i="3"/>
  <c r="CB25" i="3"/>
  <c r="CA25" i="3"/>
  <c r="BW38" i="3"/>
  <c r="BV38" i="3"/>
  <c r="BU38" i="3"/>
  <c r="BT38" i="3"/>
  <c r="BW37" i="3"/>
  <c r="BV37" i="3"/>
  <c r="BU37" i="3"/>
  <c r="BT37" i="3"/>
  <c r="BW36" i="3"/>
  <c r="BV36" i="3"/>
  <c r="BU36" i="3"/>
  <c r="BT36" i="3"/>
  <c r="BW35" i="3"/>
  <c r="BV35" i="3"/>
  <c r="BU35" i="3"/>
  <c r="BT35" i="3"/>
  <c r="BW34" i="3"/>
  <c r="BV34" i="3"/>
  <c r="BU34" i="3"/>
  <c r="BT34" i="3"/>
  <c r="BW33" i="3"/>
  <c r="BV33" i="3"/>
  <c r="BU33" i="3"/>
  <c r="BT33" i="3"/>
  <c r="BW32" i="3"/>
  <c r="BV32" i="3"/>
  <c r="BU32" i="3"/>
  <c r="BT32" i="3"/>
  <c r="BS32" i="3"/>
  <c r="BW31" i="3"/>
  <c r="BV31" i="3"/>
  <c r="BU31" i="3"/>
  <c r="BT31" i="3"/>
  <c r="BW30" i="3"/>
  <c r="BV30" i="3"/>
  <c r="BU30" i="3"/>
  <c r="BT30" i="3"/>
  <c r="BW29" i="3"/>
  <c r="BV29" i="3"/>
  <c r="BU29" i="3"/>
  <c r="BT29" i="3"/>
  <c r="BW28" i="3"/>
  <c r="BV28" i="3"/>
  <c r="BU28" i="3"/>
  <c r="BT28" i="3"/>
  <c r="BW27" i="3"/>
  <c r="BV27" i="3"/>
  <c r="BU27" i="3"/>
  <c r="BT27" i="3"/>
  <c r="BW26" i="3"/>
  <c r="BV26" i="3"/>
  <c r="BU26" i="3"/>
  <c r="BT26" i="3"/>
  <c r="BW25" i="3"/>
  <c r="BV25" i="3"/>
  <c r="BU25" i="3"/>
  <c r="BT25" i="3"/>
  <c r="BP38" i="3"/>
  <c r="BO38" i="3"/>
  <c r="BN38" i="3"/>
  <c r="BM38" i="3"/>
  <c r="BP37" i="3"/>
  <c r="BO37" i="3"/>
  <c r="BN37" i="3"/>
  <c r="BM37" i="3"/>
  <c r="BP36" i="3"/>
  <c r="BO36" i="3"/>
  <c r="BN36" i="3"/>
  <c r="BM36" i="3"/>
  <c r="BP35" i="3"/>
  <c r="BO35" i="3"/>
  <c r="BN35" i="3"/>
  <c r="BM35" i="3"/>
  <c r="BP34" i="3"/>
  <c r="BO34" i="3"/>
  <c r="BN34" i="3"/>
  <c r="BM34" i="3"/>
  <c r="BP33" i="3"/>
  <c r="BO33" i="3"/>
  <c r="BN33" i="3"/>
  <c r="BM33" i="3"/>
  <c r="BP32" i="3"/>
  <c r="BO32" i="3"/>
  <c r="BN32" i="3"/>
  <c r="BM32" i="3"/>
  <c r="BL32" i="3"/>
  <c r="BP31" i="3"/>
  <c r="BO31" i="3"/>
  <c r="BN31" i="3"/>
  <c r="BM31" i="3"/>
  <c r="BP30" i="3"/>
  <c r="BO30" i="3"/>
  <c r="BN30" i="3"/>
  <c r="BM30" i="3"/>
  <c r="BP29" i="3"/>
  <c r="BO29" i="3"/>
  <c r="BN29" i="3"/>
  <c r="BM29" i="3"/>
  <c r="BP28" i="3"/>
  <c r="BO28" i="3"/>
  <c r="BN28" i="3"/>
  <c r="BM28" i="3"/>
  <c r="BP27" i="3"/>
  <c r="BO27" i="3"/>
  <c r="BN27" i="3"/>
  <c r="BM27" i="3"/>
  <c r="BP26" i="3"/>
  <c r="BO26" i="3"/>
  <c r="BN26" i="3"/>
  <c r="BM26" i="3"/>
  <c r="BP25" i="3"/>
  <c r="BO25" i="3"/>
  <c r="BN25" i="3"/>
  <c r="BM25" i="3"/>
  <c r="BI38" i="3"/>
  <c r="BH38" i="3"/>
  <c r="BG38" i="3"/>
  <c r="BF38" i="3"/>
  <c r="BI37" i="3"/>
  <c r="BH37" i="3"/>
  <c r="BG37" i="3"/>
  <c r="BF37" i="3"/>
  <c r="BI36" i="3"/>
  <c r="BH36" i="3"/>
  <c r="BG36" i="3"/>
  <c r="BF36" i="3"/>
  <c r="BI35" i="3"/>
  <c r="BH35" i="3"/>
  <c r="BG35" i="3"/>
  <c r="BF35" i="3"/>
  <c r="BI34" i="3"/>
  <c r="BH34" i="3"/>
  <c r="BG34" i="3"/>
  <c r="BF34" i="3"/>
  <c r="BI33" i="3"/>
  <c r="BH33" i="3"/>
  <c r="BG33" i="3"/>
  <c r="BF33" i="3"/>
  <c r="BI32" i="3"/>
  <c r="BH32" i="3"/>
  <c r="BG32" i="3"/>
  <c r="BF32" i="3"/>
  <c r="BE32" i="3"/>
  <c r="BI31" i="3"/>
  <c r="BH31" i="3"/>
  <c r="BG31" i="3"/>
  <c r="BF31" i="3"/>
  <c r="BI30" i="3"/>
  <c r="BH30" i="3"/>
  <c r="BG30" i="3"/>
  <c r="BF30" i="3"/>
  <c r="BI29" i="3"/>
  <c r="BH29" i="3"/>
  <c r="BG29" i="3"/>
  <c r="BF29" i="3"/>
  <c r="BI28" i="3"/>
  <c r="BH28" i="3"/>
  <c r="BG28" i="3"/>
  <c r="BF28" i="3"/>
  <c r="BI27" i="3"/>
  <c r="BH27" i="3"/>
  <c r="BG27" i="3"/>
  <c r="BF27" i="3"/>
  <c r="BI26" i="3"/>
  <c r="BH26" i="3"/>
  <c r="BG26" i="3"/>
  <c r="BF26" i="3"/>
  <c r="BI25" i="3"/>
  <c r="BH25" i="3"/>
  <c r="BG25" i="3"/>
  <c r="BF25" i="3"/>
  <c r="BB38" i="3"/>
  <c r="BA38" i="3"/>
  <c r="AZ38" i="3"/>
  <c r="AY38" i="3"/>
  <c r="BB37" i="3"/>
  <c r="BA37" i="3"/>
  <c r="AZ37" i="3"/>
  <c r="AY37" i="3"/>
  <c r="BB36" i="3"/>
  <c r="BA36" i="3"/>
  <c r="AZ36" i="3"/>
  <c r="AY36" i="3"/>
  <c r="BB35" i="3"/>
  <c r="BA35" i="3"/>
  <c r="AZ35" i="3"/>
  <c r="AY35" i="3"/>
  <c r="BB34" i="3"/>
  <c r="BA34" i="3"/>
  <c r="AZ34" i="3"/>
  <c r="AY34" i="3"/>
  <c r="BB33" i="3"/>
  <c r="BA33" i="3"/>
  <c r="AZ33" i="3"/>
  <c r="AY33" i="3"/>
  <c r="BB32" i="3"/>
  <c r="BA32" i="3"/>
  <c r="AZ32" i="3"/>
  <c r="AY32" i="3"/>
  <c r="AX32" i="3"/>
  <c r="BB31" i="3"/>
  <c r="BA31" i="3"/>
  <c r="AZ31" i="3"/>
  <c r="AY31" i="3"/>
  <c r="BB30" i="3"/>
  <c r="BA30" i="3"/>
  <c r="AZ30" i="3"/>
  <c r="AY30" i="3"/>
  <c r="BB29" i="3"/>
  <c r="BA29" i="3"/>
  <c r="AZ29" i="3"/>
  <c r="AY29" i="3"/>
  <c r="BB28" i="3"/>
  <c r="BA28" i="3"/>
  <c r="AZ28" i="3"/>
  <c r="AY28" i="3"/>
  <c r="BB27" i="3"/>
  <c r="BA27" i="3"/>
  <c r="AZ27" i="3"/>
  <c r="AY27" i="3"/>
  <c r="BB26" i="3"/>
  <c r="BA26" i="3"/>
  <c r="AZ26" i="3"/>
  <c r="AY26" i="3"/>
  <c r="BB25" i="3"/>
  <c r="BA25" i="3"/>
  <c r="AZ25" i="3"/>
  <c r="AY25" i="3"/>
  <c r="AU38" i="3"/>
  <c r="AT38" i="3"/>
  <c r="AS38" i="3"/>
  <c r="AR38" i="3"/>
  <c r="AU37" i="3"/>
  <c r="AT37" i="3"/>
  <c r="AS37" i="3"/>
  <c r="AR37" i="3"/>
  <c r="AU36" i="3"/>
  <c r="AT36" i="3"/>
  <c r="AS36" i="3"/>
  <c r="AR36" i="3"/>
  <c r="AU35" i="3"/>
  <c r="AT35" i="3"/>
  <c r="AS35" i="3"/>
  <c r="AR35" i="3"/>
  <c r="AU34" i="3"/>
  <c r="AT34" i="3"/>
  <c r="AS34" i="3"/>
  <c r="AR34" i="3"/>
  <c r="AU33" i="3"/>
  <c r="AT33" i="3"/>
  <c r="AS33" i="3"/>
  <c r="AR33" i="3"/>
  <c r="AU32" i="3"/>
  <c r="AT32" i="3"/>
  <c r="AS32" i="3"/>
  <c r="AR32" i="3"/>
  <c r="AQ32" i="3"/>
  <c r="AU31" i="3"/>
  <c r="AT31" i="3"/>
  <c r="AS31" i="3"/>
  <c r="AR31" i="3"/>
  <c r="AU30" i="3"/>
  <c r="AT30" i="3"/>
  <c r="AS30" i="3"/>
  <c r="AR30" i="3"/>
  <c r="AU29" i="3"/>
  <c r="AT29" i="3"/>
  <c r="AS29" i="3"/>
  <c r="AR29" i="3"/>
  <c r="AU28" i="3"/>
  <c r="AT28" i="3"/>
  <c r="AS28" i="3"/>
  <c r="AR28" i="3"/>
  <c r="AU27" i="3"/>
  <c r="AT27" i="3"/>
  <c r="AS27" i="3"/>
  <c r="AR27" i="3"/>
  <c r="AU26" i="3"/>
  <c r="AT26" i="3"/>
  <c r="AS26" i="3"/>
  <c r="AR26" i="3"/>
  <c r="AU25" i="3"/>
  <c r="AT25" i="3"/>
  <c r="AS25" i="3"/>
  <c r="AR25" i="3"/>
  <c r="AN38" i="3"/>
  <c r="AM38" i="3"/>
  <c r="AL38" i="3"/>
  <c r="AK38" i="3"/>
  <c r="AN37" i="3"/>
  <c r="AM37" i="3"/>
  <c r="AL37" i="3"/>
  <c r="AK37" i="3"/>
  <c r="AN36" i="3"/>
  <c r="AM36" i="3"/>
  <c r="AL36" i="3"/>
  <c r="AK36" i="3"/>
  <c r="AN35" i="3"/>
  <c r="AM35" i="3"/>
  <c r="AL35" i="3"/>
  <c r="AK35" i="3"/>
  <c r="AN34" i="3"/>
  <c r="AM34" i="3"/>
  <c r="AL34" i="3"/>
  <c r="AK34" i="3"/>
  <c r="AN33" i="3"/>
  <c r="AM33" i="3"/>
  <c r="AL33" i="3"/>
  <c r="AK33" i="3"/>
  <c r="AN32" i="3"/>
  <c r="AM32" i="3"/>
  <c r="AL32" i="3"/>
  <c r="AK32" i="3"/>
  <c r="AJ32" i="3"/>
  <c r="AN31" i="3"/>
  <c r="AM31" i="3"/>
  <c r="AL31" i="3"/>
  <c r="AK31" i="3"/>
  <c r="AN30" i="3"/>
  <c r="AM30" i="3"/>
  <c r="AL30" i="3"/>
  <c r="AK30" i="3"/>
  <c r="AN29" i="3"/>
  <c r="AM29" i="3"/>
  <c r="AL29" i="3"/>
  <c r="AK29" i="3"/>
  <c r="AN28" i="3"/>
  <c r="AM28" i="3"/>
  <c r="AL28" i="3"/>
  <c r="AK28" i="3"/>
  <c r="AN27" i="3"/>
  <c r="AM27" i="3"/>
  <c r="AL27" i="3"/>
  <c r="AK27" i="3"/>
  <c r="AN26" i="3"/>
  <c r="AM26" i="3"/>
  <c r="AL26" i="3"/>
  <c r="AK26" i="3"/>
  <c r="AN25" i="3"/>
  <c r="AM25" i="3"/>
  <c r="AL25" i="3"/>
  <c r="AL39" i="3" s="1"/>
  <c r="AL57" i="3" s="1"/>
  <c r="AK25" i="3"/>
  <c r="AG38" i="3"/>
  <c r="AF38" i="3"/>
  <c r="AE38" i="3"/>
  <c r="AD38" i="3"/>
  <c r="AG37" i="3"/>
  <c r="AF37" i="3"/>
  <c r="AE37" i="3"/>
  <c r="AD37" i="3"/>
  <c r="AG36" i="3"/>
  <c r="AF36" i="3"/>
  <c r="AE36" i="3"/>
  <c r="AD36" i="3"/>
  <c r="AG35" i="3"/>
  <c r="AF35" i="3"/>
  <c r="AE35" i="3"/>
  <c r="AD35" i="3"/>
  <c r="AG34" i="3"/>
  <c r="AF34" i="3"/>
  <c r="AE34" i="3"/>
  <c r="AD34" i="3"/>
  <c r="AG33" i="3"/>
  <c r="AF33" i="3"/>
  <c r="AE33" i="3"/>
  <c r="AD33" i="3"/>
  <c r="AG32" i="3"/>
  <c r="AF32" i="3"/>
  <c r="AE32" i="3"/>
  <c r="AD32" i="3"/>
  <c r="AC32" i="3"/>
  <c r="AG31" i="3"/>
  <c r="AF31" i="3"/>
  <c r="AE31" i="3"/>
  <c r="AD31" i="3"/>
  <c r="AG30" i="3"/>
  <c r="AF30" i="3"/>
  <c r="AE30" i="3"/>
  <c r="AD30" i="3"/>
  <c r="AG29" i="3"/>
  <c r="AF29" i="3"/>
  <c r="AE29" i="3"/>
  <c r="AD29" i="3"/>
  <c r="AG28" i="3"/>
  <c r="AF28" i="3"/>
  <c r="AE28" i="3"/>
  <c r="AD28" i="3"/>
  <c r="AG27" i="3"/>
  <c r="AF27" i="3"/>
  <c r="AE27" i="3"/>
  <c r="AD27" i="3"/>
  <c r="AG26" i="3"/>
  <c r="AF26" i="3"/>
  <c r="AE26" i="3"/>
  <c r="AD26" i="3"/>
  <c r="AG25" i="3"/>
  <c r="AF25" i="3"/>
  <c r="AE25" i="3"/>
  <c r="AD25" i="3"/>
  <c r="Z38" i="3"/>
  <c r="Y38" i="3"/>
  <c r="X38" i="3"/>
  <c r="W38" i="3"/>
  <c r="Z37" i="3"/>
  <c r="Y37" i="3"/>
  <c r="X37" i="3"/>
  <c r="W37" i="3"/>
  <c r="Z36" i="3"/>
  <c r="Y36" i="3"/>
  <c r="X36" i="3"/>
  <c r="W36" i="3"/>
  <c r="Z35" i="3"/>
  <c r="Y35" i="3"/>
  <c r="X35" i="3"/>
  <c r="W35" i="3"/>
  <c r="Z34" i="3"/>
  <c r="Y34" i="3"/>
  <c r="X34" i="3"/>
  <c r="W34" i="3"/>
  <c r="Z33" i="3"/>
  <c r="Y33" i="3"/>
  <c r="X33" i="3"/>
  <c r="W33" i="3"/>
  <c r="Z32" i="3"/>
  <c r="Y32" i="3"/>
  <c r="X32" i="3"/>
  <c r="W32" i="3"/>
  <c r="V32" i="3"/>
  <c r="Z31" i="3"/>
  <c r="Y31" i="3"/>
  <c r="X31" i="3"/>
  <c r="W31" i="3"/>
  <c r="Z30" i="3"/>
  <c r="Y30" i="3"/>
  <c r="X30" i="3"/>
  <c r="W30" i="3"/>
  <c r="Z29" i="3"/>
  <c r="Y29" i="3"/>
  <c r="X29" i="3"/>
  <c r="W29" i="3"/>
  <c r="Z28" i="3"/>
  <c r="Y28" i="3"/>
  <c r="X28" i="3"/>
  <c r="W28" i="3"/>
  <c r="Z27" i="3"/>
  <c r="Y27" i="3"/>
  <c r="X27" i="3"/>
  <c r="W27" i="3"/>
  <c r="Z26" i="3"/>
  <c r="Y26" i="3"/>
  <c r="X26" i="3"/>
  <c r="W26" i="3"/>
  <c r="Z25" i="3"/>
  <c r="Y25" i="3"/>
  <c r="X25" i="3"/>
  <c r="X39" i="3" s="1"/>
  <c r="X57" i="3" s="1"/>
  <c r="W25" i="3"/>
  <c r="S38" i="3"/>
  <c r="S37" i="3"/>
  <c r="S36" i="3"/>
  <c r="S35" i="3"/>
  <c r="S34" i="3"/>
  <c r="S33" i="3"/>
  <c r="S32" i="3"/>
  <c r="S31" i="3"/>
  <c r="S30" i="3"/>
  <c r="S29" i="3"/>
  <c r="S28" i="3"/>
  <c r="S27" i="3"/>
  <c r="S26" i="3"/>
  <c r="S25" i="3"/>
  <c r="R38" i="3"/>
  <c r="R37" i="3"/>
  <c r="R36" i="3"/>
  <c r="R35" i="3"/>
  <c r="R34" i="3"/>
  <c r="R33" i="3"/>
  <c r="R32" i="3"/>
  <c r="R31" i="3"/>
  <c r="R30" i="3"/>
  <c r="R29" i="3"/>
  <c r="R28" i="3"/>
  <c r="R27" i="3"/>
  <c r="R26" i="3"/>
  <c r="R25" i="3"/>
  <c r="Q38" i="3"/>
  <c r="Q37" i="3"/>
  <c r="Q36" i="3"/>
  <c r="Q35" i="3"/>
  <c r="Q34" i="3"/>
  <c r="Q33" i="3"/>
  <c r="Q32" i="3"/>
  <c r="Q31" i="3"/>
  <c r="Q30" i="3"/>
  <c r="Q29" i="3"/>
  <c r="Q28" i="3"/>
  <c r="Q27" i="3"/>
  <c r="Q26" i="3"/>
  <c r="Q25" i="3"/>
  <c r="P38" i="3"/>
  <c r="P37" i="3"/>
  <c r="P36" i="3"/>
  <c r="P35" i="3"/>
  <c r="P34" i="3"/>
  <c r="P33" i="3"/>
  <c r="P32" i="3"/>
  <c r="P31" i="3"/>
  <c r="P30" i="3"/>
  <c r="P29" i="3"/>
  <c r="P28" i="3"/>
  <c r="P27" i="3"/>
  <c r="P26" i="3"/>
  <c r="P25" i="3"/>
  <c r="T26" i="3"/>
  <c r="T27" i="3"/>
  <c r="T28" i="3"/>
  <c r="T29" i="3"/>
  <c r="T30" i="3"/>
  <c r="T31" i="3"/>
  <c r="T32" i="3"/>
  <c r="T33" i="3"/>
  <c r="T34" i="3"/>
  <c r="T35" i="3"/>
  <c r="T36" i="3"/>
  <c r="T37" i="3"/>
  <c r="T38" i="3"/>
  <c r="T25" i="3"/>
  <c r="L26" i="3"/>
  <c r="L27" i="3"/>
  <c r="L28" i="3"/>
  <c r="L29" i="3"/>
  <c r="L30" i="3"/>
  <c r="L31" i="3"/>
  <c r="L32" i="3"/>
  <c r="L33" i="3"/>
  <c r="L34" i="3"/>
  <c r="L35" i="3"/>
  <c r="L36" i="3"/>
  <c r="L37" i="3"/>
  <c r="L25" i="3"/>
  <c r="K26" i="3"/>
  <c r="K27" i="3"/>
  <c r="K28" i="3"/>
  <c r="K29" i="3"/>
  <c r="K30" i="3"/>
  <c r="K31" i="3"/>
  <c r="K32" i="3"/>
  <c r="K33" i="3"/>
  <c r="K34" i="3"/>
  <c r="K35" i="3"/>
  <c r="K36" i="3"/>
  <c r="K37" i="3"/>
  <c r="K25" i="3"/>
  <c r="J26" i="3"/>
  <c r="J27" i="3"/>
  <c r="J28" i="3"/>
  <c r="J29" i="3"/>
  <c r="J30" i="3"/>
  <c r="J31" i="3"/>
  <c r="J32" i="3"/>
  <c r="J33" i="3"/>
  <c r="J34" i="3"/>
  <c r="J35" i="3"/>
  <c r="J36" i="3"/>
  <c r="J37" i="3"/>
  <c r="J25" i="3"/>
  <c r="H32" i="3"/>
  <c r="I26" i="3"/>
  <c r="I27" i="3"/>
  <c r="I28" i="3"/>
  <c r="I29" i="3"/>
  <c r="I30" i="3"/>
  <c r="I31" i="3"/>
  <c r="I32" i="3"/>
  <c r="I33" i="3"/>
  <c r="I34" i="3"/>
  <c r="I35" i="3"/>
  <c r="I36" i="3"/>
  <c r="I37" i="3"/>
  <c r="I25" i="3"/>
  <c r="I19" i="3"/>
  <c r="J19" i="3"/>
  <c r="K19" i="3"/>
  <c r="L19" i="3"/>
  <c r="I20" i="3"/>
  <c r="J20" i="3"/>
  <c r="J60" i="3" s="1"/>
  <c r="K20" i="3"/>
  <c r="L20" i="3"/>
  <c r="I21" i="3"/>
  <c r="J21" i="3"/>
  <c r="K21" i="3"/>
  <c r="L21" i="3"/>
  <c r="I22" i="3"/>
  <c r="J22" i="3"/>
  <c r="M22" i="3" s="1"/>
  <c r="K22" i="3"/>
  <c r="L22" i="3"/>
  <c r="CY22" i="3"/>
  <c r="CX22" i="3"/>
  <c r="CW22" i="3"/>
  <c r="CV22" i="3"/>
  <c r="CY21" i="3"/>
  <c r="CX21" i="3"/>
  <c r="CW21" i="3"/>
  <c r="CV21" i="3"/>
  <c r="CY20" i="3"/>
  <c r="CZ20" i="3" s="1"/>
  <c r="CX20" i="3"/>
  <c r="CV20" i="3"/>
  <c r="CY19" i="3"/>
  <c r="CX19" i="3"/>
  <c r="CW19" i="3"/>
  <c r="CV19" i="3"/>
  <c r="CR22" i="3"/>
  <c r="CQ22" i="3"/>
  <c r="CP22" i="3"/>
  <c r="CO22" i="3"/>
  <c r="CR21" i="3"/>
  <c r="CQ21" i="3"/>
  <c r="CP21" i="3"/>
  <c r="CO21" i="3"/>
  <c r="CR20" i="3"/>
  <c r="CQ20" i="3"/>
  <c r="CO20" i="3"/>
  <c r="CR19" i="3"/>
  <c r="CQ19" i="3"/>
  <c r="CP19" i="3"/>
  <c r="CO19" i="3"/>
  <c r="CK22" i="3"/>
  <c r="CJ22" i="3"/>
  <c r="CI22" i="3"/>
  <c r="CH22" i="3"/>
  <c r="CK21" i="3"/>
  <c r="CJ21" i="3"/>
  <c r="CI21" i="3"/>
  <c r="CH21" i="3"/>
  <c r="CK20" i="3"/>
  <c r="CJ20" i="3"/>
  <c r="CI20" i="3"/>
  <c r="CI60" i="3" s="1"/>
  <c r="CH20" i="3"/>
  <c r="CK19" i="3"/>
  <c r="CJ19" i="3"/>
  <c r="CI19" i="3"/>
  <c r="CH19" i="3"/>
  <c r="CD22" i="3"/>
  <c r="CC22" i="3"/>
  <c r="CB22" i="3"/>
  <c r="CA22" i="3"/>
  <c r="CD21" i="3"/>
  <c r="CC21" i="3"/>
  <c r="CB21" i="3"/>
  <c r="CA21" i="3"/>
  <c r="CD20" i="3"/>
  <c r="CE20" i="3" s="1"/>
  <c r="CC20" i="3"/>
  <c r="CA20" i="3"/>
  <c r="CD19" i="3"/>
  <c r="CC19" i="3"/>
  <c r="CB19" i="3"/>
  <c r="CA19" i="3"/>
  <c r="BW22" i="3"/>
  <c r="BV22" i="3"/>
  <c r="BU22" i="3"/>
  <c r="BT22" i="3"/>
  <c r="BW21" i="3"/>
  <c r="BV21" i="3"/>
  <c r="BU21" i="3"/>
  <c r="BT21" i="3"/>
  <c r="BW20" i="3"/>
  <c r="BV20" i="3"/>
  <c r="BT20" i="3"/>
  <c r="BW19" i="3"/>
  <c r="BV19" i="3"/>
  <c r="BU19" i="3"/>
  <c r="BT19" i="3"/>
  <c r="BP22" i="3"/>
  <c r="BO22" i="3"/>
  <c r="BN22" i="3"/>
  <c r="BM22" i="3"/>
  <c r="BP21" i="3"/>
  <c r="BO21" i="3"/>
  <c r="BN21" i="3"/>
  <c r="BM21" i="3"/>
  <c r="BP20" i="3"/>
  <c r="BO20" i="3"/>
  <c r="BN20" i="3"/>
  <c r="BN60" i="3" s="1"/>
  <c r="BM20" i="3"/>
  <c r="BP19" i="3"/>
  <c r="BO19" i="3"/>
  <c r="BN19" i="3"/>
  <c r="BM19" i="3"/>
  <c r="BI22" i="3"/>
  <c r="BH22" i="3"/>
  <c r="BG22" i="3"/>
  <c r="BF22" i="3"/>
  <c r="BI21" i="3"/>
  <c r="BH21" i="3"/>
  <c r="BG21" i="3"/>
  <c r="BF21" i="3"/>
  <c r="BI20" i="3"/>
  <c r="BJ20" i="3" s="1"/>
  <c r="BH20" i="3"/>
  <c r="BF20" i="3"/>
  <c r="BI19" i="3"/>
  <c r="BH19" i="3"/>
  <c r="BG19" i="3"/>
  <c r="BF19" i="3"/>
  <c r="BB22" i="3"/>
  <c r="BA22" i="3"/>
  <c r="AZ22" i="3"/>
  <c r="AY22" i="3"/>
  <c r="BB21" i="3"/>
  <c r="BA21" i="3"/>
  <c r="AZ21" i="3"/>
  <c r="AY21" i="3"/>
  <c r="BB20" i="3"/>
  <c r="BA20" i="3"/>
  <c r="AY20" i="3"/>
  <c r="BB19" i="3"/>
  <c r="BA19" i="3"/>
  <c r="AZ19" i="3"/>
  <c r="AY19" i="3"/>
  <c r="AU22" i="3"/>
  <c r="AT22" i="3"/>
  <c r="AS22" i="3"/>
  <c r="AR22" i="3"/>
  <c r="AU21" i="3"/>
  <c r="AT21" i="3"/>
  <c r="AS21" i="3"/>
  <c r="AR21" i="3"/>
  <c r="AU20" i="3"/>
  <c r="AT20" i="3"/>
  <c r="AS20" i="3"/>
  <c r="AS60" i="3" s="1"/>
  <c r="AR20" i="3"/>
  <c r="AU19" i="3"/>
  <c r="AT19" i="3"/>
  <c r="AS19" i="3"/>
  <c r="AR19" i="3"/>
  <c r="AN22" i="3"/>
  <c r="AM22" i="3"/>
  <c r="AL22" i="3"/>
  <c r="AK22" i="3"/>
  <c r="AN21" i="3"/>
  <c r="AM21" i="3"/>
  <c r="AL21" i="3"/>
  <c r="AK21" i="3"/>
  <c r="AN20" i="3"/>
  <c r="AO20" i="3" s="1"/>
  <c r="AM20" i="3"/>
  <c r="AK20" i="3"/>
  <c r="AN19" i="3"/>
  <c r="AM19" i="3"/>
  <c r="AL19" i="3"/>
  <c r="AK19" i="3"/>
  <c r="AG22" i="3"/>
  <c r="AF22" i="3"/>
  <c r="AE22" i="3"/>
  <c r="AD22" i="3"/>
  <c r="AG21" i="3"/>
  <c r="AF21" i="3"/>
  <c r="AE21" i="3"/>
  <c r="AD21" i="3"/>
  <c r="AG20" i="3"/>
  <c r="AF20" i="3"/>
  <c r="AD20" i="3"/>
  <c r="AG19" i="3"/>
  <c r="AF19" i="3"/>
  <c r="AE19" i="3"/>
  <c r="AD19" i="3"/>
  <c r="Z21" i="3"/>
  <c r="Y21" i="3"/>
  <c r="X21" i="3"/>
  <c r="W21" i="3"/>
  <c r="S21" i="3"/>
  <c r="R21" i="3"/>
  <c r="Q21" i="3"/>
  <c r="Q20" i="3"/>
  <c r="Q60" i="3" s="1"/>
  <c r="Q19" i="3"/>
  <c r="P21" i="3"/>
  <c r="P19" i="3"/>
  <c r="E21" i="3"/>
  <c r="D21" i="3"/>
  <c r="C21" i="3"/>
  <c r="AH19" i="3" l="1"/>
  <c r="AH20" i="3"/>
  <c r="AO21" i="3"/>
  <c r="AV19" i="3"/>
  <c r="AV21" i="3"/>
  <c r="BC19" i="3"/>
  <c r="BC20" i="3"/>
  <c r="BJ21" i="3"/>
  <c r="BQ19" i="3"/>
  <c r="BQ21" i="3"/>
  <c r="BX19" i="3"/>
  <c r="BX20" i="3"/>
  <c r="CE21" i="3"/>
  <c r="CL19" i="3"/>
  <c r="CL21" i="3"/>
  <c r="CS19" i="3"/>
  <c r="CS20" i="3"/>
  <c r="CZ21" i="3"/>
  <c r="T39" i="3"/>
  <c r="Q39" i="3"/>
  <c r="Q57" i="3" s="1"/>
  <c r="S39" i="3"/>
  <c r="AA25" i="3"/>
  <c r="AA27" i="3"/>
  <c r="AA29" i="3"/>
  <c r="AA31" i="3"/>
  <c r="AA33" i="3"/>
  <c r="AA35" i="3"/>
  <c r="AA37" i="3"/>
  <c r="AE39" i="3"/>
  <c r="AE57" i="3" s="1"/>
  <c r="AH26" i="3"/>
  <c r="AH28" i="3"/>
  <c r="AH30" i="3"/>
  <c r="AH32" i="3"/>
  <c r="AH34" i="3"/>
  <c r="AH36" i="3"/>
  <c r="AH38" i="3"/>
  <c r="AO25" i="3"/>
  <c r="AO27" i="3"/>
  <c r="AO29" i="3"/>
  <c r="AO31" i="3"/>
  <c r="AO33" i="3"/>
  <c r="AO35" i="3"/>
  <c r="AO37" i="3"/>
  <c r="AS39" i="3"/>
  <c r="AV26" i="3"/>
  <c r="AV28" i="3"/>
  <c r="AV30" i="3"/>
  <c r="AV32" i="3"/>
  <c r="AV34" i="3"/>
  <c r="AV36" i="3"/>
  <c r="AV38" i="3"/>
  <c r="BC25" i="3"/>
  <c r="BC27" i="3"/>
  <c r="BC29" i="3"/>
  <c r="BC31" i="3"/>
  <c r="BC33" i="3"/>
  <c r="BC35" i="3"/>
  <c r="BC37" i="3"/>
  <c r="BG39" i="3"/>
  <c r="BJ26" i="3"/>
  <c r="BJ28" i="3"/>
  <c r="BJ30" i="3"/>
  <c r="BJ32" i="3"/>
  <c r="BJ34" i="3"/>
  <c r="BJ36" i="3"/>
  <c r="BJ38" i="3"/>
  <c r="BQ25" i="3"/>
  <c r="BQ27" i="3"/>
  <c r="BQ29" i="3"/>
  <c r="BQ31" i="3"/>
  <c r="BQ33" i="3"/>
  <c r="BQ35" i="3"/>
  <c r="BQ37" i="3"/>
  <c r="BU39" i="3"/>
  <c r="BX26" i="3"/>
  <c r="BX28" i="3"/>
  <c r="BX30" i="3"/>
  <c r="BX32" i="3"/>
  <c r="BX34" i="3"/>
  <c r="BX36" i="3"/>
  <c r="BX38" i="3"/>
  <c r="CE25" i="3"/>
  <c r="CE27" i="3"/>
  <c r="CE29" i="3"/>
  <c r="CE31" i="3"/>
  <c r="CE33" i="3"/>
  <c r="CE35" i="3"/>
  <c r="CE37" i="3"/>
  <c r="CI39" i="3"/>
  <c r="CL26" i="3"/>
  <c r="CL28" i="3"/>
  <c r="CL30" i="3"/>
  <c r="CL32" i="3"/>
  <c r="CL34" i="3"/>
  <c r="CL36" i="3"/>
  <c r="CL38" i="3"/>
  <c r="CS25" i="3"/>
  <c r="CS27" i="3"/>
  <c r="CS29" i="3"/>
  <c r="CS37" i="3"/>
  <c r="CW39" i="3"/>
  <c r="CW57" i="3" s="1"/>
  <c r="CZ26" i="3"/>
  <c r="CZ28" i="3"/>
  <c r="CZ30" i="3"/>
  <c r="CZ32" i="3"/>
  <c r="CZ34" i="3"/>
  <c r="CZ36" i="3"/>
  <c r="F21" i="3"/>
  <c r="AV20" i="3"/>
  <c r="BQ20" i="3"/>
  <c r="CL20" i="3"/>
  <c r="M20" i="3"/>
  <c r="CS31" i="3"/>
  <c r="CS33" i="3"/>
  <c r="CS35" i="3"/>
  <c r="CZ38" i="3"/>
  <c r="AH21" i="3"/>
  <c r="AH22" i="3"/>
  <c r="AO19" i="3"/>
  <c r="BC21" i="3"/>
  <c r="BJ19" i="3"/>
  <c r="BX21" i="3"/>
  <c r="CE19" i="3"/>
  <c r="CS21" i="3"/>
  <c r="CZ19" i="3"/>
  <c r="K23" i="3"/>
  <c r="AA21" i="3"/>
  <c r="M25" i="3"/>
  <c r="M36" i="3"/>
  <c r="M34" i="3"/>
  <c r="M32" i="3"/>
  <c r="M30" i="3"/>
  <c r="M28" i="3"/>
  <c r="M26" i="3"/>
  <c r="M37" i="3"/>
  <c r="M35" i="3"/>
  <c r="M33" i="3"/>
  <c r="M31" i="3"/>
  <c r="M29" i="3"/>
  <c r="M27" i="3"/>
  <c r="L39" i="3"/>
  <c r="M19" i="3"/>
  <c r="J39" i="3"/>
  <c r="J57" i="3" s="1"/>
  <c r="AG39" i="3"/>
  <c r="AU39" i="3"/>
  <c r="BI39" i="3"/>
  <c r="BW39" i="3"/>
  <c r="CK39" i="3"/>
  <c r="CY39" i="3"/>
  <c r="AO22" i="3"/>
  <c r="AV22" i="3"/>
  <c r="BC22" i="3"/>
  <c r="BJ22" i="3"/>
  <c r="BQ22" i="3"/>
  <c r="BX22" i="3"/>
  <c r="CE22" i="3"/>
  <c r="CL22" i="3"/>
  <c r="CS22" i="3"/>
  <c r="CZ22" i="3"/>
  <c r="M21" i="3"/>
  <c r="AA26" i="3"/>
  <c r="Z39" i="3"/>
  <c r="AA28" i="3"/>
  <c r="AA30" i="3"/>
  <c r="AA32" i="3"/>
  <c r="AA34" i="3"/>
  <c r="AA36" i="3"/>
  <c r="AA38" i="3"/>
  <c r="AH25" i="3"/>
  <c r="AH27" i="3"/>
  <c r="AH29" i="3"/>
  <c r="AH31" i="3"/>
  <c r="AH33" i="3"/>
  <c r="AH35" i="3"/>
  <c r="AH37" i="3"/>
  <c r="AO26" i="3"/>
  <c r="AN39" i="3"/>
  <c r="AO28" i="3"/>
  <c r="AO30" i="3"/>
  <c r="AO32" i="3"/>
  <c r="AO34" i="3"/>
  <c r="AO36" i="3"/>
  <c r="AO38" i="3"/>
  <c r="AV25" i="3"/>
  <c r="AV27" i="3"/>
  <c r="AV29" i="3"/>
  <c r="AV31" i="3"/>
  <c r="AV33" i="3"/>
  <c r="AV35" i="3"/>
  <c r="AV37" i="3"/>
  <c r="AZ39" i="3"/>
  <c r="BC26" i="3"/>
  <c r="BB39" i="3"/>
  <c r="BC28" i="3"/>
  <c r="BC30" i="3"/>
  <c r="BC32" i="3"/>
  <c r="BC34" i="3"/>
  <c r="BC36" i="3"/>
  <c r="BC38" i="3"/>
  <c r="BJ25" i="3"/>
  <c r="BJ27" i="3"/>
  <c r="BJ29" i="3"/>
  <c r="BJ31" i="3"/>
  <c r="BJ33" i="3"/>
  <c r="BJ35" i="3"/>
  <c r="BJ37" i="3"/>
  <c r="BN39" i="3"/>
  <c r="BQ26" i="3"/>
  <c r="BP39" i="3"/>
  <c r="BQ28" i="3"/>
  <c r="BQ30" i="3"/>
  <c r="BQ32" i="3"/>
  <c r="BQ34" i="3"/>
  <c r="BQ36" i="3"/>
  <c r="BQ38" i="3"/>
  <c r="BX25" i="3"/>
  <c r="BX27" i="3"/>
  <c r="BX29" i="3"/>
  <c r="BX31" i="3"/>
  <c r="BX33" i="3"/>
  <c r="BX35" i="3"/>
  <c r="BX37" i="3"/>
  <c r="CB39" i="3"/>
  <c r="CE26" i="3"/>
  <c r="CD39" i="3"/>
  <c r="CE28" i="3"/>
  <c r="CE30" i="3"/>
  <c r="CE32" i="3"/>
  <c r="CE34" i="3"/>
  <c r="CE36" i="3"/>
  <c r="CE38" i="3"/>
  <c r="CL25" i="3"/>
  <c r="CL27" i="3"/>
  <c r="CL29" i="3"/>
  <c r="CL31" i="3"/>
  <c r="CL33" i="3"/>
  <c r="CL35" i="3"/>
  <c r="CL37" i="3"/>
  <c r="CP39" i="3"/>
  <c r="CP57" i="3" s="1"/>
  <c r="CS26" i="3"/>
  <c r="CR39" i="3"/>
  <c r="CS28" i="3"/>
  <c r="CS30" i="3"/>
  <c r="CS32" i="3"/>
  <c r="CS34" i="3"/>
  <c r="CS36" i="3"/>
  <c r="CS38" i="3"/>
  <c r="CZ25" i="3"/>
  <c r="CZ27" i="3"/>
  <c r="CZ29" i="3"/>
  <c r="CZ31" i="3"/>
  <c r="CZ33" i="3"/>
  <c r="CZ35" i="3"/>
  <c r="CZ37" i="3"/>
  <c r="J23" i="3"/>
  <c r="J59" i="3" s="1"/>
  <c r="AE23" i="3"/>
  <c r="AE59" i="3" s="1"/>
  <c r="D25" i="3"/>
  <c r="E25" i="3"/>
  <c r="D26" i="3"/>
  <c r="E26" i="3"/>
  <c r="D27" i="3"/>
  <c r="E27" i="3"/>
  <c r="D28" i="3"/>
  <c r="E28" i="3"/>
  <c r="D29" i="3"/>
  <c r="E29" i="3"/>
  <c r="D30" i="3"/>
  <c r="E30" i="3"/>
  <c r="D31" i="3"/>
  <c r="E31" i="3"/>
  <c r="D32" i="3"/>
  <c r="E32" i="3"/>
  <c r="D33" i="3"/>
  <c r="E33" i="3"/>
  <c r="D34" i="3"/>
  <c r="E34" i="3"/>
  <c r="D35" i="3"/>
  <c r="E35" i="3"/>
  <c r="D36" i="3"/>
  <c r="E36" i="3"/>
  <c r="D37" i="3"/>
  <c r="E37" i="3"/>
  <c r="D38" i="3"/>
  <c r="E38" i="3"/>
  <c r="C26" i="3"/>
  <c r="C27" i="3"/>
  <c r="C28" i="3"/>
  <c r="C29" i="3"/>
  <c r="C30" i="3"/>
  <c r="C31" i="3"/>
  <c r="C32" i="3"/>
  <c r="C33" i="3"/>
  <c r="C34" i="3"/>
  <c r="C35" i="3"/>
  <c r="C36" i="3"/>
  <c r="C37" i="3"/>
  <c r="C38" i="3"/>
  <c r="B33" i="3"/>
  <c r="B34" i="3"/>
  <c r="B35" i="3"/>
  <c r="B36" i="3"/>
  <c r="B37" i="3"/>
  <c r="B38" i="3"/>
  <c r="B32" i="3"/>
  <c r="BU57" i="3" l="1"/>
  <c r="AS57" i="3"/>
  <c r="BC39" i="3"/>
  <c r="CB57" i="3"/>
  <c r="BN57" i="3"/>
  <c r="AZ57" i="3"/>
  <c r="CI57" i="3"/>
  <c r="BG57" i="3"/>
  <c r="R75" i="3"/>
  <c r="F38" i="3"/>
  <c r="F36" i="3"/>
  <c r="F34" i="3"/>
  <c r="F32" i="3"/>
  <c r="F30" i="3"/>
  <c r="F28" i="3"/>
  <c r="F26" i="3"/>
  <c r="CZ39" i="3"/>
  <c r="AH39" i="3"/>
  <c r="AH23" i="3"/>
  <c r="F37" i="3"/>
  <c r="F35" i="3"/>
  <c r="F33" i="3"/>
  <c r="F31" i="3"/>
  <c r="F29" i="3"/>
  <c r="F27" i="3"/>
  <c r="E39" i="3"/>
  <c r="BJ39" i="3"/>
  <c r="AO39" i="3"/>
  <c r="AA39" i="3"/>
  <c r="CS39" i="3"/>
  <c r="CE39" i="3"/>
  <c r="BQ39" i="3"/>
  <c r="M23" i="3"/>
  <c r="M39" i="3"/>
  <c r="CL39" i="3"/>
  <c r="BX39" i="3"/>
  <c r="AV39" i="3"/>
  <c r="C25" i="3"/>
  <c r="B26" i="3"/>
  <c r="B27" i="3"/>
  <c r="B28" i="3"/>
  <c r="B29" i="3"/>
  <c r="B30" i="3"/>
  <c r="B31" i="3"/>
  <c r="B25" i="3"/>
  <c r="E20" i="4"/>
  <c r="D20" i="4"/>
  <c r="C39" i="3" l="1"/>
  <c r="C57" i="3" s="1"/>
  <c r="F25" i="3"/>
  <c r="B21" i="3"/>
  <c r="B20" i="4"/>
  <c r="F110" i="22750"/>
  <c r="F55" i="22751"/>
  <c r="F49" i="22751"/>
  <c r="H49" i="22751" s="1"/>
  <c r="H30" i="22751"/>
  <c r="H31" i="22751"/>
  <c r="F39" i="3" l="1"/>
  <c r="C166" i="1"/>
  <c r="C168" i="22744"/>
  <c r="E165" i="1"/>
  <c r="D165" i="1"/>
  <c r="B165" i="1"/>
  <c r="E164" i="1"/>
  <c r="D164" i="1"/>
  <c r="B164" i="1"/>
  <c r="E163" i="1"/>
  <c r="D163" i="1"/>
  <c r="B163" i="1"/>
  <c r="E162" i="1"/>
  <c r="D162" i="1"/>
  <c r="B162" i="1"/>
  <c r="E161" i="1"/>
  <c r="D161" i="1"/>
  <c r="B161" i="1"/>
  <c r="E160" i="1"/>
  <c r="D160" i="1"/>
  <c r="B160" i="1"/>
  <c r="E159" i="1"/>
  <c r="D159" i="1"/>
  <c r="B159" i="1"/>
  <c r="E158" i="1"/>
  <c r="D158" i="1"/>
  <c r="B158" i="1"/>
  <c r="E157" i="1"/>
  <c r="D157" i="1"/>
  <c r="B157" i="1"/>
  <c r="E156" i="1"/>
  <c r="D156" i="1"/>
  <c r="B156" i="1"/>
  <c r="E155" i="1"/>
  <c r="D155" i="1"/>
  <c r="B155" i="1"/>
  <c r="E154" i="1"/>
  <c r="D154" i="1"/>
  <c r="B154" i="1"/>
  <c r="E153" i="1"/>
  <c r="D153" i="1"/>
  <c r="B153" i="1"/>
  <c r="C150" i="1"/>
  <c r="C150" i="22744"/>
  <c r="E149" i="1"/>
  <c r="D149" i="1"/>
  <c r="B149" i="1"/>
  <c r="E148" i="1"/>
  <c r="D148" i="1"/>
  <c r="B148" i="1"/>
  <c r="E147" i="1"/>
  <c r="D147" i="1"/>
  <c r="B147" i="1"/>
  <c r="E146" i="1"/>
  <c r="D146" i="1"/>
  <c r="B146" i="1"/>
  <c r="E145" i="1"/>
  <c r="D145" i="1"/>
  <c r="B145" i="1"/>
  <c r="E144" i="1"/>
  <c r="D144" i="1"/>
  <c r="B144" i="1"/>
  <c r="E143" i="1"/>
  <c r="D143" i="1"/>
  <c r="B143" i="1"/>
  <c r="E142" i="1"/>
  <c r="D142" i="1"/>
  <c r="B142" i="1"/>
  <c r="E141" i="1"/>
  <c r="D141" i="1"/>
  <c r="B141" i="1"/>
  <c r="E140" i="1"/>
  <c r="D140" i="1"/>
  <c r="B140" i="1"/>
  <c r="E139" i="1"/>
  <c r="D139" i="1"/>
  <c r="B139" i="1"/>
  <c r="E138" i="1"/>
  <c r="D138" i="1"/>
  <c r="B138" i="1"/>
  <c r="E137" i="1"/>
  <c r="D137" i="1"/>
  <c r="B137" i="1"/>
  <c r="E136" i="1"/>
  <c r="D136" i="1"/>
  <c r="B136" i="1"/>
  <c r="C133" i="1"/>
  <c r="E132" i="1"/>
  <c r="E131" i="1"/>
  <c r="E129" i="1"/>
  <c r="E128" i="1"/>
  <c r="E127" i="1"/>
  <c r="E125" i="1"/>
  <c r="E124" i="1"/>
  <c r="E123" i="1"/>
  <c r="E121" i="1"/>
  <c r="E120" i="1"/>
  <c r="E119" i="1"/>
  <c r="F105" i="22750" l="1"/>
  <c r="F104" i="22750"/>
  <c r="C105" i="22750"/>
  <c r="H105" i="22750" s="1"/>
  <c r="C104" i="22750"/>
  <c r="F107" i="22751"/>
  <c r="F106" i="22751"/>
  <c r="C107" i="22751"/>
  <c r="C106" i="22751"/>
  <c r="C23" i="1"/>
  <c r="C13" i="22752"/>
  <c r="C10" i="22752"/>
  <c r="C10" i="2" s="1"/>
  <c r="D52" i="2"/>
  <c r="D51" i="2"/>
  <c r="E61" i="2"/>
  <c r="D243" i="22744" l="1"/>
  <c r="E243" i="22744"/>
  <c r="H186" i="1"/>
  <c r="H184" i="1"/>
  <c r="H183" i="1"/>
  <c r="H181" i="1"/>
  <c r="C35" i="1"/>
  <c r="B17" i="22715"/>
  <c r="C17" i="22715" s="1"/>
  <c r="B16" i="22715"/>
  <c r="C16" i="22715" s="1"/>
  <c r="E75" i="1"/>
  <c r="E76" i="1" s="1"/>
  <c r="E77" i="1" s="1"/>
  <c r="E78" i="1" s="1"/>
  <c r="E79" i="1" s="1"/>
  <c r="E80" i="1" s="1"/>
  <c r="E81" i="1" s="1"/>
  <c r="E82" i="1" s="1"/>
  <c r="E83" i="1" s="1"/>
  <c r="E84" i="1" s="1"/>
  <c r="E85" i="1" s="1"/>
  <c r="E86" i="1" s="1"/>
  <c r="E87" i="1" s="1"/>
  <c r="E88" i="1" s="1"/>
  <c r="E89" i="1" s="1"/>
  <c r="E90" i="1" s="1"/>
  <c r="B14" i="22715" s="1"/>
  <c r="C14" i="22715" s="1"/>
  <c r="F68" i="1"/>
  <c r="E53" i="1"/>
  <c r="E54" i="1"/>
  <c r="E55" i="1"/>
  <c r="E56" i="1"/>
  <c r="E57" i="1"/>
  <c r="E58" i="1"/>
  <c r="E59" i="1"/>
  <c r="E60" i="1"/>
  <c r="E61" i="1"/>
  <c r="E62" i="1"/>
  <c r="E63" i="1"/>
  <c r="E64" i="1"/>
  <c r="E65" i="1"/>
  <c r="D53" i="1"/>
  <c r="E52" i="1"/>
  <c r="D52" i="1"/>
  <c r="E68" i="1" l="1"/>
  <c r="E69" i="1"/>
  <c r="B9" i="22715" s="1"/>
  <c r="C9" i="22715" s="1"/>
  <c r="M52" i="22746" l="1"/>
  <c r="J38" i="22746"/>
  <c r="J56" i="22746"/>
  <c r="J25" i="22746"/>
  <c r="J26" i="22746"/>
  <c r="J27" i="22746"/>
  <c r="J28" i="22746"/>
  <c r="J29" i="22746"/>
  <c r="J30" i="22746"/>
  <c r="J31" i="22746"/>
  <c r="J32" i="22746"/>
  <c r="J33" i="22746"/>
  <c r="J34" i="22746"/>
  <c r="J35" i="22746"/>
  <c r="J36" i="22746"/>
  <c r="I25" i="22746"/>
  <c r="I26" i="22746"/>
  <c r="I27" i="22746"/>
  <c r="I28" i="22746"/>
  <c r="I29" i="22746"/>
  <c r="I30" i="22746"/>
  <c r="I31" i="22746"/>
  <c r="I32" i="22746"/>
  <c r="I33" i="22746"/>
  <c r="I34" i="22746"/>
  <c r="I35" i="22746"/>
  <c r="I36" i="22746"/>
  <c r="C39" i="22746"/>
  <c r="C35" i="22746"/>
  <c r="C36" i="22746"/>
  <c r="B35" i="22746"/>
  <c r="B36" i="22746"/>
  <c r="D26" i="22746"/>
  <c r="D30" i="22746"/>
  <c r="D34" i="22746"/>
  <c r="C25" i="22746"/>
  <c r="C26" i="22746"/>
  <c r="C27" i="22746"/>
  <c r="C28" i="22746"/>
  <c r="C29" i="22746"/>
  <c r="C30" i="22746"/>
  <c r="C31" i="22746"/>
  <c r="C32" i="22746"/>
  <c r="C33" i="22746"/>
  <c r="C34" i="22746"/>
  <c r="B25" i="22746"/>
  <c r="B26" i="22746"/>
  <c r="B27" i="22746"/>
  <c r="B28" i="22746"/>
  <c r="B29" i="22746"/>
  <c r="B30" i="22746"/>
  <c r="B31" i="22746"/>
  <c r="B32" i="22746"/>
  <c r="B33" i="22746"/>
  <c r="B34" i="22746"/>
  <c r="D154" i="22744"/>
  <c r="K25" i="22746" s="1"/>
  <c r="D155" i="22744"/>
  <c r="K26" i="22746" s="1"/>
  <c r="D156" i="22744"/>
  <c r="K27" i="22746" s="1"/>
  <c r="D157" i="22744"/>
  <c r="K28" i="22746" s="1"/>
  <c r="D158" i="22744"/>
  <c r="K29" i="22746" s="1"/>
  <c r="D159" i="22744"/>
  <c r="K30" i="22746" s="1"/>
  <c r="D160" i="22744"/>
  <c r="K31" i="22746" s="1"/>
  <c r="D161" i="22744"/>
  <c r="K32" i="22746" s="1"/>
  <c r="D162" i="22744"/>
  <c r="K33" i="22746" s="1"/>
  <c r="D163" i="22744"/>
  <c r="K34" i="22746" s="1"/>
  <c r="D164" i="22744"/>
  <c r="K35" i="22746" s="1"/>
  <c r="D165" i="22744"/>
  <c r="K36" i="22746" s="1"/>
  <c r="D166" i="22744"/>
  <c r="D153" i="22744"/>
  <c r="K24" i="22746" s="1"/>
  <c r="D137" i="22744"/>
  <c r="D25" i="22746" s="1"/>
  <c r="D138" i="22744"/>
  <c r="D139" i="22744"/>
  <c r="D27" i="22746" s="1"/>
  <c r="D140" i="22744"/>
  <c r="D28" i="22746" s="1"/>
  <c r="D141" i="22744"/>
  <c r="D29" i="22746" s="1"/>
  <c r="D142" i="22744"/>
  <c r="D143" i="22744"/>
  <c r="D31" i="22746" s="1"/>
  <c r="D144" i="22744"/>
  <c r="D32" i="22746" s="1"/>
  <c r="D145" i="22744"/>
  <c r="D33" i="22746" s="1"/>
  <c r="D146" i="22744"/>
  <c r="D147" i="22744"/>
  <c r="D35" i="22746" s="1"/>
  <c r="D148" i="22744"/>
  <c r="D36" i="22746" s="1"/>
  <c r="D149" i="22744"/>
  <c r="D136" i="22744"/>
  <c r="E154" i="22744"/>
  <c r="E155" i="22744"/>
  <c r="E156" i="22744"/>
  <c r="E157" i="22744"/>
  <c r="E158" i="22744"/>
  <c r="E159" i="22744"/>
  <c r="E160" i="22744"/>
  <c r="E161" i="22744"/>
  <c r="E162" i="22744"/>
  <c r="E163" i="22744"/>
  <c r="E164" i="22744"/>
  <c r="E165" i="22744"/>
  <c r="E166" i="22744"/>
  <c r="E153" i="22744"/>
  <c r="B166" i="22744"/>
  <c r="B163" i="22744"/>
  <c r="B164" i="22744"/>
  <c r="B165" i="22744"/>
  <c r="B162" i="22744"/>
  <c r="B161" i="22744"/>
  <c r="B160" i="22744"/>
  <c r="B159" i="22744"/>
  <c r="B155" i="22744"/>
  <c r="B156" i="22744"/>
  <c r="B157" i="22744"/>
  <c r="B158" i="22744"/>
  <c r="E137" i="22744"/>
  <c r="E138" i="22744"/>
  <c r="E139" i="22744"/>
  <c r="E140" i="22744"/>
  <c r="E141" i="22744"/>
  <c r="E142" i="22744"/>
  <c r="E143" i="22744"/>
  <c r="E144" i="22744"/>
  <c r="E145" i="22744"/>
  <c r="E146" i="22744"/>
  <c r="E147" i="22744"/>
  <c r="E148" i="22744"/>
  <c r="E149" i="22744"/>
  <c r="B149" i="22744"/>
  <c r="B148" i="22744"/>
  <c r="B147" i="22744"/>
  <c r="B146" i="22744"/>
  <c r="B145" i="22744"/>
  <c r="B144" i="22744"/>
  <c r="B143" i="22744"/>
  <c r="B138" i="22744"/>
  <c r="B139" i="22744"/>
  <c r="B140" i="22744"/>
  <c r="B141" i="22744"/>
  <c r="B142" i="22744"/>
  <c r="B137" i="22744"/>
  <c r="E73" i="22744"/>
  <c r="D73" i="22744"/>
  <c r="F5" i="22715"/>
  <c r="E74" i="22747" l="1"/>
  <c r="D74" i="22747"/>
  <c r="C74" i="22747"/>
  <c r="B74" i="22747"/>
  <c r="CY69" i="22746"/>
  <c r="CX69" i="22746"/>
  <c r="CW69" i="22746"/>
  <c r="CV69" i="22746"/>
  <c r="CR69" i="22746"/>
  <c r="CQ69" i="22746"/>
  <c r="CP69" i="22746"/>
  <c r="CO69" i="22746"/>
  <c r="CK69" i="22746"/>
  <c r="CJ69" i="22746"/>
  <c r="CI69" i="22746"/>
  <c r="CH69" i="22746"/>
  <c r="CD69" i="22746"/>
  <c r="CC69" i="22746"/>
  <c r="CB69" i="22746"/>
  <c r="CA69" i="22746"/>
  <c r="BW69" i="22746"/>
  <c r="BV69" i="22746"/>
  <c r="BU69" i="22746"/>
  <c r="BT69" i="22746"/>
  <c r="BP69" i="22746"/>
  <c r="BO69" i="22746"/>
  <c r="BN69" i="22746"/>
  <c r="BM69" i="22746"/>
  <c r="BI69" i="22746"/>
  <c r="BH69" i="22746"/>
  <c r="BG69" i="22746"/>
  <c r="BF69" i="22746"/>
  <c r="BB69" i="22746"/>
  <c r="BA69" i="22746"/>
  <c r="AZ69" i="22746"/>
  <c r="AY69" i="22746"/>
  <c r="AU69" i="22746"/>
  <c r="AT69" i="22746"/>
  <c r="AS69" i="22746"/>
  <c r="AR69" i="22746"/>
  <c r="AN69" i="22746"/>
  <c r="AM69" i="22746"/>
  <c r="AL69" i="22746"/>
  <c r="AK69" i="22746"/>
  <c r="AG69" i="22746"/>
  <c r="AF69" i="22746"/>
  <c r="AE69" i="22746"/>
  <c r="AD69" i="22746"/>
  <c r="Z69" i="22746"/>
  <c r="Y69" i="22746"/>
  <c r="X69" i="22746"/>
  <c r="W69" i="22746"/>
  <c r="L69" i="22746"/>
  <c r="K69" i="22746"/>
  <c r="J69" i="22746"/>
  <c r="I69" i="22746"/>
  <c r="B69" i="22746"/>
  <c r="E69" i="22746"/>
  <c r="D69" i="22746"/>
  <c r="C69" i="22746"/>
  <c r="F69" i="22746" l="1"/>
  <c r="CY49" i="22746"/>
  <c r="CR49" i="22746"/>
  <c r="CK49" i="22746"/>
  <c r="CD49" i="22746"/>
  <c r="BW49" i="22746"/>
  <c r="BP49" i="22746"/>
  <c r="BI49" i="22746"/>
  <c r="BB49" i="22746"/>
  <c r="AU49" i="22746"/>
  <c r="AN49" i="22746"/>
  <c r="AG49" i="22746"/>
  <c r="Z49" i="22746"/>
  <c r="S49" i="22746"/>
  <c r="L49" i="22746"/>
  <c r="E49" i="22746"/>
  <c r="H47" i="22744"/>
  <c r="H46" i="22744"/>
  <c r="CY48" i="22746"/>
  <c r="CR48" i="22746"/>
  <c r="CK48" i="22746"/>
  <c r="CD48" i="22746"/>
  <c r="BW48" i="22746"/>
  <c r="BP48" i="22746"/>
  <c r="BI48" i="22746"/>
  <c r="BB48" i="22746"/>
  <c r="AU48" i="22746"/>
  <c r="AN48" i="22746"/>
  <c r="AG48" i="22746"/>
  <c r="Z48" i="22746"/>
  <c r="S48" i="22746"/>
  <c r="L48" i="22746"/>
  <c r="E48" i="22746"/>
  <c r="E47" i="22747"/>
  <c r="E48" i="22747"/>
  <c r="D73" i="22747" l="1"/>
  <c r="C73" i="22747"/>
  <c r="CX68" i="22746"/>
  <c r="CW68" i="22746"/>
  <c r="CQ68" i="22746"/>
  <c r="CP68" i="22746"/>
  <c r="CJ68" i="22746"/>
  <c r="CI68" i="22746"/>
  <c r="CC68" i="22746"/>
  <c r="CB68" i="22746"/>
  <c r="BV68" i="22746"/>
  <c r="BU68" i="22746"/>
  <c r="BO68" i="22746"/>
  <c r="BN68" i="22746"/>
  <c r="BH68" i="22746"/>
  <c r="BG68" i="22746"/>
  <c r="BA68" i="22746"/>
  <c r="AZ68" i="22746"/>
  <c r="AT68" i="22746"/>
  <c r="AS68" i="22746"/>
  <c r="AM68" i="22746"/>
  <c r="AL68" i="22746"/>
  <c r="AF68" i="22746"/>
  <c r="AE68" i="22746"/>
  <c r="Y68" i="22746"/>
  <c r="X68" i="22746"/>
  <c r="K68" i="22746"/>
  <c r="J68" i="22746"/>
  <c r="D68" i="22746"/>
  <c r="C68" i="22746"/>
  <c r="D176" i="22744"/>
  <c r="F100" i="22750" l="1"/>
  <c r="F47" i="22750"/>
  <c r="H47" i="22750" s="1"/>
  <c r="K78" i="22746"/>
  <c r="R78" i="22746"/>
  <c r="Y78" i="22746"/>
  <c r="AF78" i="22746"/>
  <c r="AM78" i="22746"/>
  <c r="AT78" i="22746"/>
  <c r="BA78" i="22746"/>
  <c r="BH78" i="22746"/>
  <c r="BO78" i="22746"/>
  <c r="BV78" i="22746"/>
  <c r="CC78" i="22746"/>
  <c r="CJ78" i="22746"/>
  <c r="CQ78" i="22746"/>
  <c r="CX78" i="22746"/>
  <c r="D84" i="22747"/>
  <c r="D58" i="22746" l="1"/>
  <c r="E67" i="22746"/>
  <c r="E64" i="22747"/>
  <c r="D64" i="22747"/>
  <c r="B64" i="22747"/>
  <c r="B37" i="22747"/>
  <c r="CV38" i="22746"/>
  <c r="CO38" i="22746"/>
  <c r="CH38" i="22746"/>
  <c r="CA38" i="22746"/>
  <c r="BT38" i="22746"/>
  <c r="BM38" i="22746"/>
  <c r="BF38" i="22746"/>
  <c r="AY38" i="22746"/>
  <c r="AR38" i="22746"/>
  <c r="AK38" i="22746"/>
  <c r="AD38" i="22746"/>
  <c r="W38" i="22746"/>
  <c r="D32" i="22747"/>
  <c r="D33" i="22747"/>
  <c r="D34" i="22747"/>
  <c r="D35" i="22747"/>
  <c r="D36" i="22747"/>
  <c r="D31" i="22747"/>
  <c r="C31" i="22747"/>
  <c r="C32" i="22747"/>
  <c r="C33" i="22747"/>
  <c r="C34" i="22747"/>
  <c r="C35" i="22747"/>
  <c r="C36" i="22747"/>
  <c r="C30" i="22747"/>
  <c r="B36" i="22747"/>
  <c r="A36" i="22747"/>
  <c r="CX36" i="22746"/>
  <c r="CW36" i="22746"/>
  <c r="CV36" i="22746"/>
  <c r="CX35" i="22746"/>
  <c r="CW35" i="22746"/>
  <c r="CV35" i="22746"/>
  <c r="CX34" i="22746"/>
  <c r="CW34" i="22746"/>
  <c r="CV34" i="22746"/>
  <c r="CX33" i="22746"/>
  <c r="CW33" i="22746"/>
  <c r="CV33" i="22746"/>
  <c r="CX32" i="22746"/>
  <c r="CW32" i="22746"/>
  <c r="CV32" i="22746"/>
  <c r="CX31" i="22746"/>
  <c r="CW31" i="22746"/>
  <c r="CV31" i="22746"/>
  <c r="CQ36" i="22746"/>
  <c r="CP36" i="22746"/>
  <c r="CO36" i="22746"/>
  <c r="CQ35" i="22746"/>
  <c r="CP35" i="22746"/>
  <c r="CO35" i="22746"/>
  <c r="CQ34" i="22746"/>
  <c r="CP34" i="22746"/>
  <c r="CO34" i="22746"/>
  <c r="CQ33" i="22746"/>
  <c r="CP33" i="22746"/>
  <c r="CO33" i="22746"/>
  <c r="CQ32" i="22746"/>
  <c r="CP32" i="22746"/>
  <c r="CO32" i="22746"/>
  <c r="CQ31" i="22746"/>
  <c r="CP31" i="22746"/>
  <c r="CO31" i="22746"/>
  <c r="CJ36" i="22746"/>
  <c r="CI36" i="22746"/>
  <c r="CH36" i="22746"/>
  <c r="CJ35" i="22746"/>
  <c r="CI35" i="22746"/>
  <c r="CH35" i="22746"/>
  <c r="CJ34" i="22746"/>
  <c r="CI34" i="22746"/>
  <c r="CH34" i="22746"/>
  <c r="CJ33" i="22746"/>
  <c r="CI33" i="22746"/>
  <c r="CH33" i="22746"/>
  <c r="CJ32" i="22746"/>
  <c r="CI32" i="22746"/>
  <c r="CH32" i="22746"/>
  <c r="CJ31" i="22746"/>
  <c r="CI31" i="22746"/>
  <c r="CH31" i="22746"/>
  <c r="CC36" i="22746"/>
  <c r="CB36" i="22746"/>
  <c r="CA36" i="22746"/>
  <c r="CC35" i="22746"/>
  <c r="CB35" i="22746"/>
  <c r="CA35" i="22746"/>
  <c r="CC34" i="22746"/>
  <c r="CB34" i="22746"/>
  <c r="CA34" i="22746"/>
  <c r="CC33" i="22746"/>
  <c r="CB33" i="22746"/>
  <c r="CA33" i="22746"/>
  <c r="CC32" i="22746"/>
  <c r="CB32" i="22746"/>
  <c r="CA32" i="22746"/>
  <c r="CC31" i="22746"/>
  <c r="CB31" i="22746"/>
  <c r="CA31" i="22746"/>
  <c r="BV36" i="22746"/>
  <c r="BU36" i="22746"/>
  <c r="BT36" i="22746"/>
  <c r="BV35" i="22746"/>
  <c r="BU35" i="22746"/>
  <c r="BT35" i="22746"/>
  <c r="BV34" i="22746"/>
  <c r="BU34" i="22746"/>
  <c r="BT34" i="22746"/>
  <c r="BV33" i="22746"/>
  <c r="BU33" i="22746"/>
  <c r="BT33" i="22746"/>
  <c r="BV32" i="22746"/>
  <c r="BU32" i="22746"/>
  <c r="BT32" i="22746"/>
  <c r="BV31" i="22746"/>
  <c r="BU31" i="22746"/>
  <c r="BT31" i="22746"/>
  <c r="BO36" i="22746"/>
  <c r="BN36" i="22746"/>
  <c r="BM36" i="22746"/>
  <c r="BO35" i="22746"/>
  <c r="BN35" i="22746"/>
  <c r="BM35" i="22746"/>
  <c r="BO34" i="22746"/>
  <c r="BN34" i="22746"/>
  <c r="BM34" i="22746"/>
  <c r="BO33" i="22746"/>
  <c r="BN33" i="22746"/>
  <c r="BM33" i="22746"/>
  <c r="BO32" i="22746"/>
  <c r="BN32" i="22746"/>
  <c r="BM32" i="22746"/>
  <c r="BO31" i="22746"/>
  <c r="BN31" i="22746"/>
  <c r="BM31" i="22746"/>
  <c r="BH36" i="22746"/>
  <c r="BG36" i="22746"/>
  <c r="BF36" i="22746"/>
  <c r="BH35" i="22746"/>
  <c r="BG35" i="22746"/>
  <c r="BF35" i="22746"/>
  <c r="BH34" i="22746"/>
  <c r="BG34" i="22746"/>
  <c r="BF34" i="22746"/>
  <c r="BH33" i="22746"/>
  <c r="BG33" i="22746"/>
  <c r="BF33" i="22746"/>
  <c r="BH32" i="22746"/>
  <c r="BG32" i="22746"/>
  <c r="BF32" i="22746"/>
  <c r="BH31" i="22746"/>
  <c r="BG31" i="22746"/>
  <c r="BF31" i="22746"/>
  <c r="BA36" i="22746"/>
  <c r="AZ36" i="22746"/>
  <c r="AY36" i="22746"/>
  <c r="BA35" i="22746"/>
  <c r="AZ35" i="22746"/>
  <c r="AY35" i="22746"/>
  <c r="BA34" i="22746"/>
  <c r="AZ34" i="22746"/>
  <c r="AY34" i="22746"/>
  <c r="BA33" i="22746"/>
  <c r="AZ33" i="22746"/>
  <c r="AY33" i="22746"/>
  <c r="BA32" i="22746"/>
  <c r="AZ32" i="22746"/>
  <c r="AY32" i="22746"/>
  <c r="BA31" i="22746"/>
  <c r="AZ31" i="22746"/>
  <c r="AY31" i="22746"/>
  <c r="AT36" i="22746"/>
  <c r="AS36" i="22746"/>
  <c r="AR36" i="22746"/>
  <c r="AT35" i="22746"/>
  <c r="AS35" i="22746"/>
  <c r="AR35" i="22746"/>
  <c r="AT34" i="22746"/>
  <c r="AS34" i="22746"/>
  <c r="AR34" i="22746"/>
  <c r="AT33" i="22746"/>
  <c r="AS33" i="22746"/>
  <c r="AR33" i="22746"/>
  <c r="AT32" i="22746"/>
  <c r="AS32" i="22746"/>
  <c r="AR32" i="22746"/>
  <c r="AT31" i="22746"/>
  <c r="AS31" i="22746"/>
  <c r="AR31" i="22746"/>
  <c r="AM36" i="22746"/>
  <c r="AL36" i="22746"/>
  <c r="AK36" i="22746"/>
  <c r="AM35" i="22746"/>
  <c r="AL35" i="22746"/>
  <c r="AK35" i="22746"/>
  <c r="AM34" i="22746"/>
  <c r="AL34" i="22746"/>
  <c r="AK34" i="22746"/>
  <c r="AM33" i="22746"/>
  <c r="AL33" i="22746"/>
  <c r="AK33" i="22746"/>
  <c r="AM32" i="22746"/>
  <c r="AL32" i="22746"/>
  <c r="AK32" i="22746"/>
  <c r="AM31" i="22746"/>
  <c r="AL31" i="22746"/>
  <c r="AK31" i="22746"/>
  <c r="AF36" i="22746"/>
  <c r="AE36" i="22746"/>
  <c r="AD36" i="22746"/>
  <c r="AF35" i="22746"/>
  <c r="AE35" i="22746"/>
  <c r="AD35" i="22746"/>
  <c r="AF34" i="22746"/>
  <c r="AE34" i="22746"/>
  <c r="AD34" i="22746"/>
  <c r="AF33" i="22746"/>
  <c r="AE33" i="22746"/>
  <c r="AD33" i="22746"/>
  <c r="AF32" i="22746"/>
  <c r="AE32" i="22746"/>
  <c r="AD32" i="22746"/>
  <c r="AF31" i="22746"/>
  <c r="AE31" i="22746"/>
  <c r="AD31" i="22746"/>
  <c r="Y36" i="22746"/>
  <c r="X36" i="22746"/>
  <c r="W36" i="22746"/>
  <c r="Y35" i="22746"/>
  <c r="X35" i="22746"/>
  <c r="W35" i="22746"/>
  <c r="Y34" i="22746"/>
  <c r="X34" i="22746"/>
  <c r="W34" i="22746"/>
  <c r="Y33" i="22746"/>
  <c r="X33" i="22746"/>
  <c r="W33" i="22746"/>
  <c r="Y32" i="22746"/>
  <c r="X32" i="22746"/>
  <c r="W32" i="22746"/>
  <c r="Y31" i="22746"/>
  <c r="X31" i="22746"/>
  <c r="W31" i="22746"/>
  <c r="O37" i="22746"/>
  <c r="R36" i="22746"/>
  <c r="R35" i="22746"/>
  <c r="Q36" i="22746"/>
  <c r="Q35" i="22746"/>
  <c r="P36" i="22746"/>
  <c r="P35" i="22746"/>
  <c r="D28" i="22747"/>
  <c r="D27" i="22747"/>
  <c r="D26" i="22747"/>
  <c r="D25" i="22747"/>
  <c r="D24" i="22747"/>
  <c r="D23" i="22747"/>
  <c r="C25" i="22747"/>
  <c r="C26" i="22747"/>
  <c r="C27" i="22747"/>
  <c r="C28" i="22747"/>
  <c r="C24" i="22747"/>
  <c r="C23" i="22747"/>
  <c r="B28" i="22747"/>
  <c r="B25" i="22747"/>
  <c r="B26" i="22747"/>
  <c r="B27" i="22747"/>
  <c r="B23" i="22747"/>
  <c r="B24" i="22747"/>
  <c r="CX29" i="22746"/>
  <c r="CW29" i="22746"/>
  <c r="CV29" i="22746"/>
  <c r="CX28" i="22746"/>
  <c r="CW28" i="22746"/>
  <c r="CV28" i="22746"/>
  <c r="CX27" i="22746"/>
  <c r="CW27" i="22746"/>
  <c r="CV27" i="22746"/>
  <c r="CX26" i="22746"/>
  <c r="CW26" i="22746"/>
  <c r="CV26" i="22746"/>
  <c r="CX25" i="22746"/>
  <c r="CW25" i="22746"/>
  <c r="CV25" i="22746"/>
  <c r="CX24" i="22746"/>
  <c r="CW24" i="22746"/>
  <c r="CV24" i="22746"/>
  <c r="CQ29" i="22746"/>
  <c r="CP29" i="22746"/>
  <c r="CO29" i="22746"/>
  <c r="CQ28" i="22746"/>
  <c r="CP28" i="22746"/>
  <c r="CO28" i="22746"/>
  <c r="CQ27" i="22746"/>
  <c r="CP27" i="22746"/>
  <c r="CO27" i="22746"/>
  <c r="CQ26" i="22746"/>
  <c r="CP26" i="22746"/>
  <c r="CO26" i="22746"/>
  <c r="CQ25" i="22746"/>
  <c r="CP25" i="22746"/>
  <c r="CO25" i="22746"/>
  <c r="CQ24" i="22746"/>
  <c r="CP24" i="22746"/>
  <c r="CO24" i="22746"/>
  <c r="CJ29" i="22746"/>
  <c r="CI29" i="22746"/>
  <c r="CH29" i="22746"/>
  <c r="CJ28" i="22746"/>
  <c r="CI28" i="22746"/>
  <c r="CH28" i="22746"/>
  <c r="CJ27" i="22746"/>
  <c r="CI27" i="22746"/>
  <c r="CH27" i="22746"/>
  <c r="CJ26" i="22746"/>
  <c r="CI26" i="22746"/>
  <c r="CH26" i="22746"/>
  <c r="CJ25" i="22746"/>
  <c r="CI25" i="22746"/>
  <c r="CH25" i="22746"/>
  <c r="CJ24" i="22746"/>
  <c r="CI24" i="22746"/>
  <c r="CH24" i="22746"/>
  <c r="CC29" i="22746"/>
  <c r="CB29" i="22746"/>
  <c r="CA29" i="22746"/>
  <c r="CC28" i="22746"/>
  <c r="CB28" i="22746"/>
  <c r="CA28" i="22746"/>
  <c r="CC27" i="22746"/>
  <c r="CB27" i="22746"/>
  <c r="CA27" i="22746"/>
  <c r="CC26" i="22746"/>
  <c r="CB26" i="22746"/>
  <c r="CA26" i="22746"/>
  <c r="CC25" i="22746"/>
  <c r="CB25" i="22746"/>
  <c r="CA25" i="22746"/>
  <c r="CC24" i="22746"/>
  <c r="CB24" i="22746"/>
  <c r="CA24" i="22746"/>
  <c r="BV29" i="22746"/>
  <c r="BU29" i="22746"/>
  <c r="BT29" i="22746"/>
  <c r="BV28" i="22746"/>
  <c r="BU28" i="22746"/>
  <c r="BT28" i="22746"/>
  <c r="BV27" i="22746"/>
  <c r="BU27" i="22746"/>
  <c r="BT27" i="22746"/>
  <c r="BV26" i="22746"/>
  <c r="BU26" i="22746"/>
  <c r="BT26" i="22746"/>
  <c r="BV25" i="22746"/>
  <c r="BU25" i="22746"/>
  <c r="BT25" i="22746"/>
  <c r="BV24" i="22746"/>
  <c r="BU24" i="22746"/>
  <c r="BT24" i="22746"/>
  <c r="BO29" i="22746"/>
  <c r="BN29" i="22746"/>
  <c r="BM29" i="22746"/>
  <c r="BO28" i="22746"/>
  <c r="BN28" i="22746"/>
  <c r="BM28" i="22746"/>
  <c r="BO27" i="22746"/>
  <c r="BN27" i="22746"/>
  <c r="BM27" i="22746"/>
  <c r="BO26" i="22746"/>
  <c r="BN26" i="22746"/>
  <c r="BM26" i="22746"/>
  <c r="BO25" i="22746"/>
  <c r="BN25" i="22746"/>
  <c r="BM25" i="22746"/>
  <c r="BO24" i="22746"/>
  <c r="BN24" i="22746"/>
  <c r="BM24" i="22746"/>
  <c r="BH29" i="22746"/>
  <c r="BG29" i="22746"/>
  <c r="BF29" i="22746"/>
  <c r="BH28" i="22746"/>
  <c r="BG28" i="22746"/>
  <c r="BF28" i="22746"/>
  <c r="BH27" i="22746"/>
  <c r="BG27" i="22746"/>
  <c r="BF27" i="22746"/>
  <c r="BH26" i="22746"/>
  <c r="BG26" i="22746"/>
  <c r="BF26" i="22746"/>
  <c r="BH25" i="22746"/>
  <c r="BG25" i="22746"/>
  <c r="BF25" i="22746"/>
  <c r="BH24" i="22746"/>
  <c r="BG24" i="22746"/>
  <c r="BF24" i="22746"/>
  <c r="BA29" i="22746"/>
  <c r="AZ29" i="22746"/>
  <c r="AY29" i="22746"/>
  <c r="BA28" i="22746"/>
  <c r="AZ28" i="22746"/>
  <c r="AY28" i="22746"/>
  <c r="BA27" i="22746"/>
  <c r="AZ27" i="22746"/>
  <c r="AY27" i="22746"/>
  <c r="BA26" i="22746"/>
  <c r="AZ26" i="22746"/>
  <c r="AY26" i="22746"/>
  <c r="BA25" i="22746"/>
  <c r="AZ25" i="22746"/>
  <c r="AY25" i="22746"/>
  <c r="BA24" i="22746"/>
  <c r="AZ24" i="22746"/>
  <c r="AY24" i="22746"/>
  <c r="AT29" i="22746"/>
  <c r="AS29" i="22746"/>
  <c r="AR29" i="22746"/>
  <c r="AT28" i="22746"/>
  <c r="AS28" i="22746"/>
  <c r="AR28" i="22746"/>
  <c r="AT27" i="22746"/>
  <c r="AS27" i="22746"/>
  <c r="AR27" i="22746"/>
  <c r="AT26" i="22746"/>
  <c r="AS26" i="22746"/>
  <c r="AR26" i="22746"/>
  <c r="AT25" i="22746"/>
  <c r="AS25" i="22746"/>
  <c r="AR25" i="22746"/>
  <c r="AT24" i="22746"/>
  <c r="AS24" i="22746"/>
  <c r="AR24" i="22746"/>
  <c r="AM29" i="22746"/>
  <c r="AL29" i="22746"/>
  <c r="AK29" i="22746"/>
  <c r="AM28" i="22746"/>
  <c r="AL28" i="22746"/>
  <c r="AK28" i="22746"/>
  <c r="AM27" i="22746"/>
  <c r="AL27" i="22746"/>
  <c r="AK27" i="22746"/>
  <c r="AM26" i="22746"/>
  <c r="AL26" i="22746"/>
  <c r="AK26" i="22746"/>
  <c r="AM25" i="22746"/>
  <c r="AL25" i="22746"/>
  <c r="AK25" i="22746"/>
  <c r="AM24" i="22746"/>
  <c r="AL24" i="22746"/>
  <c r="AK24" i="22746"/>
  <c r="AF29" i="22746"/>
  <c r="AE29" i="22746"/>
  <c r="AD29" i="22746"/>
  <c r="AF28" i="22746"/>
  <c r="AE28" i="22746"/>
  <c r="AD28" i="22746"/>
  <c r="AF27" i="22746"/>
  <c r="AE27" i="22746"/>
  <c r="AD27" i="22746"/>
  <c r="AF26" i="22746"/>
  <c r="AE26" i="22746"/>
  <c r="AD26" i="22746"/>
  <c r="AF25" i="22746"/>
  <c r="AE25" i="22746"/>
  <c r="AD25" i="22746"/>
  <c r="AF24" i="22746"/>
  <c r="AE24" i="22746"/>
  <c r="AD24" i="22746"/>
  <c r="Y29" i="22746"/>
  <c r="X29" i="22746"/>
  <c r="W29" i="22746"/>
  <c r="Y28" i="22746"/>
  <c r="X28" i="22746"/>
  <c r="W28" i="22746"/>
  <c r="Y27" i="22746"/>
  <c r="X27" i="22746"/>
  <c r="W27" i="22746"/>
  <c r="Y26" i="22746"/>
  <c r="X26" i="22746"/>
  <c r="W26" i="22746"/>
  <c r="Y25" i="22746"/>
  <c r="X25" i="22746"/>
  <c r="W25" i="22746"/>
  <c r="Y24" i="22746"/>
  <c r="X24" i="22746"/>
  <c r="W24" i="22746"/>
  <c r="Q29" i="22746"/>
  <c r="Q28" i="22746"/>
  <c r="R29" i="22746"/>
  <c r="P29" i="22746"/>
  <c r="R28" i="22746"/>
  <c r="R27" i="22746"/>
  <c r="Q27" i="22746"/>
  <c r="P28" i="22746"/>
  <c r="P27" i="22746"/>
  <c r="B24" i="22746"/>
  <c r="C133" i="22744"/>
  <c r="E131" i="22744"/>
  <c r="E132" i="22744"/>
  <c r="E129" i="22744"/>
  <c r="E128" i="22744"/>
  <c r="E127" i="22744"/>
  <c r="E124" i="22744"/>
  <c r="E125" i="22744"/>
  <c r="E123" i="22744"/>
  <c r="E121" i="22744"/>
  <c r="E120" i="22744"/>
  <c r="E119" i="22744"/>
  <c r="E96" i="22744"/>
  <c r="B12" i="22746"/>
  <c r="I12" i="22746" s="1"/>
  <c r="P12" i="22746" s="1"/>
  <c r="W12" i="22746" s="1"/>
  <c r="AD12" i="22746" s="1"/>
  <c r="AK12" i="22746" s="1"/>
  <c r="AR12" i="22746" s="1"/>
  <c r="AY12" i="22746" s="1"/>
  <c r="BF12" i="22746" s="1"/>
  <c r="BM12" i="22746" s="1"/>
  <c r="BT12" i="22746" s="1"/>
  <c r="CA12" i="22746" s="1"/>
  <c r="CH12" i="22746" s="1"/>
  <c r="CO12" i="22746" s="1"/>
  <c r="CV12" i="22746" s="1"/>
  <c r="F74" i="22744"/>
  <c r="F76" i="22744" s="1"/>
  <c r="U12" i="22746" s="1"/>
  <c r="F73" i="22744"/>
  <c r="E51" i="22744"/>
  <c r="E12" i="22746" s="1"/>
  <c r="E50" i="22744"/>
  <c r="B12" i="4" s="1"/>
  <c r="A14" i="22715"/>
  <c r="B12" i="22747" s="1"/>
  <c r="F75" i="22744" l="1"/>
  <c r="N12" i="22746" s="1"/>
  <c r="F83" i="22744"/>
  <c r="BR12" i="22746" s="1"/>
  <c r="F87" i="22744"/>
  <c r="CT12" i="22746" s="1"/>
  <c r="F79" i="22744"/>
  <c r="AP12" i="22746" s="1"/>
  <c r="E64" i="22744"/>
  <c r="CR12" i="22746" s="1"/>
  <c r="E60" i="22744"/>
  <c r="BP12" i="22746" s="1"/>
  <c r="E56" i="22744"/>
  <c r="AN12" i="22746" s="1"/>
  <c r="E52" i="22744"/>
  <c r="L12" i="22746" s="1"/>
  <c r="E62" i="22744"/>
  <c r="CD12" i="22746" s="1"/>
  <c r="E58" i="22744"/>
  <c r="BB12" i="22746" s="1"/>
  <c r="E54" i="22744"/>
  <c r="F89" i="22744"/>
  <c r="G12" i="22747" s="1"/>
  <c r="F85" i="22744"/>
  <c r="CF12" i="22746" s="1"/>
  <c r="F81" i="22744"/>
  <c r="BD12" i="22746" s="1"/>
  <c r="F77" i="22744"/>
  <c r="AB12" i="22746" s="1"/>
  <c r="G12" i="22746"/>
  <c r="E65" i="22744"/>
  <c r="CY12" i="22746" s="1"/>
  <c r="E63" i="22744"/>
  <c r="CK12" i="22746" s="1"/>
  <c r="E61" i="22744"/>
  <c r="BW12" i="22746" s="1"/>
  <c r="E59" i="22744"/>
  <c r="BI12" i="22746" s="1"/>
  <c r="E57" i="22744"/>
  <c r="AU12" i="22746" s="1"/>
  <c r="E55" i="22744"/>
  <c r="AG12" i="22746" s="1"/>
  <c r="E53" i="22744"/>
  <c r="S12" i="22746" s="1"/>
  <c r="F90" i="22744"/>
  <c r="F88" i="22744"/>
  <c r="DA12" i="22746" s="1"/>
  <c r="F86" i="22744"/>
  <c r="CM12" i="22746" s="1"/>
  <c r="F84" i="22744"/>
  <c r="BY12" i="22746" s="1"/>
  <c r="F82" i="22744"/>
  <c r="BK12" i="22746" s="1"/>
  <c r="F80" i="22744"/>
  <c r="AW12" i="22746" s="1"/>
  <c r="F78" i="22744"/>
  <c r="AI12" i="22746" s="1"/>
  <c r="E68" i="22744" l="1"/>
  <c r="E12" i="22747" s="1"/>
  <c r="Z12" i="22746"/>
  <c r="E69" i="22744"/>
  <c r="BU57" i="22746" l="1"/>
  <c r="I59" i="22746"/>
  <c r="K59" i="22746"/>
  <c r="W59" i="22746"/>
  <c r="Y59" i="22746"/>
  <c r="AD59" i="22746"/>
  <c r="AF59" i="22746"/>
  <c r="AK59" i="22746"/>
  <c r="AM59" i="22746"/>
  <c r="AR59" i="22746"/>
  <c r="AT59" i="22746"/>
  <c r="AY59" i="22746"/>
  <c r="BA59" i="22746"/>
  <c r="BF59" i="22746"/>
  <c r="BH59" i="22746"/>
  <c r="BM59" i="22746"/>
  <c r="BO59" i="22746"/>
  <c r="BT59" i="22746"/>
  <c r="BV59" i="22746"/>
  <c r="CA59" i="22746"/>
  <c r="CC59" i="22746"/>
  <c r="CH59" i="22746"/>
  <c r="CJ59" i="22746"/>
  <c r="CO59" i="22746"/>
  <c r="CQ59" i="22746"/>
  <c r="CV59" i="22746"/>
  <c r="CX59" i="22746"/>
  <c r="D59" i="22746"/>
  <c r="H183" i="22744"/>
  <c r="C37" i="1"/>
  <c r="CK81" i="3" s="1"/>
  <c r="B60" i="3"/>
  <c r="B59" i="22746"/>
  <c r="CX37" i="22746"/>
  <c r="CW37" i="22746"/>
  <c r="CV37" i="22746"/>
  <c r="CX30" i="22746"/>
  <c r="CW30" i="22746"/>
  <c r="CV30" i="22746"/>
  <c r="CQ37" i="22746"/>
  <c r="CP37" i="22746"/>
  <c r="CO37" i="22746"/>
  <c r="CQ30" i="22746"/>
  <c r="CP30" i="22746"/>
  <c r="CO30" i="22746"/>
  <c r="CJ37" i="22746"/>
  <c r="CI37" i="22746"/>
  <c r="CH37" i="22746"/>
  <c r="CJ30" i="22746"/>
  <c r="CI30" i="22746"/>
  <c r="CH30" i="22746"/>
  <c r="CC37" i="22746"/>
  <c r="CB37" i="22746"/>
  <c r="CA37" i="22746"/>
  <c r="CC30" i="22746"/>
  <c r="CB30" i="22746"/>
  <c r="CA30" i="22746"/>
  <c r="BV37" i="22746"/>
  <c r="BU37" i="22746"/>
  <c r="BT37" i="22746"/>
  <c r="BV30" i="22746"/>
  <c r="BU30" i="22746"/>
  <c r="BT30" i="22746"/>
  <c r="BO37" i="22746"/>
  <c r="BN37" i="22746"/>
  <c r="BM37" i="22746"/>
  <c r="BO30" i="22746"/>
  <c r="BN30" i="22746"/>
  <c r="BM30" i="22746"/>
  <c r="BH37" i="22746"/>
  <c r="BG37" i="22746"/>
  <c r="BF37" i="22746"/>
  <c r="BH30" i="22746"/>
  <c r="BG30" i="22746"/>
  <c r="BF30" i="22746"/>
  <c r="BA37" i="22746"/>
  <c r="AZ37" i="22746"/>
  <c r="AY37" i="22746"/>
  <c r="BA30" i="22746"/>
  <c r="AZ30" i="22746"/>
  <c r="AY30" i="22746"/>
  <c r="AT37" i="22746"/>
  <c r="AS37" i="22746"/>
  <c r="AR37" i="22746"/>
  <c r="AT30" i="22746"/>
  <c r="AS30" i="22746"/>
  <c r="AR30" i="22746"/>
  <c r="AM37" i="22746"/>
  <c r="AL37" i="22746"/>
  <c r="AK37" i="22746"/>
  <c r="AM30" i="22746"/>
  <c r="AL30" i="22746"/>
  <c r="AK30" i="22746"/>
  <c r="AF37" i="22746"/>
  <c r="AE37" i="22746"/>
  <c r="AD37" i="22746"/>
  <c r="AF30" i="22746"/>
  <c r="AE30" i="22746"/>
  <c r="AD30" i="22746"/>
  <c r="Y37" i="22746"/>
  <c r="X37" i="22746"/>
  <c r="W37" i="22746"/>
  <c r="Y30" i="22746"/>
  <c r="X30" i="22746"/>
  <c r="W30" i="22746"/>
  <c r="R37" i="22746"/>
  <c r="Q37" i="22746"/>
  <c r="P37" i="22746"/>
  <c r="R30" i="22746"/>
  <c r="Q30" i="22746"/>
  <c r="P30" i="22746"/>
  <c r="R26" i="22746"/>
  <c r="Q26" i="22746"/>
  <c r="P26" i="22746"/>
  <c r="P25" i="22746"/>
  <c r="D50" i="1"/>
  <c r="E17" i="22714" s="1"/>
  <c r="C50" i="1"/>
  <c r="B50" i="1"/>
  <c r="B73" i="1" s="1"/>
  <c r="A1" i="22714"/>
  <c r="A1" i="4"/>
  <c r="A1" i="3"/>
  <c r="A1" i="2"/>
  <c r="A1" i="22751"/>
  <c r="A1" i="22752"/>
  <c r="A1" i="1"/>
  <c r="A1" i="22748"/>
  <c r="A1" i="22746"/>
  <c r="A1" i="22745"/>
  <c r="A1" i="22750"/>
  <c r="A1" i="22749"/>
  <c r="A1" i="22744"/>
  <c r="F34" i="22744"/>
  <c r="C34" i="22744"/>
  <c r="C33" i="22744"/>
  <c r="C32" i="22744"/>
  <c r="F48" i="22750" s="1"/>
  <c r="H48" i="22750" s="1"/>
  <c r="C237" i="22744"/>
  <c r="CW40" i="22746" s="1"/>
  <c r="C238" i="22744"/>
  <c r="D144" i="22745" s="1"/>
  <c r="C241" i="22744"/>
  <c r="AT81" i="22746" s="1"/>
  <c r="C242" i="22744"/>
  <c r="CQ82" i="22746" s="1"/>
  <c r="C19" i="22746"/>
  <c r="C20" i="22746"/>
  <c r="C59" i="22746" s="1"/>
  <c r="C21" i="22746"/>
  <c r="C24" i="22746"/>
  <c r="B38" i="22746"/>
  <c r="D56" i="22746"/>
  <c r="D57" i="22746"/>
  <c r="D75" i="22746"/>
  <c r="C62" i="22746"/>
  <c r="D62" i="22746"/>
  <c r="D63" i="22746"/>
  <c r="C233" i="22744"/>
  <c r="CP79" i="22746" s="1"/>
  <c r="B37" i="4"/>
  <c r="C61" i="4" s="1"/>
  <c r="C18" i="4"/>
  <c r="C19" i="4"/>
  <c r="C64" i="4" s="1"/>
  <c r="F64" i="4" s="1"/>
  <c r="C65" i="4"/>
  <c r="B74" i="22744"/>
  <c r="B83" i="22744" s="1"/>
  <c r="BR9" i="22746" s="1"/>
  <c r="C74" i="22744"/>
  <c r="C81" i="22744" s="1"/>
  <c r="BD10" i="22746" s="1"/>
  <c r="D74" i="22744"/>
  <c r="D83" i="22744" s="1"/>
  <c r="C60" i="22746"/>
  <c r="E74" i="22744"/>
  <c r="H74" i="22744"/>
  <c r="H78" i="22744" s="1"/>
  <c r="C61" i="22746"/>
  <c r="F70" i="22746"/>
  <c r="C52" i="22745"/>
  <c r="C67" i="22745" s="1"/>
  <c r="C53" i="22745"/>
  <c r="C68" i="22745" s="1"/>
  <c r="C54" i="22745"/>
  <c r="C75" i="22745" s="1"/>
  <c r="C56" i="22745"/>
  <c r="C61" i="22745"/>
  <c r="B24" i="22744"/>
  <c r="C31" i="22744"/>
  <c r="D8" i="22745" s="1"/>
  <c r="D10" i="22745"/>
  <c r="C11" i="22745"/>
  <c r="D11" i="22745"/>
  <c r="E11" i="22745" s="1"/>
  <c r="C12" i="22745"/>
  <c r="D12" i="22745"/>
  <c r="D13" i="22745"/>
  <c r="C37" i="22745"/>
  <c r="D37" i="22745"/>
  <c r="E38" i="22745"/>
  <c r="E39" i="22745"/>
  <c r="C43" i="22745"/>
  <c r="D43" i="22745"/>
  <c r="C44" i="22745"/>
  <c r="D44" i="22745"/>
  <c r="C45" i="22745"/>
  <c r="D45" i="22745"/>
  <c r="C70" i="22745"/>
  <c r="C71" i="22745"/>
  <c r="C72" i="22745"/>
  <c r="C73" i="22745"/>
  <c r="C74" i="22745"/>
  <c r="C76" i="22745"/>
  <c r="C77" i="22745"/>
  <c r="C78" i="22745"/>
  <c r="C111" i="22745"/>
  <c r="C112" i="22745"/>
  <c r="C88" i="22745"/>
  <c r="C94" i="22745" s="1"/>
  <c r="D88" i="22745"/>
  <c r="D89" i="22745"/>
  <c r="D90" i="22745"/>
  <c r="C91" i="22745"/>
  <c r="D91" i="22745"/>
  <c r="C92" i="22745"/>
  <c r="D92" i="22745"/>
  <c r="C93" i="22745"/>
  <c r="D93" i="22745"/>
  <c r="D94" i="22745"/>
  <c r="D96" i="22745"/>
  <c r="E98" i="22745"/>
  <c r="D99" i="22745"/>
  <c r="C100" i="22745"/>
  <c r="D100" i="22745"/>
  <c r="C101" i="22745"/>
  <c r="D101" i="22745"/>
  <c r="C102" i="22745"/>
  <c r="D102" i="22745"/>
  <c r="C103" i="22745"/>
  <c r="D103" i="22745"/>
  <c r="C16" i="22745"/>
  <c r="D16" i="22745"/>
  <c r="C17" i="22745"/>
  <c r="D17" i="22745"/>
  <c r="C18" i="22745"/>
  <c r="D18" i="22745"/>
  <c r="C19" i="22745"/>
  <c r="D19" i="22745"/>
  <c r="C20" i="22745"/>
  <c r="D20" i="22745"/>
  <c r="C21" i="22745"/>
  <c r="D21" i="22745"/>
  <c r="C22" i="22745"/>
  <c r="D22" i="22745"/>
  <c r="C23" i="22745"/>
  <c r="D23" i="22745"/>
  <c r="C24" i="22745"/>
  <c r="D24" i="22745"/>
  <c r="C25" i="22745"/>
  <c r="D25" i="22745"/>
  <c r="C26" i="22745"/>
  <c r="D26" i="22745"/>
  <c r="C30" i="22745"/>
  <c r="D30" i="22745"/>
  <c r="C31" i="22745"/>
  <c r="D31" i="22745"/>
  <c r="C32" i="22745"/>
  <c r="D32" i="22745"/>
  <c r="C33" i="22745"/>
  <c r="D33" i="22745"/>
  <c r="C34" i="22745"/>
  <c r="D34" i="22745"/>
  <c r="C6" i="22750"/>
  <c r="D61" i="22750"/>
  <c r="H61" i="22750"/>
  <c r="C40" i="22744"/>
  <c r="AF89" i="22746" s="1"/>
  <c r="C89" i="22746"/>
  <c r="F88" i="22746"/>
  <c r="D85" i="22746"/>
  <c r="D18" i="4"/>
  <c r="E18" i="4"/>
  <c r="D19" i="4"/>
  <c r="E19" i="4"/>
  <c r="D21" i="22746"/>
  <c r="D19" i="22746"/>
  <c r="E19" i="22746"/>
  <c r="D20" i="22746"/>
  <c r="E20" i="22746"/>
  <c r="C234" i="22744"/>
  <c r="CO39" i="22746" s="1"/>
  <c r="B32" i="22715"/>
  <c r="B51" i="22744"/>
  <c r="E39" i="22746"/>
  <c r="C236" i="22744"/>
  <c r="D148" i="22745" s="1"/>
  <c r="E148" i="22745" s="1"/>
  <c r="D40" i="22746"/>
  <c r="E42" i="22746"/>
  <c r="F42" i="22746" s="1"/>
  <c r="E43" i="22746"/>
  <c r="E44" i="22746"/>
  <c r="E45" i="22746"/>
  <c r="E46" i="22746"/>
  <c r="E47" i="22746"/>
  <c r="C51" i="22744"/>
  <c r="D51" i="22744"/>
  <c r="D52" i="22744" s="1"/>
  <c r="L11" i="22746" s="1"/>
  <c r="F15" i="22746"/>
  <c r="C238" i="1"/>
  <c r="J82" i="3" s="1"/>
  <c r="D82" i="3"/>
  <c r="D88" i="4" s="1"/>
  <c r="D83" i="3"/>
  <c r="D89" i="4" s="1"/>
  <c r="C19" i="3"/>
  <c r="C20" i="3"/>
  <c r="C60" i="3" s="1"/>
  <c r="C22" i="3"/>
  <c r="D57" i="3"/>
  <c r="D76" i="3"/>
  <c r="D63" i="3"/>
  <c r="D64" i="3"/>
  <c r="D78" i="3"/>
  <c r="C80" i="3"/>
  <c r="C81" i="3"/>
  <c r="C8" i="2"/>
  <c r="D8" i="2"/>
  <c r="D10" i="2"/>
  <c r="E10" i="2" s="1"/>
  <c r="C11" i="2"/>
  <c r="D11" i="2"/>
  <c r="E11" i="2" s="1"/>
  <c r="C12" i="2"/>
  <c r="D12" i="2"/>
  <c r="C13" i="2"/>
  <c r="D13" i="2"/>
  <c r="C36" i="2"/>
  <c r="D36" i="2"/>
  <c r="E36" i="2" s="1"/>
  <c r="E37" i="2"/>
  <c r="E38" i="2"/>
  <c r="C42" i="2"/>
  <c r="E42" i="2"/>
  <c r="D42" i="2"/>
  <c r="C43" i="2"/>
  <c r="D43" i="2"/>
  <c r="C44" i="2"/>
  <c r="E44" i="2" s="1"/>
  <c r="D44" i="2"/>
  <c r="C51" i="2"/>
  <c r="C66" i="2" s="1"/>
  <c r="C52" i="2"/>
  <c r="C53" i="2"/>
  <c r="C74" i="2" s="1"/>
  <c r="C55" i="2"/>
  <c r="C60" i="2"/>
  <c r="D60" i="2"/>
  <c r="C69" i="2"/>
  <c r="C70" i="2"/>
  <c r="C71" i="2"/>
  <c r="C72" i="2"/>
  <c r="C73" i="2"/>
  <c r="C75" i="2"/>
  <c r="C76" i="2"/>
  <c r="C77" i="2"/>
  <c r="D79" i="2"/>
  <c r="C87" i="2"/>
  <c r="C88" i="2" s="1"/>
  <c r="D87" i="2"/>
  <c r="D88" i="2"/>
  <c r="D89" i="2"/>
  <c r="C90" i="2"/>
  <c r="D90" i="2"/>
  <c r="C91" i="2"/>
  <c r="D91" i="2"/>
  <c r="C92" i="2"/>
  <c r="D92" i="2"/>
  <c r="D93" i="2"/>
  <c r="D95" i="2"/>
  <c r="E97" i="2"/>
  <c r="D98" i="2"/>
  <c r="C99" i="2"/>
  <c r="D99" i="2"/>
  <c r="C100" i="2"/>
  <c r="D100" i="2"/>
  <c r="C101" i="2"/>
  <c r="D101" i="2"/>
  <c r="C102" i="2"/>
  <c r="D102" i="2"/>
  <c r="C110" i="2"/>
  <c r="C106" i="2" s="1"/>
  <c r="C107" i="2" s="1"/>
  <c r="C111" i="2"/>
  <c r="C16" i="2"/>
  <c r="D16" i="2"/>
  <c r="E16" i="2" s="1"/>
  <c r="C17" i="2"/>
  <c r="D17" i="2"/>
  <c r="C18" i="2"/>
  <c r="D18" i="2"/>
  <c r="C19" i="2"/>
  <c r="D19" i="2"/>
  <c r="E19" i="2" s="1"/>
  <c r="C20" i="2"/>
  <c r="D20" i="2"/>
  <c r="C21" i="2"/>
  <c r="D21" i="2"/>
  <c r="C22" i="2"/>
  <c r="D22" i="2"/>
  <c r="C23" i="2"/>
  <c r="D23" i="2"/>
  <c r="C24" i="2"/>
  <c r="D24" i="2"/>
  <c r="C25" i="2"/>
  <c r="D25" i="2"/>
  <c r="E25" i="2" s="1"/>
  <c r="C26" i="2"/>
  <c r="D26" i="2"/>
  <c r="C29" i="2"/>
  <c r="D29" i="2"/>
  <c r="C30" i="2"/>
  <c r="D30" i="2"/>
  <c r="C31" i="2"/>
  <c r="D31" i="2"/>
  <c r="C32" i="2"/>
  <c r="D32" i="2"/>
  <c r="C33" i="2"/>
  <c r="D33" i="2"/>
  <c r="D144" i="2"/>
  <c r="D127" i="2"/>
  <c r="C7" i="22751"/>
  <c r="D63" i="22751"/>
  <c r="F103" i="22751"/>
  <c r="D90" i="3"/>
  <c r="C90" i="3"/>
  <c r="F89" i="3"/>
  <c r="C61" i="3"/>
  <c r="E70" i="3"/>
  <c r="F70" i="3" s="1"/>
  <c r="D86" i="3"/>
  <c r="E86" i="3"/>
  <c r="D131" i="2"/>
  <c r="BB41" i="3" s="1"/>
  <c r="C41" i="3"/>
  <c r="D41" i="3"/>
  <c r="E43" i="3"/>
  <c r="F43" i="3" s="1"/>
  <c r="E44" i="3"/>
  <c r="E45" i="3"/>
  <c r="F45" i="3" s="1"/>
  <c r="E46" i="3"/>
  <c r="E47" i="3"/>
  <c r="E48" i="3"/>
  <c r="D19" i="3"/>
  <c r="E19" i="3"/>
  <c r="D20" i="3"/>
  <c r="E20" i="3"/>
  <c r="F20" i="3" s="1"/>
  <c r="D22" i="3"/>
  <c r="E22" i="3"/>
  <c r="E9" i="3"/>
  <c r="E10" i="3"/>
  <c r="E11" i="3"/>
  <c r="F15" i="3"/>
  <c r="D174" i="1"/>
  <c r="J89" i="22746"/>
  <c r="M88" i="22746"/>
  <c r="K85" i="22746"/>
  <c r="I38" i="22746"/>
  <c r="K56" i="22746"/>
  <c r="K57" i="22746"/>
  <c r="J19" i="22746"/>
  <c r="J20" i="22746"/>
  <c r="J59" i="22746" s="1"/>
  <c r="J21" i="22746"/>
  <c r="K58" i="22746"/>
  <c r="J60" i="22746"/>
  <c r="J62" i="22746"/>
  <c r="K62" i="22746"/>
  <c r="K63" i="22746"/>
  <c r="J61" i="22746"/>
  <c r="K75" i="22746"/>
  <c r="K77" i="22746"/>
  <c r="L43" i="22746"/>
  <c r="L44" i="22746"/>
  <c r="L45" i="22746"/>
  <c r="L46" i="22746"/>
  <c r="L47" i="22746"/>
  <c r="L42" i="22746"/>
  <c r="M42" i="22746" s="1"/>
  <c r="K19" i="22746"/>
  <c r="K20" i="22746"/>
  <c r="K21" i="22746"/>
  <c r="K40" i="22746"/>
  <c r="M15" i="22746"/>
  <c r="Q89" i="22746"/>
  <c r="T88" i="22746"/>
  <c r="R85" i="22746"/>
  <c r="Q24" i="22746"/>
  <c r="Q25" i="22746"/>
  <c r="Q31" i="22746"/>
  <c r="Q32" i="22746"/>
  <c r="Q33" i="22746"/>
  <c r="Q34" i="22746"/>
  <c r="Q19" i="22746"/>
  <c r="Q20" i="22746"/>
  <c r="Q21" i="22746"/>
  <c r="R75" i="22746"/>
  <c r="R77" i="22746"/>
  <c r="S43" i="22746"/>
  <c r="S44" i="22746"/>
  <c r="S45" i="22746"/>
  <c r="S46" i="22746"/>
  <c r="S47" i="22746"/>
  <c r="S42" i="22746"/>
  <c r="T42" i="22746" s="1"/>
  <c r="R19" i="22746"/>
  <c r="R20" i="22746"/>
  <c r="R21" i="22746"/>
  <c r="R24" i="22746"/>
  <c r="R25" i="22746"/>
  <c r="R31" i="22746"/>
  <c r="R32" i="22746"/>
  <c r="R33" i="22746"/>
  <c r="R34" i="22746"/>
  <c r="R40" i="22746"/>
  <c r="T15" i="22746"/>
  <c r="C97" i="22747"/>
  <c r="F96" i="22747"/>
  <c r="B142" i="22747" s="1"/>
  <c r="J94" i="22715" s="1"/>
  <c r="C29" i="22747"/>
  <c r="D61" i="22747"/>
  <c r="D62" i="22747"/>
  <c r="C18" i="22747"/>
  <c r="C19" i="22747"/>
  <c r="C64" i="22747" s="1"/>
  <c r="C20" i="22747"/>
  <c r="D63" i="22747"/>
  <c r="F68" i="22744"/>
  <c r="D13" i="22747" s="1"/>
  <c r="C65" i="22747"/>
  <c r="C67" i="22747"/>
  <c r="D67" i="22747"/>
  <c r="D68" i="22747"/>
  <c r="C68" i="22747"/>
  <c r="F75" i="22747"/>
  <c r="D81" i="22747"/>
  <c r="D83" i="22747"/>
  <c r="D92" i="22747"/>
  <c r="E42" i="22747"/>
  <c r="E43" i="22747"/>
  <c r="E44" i="22747"/>
  <c r="E45" i="22747"/>
  <c r="E46" i="22747"/>
  <c r="E41" i="22747"/>
  <c r="F41" i="22747" s="1"/>
  <c r="D30" i="22747"/>
  <c r="D29" i="22747"/>
  <c r="D18" i="22747"/>
  <c r="E18" i="22747"/>
  <c r="D19" i="22747"/>
  <c r="E19" i="22747"/>
  <c r="D20" i="22747"/>
  <c r="E20" i="22747"/>
  <c r="D77" i="1"/>
  <c r="D78" i="1"/>
  <c r="D79" i="1"/>
  <c r="D80" i="1"/>
  <c r="D81" i="1"/>
  <c r="D82" i="1"/>
  <c r="D83" i="1"/>
  <c r="D84" i="1"/>
  <c r="D85" i="1"/>
  <c r="D86" i="1"/>
  <c r="D87" i="1"/>
  <c r="D88" i="1"/>
  <c r="CH67" i="22746"/>
  <c r="CA67" i="22746"/>
  <c r="BT67" i="22746"/>
  <c r="BM67" i="22746"/>
  <c r="BF67" i="22746"/>
  <c r="AY67" i="22746"/>
  <c r="AR67" i="22746"/>
  <c r="AK67" i="22746"/>
  <c r="AD67" i="22746"/>
  <c r="W67" i="22746"/>
  <c r="I67" i="22746"/>
  <c r="B67" i="22746"/>
  <c r="CV67" i="22746"/>
  <c r="B72" i="22747"/>
  <c r="CX56" i="22746"/>
  <c r="CX57" i="22746"/>
  <c r="CW19" i="22746"/>
  <c r="CW20" i="22746"/>
  <c r="CW59" i="22746" s="1"/>
  <c r="CW21" i="22746"/>
  <c r="CX58" i="22746"/>
  <c r="CW60" i="22746"/>
  <c r="CW62" i="22746"/>
  <c r="CX62" i="22746"/>
  <c r="CX63" i="22746"/>
  <c r="CW63" i="22746"/>
  <c r="CW61" i="22746"/>
  <c r="CO67" i="22746"/>
  <c r="B77" i="1"/>
  <c r="B78" i="1"/>
  <c r="AI9" i="3" s="1"/>
  <c r="B79" i="1"/>
  <c r="AP9" i="3" s="1"/>
  <c r="B80" i="1"/>
  <c r="AW9" i="3" s="1"/>
  <c r="B81" i="1"/>
  <c r="BK9" i="3" s="1"/>
  <c r="B82" i="1"/>
  <c r="B83" i="1"/>
  <c r="B84" i="1"/>
  <c r="B85" i="1"/>
  <c r="B86" i="1"/>
  <c r="B87" i="1"/>
  <c r="B88" i="1"/>
  <c r="DA9" i="3" s="1"/>
  <c r="G74" i="1"/>
  <c r="G81" i="1" s="1"/>
  <c r="K90" i="3"/>
  <c r="J90" i="3"/>
  <c r="M89" i="3"/>
  <c r="K76" i="3"/>
  <c r="J80" i="3"/>
  <c r="J81" i="3"/>
  <c r="K82" i="3"/>
  <c r="K83" i="3"/>
  <c r="B75" i="1"/>
  <c r="K13" i="3"/>
  <c r="K86" i="3"/>
  <c r="L86" i="3"/>
  <c r="L50" i="3"/>
  <c r="L46" i="3"/>
  <c r="L47" i="3"/>
  <c r="L49" i="3"/>
  <c r="L43" i="3"/>
  <c r="M43" i="3" s="1"/>
  <c r="L44" i="3"/>
  <c r="L45" i="3"/>
  <c r="L48" i="3"/>
  <c r="J41" i="3"/>
  <c r="K41" i="3"/>
  <c r="B52" i="1"/>
  <c r="L9" i="3"/>
  <c r="M15" i="3"/>
  <c r="R90" i="3"/>
  <c r="Q90" i="3"/>
  <c r="T89" i="3"/>
  <c r="Q22" i="3"/>
  <c r="R76" i="3"/>
  <c r="R78" i="3"/>
  <c r="Q80" i="3"/>
  <c r="Q81" i="3"/>
  <c r="Q82" i="3"/>
  <c r="R82" i="3"/>
  <c r="Q83" i="3"/>
  <c r="R83" i="3"/>
  <c r="B76" i="1"/>
  <c r="U9" i="3" s="1"/>
  <c r="H25" i="22714"/>
  <c r="R86" i="3"/>
  <c r="S86" i="3"/>
  <c r="S46" i="3"/>
  <c r="S47" i="3"/>
  <c r="S43" i="3"/>
  <c r="T43" i="3" s="1"/>
  <c r="S44" i="3"/>
  <c r="S45" i="3"/>
  <c r="T45" i="3" s="1"/>
  <c r="S48" i="3"/>
  <c r="Q41" i="3"/>
  <c r="R41" i="3"/>
  <c r="R19" i="3"/>
  <c r="S19" i="3"/>
  <c r="R20" i="3"/>
  <c r="S20" i="3"/>
  <c r="R22" i="3"/>
  <c r="S22" i="3"/>
  <c r="B53" i="1"/>
  <c r="B54" i="1" s="1"/>
  <c r="B55" i="1" s="1"/>
  <c r="AG9" i="3" s="1"/>
  <c r="T15" i="3"/>
  <c r="Y90" i="3"/>
  <c r="X90" i="3"/>
  <c r="AA89" i="3"/>
  <c r="X19" i="3"/>
  <c r="X20" i="3"/>
  <c r="X60" i="3" s="1"/>
  <c r="X22" i="3"/>
  <c r="Y76" i="3"/>
  <c r="Y78" i="3"/>
  <c r="X80" i="3"/>
  <c r="X81" i="3"/>
  <c r="Y82" i="3"/>
  <c r="Y83" i="3"/>
  <c r="AB9" i="3"/>
  <c r="H26" i="22714"/>
  <c r="Y86" i="3"/>
  <c r="Z86" i="3"/>
  <c r="Z46" i="3"/>
  <c r="Z47" i="3"/>
  <c r="Z43" i="3"/>
  <c r="AA43" i="3" s="1"/>
  <c r="Z44" i="3"/>
  <c r="Z45" i="3"/>
  <c r="Z48" i="3"/>
  <c r="X41" i="3"/>
  <c r="Y41" i="3"/>
  <c r="Y19" i="3"/>
  <c r="Z19" i="3"/>
  <c r="Y20" i="3"/>
  <c r="Z20" i="3"/>
  <c r="Y22" i="3"/>
  <c r="Z22" i="3"/>
  <c r="AA15" i="3"/>
  <c r="AF90" i="3"/>
  <c r="AE90" i="3"/>
  <c r="AH89" i="3"/>
  <c r="AF76" i="3"/>
  <c r="AF78" i="3"/>
  <c r="AE80" i="3"/>
  <c r="AE81" i="3"/>
  <c r="AF82" i="3"/>
  <c r="AF83" i="3"/>
  <c r="H27" i="22714"/>
  <c r="AF86" i="3"/>
  <c r="AG86" i="3"/>
  <c r="AG46" i="3"/>
  <c r="AG47" i="3"/>
  <c r="AG43" i="3"/>
  <c r="AH43" i="3" s="1"/>
  <c r="AG44" i="3"/>
  <c r="AG45" i="3"/>
  <c r="AH45" i="3" s="1"/>
  <c r="AG48" i="3"/>
  <c r="AE41" i="3"/>
  <c r="AF41" i="3"/>
  <c r="AH15" i="3"/>
  <c r="X89" i="22746"/>
  <c r="AA88" i="22746"/>
  <c r="X19" i="22746"/>
  <c r="X20" i="22746"/>
  <c r="X59" i="22746" s="1"/>
  <c r="X21" i="22746"/>
  <c r="Y58" i="22746"/>
  <c r="Y56" i="22746"/>
  <c r="Y57" i="22746"/>
  <c r="Y75" i="22746"/>
  <c r="X62" i="22746"/>
  <c r="Y62" i="22746"/>
  <c r="X63" i="22746"/>
  <c r="Y63" i="22746"/>
  <c r="Y77" i="22746"/>
  <c r="Y85" i="22746"/>
  <c r="X60" i="22746"/>
  <c r="X61" i="22746"/>
  <c r="Z45" i="22746"/>
  <c r="Z46" i="22746"/>
  <c r="Z42" i="22746"/>
  <c r="AA42" i="22746" s="1"/>
  <c r="Z43" i="22746"/>
  <c r="Z44" i="22746"/>
  <c r="Z47" i="22746"/>
  <c r="Y40" i="22746"/>
  <c r="Y19" i="22746"/>
  <c r="Y20" i="22746"/>
  <c r="Y21" i="22746"/>
  <c r="AA15" i="22746"/>
  <c r="AE89" i="22746"/>
  <c r="AH88" i="22746"/>
  <c r="AE19" i="22746"/>
  <c r="AE20" i="22746"/>
  <c r="AE59" i="22746" s="1"/>
  <c r="AE21" i="22746"/>
  <c r="AF58" i="22746"/>
  <c r="AF56" i="22746"/>
  <c r="AF57" i="22746"/>
  <c r="AF75" i="22746"/>
  <c r="AE62" i="22746"/>
  <c r="AF62" i="22746"/>
  <c r="AE63" i="22746"/>
  <c r="AF63" i="22746"/>
  <c r="AF77" i="22746"/>
  <c r="AF85" i="22746"/>
  <c r="AE60" i="22746"/>
  <c r="AE61" i="22746"/>
  <c r="AG45" i="22746"/>
  <c r="AG46" i="22746"/>
  <c r="AG42" i="22746"/>
  <c r="AH42" i="22746" s="1"/>
  <c r="AG43" i="22746"/>
  <c r="AG44" i="22746"/>
  <c r="AG47" i="22746"/>
  <c r="AF40" i="22746"/>
  <c r="AF19" i="22746"/>
  <c r="AF20" i="22746"/>
  <c r="AF21" i="22746"/>
  <c r="A30" i="4"/>
  <c r="O32" i="3"/>
  <c r="A32" i="3"/>
  <c r="B29" i="22747"/>
  <c r="A29" i="22747"/>
  <c r="CU30" i="22746"/>
  <c r="CN30" i="22746"/>
  <c r="CG30" i="22746"/>
  <c r="BZ30" i="22746"/>
  <c r="BS30" i="22746"/>
  <c r="BL30" i="22746"/>
  <c r="BE30" i="22746"/>
  <c r="AX30" i="22746"/>
  <c r="AQ30" i="22746"/>
  <c r="AJ30" i="22746"/>
  <c r="AC30" i="22746"/>
  <c r="V30" i="22746"/>
  <c r="O30" i="22746"/>
  <c r="B111" i="2"/>
  <c r="B112" i="22745"/>
  <c r="F112" i="22751"/>
  <c r="D242" i="1" s="1"/>
  <c r="C146" i="2"/>
  <c r="C147" i="2"/>
  <c r="D148" i="2"/>
  <c r="C148" i="2"/>
  <c r="E41" i="4"/>
  <c r="F41" i="4" s="1"/>
  <c r="E42" i="4"/>
  <c r="E43" i="4"/>
  <c r="E44" i="4"/>
  <c r="E45" i="4"/>
  <c r="E46" i="4"/>
  <c r="A48" i="4"/>
  <c r="A47" i="4"/>
  <c r="CF9" i="3"/>
  <c r="H34" i="22714"/>
  <c r="CY43" i="3"/>
  <c r="CZ43" i="3" s="1"/>
  <c r="CY44" i="3"/>
  <c r="H37" i="22714"/>
  <c r="CY45" i="3"/>
  <c r="CY46" i="3"/>
  <c r="CY47" i="3"/>
  <c r="CY48" i="3"/>
  <c r="CU50" i="3"/>
  <c r="CU49" i="3"/>
  <c r="CT9" i="3"/>
  <c r="CQ13" i="3"/>
  <c r="CR43" i="3"/>
  <c r="CS43" i="3" s="1"/>
  <c r="CR44" i="3"/>
  <c r="CR45" i="3"/>
  <c r="CR46" i="3"/>
  <c r="CR47" i="3"/>
  <c r="CR48" i="3"/>
  <c r="CN50" i="3"/>
  <c r="CN49" i="3"/>
  <c r="CM9" i="3"/>
  <c r="CK43" i="3"/>
  <c r="CL43" i="3" s="1"/>
  <c r="CK44" i="3"/>
  <c r="CK45" i="3"/>
  <c r="CL45" i="3" s="1"/>
  <c r="CK46" i="3"/>
  <c r="CK47" i="3"/>
  <c r="CK48" i="3"/>
  <c r="CG50" i="3"/>
  <c r="CG49" i="3"/>
  <c r="CD43" i="3"/>
  <c r="CE43" i="3" s="1"/>
  <c r="CD44" i="3"/>
  <c r="CD45" i="3"/>
  <c r="CD46" i="3"/>
  <c r="CD47" i="3"/>
  <c r="CD48" i="3"/>
  <c r="BZ50" i="3"/>
  <c r="BZ49" i="3"/>
  <c r="BW43" i="3"/>
  <c r="BX43" i="3" s="1"/>
  <c r="BW44" i="3"/>
  <c r="BW45" i="3"/>
  <c r="BW46" i="3"/>
  <c r="BW47" i="3"/>
  <c r="BW48" i="3"/>
  <c r="BS50" i="3"/>
  <c r="BS49" i="3"/>
  <c r="BR9" i="3"/>
  <c r="H32" i="22714"/>
  <c r="BP43" i="3"/>
  <c r="BQ43" i="3" s="1"/>
  <c r="BP44" i="3"/>
  <c r="BP45" i="3"/>
  <c r="BP46" i="3"/>
  <c r="BP47" i="3"/>
  <c r="BP48" i="3"/>
  <c r="BL50" i="3"/>
  <c r="BL49" i="3"/>
  <c r="H31" i="22714"/>
  <c r="BI43" i="3"/>
  <c r="BJ43" i="3" s="1"/>
  <c r="BI44" i="3"/>
  <c r="BI45" i="3"/>
  <c r="BJ45" i="3" s="1"/>
  <c r="BI46" i="3"/>
  <c r="BI47" i="3"/>
  <c r="BI48" i="3"/>
  <c r="BE50" i="3"/>
  <c r="BE49" i="3"/>
  <c r="H30" i="22714"/>
  <c r="BB43" i="3"/>
  <c r="BC43" i="3" s="1"/>
  <c r="BB44" i="3"/>
  <c r="BB45" i="3"/>
  <c r="BC45" i="3" s="1"/>
  <c r="BB46" i="3"/>
  <c r="BB47" i="3"/>
  <c r="BB48" i="3"/>
  <c r="AX50" i="3"/>
  <c r="AX49" i="3"/>
  <c r="H29" i="22714"/>
  <c r="AU43" i="3"/>
  <c r="AV43" i="3" s="1"/>
  <c r="AU44" i="3"/>
  <c r="AU45" i="3"/>
  <c r="AV45" i="3" s="1"/>
  <c r="AU46" i="3"/>
  <c r="AU47" i="3"/>
  <c r="AU48" i="3"/>
  <c r="AQ50" i="3"/>
  <c r="AQ49" i="3"/>
  <c r="AN43" i="3"/>
  <c r="AO43" i="3" s="1"/>
  <c r="AN44" i="3"/>
  <c r="AN45" i="3"/>
  <c r="AO45" i="3" s="1"/>
  <c r="AN46" i="3"/>
  <c r="AN47" i="3"/>
  <c r="AN48" i="3"/>
  <c r="AJ50" i="3"/>
  <c r="AJ49" i="3"/>
  <c r="AC50" i="3"/>
  <c r="AC49" i="3"/>
  <c r="V50" i="3"/>
  <c r="V49" i="3"/>
  <c r="O50" i="3"/>
  <c r="O49" i="3"/>
  <c r="H50" i="3"/>
  <c r="H49" i="3"/>
  <c r="A48" i="22747"/>
  <c r="A47" i="22747"/>
  <c r="CY42" i="22746"/>
  <c r="CZ42" i="22746" s="1"/>
  <c r="CY44" i="22746"/>
  <c r="CY43" i="22746"/>
  <c r="CY45" i="22746"/>
  <c r="CY46" i="22746"/>
  <c r="CY47" i="22746"/>
  <c r="CU49" i="22746"/>
  <c r="CU48" i="22746"/>
  <c r="CR42" i="22746"/>
  <c r="CS42" i="22746" s="1"/>
  <c r="CR44" i="22746"/>
  <c r="CR43" i="22746"/>
  <c r="CR45" i="22746"/>
  <c r="CR46" i="22746"/>
  <c r="CR47" i="22746"/>
  <c r="CN49" i="22746"/>
  <c r="CN48" i="22746"/>
  <c r="CK42" i="22746"/>
  <c r="CL42" i="22746" s="1"/>
  <c r="CK44" i="22746"/>
  <c r="CK43" i="22746"/>
  <c r="CK45" i="22746"/>
  <c r="CK46" i="22746"/>
  <c r="CK47" i="22746"/>
  <c r="CG49" i="22746"/>
  <c r="CG48" i="22746"/>
  <c r="CD42" i="22746"/>
  <c r="CE42" i="22746" s="1"/>
  <c r="CD44" i="22746"/>
  <c r="CD43" i="22746"/>
  <c r="CD45" i="22746"/>
  <c r="CD46" i="22746"/>
  <c r="CD47" i="22746"/>
  <c r="BZ49" i="22746"/>
  <c r="BZ48" i="22746"/>
  <c r="BW42" i="22746"/>
  <c r="BX42" i="22746" s="1"/>
  <c r="BW44" i="22746"/>
  <c r="BW43" i="22746"/>
  <c r="BW45" i="22746"/>
  <c r="BW46" i="22746"/>
  <c r="BW47" i="22746"/>
  <c r="BS49" i="22746"/>
  <c r="BS48" i="22746"/>
  <c r="BP42" i="22746"/>
  <c r="BQ42" i="22746" s="1"/>
  <c r="BP44" i="22746"/>
  <c r="BP43" i="22746"/>
  <c r="BP45" i="22746"/>
  <c r="BP46" i="22746"/>
  <c r="BP47" i="22746"/>
  <c r="BL49" i="22746"/>
  <c r="BL48" i="22746"/>
  <c r="BI42" i="22746"/>
  <c r="BJ42" i="22746" s="1"/>
  <c r="BI44" i="22746"/>
  <c r="BI43" i="22746"/>
  <c r="BI45" i="22746"/>
  <c r="BI46" i="22746"/>
  <c r="BI47" i="22746"/>
  <c r="BE49" i="22746"/>
  <c r="BE48" i="22746"/>
  <c r="BB42" i="22746"/>
  <c r="BC42" i="22746" s="1"/>
  <c r="BB44" i="22746"/>
  <c r="BB43" i="22746"/>
  <c r="BB45" i="22746"/>
  <c r="BB46" i="22746"/>
  <c r="BB47" i="22746"/>
  <c r="AX49" i="22746"/>
  <c r="AX48" i="22746"/>
  <c r="AU42" i="22746"/>
  <c r="AV42" i="22746" s="1"/>
  <c r="AU44" i="22746"/>
  <c r="AU43" i="22746"/>
  <c r="AU45" i="22746"/>
  <c r="AU46" i="22746"/>
  <c r="AU47" i="22746"/>
  <c r="AQ49" i="22746"/>
  <c r="AQ48" i="22746"/>
  <c r="AN42" i="22746"/>
  <c r="AO42" i="22746" s="1"/>
  <c r="AN44" i="22746"/>
  <c r="AN43" i="22746"/>
  <c r="AN45" i="22746"/>
  <c r="AN46" i="22746"/>
  <c r="AN47" i="22746"/>
  <c r="AJ49" i="22746"/>
  <c r="AJ48" i="22746"/>
  <c r="AC49" i="22746"/>
  <c r="AC48" i="22746"/>
  <c r="V49" i="22746"/>
  <c r="V48" i="22746"/>
  <c r="O49" i="22746"/>
  <c r="O48" i="22746"/>
  <c r="H49" i="22746"/>
  <c r="H48" i="22746"/>
  <c r="A49" i="22746"/>
  <c r="A48" i="22746"/>
  <c r="CW41" i="3"/>
  <c r="CX41" i="3"/>
  <c r="CP41" i="3"/>
  <c r="CQ41" i="3"/>
  <c r="CI41" i="3"/>
  <c r="CJ41" i="3"/>
  <c r="CB41" i="3"/>
  <c r="CC41" i="3"/>
  <c r="BU41" i="3"/>
  <c r="BV41" i="3"/>
  <c r="BN41" i="3"/>
  <c r="BO41" i="3"/>
  <c r="BG41" i="3"/>
  <c r="BH41" i="3"/>
  <c r="AZ41" i="3"/>
  <c r="BA41" i="3"/>
  <c r="AS41" i="3"/>
  <c r="AT41" i="3"/>
  <c r="AL41" i="3"/>
  <c r="AM41" i="3"/>
  <c r="E210" i="22744"/>
  <c r="T52" i="22746" s="1"/>
  <c r="D24" i="22746"/>
  <c r="E136" i="22744"/>
  <c r="D39" i="22749"/>
  <c r="E39" i="22749" s="1"/>
  <c r="C224" i="22744"/>
  <c r="C99" i="22745" s="1"/>
  <c r="C23" i="22744"/>
  <c r="E61" i="22750" s="1"/>
  <c r="C206" i="22744"/>
  <c r="Y54" i="22746" s="1"/>
  <c r="D185" i="22744"/>
  <c r="D37" i="22749"/>
  <c r="E37" i="22749" s="1"/>
  <c r="CW81" i="3"/>
  <c r="CW80" i="3"/>
  <c r="CP81" i="3"/>
  <c r="CP80" i="3"/>
  <c r="CI81" i="3"/>
  <c r="CI80" i="3"/>
  <c r="CB81" i="3"/>
  <c r="CB80" i="3"/>
  <c r="BU81" i="3"/>
  <c r="BU80" i="3"/>
  <c r="BN81" i="3"/>
  <c r="BN80" i="3"/>
  <c r="BG81" i="3"/>
  <c r="BG80" i="3"/>
  <c r="AZ81" i="3"/>
  <c r="AZ80" i="3"/>
  <c r="AS81" i="3"/>
  <c r="AS80" i="3"/>
  <c r="AL81" i="3"/>
  <c r="AL80" i="3"/>
  <c r="E51" i="2"/>
  <c r="D53" i="2"/>
  <c r="C36" i="1"/>
  <c r="C222" i="1"/>
  <c r="C98" i="2" s="1"/>
  <c r="C24" i="1"/>
  <c r="D65" i="22751" s="1"/>
  <c r="H65" i="22751" s="1"/>
  <c r="C77" i="1"/>
  <c r="AB10" i="3" s="1"/>
  <c r="C78" i="1"/>
  <c r="AI10" i="3" s="1"/>
  <c r="C79" i="1"/>
  <c r="AP10" i="3" s="1"/>
  <c r="C80" i="1"/>
  <c r="AW10" i="3" s="1"/>
  <c r="C81" i="1"/>
  <c r="BD10" i="3" s="1"/>
  <c r="C82" i="1"/>
  <c r="BK10" i="3" s="1"/>
  <c r="C83" i="1"/>
  <c r="BR10" i="3" s="1"/>
  <c r="C84" i="1"/>
  <c r="C85" i="1"/>
  <c r="CF10" i="3" s="1"/>
  <c r="C86" i="1"/>
  <c r="CM10" i="3" s="1"/>
  <c r="C87" i="1"/>
  <c r="CT10" i="3" s="1"/>
  <c r="C88" i="1"/>
  <c r="DA10" i="3" s="1"/>
  <c r="F77" i="1"/>
  <c r="F78" i="1"/>
  <c r="F79" i="1"/>
  <c r="F80" i="1"/>
  <c r="F81" i="1"/>
  <c r="F82" i="1"/>
  <c r="F83" i="1"/>
  <c r="F84" i="1"/>
  <c r="F85" i="1"/>
  <c r="F86" i="1"/>
  <c r="F87" i="1"/>
  <c r="F88" i="1"/>
  <c r="H77" i="1"/>
  <c r="H78" i="1"/>
  <c r="H79" i="1"/>
  <c r="H80" i="1"/>
  <c r="H81" i="1"/>
  <c r="H82" i="1"/>
  <c r="H83" i="1"/>
  <c r="H84" i="1"/>
  <c r="H85" i="1"/>
  <c r="H86" i="1"/>
  <c r="H87" i="1"/>
  <c r="H88" i="1"/>
  <c r="A2" i="4"/>
  <c r="A2" i="3" s="1"/>
  <c r="B1" i="1"/>
  <c r="B1" i="22752" s="1"/>
  <c r="B1" i="22751" s="1"/>
  <c r="B1" i="2" s="1"/>
  <c r="B1" i="3" s="1"/>
  <c r="B1" i="4" s="1"/>
  <c r="B1" i="22714" s="1"/>
  <c r="B1" i="22744"/>
  <c r="B1" i="22749" s="1"/>
  <c r="B1" i="22750" s="1"/>
  <c r="B1" i="22745" s="1"/>
  <c r="B1" i="22746" s="1"/>
  <c r="B1" i="22747" s="1"/>
  <c r="B1" i="22748" s="1"/>
  <c r="H227" i="22715"/>
  <c r="J227" i="22715"/>
  <c r="H222" i="22715"/>
  <c r="J222" i="22715"/>
  <c r="J221" i="22715"/>
  <c r="H221" i="22715"/>
  <c r="B23" i="22715"/>
  <c r="C23" i="22715" s="1"/>
  <c r="C87" i="4"/>
  <c r="C86" i="4"/>
  <c r="D82" i="4"/>
  <c r="D84" i="4"/>
  <c r="D92" i="4"/>
  <c r="C89" i="4"/>
  <c r="C52" i="1"/>
  <c r="L10" i="3" s="1"/>
  <c r="D54" i="1"/>
  <c r="Z11" i="3" s="1"/>
  <c r="D55" i="1"/>
  <c r="AG11" i="3" s="1"/>
  <c r="D56" i="1"/>
  <c r="D57" i="1"/>
  <c r="D58" i="1"/>
  <c r="D59" i="1"/>
  <c r="D60" i="1"/>
  <c r="D61" i="1"/>
  <c r="D62" i="1"/>
  <c r="D63" i="1"/>
  <c r="CK11" i="3" s="1"/>
  <c r="D64" i="1"/>
  <c r="CR11" i="3" s="1"/>
  <c r="D65" i="1"/>
  <c r="CY11" i="3" s="1"/>
  <c r="F15" i="4"/>
  <c r="B45" i="22715" s="1"/>
  <c r="F96" i="4"/>
  <c r="B142" i="4" s="1"/>
  <c r="H94" i="22715" s="1"/>
  <c r="D97" i="4"/>
  <c r="C203" i="1"/>
  <c r="F207" i="1"/>
  <c r="C75" i="1"/>
  <c r="L11" i="3"/>
  <c r="C76" i="1"/>
  <c r="U10" i="3" s="1"/>
  <c r="S11" i="3"/>
  <c r="C97" i="4"/>
  <c r="E80" i="4"/>
  <c r="E82" i="4"/>
  <c r="F86" i="4"/>
  <c r="B153" i="4" s="1"/>
  <c r="E91" i="4"/>
  <c r="E92" i="4"/>
  <c r="B28" i="1"/>
  <c r="B29" i="1" s="1"/>
  <c r="E55" i="4" s="1"/>
  <c r="F55" i="4" s="1"/>
  <c r="C38" i="4"/>
  <c r="E38" i="4"/>
  <c r="C39" i="4"/>
  <c r="D39" i="4"/>
  <c r="E110" i="22750"/>
  <c r="E109" i="22750"/>
  <c r="E108" i="22750"/>
  <c r="C132" i="22745"/>
  <c r="C130" i="22745"/>
  <c r="C131" i="22745"/>
  <c r="C149" i="22745"/>
  <c r="D129" i="2"/>
  <c r="E129" i="2" s="1"/>
  <c r="C132" i="2"/>
  <c r="K44" i="3"/>
  <c r="R44" i="3" s="1"/>
  <c r="Y44" i="3" s="1"/>
  <c r="AF44" i="3" s="1"/>
  <c r="D45" i="3"/>
  <c r="D43" i="22747"/>
  <c r="CX43" i="22746"/>
  <c r="CX44" i="22746" s="1"/>
  <c r="CQ43" i="22746"/>
  <c r="CQ44" i="22746" s="1"/>
  <c r="CJ43" i="22746"/>
  <c r="CJ44" i="22746" s="1"/>
  <c r="CC43" i="22746"/>
  <c r="CC44" i="22746" s="1"/>
  <c r="BV43" i="22746"/>
  <c r="BV44" i="22746" s="1"/>
  <c r="BO43" i="22746"/>
  <c r="BO44" i="22746" s="1"/>
  <c r="BH43" i="22746"/>
  <c r="BH44" i="22746" s="1"/>
  <c r="BA43" i="22746"/>
  <c r="BA44" i="22746" s="1"/>
  <c r="AT43" i="22746"/>
  <c r="AT44" i="22746" s="1"/>
  <c r="AM43" i="22746"/>
  <c r="AM44" i="22746" s="1"/>
  <c r="AF43" i="22746"/>
  <c r="AF44" i="22746" s="1"/>
  <c r="Y43" i="22746"/>
  <c r="Y44" i="22746" s="1"/>
  <c r="R43" i="22746"/>
  <c r="R44" i="22746" s="1"/>
  <c r="K43" i="22746"/>
  <c r="K44" i="22746" s="1"/>
  <c r="D44" i="22746"/>
  <c r="J24" i="22746"/>
  <c r="B38" i="22747"/>
  <c r="C38" i="22747"/>
  <c r="E38" i="22747"/>
  <c r="D39" i="22747"/>
  <c r="B28" i="22744"/>
  <c r="B29" i="22744" s="1"/>
  <c r="D51" i="22747" s="1"/>
  <c r="F15" i="22747"/>
  <c r="D45" i="22715" s="1"/>
  <c r="J70" i="22747"/>
  <c r="J65" i="22747"/>
  <c r="J61" i="22747"/>
  <c r="J63" i="22747"/>
  <c r="J67" i="22747"/>
  <c r="J68" i="22747"/>
  <c r="J61" i="4"/>
  <c r="J63" i="4"/>
  <c r="J67" i="4"/>
  <c r="J70" i="4"/>
  <c r="B26" i="22715"/>
  <c r="C26" i="22715" s="1"/>
  <c r="B75" i="22747"/>
  <c r="E140" i="22745"/>
  <c r="CW82" i="3"/>
  <c r="CP82" i="3"/>
  <c r="CI82" i="3"/>
  <c r="CB82" i="3"/>
  <c r="BU82" i="3"/>
  <c r="BN82" i="3"/>
  <c r="BG82" i="3"/>
  <c r="AZ82" i="3"/>
  <c r="AS82" i="3"/>
  <c r="AL82" i="3"/>
  <c r="CQ56" i="22746"/>
  <c r="CQ57" i="22746"/>
  <c r="CP19" i="22746"/>
  <c r="CP20" i="22746"/>
  <c r="CP59" i="22746" s="1"/>
  <c r="CP21" i="22746"/>
  <c r="CQ58" i="22746"/>
  <c r="CP60" i="22746"/>
  <c r="CP62" i="22746"/>
  <c r="CQ62" i="22746"/>
  <c r="CQ63" i="22746"/>
  <c r="CP63" i="22746"/>
  <c r="CP61" i="22746"/>
  <c r="CJ56" i="22746"/>
  <c r="CJ57" i="22746"/>
  <c r="CI19" i="22746"/>
  <c r="CI20" i="22746"/>
  <c r="CI59" i="22746" s="1"/>
  <c r="CI21" i="22746"/>
  <c r="CJ58" i="22746"/>
  <c r="CI60" i="22746"/>
  <c r="CI62" i="22746"/>
  <c r="CJ62" i="22746"/>
  <c r="CJ63" i="22746"/>
  <c r="CI63" i="22746"/>
  <c r="CI61" i="22746"/>
  <c r="CC56" i="22746"/>
  <c r="CC57" i="22746"/>
  <c r="CB19" i="22746"/>
  <c r="CB20" i="22746"/>
  <c r="CB59" i="22746" s="1"/>
  <c r="CB21" i="22746"/>
  <c r="CC58" i="22746"/>
  <c r="CB60" i="22746"/>
  <c r="CB62" i="22746"/>
  <c r="CC62" i="22746"/>
  <c r="CC63" i="22746"/>
  <c r="CB63" i="22746"/>
  <c r="CB61" i="22746"/>
  <c r="BV56" i="22746"/>
  <c r="BV57" i="22746"/>
  <c r="BU19" i="22746"/>
  <c r="BU20" i="22746"/>
  <c r="BU59" i="22746" s="1"/>
  <c r="BU21" i="22746"/>
  <c r="BV58" i="22746"/>
  <c r="BU60" i="22746"/>
  <c r="BU62" i="22746"/>
  <c r="BV62" i="22746"/>
  <c r="BV63" i="22746"/>
  <c r="BU63" i="22746"/>
  <c r="BU61" i="22746"/>
  <c r="BO56" i="22746"/>
  <c r="BO57" i="22746"/>
  <c r="BN19" i="22746"/>
  <c r="BN20" i="22746"/>
  <c r="BN59" i="22746" s="1"/>
  <c r="BN21" i="22746"/>
  <c r="BO58" i="22746"/>
  <c r="BN60" i="22746"/>
  <c r="BN62" i="22746"/>
  <c r="BO62" i="22746"/>
  <c r="BO63" i="22746"/>
  <c r="BN63" i="22746"/>
  <c r="BN61" i="22746"/>
  <c r="BH56" i="22746"/>
  <c r="BH57" i="22746"/>
  <c r="BG19" i="22746"/>
  <c r="BG20" i="22746"/>
  <c r="BG59" i="22746" s="1"/>
  <c r="BG21" i="22746"/>
  <c r="BH58" i="22746"/>
  <c r="BG60" i="22746"/>
  <c r="BG62" i="22746"/>
  <c r="BH62" i="22746"/>
  <c r="BH63" i="22746"/>
  <c r="BG63" i="22746"/>
  <c r="BG61" i="22746"/>
  <c r="BA56" i="22746"/>
  <c r="BA57" i="22746"/>
  <c r="AZ19" i="22746"/>
  <c r="AZ20" i="22746"/>
  <c r="AZ59" i="22746" s="1"/>
  <c r="AZ21" i="22746"/>
  <c r="BA58" i="22746"/>
  <c r="AZ60" i="22746"/>
  <c r="AZ62" i="22746"/>
  <c r="BA62" i="22746"/>
  <c r="BA63" i="22746"/>
  <c r="AZ63" i="22746"/>
  <c r="AZ61" i="22746"/>
  <c r="AT56" i="22746"/>
  <c r="AS57" i="22746"/>
  <c r="AT57" i="22746"/>
  <c r="AS19" i="22746"/>
  <c r="AS20" i="22746"/>
  <c r="AS59" i="22746" s="1"/>
  <c r="AS21" i="22746"/>
  <c r="AT58" i="22746"/>
  <c r="AS60" i="22746"/>
  <c r="AS62" i="22746"/>
  <c r="AT62" i="22746"/>
  <c r="AT63" i="22746"/>
  <c r="AS63" i="22746"/>
  <c r="AS61" i="22746"/>
  <c r="AM56" i="22746"/>
  <c r="AM57" i="22746"/>
  <c r="AL19" i="22746"/>
  <c r="AL20" i="22746"/>
  <c r="AL59" i="22746" s="1"/>
  <c r="AL21" i="22746"/>
  <c r="AM58" i="22746"/>
  <c r="AL60" i="22746"/>
  <c r="AL62" i="22746"/>
  <c r="AM62" i="22746"/>
  <c r="AM63" i="22746"/>
  <c r="AL63" i="22746"/>
  <c r="AL61" i="22746"/>
  <c r="CV70" i="22746"/>
  <c r="CO70" i="22746"/>
  <c r="CH70" i="22746"/>
  <c r="CA70" i="22746"/>
  <c r="BT70" i="22746"/>
  <c r="BM70" i="22746"/>
  <c r="BF70" i="22746"/>
  <c r="AY70" i="22746"/>
  <c r="AR70" i="22746"/>
  <c r="AK70" i="22746"/>
  <c r="AD70" i="22746"/>
  <c r="W70" i="22746"/>
  <c r="I70" i="22746"/>
  <c r="B70" i="22746"/>
  <c r="AM77" i="22746"/>
  <c r="AT77" i="22746"/>
  <c r="BA77" i="22746"/>
  <c r="BH77" i="22746"/>
  <c r="BV77" i="22746"/>
  <c r="BO77" i="22746"/>
  <c r="CC77" i="22746"/>
  <c r="CJ77" i="22746"/>
  <c r="CX77" i="22746"/>
  <c r="CQ77" i="22746"/>
  <c r="B63" i="22747"/>
  <c r="B65" i="22747"/>
  <c r="A201" i="22747" s="1"/>
  <c r="B62" i="22747"/>
  <c r="B42" i="22747"/>
  <c r="A44" i="22747"/>
  <c r="F43" i="22744"/>
  <c r="CV45" i="22746" s="1"/>
  <c r="B39" i="22747"/>
  <c r="A39" i="22747"/>
  <c r="B32" i="22747"/>
  <c r="B31" i="22747"/>
  <c r="B30" i="22747"/>
  <c r="B20" i="22747"/>
  <c r="B19" i="22747"/>
  <c r="B18" i="22747"/>
  <c r="B75" i="4"/>
  <c r="B71" i="4"/>
  <c r="B70" i="4"/>
  <c r="B65" i="4"/>
  <c r="A201" i="4" s="1"/>
  <c r="B63" i="4"/>
  <c r="B62" i="4"/>
  <c r="B61" i="4"/>
  <c r="A180" i="4" s="1"/>
  <c r="B42" i="4"/>
  <c r="B39" i="4"/>
  <c r="A39" i="4"/>
  <c r="B19" i="4"/>
  <c r="B18" i="4"/>
  <c r="K42" i="22746"/>
  <c r="CX42" i="22746"/>
  <c r="CQ42" i="22746"/>
  <c r="CJ42" i="22746"/>
  <c r="CC42" i="22746"/>
  <c r="BV42" i="22746"/>
  <c r="BO42" i="22746"/>
  <c r="BH42" i="22746"/>
  <c r="BA42" i="22746"/>
  <c r="AT42" i="22746"/>
  <c r="AM42" i="22746"/>
  <c r="AF42" i="22746"/>
  <c r="Y42" i="22746"/>
  <c r="R42" i="22746"/>
  <c r="CV44" i="3"/>
  <c r="CO44" i="3"/>
  <c r="CH44" i="3"/>
  <c r="CA44" i="3"/>
  <c r="BT44" i="3"/>
  <c r="BM44" i="3"/>
  <c r="BF44" i="3"/>
  <c r="AY44" i="3"/>
  <c r="AR44" i="3"/>
  <c r="AK44" i="3"/>
  <c r="AD44" i="3"/>
  <c r="W44" i="3"/>
  <c r="P44" i="3"/>
  <c r="I45" i="3"/>
  <c r="I43" i="3"/>
  <c r="H43" i="3"/>
  <c r="B44" i="3"/>
  <c r="CV44" i="22746"/>
  <c r="CV43" i="22746"/>
  <c r="CV42" i="22746"/>
  <c r="CU42" i="22746"/>
  <c r="CO44" i="22746"/>
  <c r="CO43" i="22746"/>
  <c r="CO42" i="22746"/>
  <c r="CN42" i="22746"/>
  <c r="CH44" i="22746"/>
  <c r="CH43" i="22746"/>
  <c r="CH42" i="22746"/>
  <c r="CG42" i="22746"/>
  <c r="CA44" i="22746"/>
  <c r="CA43" i="22746"/>
  <c r="CA42" i="22746"/>
  <c r="BZ42" i="22746"/>
  <c r="BT44" i="22746"/>
  <c r="BT43" i="22746"/>
  <c r="BT42" i="22746"/>
  <c r="BS42" i="22746"/>
  <c r="BM44" i="22746"/>
  <c r="BM43" i="22746"/>
  <c r="BM42" i="22746"/>
  <c r="BL42" i="22746"/>
  <c r="BF44" i="22746"/>
  <c r="BF43" i="22746"/>
  <c r="BF42" i="22746"/>
  <c r="BE42" i="22746"/>
  <c r="AY44" i="22746"/>
  <c r="AY43" i="22746"/>
  <c r="AY42" i="22746"/>
  <c r="AX42" i="22746"/>
  <c r="AR44" i="22746"/>
  <c r="AR43" i="22746"/>
  <c r="AR42" i="22746"/>
  <c r="AQ42" i="22746"/>
  <c r="AK44" i="22746"/>
  <c r="AK43" i="22746"/>
  <c r="AK42" i="22746"/>
  <c r="AJ42" i="22746"/>
  <c r="AD44" i="22746"/>
  <c r="AD43" i="22746"/>
  <c r="AD42" i="22746"/>
  <c r="AC42" i="22746"/>
  <c r="W44" i="22746"/>
  <c r="W43" i="22746"/>
  <c r="W42" i="22746"/>
  <c r="V42" i="22746"/>
  <c r="P44" i="22746"/>
  <c r="P43" i="22746"/>
  <c r="P42" i="22746"/>
  <c r="O42" i="22746"/>
  <c r="I44" i="22746"/>
  <c r="H42" i="22746"/>
  <c r="I42" i="22746"/>
  <c r="CX19" i="22746"/>
  <c r="CX20" i="22746"/>
  <c r="CX21" i="22746"/>
  <c r="CX40" i="22746"/>
  <c r="CS52" i="22746"/>
  <c r="CQ19" i="22746"/>
  <c r="CQ20" i="22746"/>
  <c r="CQ21" i="22746"/>
  <c r="CQ40" i="22746"/>
  <c r="CJ19" i="22746"/>
  <c r="CJ20" i="22746"/>
  <c r="CJ21" i="22746"/>
  <c r="CJ40" i="22746"/>
  <c r="CE52" i="22746"/>
  <c r="CC19" i="22746"/>
  <c r="CC20" i="22746"/>
  <c r="CC21" i="22746"/>
  <c r="CC40" i="22746"/>
  <c r="BV19" i="22746"/>
  <c r="BV20" i="22746"/>
  <c r="BV21" i="22746"/>
  <c r="BV40" i="22746"/>
  <c r="BQ52" i="22746"/>
  <c r="BO19" i="22746"/>
  <c r="BO20" i="22746"/>
  <c r="BO21" i="22746"/>
  <c r="BO40" i="22746"/>
  <c r="BH19" i="22746"/>
  <c r="BH20" i="22746"/>
  <c r="BH21" i="22746"/>
  <c r="BH40" i="22746"/>
  <c r="BC52" i="22746"/>
  <c r="BA19" i="22746"/>
  <c r="BA20" i="22746"/>
  <c r="BA21" i="22746"/>
  <c r="BA40" i="22746"/>
  <c r="AT19" i="22746"/>
  <c r="AT20" i="22746"/>
  <c r="AT21" i="22746"/>
  <c r="AT40" i="22746"/>
  <c r="AO52" i="22746"/>
  <c r="AM19" i="22746"/>
  <c r="AM20" i="22746"/>
  <c r="AM21" i="22746"/>
  <c r="AM40" i="22746"/>
  <c r="CV82" i="22746"/>
  <c r="CV81" i="22746"/>
  <c r="CO82" i="22746"/>
  <c r="CO81" i="22746"/>
  <c r="CH82" i="22746"/>
  <c r="CH81" i="22746"/>
  <c r="CA82" i="22746"/>
  <c r="CA81" i="22746"/>
  <c r="BT82" i="22746"/>
  <c r="BT81" i="22746"/>
  <c r="BM82" i="22746"/>
  <c r="BM81" i="22746"/>
  <c r="BF82" i="22746"/>
  <c r="BF81" i="22746"/>
  <c r="AY82" i="22746"/>
  <c r="AY81" i="22746"/>
  <c r="AR82" i="22746"/>
  <c r="AR81" i="22746"/>
  <c r="AK82" i="22746"/>
  <c r="AK81" i="22746"/>
  <c r="AD82" i="22746"/>
  <c r="AD81" i="22746"/>
  <c r="W82" i="22746"/>
  <c r="W81" i="22746"/>
  <c r="P82" i="22746"/>
  <c r="P81" i="22746"/>
  <c r="I82" i="22746"/>
  <c r="I81" i="22746"/>
  <c r="AR56" i="22746"/>
  <c r="AR58" i="22746"/>
  <c r="AR62" i="22746"/>
  <c r="AR63" i="22746"/>
  <c r="AR57" i="22746"/>
  <c r="CV57" i="22746"/>
  <c r="CO57" i="22746"/>
  <c r="CH57" i="22746"/>
  <c r="CA57" i="22746"/>
  <c r="BT57" i="22746"/>
  <c r="BM57" i="22746"/>
  <c r="BF57" i="22746"/>
  <c r="AY57" i="22746"/>
  <c r="AK57" i="22746"/>
  <c r="AD57" i="22746"/>
  <c r="W57" i="22746"/>
  <c r="I57" i="22746"/>
  <c r="B57" i="22746"/>
  <c r="CV40" i="22746"/>
  <c r="CU40" i="22746"/>
  <c r="CO40" i="22746"/>
  <c r="CN40" i="22746"/>
  <c r="CH40" i="22746"/>
  <c r="CG40" i="22746"/>
  <c r="CA40" i="22746"/>
  <c r="BZ40" i="22746"/>
  <c r="BT40" i="22746"/>
  <c r="BS40" i="22746"/>
  <c r="BM40" i="22746"/>
  <c r="BL40" i="22746"/>
  <c r="BF40" i="22746"/>
  <c r="BE40" i="22746"/>
  <c r="AY40" i="22746"/>
  <c r="AX40" i="22746"/>
  <c r="AR40" i="22746"/>
  <c r="AQ40" i="22746"/>
  <c r="AK40" i="22746"/>
  <c r="AJ40" i="22746"/>
  <c r="AD40" i="22746"/>
  <c r="AC40" i="22746"/>
  <c r="W40" i="22746"/>
  <c r="V40" i="22746"/>
  <c r="P40" i="22746"/>
  <c r="O40" i="22746"/>
  <c r="I40" i="22746"/>
  <c r="H40" i="22746"/>
  <c r="B40" i="22746"/>
  <c r="A40" i="22746"/>
  <c r="C240" i="1"/>
  <c r="D240" i="1"/>
  <c r="E88" i="4" s="1"/>
  <c r="C241" i="1"/>
  <c r="C242" i="1"/>
  <c r="B4" i="22751"/>
  <c r="A4" i="22751"/>
  <c r="AM83" i="3"/>
  <c r="AM82" i="3"/>
  <c r="AT83" i="3"/>
  <c r="AT82" i="3"/>
  <c r="BA83" i="3"/>
  <c r="BA82" i="3"/>
  <c r="BH83" i="3"/>
  <c r="BH82" i="3"/>
  <c r="BO83" i="3"/>
  <c r="BO82" i="3"/>
  <c r="BV83" i="3"/>
  <c r="BV82" i="3"/>
  <c r="CC83" i="3"/>
  <c r="CC82" i="3"/>
  <c r="CJ83" i="3"/>
  <c r="CJ82" i="3"/>
  <c r="CQ83" i="3"/>
  <c r="CQ82" i="3"/>
  <c r="CX83" i="3"/>
  <c r="CX82" i="3"/>
  <c r="F111" i="22751"/>
  <c r="H111" i="22751" s="1"/>
  <c r="H63" i="22751"/>
  <c r="H70" i="22750"/>
  <c r="H71" i="22750"/>
  <c r="H74" i="22750"/>
  <c r="H75" i="22750"/>
  <c r="H76" i="22750"/>
  <c r="H77" i="22750"/>
  <c r="H78" i="22750"/>
  <c r="H79" i="22750"/>
  <c r="G89" i="22750"/>
  <c r="D89" i="22750"/>
  <c r="H89" i="22750"/>
  <c r="H95" i="22750"/>
  <c r="H110" i="22750"/>
  <c r="F61" i="22750"/>
  <c r="C61" i="22750"/>
  <c r="E96" i="22750"/>
  <c r="E97" i="22750"/>
  <c r="D101" i="22750"/>
  <c r="F96" i="22750"/>
  <c r="F97" i="22750"/>
  <c r="D100" i="22750"/>
  <c r="H90" i="22750"/>
  <c r="C63" i="22751"/>
  <c r="F63" i="22751"/>
  <c r="H72" i="22751"/>
  <c r="H73" i="22751"/>
  <c r="H76" i="22751"/>
  <c r="H77" i="22751"/>
  <c r="H78" i="22751"/>
  <c r="H79" i="22751"/>
  <c r="H80" i="22751"/>
  <c r="H81" i="22751"/>
  <c r="G91" i="22751"/>
  <c r="D91" i="22751"/>
  <c r="H97" i="22751"/>
  <c r="F98" i="22751"/>
  <c r="F99" i="22751" s="1"/>
  <c r="D102" i="22751" s="1"/>
  <c r="H92" i="22751"/>
  <c r="E98" i="22751"/>
  <c r="E99" i="22751" s="1"/>
  <c r="D103" i="22751" s="1"/>
  <c r="H14" i="22751"/>
  <c r="H18" i="22751"/>
  <c r="H19" i="22751"/>
  <c r="H22" i="22751"/>
  <c r="H23" i="22751"/>
  <c r="H24" i="22751"/>
  <c r="H25" i="22751"/>
  <c r="H26" i="22751"/>
  <c r="H27" i="22751"/>
  <c r="CX78" i="3"/>
  <c r="CQ78" i="3"/>
  <c r="CJ78" i="3"/>
  <c r="CC78" i="3"/>
  <c r="BV78" i="3"/>
  <c r="BO78" i="3"/>
  <c r="BH78" i="3"/>
  <c r="BA78" i="3"/>
  <c r="AT78" i="3"/>
  <c r="AM78" i="3"/>
  <c r="CX76" i="3"/>
  <c r="CV76" i="3"/>
  <c r="CQ76" i="3"/>
  <c r="CO76" i="3"/>
  <c r="CJ76" i="3"/>
  <c r="CH76" i="3"/>
  <c r="CC76" i="3"/>
  <c r="CA76" i="3"/>
  <c r="BV76" i="3"/>
  <c r="BT76" i="3"/>
  <c r="BO76" i="3"/>
  <c r="BM76" i="3"/>
  <c r="BH76" i="3"/>
  <c r="BF76" i="3"/>
  <c r="BA76" i="3"/>
  <c r="AY76" i="3"/>
  <c r="AT76" i="3"/>
  <c r="AR76" i="3"/>
  <c r="AM76" i="3"/>
  <c r="AK76" i="3"/>
  <c r="AD76" i="3"/>
  <c r="W76" i="3"/>
  <c r="P20" i="3"/>
  <c r="F44" i="22751"/>
  <c r="F45" i="22751" s="1"/>
  <c r="D48" i="22751" s="1"/>
  <c r="G38" i="22751"/>
  <c r="H38" i="22751"/>
  <c r="H45" i="22751" s="1"/>
  <c r="D38" i="22751"/>
  <c r="H39" i="22751"/>
  <c r="H43" i="22751"/>
  <c r="E44" i="22751"/>
  <c r="E45" i="22751" s="1"/>
  <c r="D49" i="22751" s="1"/>
  <c r="AM90" i="3"/>
  <c r="AL90" i="3"/>
  <c r="AO89" i="3"/>
  <c r="AN85" i="3"/>
  <c r="AM86" i="3"/>
  <c r="AN86" i="3"/>
  <c r="AN11" i="3"/>
  <c r="AO15" i="3"/>
  <c r="AT90" i="3"/>
  <c r="AS90" i="3"/>
  <c r="AV89" i="3"/>
  <c r="AU85" i="3"/>
  <c r="AT86" i="3"/>
  <c r="AU86" i="3"/>
  <c r="AU11" i="3"/>
  <c r="AV15" i="3"/>
  <c r="BA90" i="3"/>
  <c r="AZ90" i="3"/>
  <c r="BC89" i="3"/>
  <c r="BB85" i="3"/>
  <c r="BA86" i="3"/>
  <c r="BB86" i="3"/>
  <c r="BB11" i="3"/>
  <c r="BC15" i="3"/>
  <c r="BH90" i="3"/>
  <c r="BG90" i="3"/>
  <c r="BJ89" i="3"/>
  <c r="BI85" i="3"/>
  <c r="BH86" i="3"/>
  <c r="BI86" i="3"/>
  <c r="BI11" i="3"/>
  <c r="BJ15" i="3"/>
  <c r="BO90" i="3"/>
  <c r="BN90" i="3"/>
  <c r="BQ89" i="3"/>
  <c r="BP85" i="3"/>
  <c r="BO86" i="3"/>
  <c r="BP86" i="3"/>
  <c r="BP11" i="3"/>
  <c r="BQ15" i="3"/>
  <c r="BV90" i="3"/>
  <c r="BU90" i="3"/>
  <c r="BX89" i="3"/>
  <c r="BW85" i="3"/>
  <c r="BV86" i="3"/>
  <c r="BW86" i="3"/>
  <c r="BW11" i="3"/>
  <c r="BX15" i="3"/>
  <c r="CC90" i="3"/>
  <c r="CB90" i="3"/>
  <c r="CE89" i="3"/>
  <c r="CC86" i="3"/>
  <c r="CD86" i="3"/>
  <c r="B58" i="3"/>
  <c r="B52" i="22745"/>
  <c r="H188" i="22744"/>
  <c r="H186" i="22744"/>
  <c r="B100" i="22745"/>
  <c r="B101" i="22745"/>
  <c r="B102" i="22745"/>
  <c r="B103" i="22745"/>
  <c r="B99" i="22745"/>
  <c r="B102" i="2"/>
  <c r="B101" i="2"/>
  <c r="B100" i="2"/>
  <c r="B99" i="2"/>
  <c r="B98" i="2"/>
  <c r="P34" i="22746"/>
  <c r="P33" i="22746"/>
  <c r="P32" i="22746"/>
  <c r="P31" i="22746"/>
  <c r="P24" i="22746"/>
  <c r="B154" i="22744"/>
  <c r="B136" i="22744"/>
  <c r="CV21" i="22746"/>
  <c r="CV20" i="22746"/>
  <c r="CV19" i="22746"/>
  <c r="CO21" i="22746"/>
  <c r="CO20" i="22746"/>
  <c r="CO19" i="22746"/>
  <c r="CH21" i="22746"/>
  <c r="CH20" i="22746"/>
  <c r="CH19" i="22746"/>
  <c r="CA21" i="22746"/>
  <c r="CA20" i="22746"/>
  <c r="CA19" i="22746"/>
  <c r="BT21" i="22746"/>
  <c r="BT20" i="22746"/>
  <c r="BT19" i="22746"/>
  <c r="BM21" i="22746"/>
  <c r="BM20" i="22746"/>
  <c r="BM19" i="22746"/>
  <c r="BF21" i="22746"/>
  <c r="BF20" i="22746"/>
  <c r="BF19" i="22746"/>
  <c r="AY21" i="22746"/>
  <c r="AY20" i="22746"/>
  <c r="AY19" i="22746"/>
  <c r="AR21" i="22746"/>
  <c r="AR20" i="22746"/>
  <c r="AR19" i="22746"/>
  <c r="AK21" i="22746"/>
  <c r="AK20" i="22746"/>
  <c r="AK19" i="22746"/>
  <c r="AD21" i="22746"/>
  <c r="AD20" i="22746"/>
  <c r="AD19" i="22746"/>
  <c r="W21" i="22746"/>
  <c r="W20" i="22746"/>
  <c r="W19" i="22746"/>
  <c r="P21" i="22746"/>
  <c r="P20" i="22746"/>
  <c r="P19" i="22746"/>
  <c r="I21" i="22746"/>
  <c r="I20" i="22746"/>
  <c r="I19" i="22746"/>
  <c r="B21" i="22746"/>
  <c r="B20" i="22746"/>
  <c r="B19" i="22746"/>
  <c r="W22" i="3"/>
  <c r="W20" i="3"/>
  <c r="W19" i="3"/>
  <c r="B20" i="3"/>
  <c r="B22" i="3"/>
  <c r="B19" i="3"/>
  <c r="B3" i="22744"/>
  <c r="B34" i="22715"/>
  <c r="B35" i="22715"/>
  <c r="C35" i="22715" s="1"/>
  <c r="B33" i="22715"/>
  <c r="C33" i="22715" s="1"/>
  <c r="B31" i="22715"/>
  <c r="C31" i="22715" s="1"/>
  <c r="B236" i="1"/>
  <c r="B237" i="1"/>
  <c r="B235" i="1"/>
  <c r="B232" i="1"/>
  <c r="B231" i="1"/>
  <c r="B237" i="22744"/>
  <c r="B238" i="22744"/>
  <c r="B236" i="22744"/>
  <c r="B234" i="22744"/>
  <c r="B233" i="22744"/>
  <c r="H40" i="3"/>
  <c r="I40" i="3"/>
  <c r="J40" i="3"/>
  <c r="K40" i="3"/>
  <c r="L40" i="3"/>
  <c r="A40" i="3"/>
  <c r="D40" i="3"/>
  <c r="CU39" i="22746"/>
  <c r="CN39" i="22746"/>
  <c r="CG39" i="22746"/>
  <c r="BZ39" i="22746"/>
  <c r="BS39" i="22746"/>
  <c r="BL39" i="22746"/>
  <c r="BE39" i="22746"/>
  <c r="AX39" i="22746"/>
  <c r="AQ39" i="22746"/>
  <c r="AJ39" i="22746"/>
  <c r="AC39" i="22746"/>
  <c r="V39" i="22746"/>
  <c r="O39" i="22746"/>
  <c r="H39" i="22746"/>
  <c r="A39" i="22746"/>
  <c r="H14" i="22750"/>
  <c r="H18" i="22750"/>
  <c r="H19" i="22750"/>
  <c r="H22" i="22750"/>
  <c r="H23" i="22750"/>
  <c r="H24" i="22750"/>
  <c r="H25" i="22750"/>
  <c r="H26" i="22750"/>
  <c r="H27" i="22750"/>
  <c r="A38" i="4"/>
  <c r="B92" i="22749"/>
  <c r="A38" i="22747"/>
  <c r="C78" i="22752"/>
  <c r="B80" i="22749"/>
  <c r="B81" i="22749"/>
  <c r="B82" i="22749"/>
  <c r="B83" i="22749"/>
  <c r="B84" i="22749"/>
  <c r="B85" i="22749"/>
  <c r="B86" i="22749"/>
  <c r="B87" i="22749"/>
  <c r="B88" i="22749"/>
  <c r="B89" i="22749"/>
  <c r="B90" i="22749"/>
  <c r="B91" i="22749"/>
  <c r="B79" i="22749"/>
  <c r="B81" i="22752"/>
  <c r="B82" i="22752"/>
  <c r="B83" i="22752"/>
  <c r="D81" i="22752"/>
  <c r="D82" i="22752"/>
  <c r="C40" i="3" s="1"/>
  <c r="D83" i="22752"/>
  <c r="D84" i="22752"/>
  <c r="D85" i="22752"/>
  <c r="D86" i="22752"/>
  <c r="D87" i="22752"/>
  <c r="D88" i="22752"/>
  <c r="D89" i="22752"/>
  <c r="D90" i="22752"/>
  <c r="D91" i="22752"/>
  <c r="D92" i="22752"/>
  <c r="B92" i="22752"/>
  <c r="E92" i="22752"/>
  <c r="B91" i="22752"/>
  <c r="E91" i="22752"/>
  <c r="B90" i="22752"/>
  <c r="E90" i="22752"/>
  <c r="B89" i="22752"/>
  <c r="E89" i="22752"/>
  <c r="B88" i="22752"/>
  <c r="E88" i="22752"/>
  <c r="B87" i="22752"/>
  <c r="E87" i="22752"/>
  <c r="B86" i="22752"/>
  <c r="E86" i="22752"/>
  <c r="B85" i="22752"/>
  <c r="E85" i="22752"/>
  <c r="B84" i="22752"/>
  <c r="E84" i="22752"/>
  <c r="E83" i="22752"/>
  <c r="E82" i="22752"/>
  <c r="E40" i="3" s="1"/>
  <c r="E81" i="22752"/>
  <c r="E80" i="22752"/>
  <c r="D80" i="22752"/>
  <c r="B80" i="22752"/>
  <c r="E79" i="22752"/>
  <c r="D79" i="22752"/>
  <c r="B79" i="22752"/>
  <c r="C79" i="22752" s="1"/>
  <c r="D81" i="22749"/>
  <c r="X39" i="22746"/>
  <c r="D82" i="22749"/>
  <c r="AE39" i="22746"/>
  <c r="D83" i="22749"/>
  <c r="AL39" i="22746"/>
  <c r="D84" i="22749"/>
  <c r="D85" i="22749"/>
  <c r="AZ39" i="22746" s="1"/>
  <c r="D86" i="22749"/>
  <c r="BG39" i="22746" s="1"/>
  <c r="D87" i="22749"/>
  <c r="BN39" i="22746" s="1"/>
  <c r="D88" i="22749"/>
  <c r="BU39" i="22746" s="1"/>
  <c r="D89" i="22749"/>
  <c r="CB39" i="22746" s="1"/>
  <c r="D90" i="22749"/>
  <c r="CI39" i="22746" s="1"/>
  <c r="D91" i="22749"/>
  <c r="CP39" i="22746" s="1"/>
  <c r="D92" i="22749"/>
  <c r="CW39" i="22746" s="1"/>
  <c r="E92" i="22749"/>
  <c r="CY39" i="22746" s="1"/>
  <c r="E91" i="22749"/>
  <c r="CR39" i="22746" s="1"/>
  <c r="E90" i="22749"/>
  <c r="CK39" i="22746" s="1"/>
  <c r="E89" i="22749"/>
  <c r="CD39" i="22746" s="1"/>
  <c r="E88" i="22749"/>
  <c r="BW39" i="22746" s="1"/>
  <c r="E87" i="22749"/>
  <c r="BP39" i="22746" s="1"/>
  <c r="E86" i="22749"/>
  <c r="BI39" i="22746" s="1"/>
  <c r="E85" i="22749"/>
  <c r="BB39" i="22746" s="1"/>
  <c r="E84" i="22749"/>
  <c r="AU39" i="22746" s="1"/>
  <c r="E83" i="22749"/>
  <c r="AN39" i="22746" s="1"/>
  <c r="E82" i="22749"/>
  <c r="AG39" i="22746" s="1"/>
  <c r="E81" i="22749"/>
  <c r="Z39" i="22746" s="1"/>
  <c r="E80" i="22749"/>
  <c r="S39" i="22746" s="1"/>
  <c r="D80" i="22749"/>
  <c r="Q39" i="22746" s="1"/>
  <c r="E79" i="22749"/>
  <c r="L39" i="22746" s="1"/>
  <c r="D79" i="22749"/>
  <c r="J39" i="22746" s="1"/>
  <c r="A3" i="22749"/>
  <c r="H30" i="22750"/>
  <c r="F43" i="22750"/>
  <c r="F44" i="22750"/>
  <c r="D47" i="22750"/>
  <c r="G37" i="22750"/>
  <c r="H37" i="22750"/>
  <c r="H44" i="22750"/>
  <c r="D37" i="22750"/>
  <c r="H38" i="22750"/>
  <c r="H42" i="22750"/>
  <c r="E43" i="22750"/>
  <c r="E44" i="22750"/>
  <c r="D48" i="22750"/>
  <c r="H55" i="22751"/>
  <c r="E15" i="22752"/>
  <c r="E16" i="22752"/>
  <c r="E17" i="22752"/>
  <c r="E18" i="22752"/>
  <c r="E19" i="22752"/>
  <c r="E20" i="22752"/>
  <c r="E21" i="22752"/>
  <c r="E22" i="22752"/>
  <c r="E23" i="22752"/>
  <c r="E24" i="22752"/>
  <c r="E27" i="22752"/>
  <c r="E28" i="22752"/>
  <c r="E29" i="22752"/>
  <c r="E30" i="22752"/>
  <c r="E31" i="22752"/>
  <c r="D39" i="22752"/>
  <c r="E39" i="22752" s="1"/>
  <c r="D52" i="22752"/>
  <c r="E52" i="22752" s="1"/>
  <c r="D54" i="22752"/>
  <c r="E54" i="22752" s="1"/>
  <c r="C55" i="22752"/>
  <c r="C78" i="2" s="1"/>
  <c r="D55" i="22752"/>
  <c r="E55" i="22752" s="1"/>
  <c r="E59" i="22752"/>
  <c r="E60" i="22752"/>
  <c r="E61" i="22752"/>
  <c r="D64" i="22752"/>
  <c r="E64" i="22752" s="1"/>
  <c r="D65" i="22752"/>
  <c r="E65" i="22752" s="1"/>
  <c r="E13" i="22752"/>
  <c r="E12" i="22752"/>
  <c r="E11" i="22752"/>
  <c r="E10" i="22752"/>
  <c r="E14" i="22749"/>
  <c r="E15" i="22749"/>
  <c r="E16" i="22749"/>
  <c r="E17" i="22749"/>
  <c r="E18" i="22749"/>
  <c r="E19" i="22749"/>
  <c r="E20" i="22749"/>
  <c r="E21" i="22749"/>
  <c r="E22" i="22749"/>
  <c r="E23" i="22749"/>
  <c r="E26" i="22749"/>
  <c r="E27" i="22749"/>
  <c r="E28" i="22749"/>
  <c r="E29" i="22749"/>
  <c r="E30" i="22749"/>
  <c r="D38" i="22749"/>
  <c r="E38" i="22749" s="1"/>
  <c r="C54" i="22749"/>
  <c r="E58" i="22749"/>
  <c r="E59" i="22749"/>
  <c r="E60" i="22749"/>
  <c r="E11" i="22749"/>
  <c r="E10" i="22749"/>
  <c r="AM75" i="22746"/>
  <c r="AH15" i="22746"/>
  <c r="AL89" i="22746"/>
  <c r="AO88" i="22746"/>
  <c r="AM85" i="22746"/>
  <c r="AO15" i="22746"/>
  <c r="AS89" i="22746"/>
  <c r="AV88" i="22746"/>
  <c r="AT85" i="22746"/>
  <c r="AT75" i="22746"/>
  <c r="AV15" i="22746"/>
  <c r="AZ89" i="22746"/>
  <c r="BC88" i="22746"/>
  <c r="BA85" i="22746"/>
  <c r="BA75" i="22746"/>
  <c r="BC15" i="22746"/>
  <c r="BG89" i="22746"/>
  <c r="BJ88" i="22746"/>
  <c r="BH85" i="22746"/>
  <c r="BH75" i="22746"/>
  <c r="BJ15" i="22746"/>
  <c r="BN89" i="22746"/>
  <c r="BQ88" i="22746"/>
  <c r="BO85" i="22746"/>
  <c r="BO75" i="22746"/>
  <c r="BV75" i="22746"/>
  <c r="CC75" i="22746"/>
  <c r="CJ75" i="22746"/>
  <c r="BQ15" i="22746"/>
  <c r="BU89" i="22746"/>
  <c r="BX88" i="22746"/>
  <c r="BV85" i="22746"/>
  <c r="BX15" i="22746"/>
  <c r="CB89" i="22746"/>
  <c r="CE88" i="22746"/>
  <c r="CC85" i="22746"/>
  <c r="CE15" i="22746"/>
  <c r="CI89" i="22746"/>
  <c r="CL88" i="22746"/>
  <c r="CJ85" i="22746"/>
  <c r="CL15" i="22746"/>
  <c r="CP89" i="22746"/>
  <c r="CS88" i="22746"/>
  <c r="CQ85" i="22746"/>
  <c r="CQ75" i="22746"/>
  <c r="CX75" i="22746"/>
  <c r="CS15" i="22746"/>
  <c r="CW89" i="22746"/>
  <c r="CZ88" i="22746"/>
  <c r="CX85" i="22746"/>
  <c r="CV98" i="22746"/>
  <c r="D130" i="2"/>
  <c r="E130" i="2" s="1"/>
  <c r="CD11" i="3"/>
  <c r="CE15" i="3"/>
  <c r="CJ90" i="3"/>
  <c r="CI90" i="3"/>
  <c r="CL89" i="3"/>
  <c r="CK85" i="3"/>
  <c r="CJ86" i="3"/>
  <c r="CK86" i="3"/>
  <c r="CL15" i="3"/>
  <c r="CQ90" i="3"/>
  <c r="CP90" i="3"/>
  <c r="CS89" i="3"/>
  <c r="CQ86" i="3"/>
  <c r="CR86" i="3"/>
  <c r="CS15" i="3"/>
  <c r="CX90" i="3"/>
  <c r="CW90" i="3"/>
  <c r="CZ89" i="3"/>
  <c r="CX86" i="3"/>
  <c r="CY86" i="3"/>
  <c r="CV99" i="3"/>
  <c r="A142" i="4"/>
  <c r="G94" i="22715"/>
  <c r="K46" i="3"/>
  <c r="R46" i="3" s="1"/>
  <c r="Y46" i="3" s="1"/>
  <c r="AF46" i="3" s="1"/>
  <c r="AM46" i="3" s="1"/>
  <c r="AT46" i="3" s="1"/>
  <c r="BA46" i="3" s="1"/>
  <c r="BH46" i="3" s="1"/>
  <c r="BO46" i="3" s="1"/>
  <c r="BV46" i="3" s="1"/>
  <c r="CC46" i="3" s="1"/>
  <c r="CJ46" i="3" s="1"/>
  <c r="CQ46" i="3" s="1"/>
  <c r="CX46" i="3" s="1"/>
  <c r="K47" i="3"/>
  <c r="R47" i="3" s="1"/>
  <c r="Y47" i="3" s="1"/>
  <c r="AF47" i="3" s="1"/>
  <c r="AM47" i="3" s="1"/>
  <c r="AT47" i="3" s="1"/>
  <c r="BA47" i="3" s="1"/>
  <c r="BH47" i="3" s="1"/>
  <c r="BO47" i="3" s="1"/>
  <c r="BV47" i="3" s="1"/>
  <c r="CC47" i="3" s="1"/>
  <c r="CJ47" i="3" s="1"/>
  <c r="CQ47" i="3" s="1"/>
  <c r="CX47" i="3" s="1"/>
  <c r="K48" i="3"/>
  <c r="R48" i="3" s="1"/>
  <c r="Y48" i="3" s="1"/>
  <c r="AF48" i="3" s="1"/>
  <c r="AM48" i="3" s="1"/>
  <c r="AT48" i="3" s="1"/>
  <c r="BA48" i="3" s="1"/>
  <c r="BH48" i="3" s="1"/>
  <c r="BO48" i="3" s="1"/>
  <c r="BV48" i="3" s="1"/>
  <c r="CC48" i="3" s="1"/>
  <c r="CJ48" i="3" s="1"/>
  <c r="CQ48" i="3" s="1"/>
  <c r="CX48" i="3" s="1"/>
  <c r="K43" i="3"/>
  <c r="R43" i="3" s="1"/>
  <c r="Y43" i="3" s="1"/>
  <c r="AF43" i="3" s="1"/>
  <c r="AM43" i="3" s="1"/>
  <c r="AT43" i="3" s="1"/>
  <c r="BA43" i="3" s="1"/>
  <c r="BH43" i="3" s="1"/>
  <c r="BO43" i="3" s="1"/>
  <c r="BV43" i="3" s="1"/>
  <c r="CC43" i="3" s="1"/>
  <c r="CJ43" i="3" s="1"/>
  <c r="CQ43" i="3" s="1"/>
  <c r="CX43" i="3" s="1"/>
  <c r="G54" i="1"/>
  <c r="G55" i="1"/>
  <c r="G56" i="1"/>
  <c r="G57" i="1"/>
  <c r="G58" i="1"/>
  <c r="G59" i="1"/>
  <c r="G60" i="1"/>
  <c r="G61" i="1"/>
  <c r="G62" i="1"/>
  <c r="G63" i="1"/>
  <c r="G64" i="1"/>
  <c r="G65" i="1"/>
  <c r="A1" i="22747"/>
  <c r="B10" i="1"/>
  <c r="B18" i="22714" s="1"/>
  <c r="A3" i="22745"/>
  <c r="B3" i="2"/>
  <c r="A3" i="2"/>
  <c r="B94" i="22745"/>
  <c r="B93" i="2"/>
  <c r="B24" i="22715"/>
  <c r="C24" i="22715" s="1"/>
  <c r="B20" i="22715"/>
  <c r="C20" i="22715" s="1"/>
  <c r="B19" i="22715"/>
  <c r="C19" i="22715" s="1"/>
  <c r="CZ15" i="22746"/>
  <c r="CZ15" i="3"/>
  <c r="G188" i="22715"/>
  <c r="G192" i="22715" s="1"/>
  <c r="G237" i="22715"/>
  <c r="G242" i="22715" s="1"/>
  <c r="G236" i="22715"/>
  <c r="G241" i="22715" s="1"/>
  <c r="G189" i="22715"/>
  <c r="G193" i="22715" s="1"/>
  <c r="G265" i="22715"/>
  <c r="G264" i="22715"/>
  <c r="G209" i="22715"/>
  <c r="G212" i="22715"/>
  <c r="G213" i="22715"/>
  <c r="G211" i="22715"/>
  <c r="G96" i="22715"/>
  <c r="G84" i="22715"/>
  <c r="G85" i="22715"/>
  <c r="G86" i="22715"/>
  <c r="G79" i="22715"/>
  <c r="G80" i="22715"/>
  <c r="G260" i="22715"/>
  <c r="G261" i="22715"/>
  <c r="G259" i="22715"/>
  <c r="G207" i="22715"/>
  <c r="G208" i="22715"/>
  <c r="G206" i="22715"/>
  <c r="B69" i="22715"/>
  <c r="B22" i="22715"/>
  <c r="C22" i="22715" s="1"/>
  <c r="B30" i="22715"/>
  <c r="C30" i="22715" s="1"/>
  <c r="B21" i="22715"/>
  <c r="C21" i="22715" s="1"/>
  <c r="A161" i="4"/>
  <c r="G141" i="22715"/>
  <c r="A162" i="4"/>
  <c r="G142" i="22715"/>
  <c r="G135" i="22715"/>
  <c r="A164" i="4"/>
  <c r="G138" i="22715" s="1"/>
  <c r="A156" i="4"/>
  <c r="G116" i="22715" s="1"/>
  <c r="A143" i="4"/>
  <c r="G99" i="22715" s="1"/>
  <c r="G98" i="22715"/>
  <c r="A160" i="4"/>
  <c r="G134" i="22715"/>
  <c r="B44" i="2"/>
  <c r="B43" i="2"/>
  <c r="B42" i="2"/>
  <c r="A41" i="2"/>
  <c r="B59" i="2"/>
  <c r="B17" i="2"/>
  <c r="B18" i="2"/>
  <c r="B19" i="2"/>
  <c r="B20" i="2"/>
  <c r="B21" i="2"/>
  <c r="B22" i="2"/>
  <c r="B23" i="2"/>
  <c r="B24" i="2"/>
  <c r="B25" i="2"/>
  <c r="B11" i="2"/>
  <c r="B12" i="2"/>
  <c r="B13" i="2"/>
  <c r="B10" i="2"/>
  <c r="B33" i="2"/>
  <c r="B26" i="2"/>
  <c r="B29" i="2"/>
  <c r="B30" i="2"/>
  <c r="B31" i="2"/>
  <c r="B32" i="2"/>
  <c r="B16" i="2"/>
  <c r="B54" i="2"/>
  <c r="B53" i="2"/>
  <c r="B52" i="2"/>
  <c r="B51" i="2"/>
  <c r="B46" i="4"/>
  <c r="B4" i="4"/>
  <c r="C12" i="4" s="1"/>
  <c r="A205" i="4"/>
  <c r="A185" i="4"/>
  <c r="B84" i="4"/>
  <c r="A151" i="4" s="1"/>
  <c r="B82" i="4"/>
  <c r="A149" i="4" s="1"/>
  <c r="A148" i="4"/>
  <c r="A150" i="4"/>
  <c r="A155" i="4"/>
  <c r="A147" i="4"/>
  <c r="A45" i="4"/>
  <c r="A168" i="4"/>
  <c r="A169" i="4"/>
  <c r="A170" i="4"/>
  <c r="A139" i="4"/>
  <c r="A44" i="4"/>
  <c r="B15" i="4"/>
  <c r="G44" i="1"/>
  <c r="B45" i="4" s="1"/>
  <c r="G43" i="1"/>
  <c r="CV46" i="3" s="1"/>
  <c r="P76" i="3"/>
  <c r="CV48" i="3"/>
  <c r="CO48" i="3"/>
  <c r="CH48" i="3"/>
  <c r="CA48" i="3"/>
  <c r="BT48" i="3"/>
  <c r="BM48" i="3"/>
  <c r="BF48" i="3"/>
  <c r="AY48" i="3"/>
  <c r="AR48" i="3"/>
  <c r="AK48" i="3"/>
  <c r="AD48" i="3"/>
  <c r="W48" i="3"/>
  <c r="P48" i="3"/>
  <c r="I48" i="3"/>
  <c r="I44" i="3"/>
  <c r="CU47" i="3"/>
  <c r="CU46" i="3"/>
  <c r="CN47" i="3"/>
  <c r="CN46" i="3"/>
  <c r="CG47" i="3"/>
  <c r="CG46" i="3"/>
  <c r="BZ47" i="3"/>
  <c r="BZ46" i="3"/>
  <c r="BS47" i="3"/>
  <c r="BS46" i="3"/>
  <c r="BL47" i="3"/>
  <c r="BL46" i="3"/>
  <c r="BE47" i="3"/>
  <c r="BE46" i="3"/>
  <c r="AX47" i="3"/>
  <c r="AX46" i="3"/>
  <c r="AQ47" i="3"/>
  <c r="AQ46" i="3"/>
  <c r="AJ47" i="3"/>
  <c r="AJ46" i="3"/>
  <c r="AC47" i="3"/>
  <c r="AC46" i="3"/>
  <c r="V47" i="3"/>
  <c r="V46" i="3"/>
  <c r="O47" i="3"/>
  <c r="O46" i="3"/>
  <c r="H47" i="3"/>
  <c r="H46" i="3"/>
  <c r="AD15" i="3"/>
  <c r="AK15" i="3"/>
  <c r="AR15" i="3"/>
  <c r="AY15" i="3"/>
  <c r="BF15" i="3"/>
  <c r="BM15" i="3"/>
  <c r="BT15" i="3"/>
  <c r="CA15" i="3"/>
  <c r="CH15" i="3"/>
  <c r="CO15" i="3"/>
  <c r="CV15" i="3"/>
  <c r="W15" i="3"/>
  <c r="P15" i="3"/>
  <c r="P6" i="3"/>
  <c r="B85" i="3"/>
  <c r="B48" i="3"/>
  <c r="CV6" i="3"/>
  <c r="CO6" i="3"/>
  <c r="CH6" i="3"/>
  <c r="CA6" i="3"/>
  <c r="BT6" i="3"/>
  <c r="BM6" i="3"/>
  <c r="BF6" i="3"/>
  <c r="AY6" i="3"/>
  <c r="AR6" i="3"/>
  <c r="AK6" i="3"/>
  <c r="AD6" i="3"/>
  <c r="W6" i="3"/>
  <c r="I6" i="3"/>
  <c r="B6" i="3"/>
  <c r="B61" i="3"/>
  <c r="A47" i="3"/>
  <c r="A46" i="3"/>
  <c r="I15" i="3"/>
  <c r="B15" i="3"/>
  <c r="CV78" i="3"/>
  <c r="CO78" i="3"/>
  <c r="CH78" i="3"/>
  <c r="CA78" i="3"/>
  <c r="BT78" i="3"/>
  <c r="BM78" i="3"/>
  <c r="BF78" i="3"/>
  <c r="AY78" i="3"/>
  <c r="AR78" i="3"/>
  <c r="AK78" i="3"/>
  <c r="AD78" i="3"/>
  <c r="W78" i="3"/>
  <c r="P78" i="3"/>
  <c r="I78" i="3"/>
  <c r="B78" i="3"/>
  <c r="I76" i="3"/>
  <c r="B76" i="3"/>
  <c r="B66" i="3"/>
  <c r="B64" i="3"/>
  <c r="B63" i="3"/>
  <c r="B59" i="3"/>
  <c r="B57" i="3"/>
  <c r="P22" i="3"/>
  <c r="CV47" i="3"/>
  <c r="CH47" i="3"/>
  <c r="BT47" i="3"/>
  <c r="BF47" i="3"/>
  <c r="AR47" i="3"/>
  <c r="AD47" i="3"/>
  <c r="P47" i="3"/>
  <c r="B47" i="3"/>
  <c r="D75" i="1"/>
  <c r="F75" i="1"/>
  <c r="D76" i="1"/>
  <c r="F76" i="1"/>
  <c r="G51" i="1"/>
  <c r="G52" i="1"/>
  <c r="G53" i="1"/>
  <c r="F66" i="1"/>
  <c r="C20" i="1"/>
  <c r="D18" i="1" s="1"/>
  <c r="B20" i="1"/>
  <c r="H76" i="1"/>
  <c r="H75" i="1"/>
  <c r="H90" i="1"/>
  <c r="F69" i="1"/>
  <c r="F67" i="1"/>
  <c r="B60" i="22745"/>
  <c r="B55" i="22745"/>
  <c r="B54" i="22745"/>
  <c r="B53" i="22745"/>
  <c r="B45" i="22745"/>
  <c r="B44" i="22745"/>
  <c r="B43" i="22745"/>
  <c r="A42" i="22745"/>
  <c r="B34" i="22745"/>
  <c r="B33" i="22745"/>
  <c r="B32" i="22745"/>
  <c r="B31" i="22745"/>
  <c r="B30" i="22745"/>
  <c r="B26" i="22745"/>
  <c r="B25" i="22745"/>
  <c r="B24" i="22745"/>
  <c r="B23" i="22745"/>
  <c r="B22" i="22745"/>
  <c r="B21" i="22745"/>
  <c r="B20" i="22745"/>
  <c r="B19" i="22745"/>
  <c r="B18" i="22745"/>
  <c r="B17" i="22745"/>
  <c r="B16" i="22745"/>
  <c r="B13" i="22745"/>
  <c r="B12" i="22745"/>
  <c r="B11" i="22745"/>
  <c r="B10" i="22745"/>
  <c r="B83" i="22747"/>
  <c r="A151" i="22747" s="1"/>
  <c r="B81" i="22747"/>
  <c r="A149" i="22747" s="1"/>
  <c r="B73" i="22747"/>
  <c r="B71" i="22747"/>
  <c r="B70" i="22747"/>
  <c r="B68" i="22747"/>
  <c r="B67" i="22747"/>
  <c r="B61" i="22747"/>
  <c r="A180" i="22747" s="1"/>
  <c r="B46" i="22747"/>
  <c r="A45" i="22747"/>
  <c r="B15" i="22747"/>
  <c r="A205" i="22747"/>
  <c r="A185" i="22747"/>
  <c r="A143" i="22747"/>
  <c r="A142" i="22747"/>
  <c r="A160" i="22747"/>
  <c r="A164" i="22747"/>
  <c r="A156" i="22747"/>
  <c r="A148" i="22747"/>
  <c r="A150" i="22747"/>
  <c r="A155" i="22747"/>
  <c r="A147" i="22747"/>
  <c r="A168" i="22747"/>
  <c r="A169" i="22747"/>
  <c r="A170" i="22747"/>
  <c r="A139" i="22747"/>
  <c r="A162" i="22747"/>
  <c r="A161" i="22747"/>
  <c r="F44" i="22744"/>
  <c r="B45" i="22747" s="1"/>
  <c r="B84" i="22746"/>
  <c r="CV77" i="22746"/>
  <c r="CO77" i="22746"/>
  <c r="CH77" i="22746"/>
  <c r="CA77" i="22746"/>
  <c r="BT77" i="22746"/>
  <c r="BM77" i="22746"/>
  <c r="BF77" i="22746"/>
  <c r="AY77" i="22746"/>
  <c r="AR77" i="22746"/>
  <c r="AK77" i="22746"/>
  <c r="AD77" i="22746"/>
  <c r="W77" i="22746"/>
  <c r="P77" i="22746"/>
  <c r="I77" i="22746"/>
  <c r="B77" i="22746"/>
  <c r="CV75" i="22746"/>
  <c r="CO75" i="22746"/>
  <c r="CH75" i="22746"/>
  <c r="CA75" i="22746"/>
  <c r="BT75" i="22746"/>
  <c r="BM75" i="22746"/>
  <c r="BF75" i="22746"/>
  <c r="AY75" i="22746"/>
  <c r="AR75" i="22746"/>
  <c r="AK75" i="22746"/>
  <c r="AD75" i="22746"/>
  <c r="W75" i="22746"/>
  <c r="P75" i="22746"/>
  <c r="I75" i="22746"/>
  <c r="B75" i="22746"/>
  <c r="CV68" i="22746"/>
  <c r="CO68" i="22746"/>
  <c r="CH68" i="22746"/>
  <c r="CA68" i="22746"/>
  <c r="BT68" i="22746"/>
  <c r="BM68" i="22746"/>
  <c r="BF68" i="22746"/>
  <c r="AY68" i="22746"/>
  <c r="AR68" i="22746"/>
  <c r="AK68" i="22746"/>
  <c r="AD68" i="22746"/>
  <c r="W68" i="22746"/>
  <c r="I68" i="22746"/>
  <c r="B68" i="22746"/>
  <c r="CV66" i="22746"/>
  <c r="CO66" i="22746"/>
  <c r="CH66" i="22746"/>
  <c r="CA66" i="22746"/>
  <c r="BT66" i="22746"/>
  <c r="BM66" i="22746"/>
  <c r="BF66" i="22746"/>
  <c r="AY66" i="22746"/>
  <c r="AR66" i="22746"/>
  <c r="AK66" i="22746"/>
  <c r="AD66" i="22746"/>
  <c r="W66" i="22746"/>
  <c r="I66" i="22746"/>
  <c r="B66" i="22746"/>
  <c r="CV65" i="22746"/>
  <c r="CO65" i="22746"/>
  <c r="CH65" i="22746"/>
  <c r="CA65" i="22746"/>
  <c r="BT65" i="22746"/>
  <c r="BM65" i="22746"/>
  <c r="BF65" i="22746"/>
  <c r="AY65" i="22746"/>
  <c r="AR65" i="22746"/>
  <c r="AK65" i="22746"/>
  <c r="AD65" i="22746"/>
  <c r="W65" i="22746"/>
  <c r="I65" i="22746"/>
  <c r="B65" i="22746"/>
  <c r="CV63" i="22746"/>
  <c r="CO63" i="22746"/>
  <c r="CH63" i="22746"/>
  <c r="CA63" i="22746"/>
  <c r="BT63" i="22746"/>
  <c r="BM63" i="22746"/>
  <c r="BF63" i="22746"/>
  <c r="AY63" i="22746"/>
  <c r="AK63" i="22746"/>
  <c r="AD63" i="22746"/>
  <c r="W63" i="22746"/>
  <c r="I63" i="22746"/>
  <c r="B63" i="22746"/>
  <c r="CV62" i="22746"/>
  <c r="CO62" i="22746"/>
  <c r="CH62" i="22746"/>
  <c r="CA62" i="22746"/>
  <c r="BT62" i="22746"/>
  <c r="BM62" i="22746"/>
  <c r="BF62" i="22746"/>
  <c r="AY62" i="22746"/>
  <c r="AK62" i="22746"/>
  <c r="AD62" i="22746"/>
  <c r="W62" i="22746"/>
  <c r="I62" i="22746"/>
  <c r="B62" i="22746"/>
  <c r="CV60" i="22746"/>
  <c r="CO60" i="22746"/>
  <c r="CH60" i="22746"/>
  <c r="CA60" i="22746"/>
  <c r="BT60" i="22746"/>
  <c r="BM60" i="22746"/>
  <c r="BF60" i="22746"/>
  <c r="AY60" i="22746"/>
  <c r="AR60" i="22746"/>
  <c r="AK60" i="22746"/>
  <c r="AD60" i="22746"/>
  <c r="W60" i="22746"/>
  <c r="I60" i="22746"/>
  <c r="B60" i="22746"/>
  <c r="CV58" i="22746"/>
  <c r="CO58" i="22746"/>
  <c r="CH58" i="22746"/>
  <c r="CA58" i="22746"/>
  <c r="BT58" i="22746"/>
  <c r="BM58" i="22746"/>
  <c r="BF58" i="22746"/>
  <c r="AY58" i="22746"/>
  <c r="AK58" i="22746"/>
  <c r="AD58" i="22746"/>
  <c r="W58" i="22746"/>
  <c r="I58" i="22746"/>
  <c r="B58" i="22746"/>
  <c r="CV56" i="22746"/>
  <c r="CO56" i="22746"/>
  <c r="CH56" i="22746"/>
  <c r="CA56" i="22746"/>
  <c r="BT56" i="22746"/>
  <c r="BM56" i="22746"/>
  <c r="BF56" i="22746"/>
  <c r="AY56" i="22746"/>
  <c r="AK56" i="22746"/>
  <c r="AD56" i="22746"/>
  <c r="W56" i="22746"/>
  <c r="I56" i="22746"/>
  <c r="B56" i="22746"/>
  <c r="CV47" i="22746"/>
  <c r="CO47" i="22746"/>
  <c r="CH47" i="22746"/>
  <c r="CA47" i="22746"/>
  <c r="BT47" i="22746"/>
  <c r="BM47" i="22746"/>
  <c r="BF47" i="22746"/>
  <c r="AY47" i="22746"/>
  <c r="AR47" i="22746"/>
  <c r="AK47" i="22746"/>
  <c r="AD47" i="22746"/>
  <c r="W47" i="22746"/>
  <c r="P47" i="22746"/>
  <c r="I47" i="22746"/>
  <c r="B47" i="22746"/>
  <c r="CU46" i="22746"/>
  <c r="CN46" i="22746"/>
  <c r="CG46" i="22746"/>
  <c r="BZ46" i="22746"/>
  <c r="BS46" i="22746"/>
  <c r="BL46" i="22746"/>
  <c r="BE46" i="22746"/>
  <c r="AX46" i="22746"/>
  <c r="AQ46" i="22746"/>
  <c r="AJ46" i="22746"/>
  <c r="AC46" i="22746"/>
  <c r="V46" i="22746"/>
  <c r="O46" i="22746"/>
  <c r="H46" i="22746"/>
  <c r="A46" i="22746"/>
  <c r="CU45" i="22746"/>
  <c r="CN45" i="22746"/>
  <c r="CG45" i="22746"/>
  <c r="BZ45" i="22746"/>
  <c r="BS45" i="22746"/>
  <c r="BL45" i="22746"/>
  <c r="BE45" i="22746"/>
  <c r="AX45" i="22746"/>
  <c r="AQ45" i="22746"/>
  <c r="AJ45" i="22746"/>
  <c r="AC45" i="22746"/>
  <c r="V45" i="22746"/>
  <c r="O45" i="22746"/>
  <c r="H45" i="22746"/>
  <c r="A45" i="22746"/>
  <c r="I43" i="22746"/>
  <c r="B43" i="22746"/>
  <c r="CV15" i="22746"/>
  <c r="CO15" i="22746"/>
  <c r="CH15" i="22746"/>
  <c r="CA15" i="22746"/>
  <c r="BT15" i="22746"/>
  <c r="BM15" i="22746"/>
  <c r="BF15" i="22746"/>
  <c r="AY15" i="22746"/>
  <c r="AR15" i="22746"/>
  <c r="AK15" i="22746"/>
  <c r="AD15" i="22746"/>
  <c r="W15" i="22746"/>
  <c r="P15" i="22746"/>
  <c r="I15" i="22746"/>
  <c r="B15" i="22746"/>
  <c r="CV46" i="22746"/>
  <c r="CH46" i="22746"/>
  <c r="BT46" i="22746"/>
  <c r="BF46" i="22746"/>
  <c r="AR46" i="22746"/>
  <c r="AD46" i="22746"/>
  <c r="P46" i="22746"/>
  <c r="B46" i="22746"/>
  <c r="CH45" i="22746"/>
  <c r="BF45" i="22746"/>
  <c r="AD45" i="22746"/>
  <c r="B45" i="22746"/>
  <c r="CV6" i="22746"/>
  <c r="C20" i="22744"/>
  <c r="B20" i="22744"/>
  <c r="C24" i="22744"/>
  <c r="E17" i="2"/>
  <c r="F53" i="3"/>
  <c r="AA53" i="3"/>
  <c r="AH53" i="3"/>
  <c r="CL53" i="3"/>
  <c r="BX53" i="3"/>
  <c r="BJ53" i="3"/>
  <c r="AV53" i="3"/>
  <c r="R55" i="3"/>
  <c r="K55" i="3"/>
  <c r="R54" i="22746"/>
  <c r="D66" i="2"/>
  <c r="E85" i="3"/>
  <c r="D68" i="2"/>
  <c r="E68" i="2" s="1"/>
  <c r="D72" i="2"/>
  <c r="D76" i="2"/>
  <c r="E76" i="2" s="1"/>
  <c r="Z85" i="3"/>
  <c r="AG85" i="3"/>
  <c r="B7" i="22751"/>
  <c r="E63" i="22751"/>
  <c r="D67" i="22751" s="1"/>
  <c r="H67" i="22751" s="1"/>
  <c r="CY75" i="3"/>
  <c r="CK82" i="3"/>
  <c r="CK75" i="3"/>
  <c r="BW82" i="3"/>
  <c r="BW75" i="3"/>
  <c r="BI82" i="3"/>
  <c r="BI75" i="3"/>
  <c r="BB76" i="3"/>
  <c r="BB74" i="3"/>
  <c r="AU77" i="3"/>
  <c r="AN83" i="3"/>
  <c r="AG82" i="3"/>
  <c r="AG75" i="3"/>
  <c r="S82" i="3"/>
  <c r="L83" i="3"/>
  <c r="L74" i="3"/>
  <c r="E76" i="3"/>
  <c r="E74" i="3"/>
  <c r="CY83" i="3"/>
  <c r="CR75" i="3"/>
  <c r="BW83" i="3"/>
  <c r="BP75" i="3"/>
  <c r="BB77" i="3"/>
  <c r="AU74" i="3"/>
  <c r="AG76" i="3"/>
  <c r="Z77" i="3"/>
  <c r="S74" i="3"/>
  <c r="E75" i="3"/>
  <c r="CR77" i="3"/>
  <c r="BB75" i="3"/>
  <c r="L82" i="3"/>
  <c r="D110" i="2"/>
  <c r="D241" i="22744"/>
  <c r="E87" i="22747" s="1"/>
  <c r="D242" i="22744"/>
  <c r="CR82" i="3"/>
  <c r="CK83" i="3"/>
  <c r="CK74" i="3"/>
  <c r="CD75" i="3"/>
  <c r="BW76" i="3"/>
  <c r="BP77" i="3"/>
  <c r="AN82" i="3"/>
  <c r="AG83" i="3"/>
  <c r="AG74" i="3"/>
  <c r="Z75" i="3"/>
  <c r="S76" i="3"/>
  <c r="L77" i="3"/>
  <c r="E77" i="3"/>
  <c r="D112" i="22745"/>
  <c r="D111" i="2"/>
  <c r="D147" i="2"/>
  <c r="D146" i="2"/>
  <c r="C89" i="1"/>
  <c r="B11" i="22715" s="1"/>
  <c r="C11" i="22715" s="1"/>
  <c r="B6" i="22750"/>
  <c r="AA52" i="22746"/>
  <c r="B15" i="22715"/>
  <c r="C15" i="22715" s="1"/>
  <c r="C82" i="3"/>
  <c r="C77" i="22744"/>
  <c r="AB10" i="22746" s="1"/>
  <c r="H28" i="22714"/>
  <c r="G95" i="22715"/>
  <c r="G140" i="22715"/>
  <c r="G81" i="22715"/>
  <c r="G136" i="22715"/>
  <c r="H35" i="22714"/>
  <c r="E61" i="3"/>
  <c r="B46" i="3"/>
  <c r="CH46" i="3"/>
  <c r="BF46" i="3"/>
  <c r="AD46" i="3"/>
  <c r="B44" i="4"/>
  <c r="CA46" i="3"/>
  <c r="AY46" i="3"/>
  <c r="W46" i="3"/>
  <c r="C79" i="22745"/>
  <c r="AS39" i="22746"/>
  <c r="D51" i="4"/>
  <c r="B153" i="22744"/>
  <c r="I24" i="22746" s="1"/>
  <c r="H91" i="22751"/>
  <c r="H99" i="22751" s="1"/>
  <c r="G78" i="1"/>
  <c r="G77" i="1"/>
  <c r="G76" i="1"/>
  <c r="G82" i="1"/>
  <c r="G84" i="1"/>
  <c r="BV11" i="3" s="1"/>
  <c r="G88" i="1"/>
  <c r="G79" i="1"/>
  <c r="AM11" i="3" s="1"/>
  <c r="G83" i="1"/>
  <c r="G85" i="1"/>
  <c r="CC11" i="3" s="1"/>
  <c r="G75" i="1"/>
  <c r="G80" i="1"/>
  <c r="G86" i="1"/>
  <c r="G87" i="1"/>
  <c r="F89" i="1"/>
  <c r="B13" i="22715" s="1"/>
  <c r="C13" i="22715" s="1"/>
  <c r="E84" i="4"/>
  <c r="E87" i="4"/>
  <c r="F87" i="4" s="1"/>
  <c r="B154" i="4" s="1"/>
  <c r="E60" i="3"/>
  <c r="S80" i="3"/>
  <c r="T80" i="3" s="1"/>
  <c r="AN78" i="3"/>
  <c r="BB81" i="3"/>
  <c r="BC81" i="3" s="1"/>
  <c r="BW80" i="3"/>
  <c r="CR78" i="3"/>
  <c r="D105" i="22750"/>
  <c r="H97" i="22750"/>
  <c r="H100" i="22750"/>
  <c r="E142" i="22745" s="1"/>
  <c r="J83" i="3"/>
  <c r="AE82" i="3"/>
  <c r="L80" i="3"/>
  <c r="BI78" i="3"/>
  <c r="CY80" i="3"/>
  <c r="AN81" i="3"/>
  <c r="C152" i="2"/>
  <c r="CY78" i="3"/>
  <c r="BW81" i="3"/>
  <c r="BB78" i="3"/>
  <c r="AG78" i="3"/>
  <c r="E81" i="3"/>
  <c r="CK78" i="3"/>
  <c r="BI80" i="3"/>
  <c r="AG81" i="3"/>
  <c r="L81" i="3"/>
  <c r="Z78" i="3"/>
  <c r="BP81" i="3"/>
  <c r="E80" i="3"/>
  <c r="F80" i="3" s="1"/>
  <c r="CD78" i="3"/>
  <c r="E19" i="22745" l="1"/>
  <c r="E32" i="22752"/>
  <c r="E70" i="22752" s="1"/>
  <c r="E31" i="2"/>
  <c r="E26" i="2"/>
  <c r="E24" i="2"/>
  <c r="E21" i="2"/>
  <c r="E13" i="2"/>
  <c r="H73" i="22750"/>
  <c r="E138" i="22745" s="1"/>
  <c r="H81" i="22750"/>
  <c r="E139" i="22745" s="1"/>
  <c r="H29" i="22750"/>
  <c r="E123" i="22745" s="1"/>
  <c r="H21" i="22750"/>
  <c r="E122" i="22745" s="1"/>
  <c r="C133" i="22745"/>
  <c r="D12" i="22750"/>
  <c r="H12" i="22750" s="1"/>
  <c r="D93" i="22752"/>
  <c r="E32" i="2"/>
  <c r="E30" i="2"/>
  <c r="E23" i="2"/>
  <c r="E22" i="2"/>
  <c r="E18" i="2"/>
  <c r="E39" i="2"/>
  <c r="E12" i="2"/>
  <c r="E14" i="2" s="1"/>
  <c r="H83" i="22751"/>
  <c r="E139" i="2" s="1"/>
  <c r="H75" i="22751"/>
  <c r="E138" i="2" s="1"/>
  <c r="H29" i="22751"/>
  <c r="E122" i="2" s="1"/>
  <c r="H21" i="22751"/>
  <c r="E121" i="2" s="1"/>
  <c r="E62" i="22752"/>
  <c r="E43" i="2"/>
  <c r="E33" i="2"/>
  <c r="E29" i="2"/>
  <c r="E31" i="22749"/>
  <c r="E69" i="22749" s="1"/>
  <c r="CD67" i="3"/>
  <c r="CE67" i="3" s="1"/>
  <c r="CD66" i="3"/>
  <c r="BW67" i="3"/>
  <c r="BX67" i="3" s="1"/>
  <c r="BW66" i="3"/>
  <c r="BI67" i="3"/>
  <c r="BJ67" i="3" s="1"/>
  <c r="BI66" i="3"/>
  <c r="BB67" i="3"/>
  <c r="BC67" i="3" s="1"/>
  <c r="BB66" i="3"/>
  <c r="AU67" i="3"/>
  <c r="AV67" i="3" s="1"/>
  <c r="AU66" i="3"/>
  <c r="AN67" i="3"/>
  <c r="AO67" i="3" s="1"/>
  <c r="AN66" i="3"/>
  <c r="CR67" i="3"/>
  <c r="CS67" i="3" s="1"/>
  <c r="CR66" i="3"/>
  <c r="CY67" i="3"/>
  <c r="CZ67" i="3" s="1"/>
  <c r="CY66" i="3"/>
  <c r="CK67" i="3"/>
  <c r="CL67" i="3" s="1"/>
  <c r="CK66" i="3"/>
  <c r="BP67" i="3"/>
  <c r="BQ67" i="3" s="1"/>
  <c r="BP66" i="3"/>
  <c r="AG67" i="3"/>
  <c r="AH67" i="3" s="1"/>
  <c r="AG66" i="3"/>
  <c r="Z67" i="3"/>
  <c r="AA67" i="3" s="1"/>
  <c r="Z66" i="3"/>
  <c r="S67" i="3"/>
  <c r="T67" i="3" s="1"/>
  <c r="S66" i="3"/>
  <c r="L67" i="3"/>
  <c r="M67" i="3" s="1"/>
  <c r="L66" i="3"/>
  <c r="F102" i="22751"/>
  <c r="F48" i="22751"/>
  <c r="H48" i="22751" s="1"/>
  <c r="E25" i="22745"/>
  <c r="E22" i="22745"/>
  <c r="E16" i="22745"/>
  <c r="E61" i="22749"/>
  <c r="E72" i="22749" s="1"/>
  <c r="E33" i="22745"/>
  <c r="E24" i="22745"/>
  <c r="E21" i="22745"/>
  <c r="E31" i="22745"/>
  <c r="E30" i="22745"/>
  <c r="E26" i="22745"/>
  <c r="E23" i="22745"/>
  <c r="E20" i="22745"/>
  <c r="E17" i="22745"/>
  <c r="E45" i="22745"/>
  <c r="E37" i="22745"/>
  <c r="E40" i="22745" s="1"/>
  <c r="E12" i="22745"/>
  <c r="D75" i="3"/>
  <c r="F75" i="3" s="1"/>
  <c r="BQ81" i="3"/>
  <c r="AO81" i="3"/>
  <c r="M45" i="3"/>
  <c r="C21" i="4"/>
  <c r="C63" i="4" s="1"/>
  <c r="F19" i="4"/>
  <c r="F92" i="4"/>
  <c r="B155" i="4" s="1"/>
  <c r="CB12" i="3"/>
  <c r="BG12" i="3"/>
  <c r="AE12" i="3"/>
  <c r="AL12" i="3"/>
  <c r="CI12" i="3"/>
  <c r="BN12" i="3"/>
  <c r="AZ12" i="3"/>
  <c r="C11" i="3"/>
  <c r="CW12" i="3"/>
  <c r="X12" i="3"/>
  <c r="BU12" i="3"/>
  <c r="C12" i="3"/>
  <c r="Q12" i="3"/>
  <c r="C10" i="3"/>
  <c r="AS12" i="3"/>
  <c r="BR13" i="3"/>
  <c r="CM13" i="3"/>
  <c r="CT13" i="3"/>
  <c r="CF13" i="3"/>
  <c r="AA20" i="3"/>
  <c r="T20" i="3"/>
  <c r="AP13" i="3"/>
  <c r="H36" i="22714"/>
  <c r="CQ12" i="3"/>
  <c r="AB13" i="3"/>
  <c r="U13" i="3"/>
  <c r="H24" i="22714"/>
  <c r="K12" i="3"/>
  <c r="DA13" i="3"/>
  <c r="AW13" i="3"/>
  <c r="AI13" i="3"/>
  <c r="T19" i="3"/>
  <c r="X23" i="3"/>
  <c r="X59" i="3" s="1"/>
  <c r="C149" i="2"/>
  <c r="H102" i="22751"/>
  <c r="E142" i="2" s="1"/>
  <c r="H103" i="22751"/>
  <c r="E143" i="2" s="1"/>
  <c r="D107" i="22751"/>
  <c r="H107" i="22751" s="1"/>
  <c r="E146" i="2"/>
  <c r="E147" i="2"/>
  <c r="AO78" i="3"/>
  <c r="M81" i="3"/>
  <c r="BJ80" i="3"/>
  <c r="F81" i="3"/>
  <c r="AD11" i="3"/>
  <c r="F76" i="3"/>
  <c r="B11" i="4"/>
  <c r="B50" i="22744"/>
  <c r="C17" i="22748" s="1"/>
  <c r="K68" i="4"/>
  <c r="F242" i="1"/>
  <c r="D23" i="3"/>
  <c r="AH81" i="3"/>
  <c r="BX81" i="3"/>
  <c r="M80" i="3"/>
  <c r="E111" i="2"/>
  <c r="H112" i="22751"/>
  <c r="F82" i="4"/>
  <c r="B149" i="4" s="1"/>
  <c r="H113" i="22715" s="1"/>
  <c r="C17" i="22714"/>
  <c r="BO9" i="3"/>
  <c r="F43" i="4"/>
  <c r="AH86" i="3"/>
  <c r="T22" i="3"/>
  <c r="F86" i="3"/>
  <c r="S9" i="3"/>
  <c r="CH11" i="3"/>
  <c r="CA9" i="3"/>
  <c r="CZ80" i="3"/>
  <c r="M83" i="3"/>
  <c r="K11" i="3"/>
  <c r="J11" i="3" s="1"/>
  <c r="BX80" i="3"/>
  <c r="CX11" i="3"/>
  <c r="CZ11" i="3" s="1"/>
  <c r="Y9" i="3"/>
  <c r="P11" i="3"/>
  <c r="BF11" i="3"/>
  <c r="W9" i="3"/>
  <c r="AY9" i="3"/>
  <c r="Y10" i="3"/>
  <c r="AN41" i="3"/>
  <c r="AO41" i="3" s="1"/>
  <c r="Y74" i="3"/>
  <c r="BH75" i="3"/>
  <c r="BJ75" i="3" s="1"/>
  <c r="E87" i="2"/>
  <c r="CV11" i="3"/>
  <c r="BT11" i="3"/>
  <c r="AR11" i="3"/>
  <c r="I9" i="3"/>
  <c r="CO9" i="3"/>
  <c r="BM9" i="3"/>
  <c r="AK9" i="3"/>
  <c r="T82" i="3"/>
  <c r="C81" i="22752"/>
  <c r="F81" i="22752" s="1"/>
  <c r="BP41" i="3"/>
  <c r="BQ41" i="3" s="1"/>
  <c r="F18" i="4"/>
  <c r="D80" i="4"/>
  <c r="F80" i="4" s="1"/>
  <c r="BO75" i="3"/>
  <c r="BQ75" i="3" s="1"/>
  <c r="CQ9" i="3"/>
  <c r="Q23" i="3"/>
  <c r="AA78" i="3"/>
  <c r="BA75" i="3"/>
  <c r="BC75" i="3" s="1"/>
  <c r="B56" i="1"/>
  <c r="AN9" i="3" s="1"/>
  <c r="F84" i="4"/>
  <c r="B151" i="4" s="1"/>
  <c r="H114" i="22715" s="1"/>
  <c r="AT11" i="3"/>
  <c r="AV44" i="3" s="1"/>
  <c r="R11" i="3"/>
  <c r="T11" i="3" s="1"/>
  <c r="C80" i="22752"/>
  <c r="E148" i="2"/>
  <c r="AT9" i="3"/>
  <c r="CE78" i="3"/>
  <c r="BC78" i="3"/>
  <c r="CS78" i="3"/>
  <c r="C23" i="3"/>
  <c r="CJ75" i="3"/>
  <c r="CL75" i="3" s="1"/>
  <c r="E53" i="2"/>
  <c r="E102" i="2"/>
  <c r="E100" i="2"/>
  <c r="D10" i="22751"/>
  <c r="H10" i="22751" s="1"/>
  <c r="D12" i="22751"/>
  <c r="H12" i="22751" s="1"/>
  <c r="D13" i="22751"/>
  <c r="H13" i="22751" s="1"/>
  <c r="E34" i="2"/>
  <c r="E20" i="2"/>
  <c r="E45" i="2"/>
  <c r="C93" i="2"/>
  <c r="E93" i="2" s="1"/>
  <c r="E72" i="2"/>
  <c r="E60" i="2"/>
  <c r="C83" i="3"/>
  <c r="X82" i="3"/>
  <c r="C245" i="1"/>
  <c r="C153" i="2" s="1"/>
  <c r="C154" i="2" s="1"/>
  <c r="AL83" i="3"/>
  <c r="AO83" i="3" s="1"/>
  <c r="AS83" i="3"/>
  <c r="AZ83" i="3"/>
  <c r="BG83" i="3"/>
  <c r="BN83" i="3"/>
  <c r="BU83" i="3"/>
  <c r="BX83" i="3" s="1"/>
  <c r="CB83" i="3"/>
  <c r="CI83" i="3"/>
  <c r="CP83" i="3"/>
  <c r="CW83" i="3"/>
  <c r="CZ83" i="3" s="1"/>
  <c r="C88" i="4"/>
  <c r="AE83" i="3"/>
  <c r="AH83" i="3" s="1"/>
  <c r="X83" i="3"/>
  <c r="CL83" i="3"/>
  <c r="M82" i="3"/>
  <c r="C67" i="2"/>
  <c r="C79" i="2" s="1"/>
  <c r="E79" i="2" s="1"/>
  <c r="C57" i="2"/>
  <c r="C59" i="2" s="1"/>
  <c r="BV75" i="3"/>
  <c r="BX75" i="3" s="1"/>
  <c r="CY81" i="3"/>
  <c r="CZ81" i="3" s="1"/>
  <c r="BB80" i="3"/>
  <c r="BC80" i="3" s="1"/>
  <c r="CR80" i="3"/>
  <c r="CS80" i="3" s="1"/>
  <c r="AU78" i="3"/>
  <c r="AV78" i="3" s="1"/>
  <c r="E78" i="3"/>
  <c r="F78" i="3" s="1"/>
  <c r="Z80" i="3"/>
  <c r="AA80" i="3" s="1"/>
  <c r="AU81" i="3"/>
  <c r="AV81" i="3" s="1"/>
  <c r="BW78" i="3"/>
  <c r="BX78" i="3" s="1"/>
  <c r="CR81" i="3"/>
  <c r="CS81" i="3" s="1"/>
  <c r="S78" i="3"/>
  <c r="T78" i="3" s="1"/>
  <c r="AN80" i="3"/>
  <c r="AO80" i="3" s="1"/>
  <c r="BI81" i="3"/>
  <c r="BJ81" i="3" s="1"/>
  <c r="CK80" i="3"/>
  <c r="CL80" i="3" s="1"/>
  <c r="BP80" i="3"/>
  <c r="BQ80" i="3" s="1"/>
  <c r="S81" i="3"/>
  <c r="T81" i="3" s="1"/>
  <c r="CD80" i="3"/>
  <c r="CE80" i="3" s="1"/>
  <c r="AG80" i="3"/>
  <c r="AH80" i="3" s="1"/>
  <c r="C89" i="2"/>
  <c r="E89" i="2" s="1"/>
  <c r="CD81" i="3"/>
  <c r="CE81" i="3" s="1"/>
  <c r="BP78" i="3"/>
  <c r="BQ78" i="3" s="1"/>
  <c r="AU80" i="3"/>
  <c r="AV80" i="3" s="1"/>
  <c r="Z81" i="3"/>
  <c r="AA81" i="3" s="1"/>
  <c r="L78" i="3"/>
  <c r="M78" i="3" s="1"/>
  <c r="CC75" i="3"/>
  <c r="CE75" i="3" s="1"/>
  <c r="AT75" i="3"/>
  <c r="AF75" i="3"/>
  <c r="AH75" i="3" s="1"/>
  <c r="I46" i="3"/>
  <c r="AK46" i="3"/>
  <c r="BM46" i="3"/>
  <c r="CO46" i="3"/>
  <c r="P46" i="3"/>
  <c r="AR46" i="3"/>
  <c r="BT46" i="3"/>
  <c r="D59" i="2"/>
  <c r="D107" i="2" s="1"/>
  <c r="E107" i="2" s="1"/>
  <c r="K61" i="4"/>
  <c r="E110" i="2"/>
  <c r="BC76" i="3"/>
  <c r="BX82" i="3"/>
  <c r="C90" i="1"/>
  <c r="C82" i="22752"/>
  <c r="F82" i="22752" s="1"/>
  <c r="F88" i="4"/>
  <c r="F53" i="4"/>
  <c r="M53" i="3"/>
  <c r="CZ53" i="3"/>
  <c r="CS53" i="3"/>
  <c r="CE53" i="3"/>
  <c r="BQ53" i="3"/>
  <c r="BC53" i="3"/>
  <c r="AO53" i="3"/>
  <c r="D58" i="4"/>
  <c r="AM55" i="3"/>
  <c r="AT55" i="3"/>
  <c r="BA55" i="3"/>
  <c r="BH55" i="3"/>
  <c r="BO55" i="3"/>
  <c r="BV55" i="3"/>
  <c r="CC55" i="3"/>
  <c r="CQ55" i="3"/>
  <c r="CX55" i="3"/>
  <c r="D55" i="3"/>
  <c r="Y55" i="3"/>
  <c r="AF55" i="3"/>
  <c r="D203" i="1"/>
  <c r="AF74" i="3"/>
  <c r="AH74" i="3" s="1"/>
  <c r="AA19" i="3"/>
  <c r="N9" i="3"/>
  <c r="B90" i="1"/>
  <c r="D20" i="1"/>
  <c r="F90" i="1"/>
  <c r="I36" i="22714"/>
  <c r="CS86" i="3"/>
  <c r="CL86" i="3"/>
  <c r="CX10" i="3"/>
  <c r="CW10" i="3" s="1"/>
  <c r="D66" i="22752"/>
  <c r="E66" i="22752" s="1"/>
  <c r="E67" i="3"/>
  <c r="F67" i="3" s="1"/>
  <c r="E71" i="4"/>
  <c r="F71" i="4" s="1"/>
  <c r="CL81" i="3"/>
  <c r="D67" i="22752"/>
  <c r="E67" i="22752" s="1"/>
  <c r="D54" i="2"/>
  <c r="D55" i="2"/>
  <c r="E55" i="2" s="1"/>
  <c r="D40" i="22752"/>
  <c r="E40" i="22752" s="1"/>
  <c r="D38" i="22752"/>
  <c r="E38" i="22752" s="1"/>
  <c r="E70" i="4"/>
  <c r="E66" i="3"/>
  <c r="D90" i="1"/>
  <c r="I47" i="3"/>
  <c r="W47" i="3"/>
  <c r="AK47" i="3"/>
  <c r="AY47" i="3"/>
  <c r="BM47" i="3"/>
  <c r="CA47" i="3"/>
  <c r="CO47" i="3"/>
  <c r="CZ86" i="3"/>
  <c r="BC86" i="3"/>
  <c r="C53" i="1"/>
  <c r="S10" i="3" s="1"/>
  <c r="H89" i="1"/>
  <c r="C85" i="3" s="1"/>
  <c r="E62" i="3" s="1"/>
  <c r="D89" i="1"/>
  <c r="E8" i="2"/>
  <c r="F60" i="3"/>
  <c r="BJ78" i="3"/>
  <c r="D10" i="4"/>
  <c r="R45" i="3"/>
  <c r="CP23" i="3"/>
  <c r="CW23" i="3"/>
  <c r="BA10" i="3"/>
  <c r="AZ10" i="3" s="1"/>
  <c r="T76" i="3"/>
  <c r="AO82" i="3"/>
  <c r="E131" i="2"/>
  <c r="E132" i="2" s="1"/>
  <c r="E39" i="4"/>
  <c r="F39" i="4" s="1"/>
  <c r="AT10" i="3"/>
  <c r="AS10" i="3" s="1"/>
  <c r="E52" i="2"/>
  <c r="CQ75" i="3"/>
  <c r="CS75" i="3" s="1"/>
  <c r="T21" i="3"/>
  <c r="D77" i="3"/>
  <c r="F77" i="3" s="1"/>
  <c r="F20" i="4"/>
  <c r="BJ86" i="3"/>
  <c r="AV86" i="3"/>
  <c r="M40" i="3"/>
  <c r="BA77" i="3"/>
  <c r="BC77" i="3" s="1"/>
  <c r="D69" i="1"/>
  <c r="BC41" i="3"/>
  <c r="CL82" i="3"/>
  <c r="I30" i="22714"/>
  <c r="E126" i="2"/>
  <c r="E127" i="22745"/>
  <c r="AH82" i="3"/>
  <c r="I24" i="22714"/>
  <c r="E63" i="3"/>
  <c r="F63" i="3" s="1"/>
  <c r="K45" i="3"/>
  <c r="CB23" i="3"/>
  <c r="CC9" i="3"/>
  <c r="BU23" i="3"/>
  <c r="BX76" i="3"/>
  <c r="CS82" i="3"/>
  <c r="AH76" i="3"/>
  <c r="CQ10" i="3"/>
  <c r="CC10" i="3"/>
  <c r="CB10" i="3" s="1"/>
  <c r="T86" i="3"/>
  <c r="R77" i="3"/>
  <c r="B57" i="1"/>
  <c r="C84" i="22752" s="1"/>
  <c r="F84" i="22752" s="1"/>
  <c r="Y45" i="3"/>
  <c r="CE86" i="3"/>
  <c r="BX86" i="3"/>
  <c r="BQ86" i="3"/>
  <c r="CZ45" i="3"/>
  <c r="E88" i="2"/>
  <c r="K67" i="4"/>
  <c r="BH77" i="3"/>
  <c r="CX77" i="3"/>
  <c r="I31" i="22714"/>
  <c r="AA22" i="3"/>
  <c r="Z9" i="3"/>
  <c r="L41" i="3"/>
  <c r="M41" i="3" s="1"/>
  <c r="Z41" i="3"/>
  <c r="AA41" i="3" s="1"/>
  <c r="AG41" i="3"/>
  <c r="AH41" i="3" s="1"/>
  <c r="BW41" i="3"/>
  <c r="BX41" i="3" s="1"/>
  <c r="BI41" i="3"/>
  <c r="BJ41" i="3" s="1"/>
  <c r="AU41" i="3"/>
  <c r="AV41" i="3" s="1"/>
  <c r="R10" i="3"/>
  <c r="Q10" i="3" s="1"/>
  <c r="D68" i="1"/>
  <c r="BN23" i="3"/>
  <c r="BQ45" i="3"/>
  <c r="BX45" i="3"/>
  <c r="CS45" i="3"/>
  <c r="I27" i="22714"/>
  <c r="M86" i="3"/>
  <c r="K74" i="3"/>
  <c r="M74" i="3" s="1"/>
  <c r="F22" i="3"/>
  <c r="F19" i="3"/>
  <c r="E101" i="2"/>
  <c r="E99" i="2"/>
  <c r="E98" i="2"/>
  <c r="E92" i="2"/>
  <c r="E90" i="2"/>
  <c r="AT77" i="3"/>
  <c r="AV77" i="3" s="1"/>
  <c r="CC77" i="3"/>
  <c r="E59" i="3"/>
  <c r="F59" i="3" s="1"/>
  <c r="E41" i="22752"/>
  <c r="AF77" i="3"/>
  <c r="E65" i="4"/>
  <c r="BV77" i="3"/>
  <c r="CJ77" i="3"/>
  <c r="Y77" i="3"/>
  <c r="AA77" i="3" s="1"/>
  <c r="F58" i="3"/>
  <c r="E66" i="2"/>
  <c r="K77" i="3"/>
  <c r="M77" i="3" s="1"/>
  <c r="CL78" i="3"/>
  <c r="AH78" i="3"/>
  <c r="CZ78" i="3"/>
  <c r="CD85" i="3"/>
  <c r="CR85" i="3"/>
  <c r="CY85" i="3"/>
  <c r="D69" i="2"/>
  <c r="E69" i="2" s="1"/>
  <c r="D71" i="2"/>
  <c r="E71" i="2" s="1"/>
  <c r="D73" i="2"/>
  <c r="E73" i="2" s="1"/>
  <c r="D78" i="2"/>
  <c r="E78" i="2" s="1"/>
  <c r="D67" i="2"/>
  <c r="D74" i="2"/>
  <c r="E74" i="2" s="1"/>
  <c r="S85" i="3"/>
  <c r="D70" i="2"/>
  <c r="E70" i="2" s="1"/>
  <c r="D75" i="2"/>
  <c r="E75" i="2" s="1"/>
  <c r="D77" i="2"/>
  <c r="E77" i="2" s="1"/>
  <c r="L85" i="3"/>
  <c r="E81" i="4"/>
  <c r="E83" i="4"/>
  <c r="D147" i="22745"/>
  <c r="E147" i="22745" s="1"/>
  <c r="F52" i="22751"/>
  <c r="H52" i="22751" s="1"/>
  <c r="D241" i="1"/>
  <c r="F241" i="1" s="1"/>
  <c r="F54" i="22751"/>
  <c r="H54" i="22751" s="1"/>
  <c r="F110" i="22751"/>
  <c r="H110" i="22751" s="1"/>
  <c r="D53" i="22752"/>
  <c r="E53" i="22752" s="1"/>
  <c r="E56" i="22752" s="1"/>
  <c r="E72" i="22752" s="1"/>
  <c r="CY82" i="3"/>
  <c r="CZ82" i="3" s="1"/>
  <c r="CY77" i="3"/>
  <c r="CR83" i="3"/>
  <c r="CR76" i="3"/>
  <c r="CS76" i="3" s="1"/>
  <c r="CR74" i="3"/>
  <c r="CK77" i="3"/>
  <c r="CD83" i="3"/>
  <c r="CD76" i="3"/>
  <c r="CE76" i="3" s="1"/>
  <c r="CD74" i="3"/>
  <c r="BW77" i="3"/>
  <c r="BP83" i="3"/>
  <c r="BP76" i="3"/>
  <c r="BQ76" i="3" s="1"/>
  <c r="BP74" i="3"/>
  <c r="BI77" i="3"/>
  <c r="BJ77" i="3" s="1"/>
  <c r="BB83" i="3"/>
  <c r="AU82" i="3"/>
  <c r="AV82" i="3" s="1"/>
  <c r="AU75" i="3"/>
  <c r="AN76" i="3"/>
  <c r="AO76" i="3" s="1"/>
  <c r="AN74" i="3"/>
  <c r="AG77" i="3"/>
  <c r="Z83" i="3"/>
  <c r="Z76" i="3"/>
  <c r="AA76" i="3" s="1"/>
  <c r="Z74" i="3"/>
  <c r="S77" i="3"/>
  <c r="S75" i="3"/>
  <c r="L76" i="3"/>
  <c r="M76" i="3" s="1"/>
  <c r="E82" i="3"/>
  <c r="F82" i="3" s="1"/>
  <c r="D111" i="22745"/>
  <c r="E111" i="22745" s="1"/>
  <c r="CY74" i="3"/>
  <c r="CK76" i="3"/>
  <c r="CL76" i="3" s="1"/>
  <c r="CD82" i="3"/>
  <c r="CE82" i="3" s="1"/>
  <c r="CD77" i="3"/>
  <c r="BW74" i="3"/>
  <c r="BI76" i="3"/>
  <c r="BJ76" i="3" s="1"/>
  <c r="BB82" i="3"/>
  <c r="BC82" i="3" s="1"/>
  <c r="AU83" i="3"/>
  <c r="AN75" i="3"/>
  <c r="Z82" i="3"/>
  <c r="S83" i="3"/>
  <c r="T83" i="3" s="1"/>
  <c r="L75" i="3"/>
  <c r="CY76" i="3"/>
  <c r="CZ76" i="3" s="1"/>
  <c r="BP82" i="3"/>
  <c r="BQ82" i="3" s="1"/>
  <c r="BI83" i="3"/>
  <c r="BI74" i="3"/>
  <c r="AU76" i="3"/>
  <c r="AV76" i="3" s="1"/>
  <c r="AN77" i="3"/>
  <c r="E83" i="3"/>
  <c r="AO86" i="3"/>
  <c r="F240" i="1"/>
  <c r="AA86" i="3"/>
  <c r="X85" i="3"/>
  <c r="Z62" i="3" s="1"/>
  <c r="B18" i="22715"/>
  <c r="C18" i="22715" s="1"/>
  <c r="J85" i="3"/>
  <c r="L62" i="3" s="1"/>
  <c r="CP85" i="3"/>
  <c r="CR62" i="3" s="1"/>
  <c r="C91" i="4"/>
  <c r="E66" i="4" s="1"/>
  <c r="AL85" i="3"/>
  <c r="AN62" i="3" s="1"/>
  <c r="Q85" i="3"/>
  <c r="S62" i="3" s="1"/>
  <c r="AZ85" i="3"/>
  <c r="BB62" i="3" s="1"/>
  <c r="AF9" i="3"/>
  <c r="CQ11" i="3"/>
  <c r="CS44" i="3" s="1"/>
  <c r="CJ11" i="3"/>
  <c r="CL11" i="3" s="1"/>
  <c r="BO11" i="3"/>
  <c r="BQ44" i="3" s="1"/>
  <c r="BH11" i="3"/>
  <c r="BJ11" i="3" s="1"/>
  <c r="Y11" i="3"/>
  <c r="AA44" i="3" s="1"/>
  <c r="H33" i="22714"/>
  <c r="I33" i="22714" s="1"/>
  <c r="AA45" i="3"/>
  <c r="BV10" i="3"/>
  <c r="BU10" i="3" s="1"/>
  <c r="BH10" i="3"/>
  <c r="BG10" i="3" s="1"/>
  <c r="AM10" i="3"/>
  <c r="AL10" i="3" s="1"/>
  <c r="AF10" i="3"/>
  <c r="CE45" i="3"/>
  <c r="CJ9" i="3"/>
  <c r="BH9" i="3"/>
  <c r="AM9" i="3"/>
  <c r="BA11" i="3"/>
  <c r="AZ11" i="3" s="1"/>
  <c r="G89" i="1"/>
  <c r="F46" i="4" s="1"/>
  <c r="G90" i="1"/>
  <c r="CE44" i="3"/>
  <c r="CB11" i="3"/>
  <c r="CE11" i="3"/>
  <c r="AO44" i="3"/>
  <c r="AL11" i="3"/>
  <c r="AO11" i="3"/>
  <c r="AF11" i="3"/>
  <c r="AH11" i="3" s="1"/>
  <c r="B12" i="22715"/>
  <c r="C12" i="22715" s="1"/>
  <c r="AO48" i="3"/>
  <c r="CE48" i="3"/>
  <c r="BX11" i="3"/>
  <c r="BU11" i="3"/>
  <c r="BX44" i="3"/>
  <c r="BO10" i="3"/>
  <c r="CJ10" i="3"/>
  <c r="CI10" i="3" s="1"/>
  <c r="K10" i="3"/>
  <c r="CX9" i="3"/>
  <c r="BK13" i="3"/>
  <c r="R9" i="3"/>
  <c r="R62" i="3" s="1"/>
  <c r="Q68" i="3" s="1"/>
  <c r="B89" i="1"/>
  <c r="BD9" i="3"/>
  <c r="BV9" i="3"/>
  <c r="AF45" i="3"/>
  <c r="AM44" i="3"/>
  <c r="BX48" i="3"/>
  <c r="AL23" i="3"/>
  <c r="AL59" i="3" s="1"/>
  <c r="BG23" i="3"/>
  <c r="BG59" i="3" s="1"/>
  <c r="H23" i="22714"/>
  <c r="I23" i="22714" s="1"/>
  <c r="D9" i="3"/>
  <c r="AZ23" i="3"/>
  <c r="AZ59" i="3" s="1"/>
  <c r="AS23" i="3"/>
  <c r="AS59" i="3" s="1"/>
  <c r="D66" i="22751"/>
  <c r="H66" i="22751" s="1"/>
  <c r="D64" i="22751"/>
  <c r="C34" i="22715"/>
  <c r="B40" i="3"/>
  <c r="F40" i="3" s="1"/>
  <c r="CQ77" i="3"/>
  <c r="CS77" i="3" s="1"/>
  <c r="AM77" i="3"/>
  <c r="BO77" i="3"/>
  <c r="BQ77" i="3" s="1"/>
  <c r="BJ82" i="3"/>
  <c r="CI23" i="3"/>
  <c r="CI59" i="3" s="1"/>
  <c r="E41" i="3"/>
  <c r="F41" i="3" s="1"/>
  <c r="S41" i="3"/>
  <c r="T41" i="3" s="1"/>
  <c r="CY41" i="3"/>
  <c r="CZ41" i="3" s="1"/>
  <c r="CR41" i="3"/>
  <c r="CS41" i="3" s="1"/>
  <c r="CK41" i="3"/>
  <c r="CL41" i="3" s="1"/>
  <c r="CD41" i="3"/>
  <c r="CE41" i="3" s="1"/>
  <c r="E91" i="2"/>
  <c r="D83" i="4"/>
  <c r="C54" i="1"/>
  <c r="C83" i="22752"/>
  <c r="D56" i="22744"/>
  <c r="AN11" i="22746" s="1"/>
  <c r="H83" i="22744"/>
  <c r="H81" i="22744"/>
  <c r="AT82" i="22746"/>
  <c r="F101" i="22750"/>
  <c r="H101" i="22750" s="1"/>
  <c r="E143" i="22745" s="1"/>
  <c r="AZ80" i="22746"/>
  <c r="X80" i="22746"/>
  <c r="Q79" i="22746"/>
  <c r="B78" i="22744"/>
  <c r="AI9" i="22746" s="1"/>
  <c r="BV82" i="22746"/>
  <c r="D82" i="22746"/>
  <c r="C85" i="22747"/>
  <c r="E70" i="22749"/>
  <c r="D93" i="22749"/>
  <c r="E34" i="22745"/>
  <c r="E32" i="22745"/>
  <c r="E18" i="22745"/>
  <c r="E44" i="22745"/>
  <c r="E43" i="22745"/>
  <c r="D69" i="22715"/>
  <c r="C69" i="22715" s="1"/>
  <c r="C35" i="22744"/>
  <c r="D12" i="22747"/>
  <c r="BB85" i="22746"/>
  <c r="BC85" i="22746" s="1"/>
  <c r="CY78" i="22746"/>
  <c r="CZ78" i="22746" s="1"/>
  <c r="CR78" i="22746"/>
  <c r="CS78" i="22746" s="1"/>
  <c r="CK78" i="22746"/>
  <c r="CL78" i="22746" s="1"/>
  <c r="CD78" i="22746"/>
  <c r="CE78" i="22746" s="1"/>
  <c r="BW78" i="22746"/>
  <c r="BX78" i="22746" s="1"/>
  <c r="BP78" i="22746"/>
  <c r="BQ78" i="22746" s="1"/>
  <c r="BI78" i="22746"/>
  <c r="BJ78" i="22746" s="1"/>
  <c r="BB78" i="22746"/>
  <c r="BC78" i="22746" s="1"/>
  <c r="AU78" i="22746"/>
  <c r="AV78" i="22746" s="1"/>
  <c r="AN78" i="22746"/>
  <c r="AO78" i="22746" s="1"/>
  <c r="AG78" i="22746"/>
  <c r="AH78" i="22746" s="1"/>
  <c r="Z78" i="22746"/>
  <c r="AA78" i="22746" s="1"/>
  <c r="S78" i="22746"/>
  <c r="T78" i="22746" s="1"/>
  <c r="L78" i="22746"/>
  <c r="M78" i="22746" s="1"/>
  <c r="E84" i="22747"/>
  <c r="F84" i="22747" s="1"/>
  <c r="C36" i="22744"/>
  <c r="F57" i="22744"/>
  <c r="AT13" i="22746" s="1"/>
  <c r="AT12" i="22746" s="1"/>
  <c r="F51" i="22744"/>
  <c r="F52" i="22744"/>
  <c r="K13" i="22746" s="1"/>
  <c r="K12" i="22746" s="1"/>
  <c r="I6" i="22746"/>
  <c r="C9" i="22749"/>
  <c r="C12" i="22749"/>
  <c r="F18" i="22747"/>
  <c r="Q22" i="22746"/>
  <c r="F63" i="22744"/>
  <c r="CJ13" i="22746" s="1"/>
  <c r="B11" i="3"/>
  <c r="W11" i="3"/>
  <c r="CO11" i="3"/>
  <c r="CA11" i="3"/>
  <c r="BM11" i="3"/>
  <c r="AY11" i="3"/>
  <c r="AK11" i="3"/>
  <c r="P9" i="3"/>
  <c r="CV9" i="3"/>
  <c r="CH9" i="3"/>
  <c r="BT9" i="3"/>
  <c r="BF9" i="3"/>
  <c r="AR9" i="3"/>
  <c r="AD9" i="3"/>
  <c r="B9" i="3"/>
  <c r="B9" i="4"/>
  <c r="D64" i="22744"/>
  <c r="CR11" i="22746" s="1"/>
  <c r="H226" i="22715"/>
  <c r="Q40" i="22746"/>
  <c r="E112" i="22745"/>
  <c r="CB79" i="22746"/>
  <c r="CB80" i="22746"/>
  <c r="J80" i="22746"/>
  <c r="C83" i="22744"/>
  <c r="BR10" i="22746" s="1"/>
  <c r="H80" i="22744"/>
  <c r="AD6" i="22746"/>
  <c r="CW38" i="22746"/>
  <c r="AH52" i="22746"/>
  <c r="F53" i="22747"/>
  <c r="F52" i="22746"/>
  <c r="P45" i="22746"/>
  <c r="AR45" i="22746"/>
  <c r="BT45" i="22746"/>
  <c r="I46" i="22746"/>
  <c r="W46" i="22746"/>
  <c r="AK46" i="22746"/>
  <c r="AY46" i="22746"/>
  <c r="BM46" i="22746"/>
  <c r="CA46" i="22746"/>
  <c r="CO46" i="22746"/>
  <c r="AV52" i="22746"/>
  <c r="BJ52" i="22746"/>
  <c r="BX52" i="22746"/>
  <c r="CL52" i="22746"/>
  <c r="CZ52" i="22746"/>
  <c r="BG79" i="22746"/>
  <c r="I39" i="22746"/>
  <c r="CJ82" i="22746"/>
  <c r="BH82" i="22746"/>
  <c r="D88" i="22747"/>
  <c r="D60" i="22744"/>
  <c r="BP11" i="22746" s="1"/>
  <c r="D66" i="22749"/>
  <c r="E66" i="22749" s="1"/>
  <c r="D18" i="22744"/>
  <c r="D65" i="22749"/>
  <c r="E65" i="22749" s="1"/>
  <c r="AZ79" i="22746"/>
  <c r="AE80" i="22746"/>
  <c r="C80" i="22746"/>
  <c r="L85" i="22746"/>
  <c r="M85" i="22746" s="1"/>
  <c r="CX82" i="22746"/>
  <c r="CC82" i="22746"/>
  <c r="BO82" i="22746"/>
  <c r="BA82" i="22746"/>
  <c r="AM82" i="22746"/>
  <c r="R82" i="22746"/>
  <c r="AL80" i="22746"/>
  <c r="BN80" i="22746"/>
  <c r="CP80" i="22746"/>
  <c r="X79" i="22746"/>
  <c r="H82" i="22744"/>
  <c r="H75" i="22744"/>
  <c r="C86" i="22744"/>
  <c r="CM10" i="22746" s="1"/>
  <c r="C84" i="22744"/>
  <c r="BY10" i="22746" s="1"/>
  <c r="E242" i="22744"/>
  <c r="BT6" i="22746"/>
  <c r="BM39" i="22746"/>
  <c r="D62" i="22744"/>
  <c r="CD11" i="22746" s="1"/>
  <c r="D58" i="22744"/>
  <c r="BB11" i="22746" s="1"/>
  <c r="AF82" i="22746"/>
  <c r="Y82" i="22746"/>
  <c r="D53" i="22744"/>
  <c r="S11" i="22746" s="1"/>
  <c r="K82" i="22746"/>
  <c r="E102" i="22745"/>
  <c r="C90" i="22745"/>
  <c r="E90" i="22745" s="1"/>
  <c r="BG22" i="22746"/>
  <c r="B9" i="22746"/>
  <c r="C62" i="22747"/>
  <c r="C89" i="22745"/>
  <c r="E89" i="22745" s="1"/>
  <c r="AK9" i="22746"/>
  <c r="BU40" i="22746"/>
  <c r="K67" i="22747"/>
  <c r="BU38" i="22746"/>
  <c r="CI38" i="22746"/>
  <c r="CI56" i="22746" s="1"/>
  <c r="G9" i="22746"/>
  <c r="B85" i="22744"/>
  <c r="CF9" i="22746" s="1"/>
  <c r="S40" i="22746"/>
  <c r="T40" i="22746" s="1"/>
  <c r="BM9" i="22746"/>
  <c r="C58" i="22745"/>
  <c r="C60" i="22745" s="1"/>
  <c r="AS40" i="22746"/>
  <c r="BV81" i="22746"/>
  <c r="B80" i="22744"/>
  <c r="AW9" i="22746" s="1"/>
  <c r="R81" i="22746"/>
  <c r="B76" i="22744"/>
  <c r="U9" i="22746" s="1"/>
  <c r="E88" i="22745"/>
  <c r="AM54" i="22746"/>
  <c r="AT54" i="22746"/>
  <c r="BA54" i="22746"/>
  <c r="BH54" i="22746"/>
  <c r="BO54" i="22746"/>
  <c r="BV54" i="22746"/>
  <c r="CX54" i="22746"/>
  <c r="D58" i="22747"/>
  <c r="K54" i="22746"/>
  <c r="AF54" i="22746"/>
  <c r="E10" i="22746"/>
  <c r="C52" i="22744"/>
  <c r="L10" i="22746" s="1"/>
  <c r="D128" i="22745"/>
  <c r="J40" i="22746"/>
  <c r="X40" i="22746"/>
  <c r="C39" i="22747"/>
  <c r="CP40" i="22746"/>
  <c r="CB40" i="22746"/>
  <c r="BN40" i="22746"/>
  <c r="AZ40" i="22746"/>
  <c r="AL40" i="22746"/>
  <c r="E88" i="22747"/>
  <c r="L40" i="22746"/>
  <c r="C40" i="22746"/>
  <c r="CW22" i="22746"/>
  <c r="C239" i="22744"/>
  <c r="C88" i="22747" s="1"/>
  <c r="D206" i="22744"/>
  <c r="D54" i="22746"/>
  <c r="CQ54" i="22746"/>
  <c r="CC54" i="22746"/>
  <c r="BG40" i="22746"/>
  <c r="CI40" i="22746"/>
  <c r="B44" i="22747"/>
  <c r="CO45" i="22746"/>
  <c r="CA45" i="22746"/>
  <c r="BM45" i="22746"/>
  <c r="AY45" i="22746"/>
  <c r="AK45" i="22746"/>
  <c r="W45" i="22746"/>
  <c r="I45" i="22746"/>
  <c r="AE40" i="22746"/>
  <c r="E11" i="22746"/>
  <c r="D54" i="22744"/>
  <c r="Z11" i="22746" s="1"/>
  <c r="D55" i="22744"/>
  <c r="AG11" i="22746" s="1"/>
  <c r="D57" i="22744"/>
  <c r="AU11" i="22746" s="1"/>
  <c r="D59" i="22744"/>
  <c r="BI11" i="22746" s="1"/>
  <c r="D61" i="22744"/>
  <c r="BW11" i="22746" s="1"/>
  <c r="D63" i="22744"/>
  <c r="CK11" i="22746" s="1"/>
  <c r="D65" i="22744"/>
  <c r="CY11" i="22746" s="1"/>
  <c r="B6" i="22746"/>
  <c r="AR6" i="22746"/>
  <c r="BF6" i="22746"/>
  <c r="CH6" i="22746"/>
  <c r="J57" i="22746"/>
  <c r="CI57" i="22746"/>
  <c r="BG57" i="22746"/>
  <c r="D20" i="22744"/>
  <c r="F20" i="22747"/>
  <c r="D82" i="22747"/>
  <c r="R76" i="22746"/>
  <c r="K76" i="22746"/>
  <c r="E103" i="22745"/>
  <c r="E101" i="22745"/>
  <c r="E100" i="22745"/>
  <c r="E92" i="22745"/>
  <c r="E91" i="22745"/>
  <c r="E94" i="22745"/>
  <c r="AS38" i="22746"/>
  <c r="B84" i="22744"/>
  <c r="BY9" i="22746" s="1"/>
  <c r="B75" i="22744"/>
  <c r="N9" i="22746" s="1"/>
  <c r="B87" i="22744"/>
  <c r="CT9" i="22746" s="1"/>
  <c r="AG85" i="22746"/>
  <c r="AH85" i="22746" s="1"/>
  <c r="S85" i="22746"/>
  <c r="T85" i="22746" s="1"/>
  <c r="P39" i="22746"/>
  <c r="AD9" i="22746"/>
  <c r="B73" i="22744"/>
  <c r="C106" i="22747" s="1"/>
  <c r="K81" i="22746"/>
  <c r="CQ89" i="22746"/>
  <c r="AK39" i="22746"/>
  <c r="E99" i="22745"/>
  <c r="C80" i="22745"/>
  <c r="C81" i="22745" s="1"/>
  <c r="F19" i="22746"/>
  <c r="AL38" i="22746"/>
  <c r="AL56" i="22746" s="1"/>
  <c r="BN38" i="22746"/>
  <c r="BN56" i="22746" s="1"/>
  <c r="CP38" i="22746"/>
  <c r="B3" i="22749"/>
  <c r="B3" i="22745"/>
  <c r="BO76" i="22746"/>
  <c r="AE22" i="22746"/>
  <c r="X22" i="22746"/>
  <c r="CX76" i="22746"/>
  <c r="C21" i="22747"/>
  <c r="C63" i="22747" s="1"/>
  <c r="J22" i="22746"/>
  <c r="CV39" i="22746"/>
  <c r="CH39" i="22746"/>
  <c r="BT39" i="22746"/>
  <c r="BF39" i="22746"/>
  <c r="AR39" i="22746"/>
  <c r="C107" i="22745"/>
  <c r="C108" i="22745" s="1"/>
  <c r="D76" i="22746"/>
  <c r="Y81" i="22746"/>
  <c r="AF81" i="22746"/>
  <c r="AM81" i="22746"/>
  <c r="BA81" i="22746"/>
  <c r="BO81" i="22746"/>
  <c r="CC81" i="22746"/>
  <c r="CQ81" i="22746"/>
  <c r="CX81" i="22746"/>
  <c r="D81" i="22746"/>
  <c r="D87" i="22747"/>
  <c r="F87" i="22747" s="1"/>
  <c r="E241" i="22744"/>
  <c r="B88" i="22744"/>
  <c r="DA9" i="22746" s="1"/>
  <c r="B79" i="22744"/>
  <c r="AP9" i="22746" s="1"/>
  <c r="E55" i="22747"/>
  <c r="F55" i="22747" s="1"/>
  <c r="B77" i="22744"/>
  <c r="AB9" i="22746" s="1"/>
  <c r="B82" i="22744"/>
  <c r="B81" i="22744"/>
  <c r="D80" i="22745"/>
  <c r="E92" i="22747"/>
  <c r="F92" i="22747" s="1"/>
  <c r="E85" i="22746"/>
  <c r="F85" i="22746" s="1"/>
  <c r="AD39" i="22746"/>
  <c r="W39" i="22746"/>
  <c r="B39" i="22746"/>
  <c r="BN22" i="22746"/>
  <c r="AZ22" i="22746"/>
  <c r="CJ81" i="22746"/>
  <c r="BH81" i="22746"/>
  <c r="AY39" i="22746"/>
  <c r="CA39" i="22746"/>
  <c r="Y76" i="22746"/>
  <c r="B86" i="22744"/>
  <c r="CM9" i="22746" s="1"/>
  <c r="C57" i="22746"/>
  <c r="CW57" i="22746"/>
  <c r="X57" i="22746"/>
  <c r="AE57" i="22746"/>
  <c r="CP57" i="22746"/>
  <c r="CB57" i="22746"/>
  <c r="BN57" i="22746"/>
  <c r="AZ57" i="22746"/>
  <c r="AL57" i="22746"/>
  <c r="C45" i="22715"/>
  <c r="BU22" i="22746"/>
  <c r="CB22" i="22746"/>
  <c r="J226" i="22715"/>
  <c r="K68" i="22747"/>
  <c r="C37" i="22747"/>
  <c r="X38" i="22746"/>
  <c r="X56" i="22746" s="1"/>
  <c r="AZ38" i="22746"/>
  <c r="AZ56" i="22746" s="1"/>
  <c r="CB38" i="22746"/>
  <c r="CB56" i="22746" s="1"/>
  <c r="CQ76" i="22746"/>
  <c r="CJ76" i="22746"/>
  <c r="AS22" i="22746"/>
  <c r="BA76" i="22746"/>
  <c r="BH76" i="22746"/>
  <c r="CC76" i="22746"/>
  <c r="AM76" i="22746"/>
  <c r="AL22" i="22746"/>
  <c r="CP22" i="22746"/>
  <c r="CI22" i="22746"/>
  <c r="AT76" i="22746"/>
  <c r="BV76" i="22746"/>
  <c r="AF76" i="22746"/>
  <c r="E93" i="22745"/>
  <c r="C22" i="22746"/>
  <c r="AE38" i="22746"/>
  <c r="AE56" i="22746" s="1"/>
  <c r="BG38" i="22746"/>
  <c r="BG56" i="22746" s="1"/>
  <c r="D10" i="22750"/>
  <c r="H10" i="22750" s="1"/>
  <c r="F43" i="22747"/>
  <c r="BT9" i="22746"/>
  <c r="I9" i="22746"/>
  <c r="B9" i="22747"/>
  <c r="CA9" i="22746"/>
  <c r="BF9" i="22746"/>
  <c r="CV9" i="22746"/>
  <c r="CO9" i="22746"/>
  <c r="AR9" i="22746"/>
  <c r="P9" i="22746"/>
  <c r="F54" i="22750"/>
  <c r="H54" i="22750" s="1"/>
  <c r="D132" i="22745"/>
  <c r="E132" i="22745" s="1"/>
  <c r="CR40" i="22746"/>
  <c r="CK40" i="22746"/>
  <c r="CD40" i="22746"/>
  <c r="BW40" i="22746"/>
  <c r="Z40" i="22746"/>
  <c r="C8" i="22745"/>
  <c r="E8" i="22745" s="1"/>
  <c r="B10" i="22744"/>
  <c r="B18" i="22748" s="1"/>
  <c r="B4" i="22747"/>
  <c r="P6" i="22746"/>
  <c r="AY6" i="22746"/>
  <c r="AK6" i="22746"/>
  <c r="W6" i="22746"/>
  <c r="BM6" i="22746"/>
  <c r="CA6" i="22746"/>
  <c r="CO6" i="22746"/>
  <c r="H76" i="22744"/>
  <c r="H77" i="22744"/>
  <c r="H85" i="22744"/>
  <c r="H86" i="22744"/>
  <c r="H88" i="22744"/>
  <c r="H84" i="22744"/>
  <c r="H79" i="22744"/>
  <c r="H87" i="22744"/>
  <c r="C85" i="22744"/>
  <c r="CF10" i="22746" s="1"/>
  <c r="C80" i="22744"/>
  <c r="AW10" i="22746" s="1"/>
  <c r="G10" i="22746"/>
  <c r="C78" i="22744"/>
  <c r="AI10" i="22746" s="1"/>
  <c r="C79" i="22744"/>
  <c r="AP10" i="22746" s="1"/>
  <c r="C87" i="22744"/>
  <c r="CT10" i="22746" s="1"/>
  <c r="C88" i="22744"/>
  <c r="DA10" i="22746" s="1"/>
  <c r="BU79" i="22746"/>
  <c r="AL79" i="22746"/>
  <c r="C86" i="22747"/>
  <c r="C79" i="22746"/>
  <c r="Q80" i="22746"/>
  <c r="AE79" i="22746"/>
  <c r="CW80" i="22746"/>
  <c r="CI80" i="22746"/>
  <c r="BU80" i="22746"/>
  <c r="BG80" i="22746"/>
  <c r="AS80" i="22746"/>
  <c r="J79" i="22746"/>
  <c r="BI85" i="22746"/>
  <c r="BJ85" i="22746" s="1"/>
  <c r="CY85" i="22746"/>
  <c r="CZ85" i="22746" s="1"/>
  <c r="AD10" i="3"/>
  <c r="AK10" i="3"/>
  <c r="AR10" i="3"/>
  <c r="AY10" i="3"/>
  <c r="BF10" i="3"/>
  <c r="BM10" i="3"/>
  <c r="BT10" i="3"/>
  <c r="CA10" i="3"/>
  <c r="CH10" i="3"/>
  <c r="CO10" i="3"/>
  <c r="CV10" i="3"/>
  <c r="W10" i="3"/>
  <c r="P10" i="3"/>
  <c r="I94" i="22715"/>
  <c r="F53" i="22744"/>
  <c r="F54" i="22744"/>
  <c r="F56" i="22744"/>
  <c r="F60" i="22744"/>
  <c r="F59" i="22744"/>
  <c r="F62" i="22744"/>
  <c r="F64" i="22744"/>
  <c r="F58" i="22744"/>
  <c r="F61" i="22744"/>
  <c r="F65" i="22744"/>
  <c r="B52" i="22744"/>
  <c r="E9" i="22746"/>
  <c r="K89" i="22746"/>
  <c r="AT89" i="22746"/>
  <c r="CC89" i="22746"/>
  <c r="CJ89" i="22746"/>
  <c r="CX89" i="22746"/>
  <c r="D89" i="22746"/>
  <c r="Y89" i="22746"/>
  <c r="AM89" i="22746"/>
  <c r="BV89" i="22746"/>
  <c r="BA89" i="22746"/>
  <c r="BH89" i="22746"/>
  <c r="D97" i="22747"/>
  <c r="BO89" i="22746"/>
  <c r="R89" i="22746"/>
  <c r="E80" i="22744"/>
  <c r="E77" i="22744"/>
  <c r="E85" i="22744"/>
  <c r="E86" i="22744"/>
  <c r="E78" i="22744"/>
  <c r="E81" i="22744"/>
  <c r="E88" i="22744"/>
  <c r="D84" i="22744"/>
  <c r="D76" i="22744"/>
  <c r="D79" i="22744"/>
  <c r="D87" i="22744"/>
  <c r="D88" i="22744"/>
  <c r="D82" i="22744"/>
  <c r="C50" i="22744"/>
  <c r="B10" i="4"/>
  <c r="I10" i="3"/>
  <c r="C73" i="1"/>
  <c r="D17" i="22714"/>
  <c r="B10" i="3"/>
  <c r="F55" i="22744"/>
  <c r="E76" i="22744"/>
  <c r="CH9" i="22746"/>
  <c r="AY9" i="22746"/>
  <c r="W9" i="22746"/>
  <c r="E39" i="22747"/>
  <c r="CY40" i="22746"/>
  <c r="CZ40" i="22746" s="1"/>
  <c r="BP40" i="22746"/>
  <c r="BI40" i="22746"/>
  <c r="BB40" i="22746"/>
  <c r="AU40" i="22746"/>
  <c r="AN40" i="22746"/>
  <c r="E40" i="22746"/>
  <c r="AG40" i="22746"/>
  <c r="C32" i="22715"/>
  <c r="B38" i="4"/>
  <c r="C82" i="22744"/>
  <c r="BK10" i="22746" s="1"/>
  <c r="C76" i="22744"/>
  <c r="U10" i="22746" s="1"/>
  <c r="C75" i="22744"/>
  <c r="CW79" i="22746"/>
  <c r="CI79" i="22746"/>
  <c r="BN79" i="22746"/>
  <c r="AS79" i="22746"/>
  <c r="Z85" i="22746"/>
  <c r="AA85" i="22746" s="1"/>
  <c r="AN85" i="22746"/>
  <c r="AO85" i="22746" s="1"/>
  <c r="AU85" i="22746"/>
  <c r="AV85" i="22746" s="1"/>
  <c r="BP85" i="22746"/>
  <c r="BQ85" i="22746" s="1"/>
  <c r="BW85" i="22746"/>
  <c r="BX85" i="22746" s="1"/>
  <c r="CD85" i="22746"/>
  <c r="CE85" i="22746" s="1"/>
  <c r="CK85" i="22746"/>
  <c r="CL85" i="22746" s="1"/>
  <c r="CR85" i="22746"/>
  <c r="CS85" i="22746" s="1"/>
  <c r="D50" i="22744"/>
  <c r="I11" i="3"/>
  <c r="E84" i="22744"/>
  <c r="E75" i="22744"/>
  <c r="E82" i="22744"/>
  <c r="E87" i="22744"/>
  <c r="E83" i="22744"/>
  <c r="E79" i="22744"/>
  <c r="G11" i="22746"/>
  <c r="D86" i="22744"/>
  <c r="D78" i="22744"/>
  <c r="D85" i="22744"/>
  <c r="D81" i="22744"/>
  <c r="D77" i="22744"/>
  <c r="D80" i="22744"/>
  <c r="D75" i="22744"/>
  <c r="G67" i="1"/>
  <c r="G66" i="1"/>
  <c r="G69" i="1"/>
  <c r="AS9" i="3"/>
  <c r="I26" i="22714"/>
  <c r="I28" i="22714"/>
  <c r="I34" i="22714"/>
  <c r="I35" i="22714"/>
  <c r="I32" i="22714"/>
  <c r="I29" i="22714"/>
  <c r="I25" i="22714"/>
  <c r="I37" i="22714"/>
  <c r="G68" i="1"/>
  <c r="D63" i="22750"/>
  <c r="H63" i="22750" s="1"/>
  <c r="D64" i="22750"/>
  <c r="H64" i="22750" s="1"/>
  <c r="D62" i="22750"/>
  <c r="D65" i="22750"/>
  <c r="H65" i="22750" s="1"/>
  <c r="D13" i="22750"/>
  <c r="H13" i="22750" s="1"/>
  <c r="E73" i="22749" l="1"/>
  <c r="E27" i="2"/>
  <c r="E47" i="2" s="1"/>
  <c r="E42" i="22752"/>
  <c r="H16" i="22750"/>
  <c r="H32" i="22750" s="1"/>
  <c r="E35" i="22745"/>
  <c r="E28" i="22745"/>
  <c r="E46" i="22745"/>
  <c r="CP68" i="3"/>
  <c r="B147" i="4"/>
  <c r="CZ48" i="3"/>
  <c r="CW11" i="3"/>
  <c r="B206" i="4"/>
  <c r="F21" i="4"/>
  <c r="C10" i="4"/>
  <c r="F10" i="4"/>
  <c r="T49" i="3"/>
  <c r="T50" i="3"/>
  <c r="CZ49" i="3"/>
  <c r="CZ50" i="3"/>
  <c r="AO49" i="3"/>
  <c r="AO50" i="3"/>
  <c r="CL49" i="3"/>
  <c r="CL50" i="3"/>
  <c r="CE49" i="3"/>
  <c r="CE50" i="3"/>
  <c r="AV49" i="3"/>
  <c r="AV50" i="3"/>
  <c r="AA49" i="3"/>
  <c r="AA50" i="3"/>
  <c r="BQ49" i="3"/>
  <c r="BQ50" i="3"/>
  <c r="F49" i="3"/>
  <c r="F50" i="3"/>
  <c r="BX49" i="3"/>
  <c r="BX50" i="3"/>
  <c r="BJ49" i="3"/>
  <c r="BJ50" i="3"/>
  <c r="AH49" i="3"/>
  <c r="AH50" i="3"/>
  <c r="CS49" i="3"/>
  <c r="CS50" i="3"/>
  <c r="BN59" i="3"/>
  <c r="CW59" i="3"/>
  <c r="J12" i="3"/>
  <c r="M12" i="3"/>
  <c r="CS12" i="3"/>
  <c r="CP12" i="3"/>
  <c r="E244" i="22744"/>
  <c r="BU59" i="3"/>
  <c r="CB59" i="3"/>
  <c r="CP59" i="3"/>
  <c r="K9" i="3"/>
  <c r="J9" i="3" s="1"/>
  <c r="N13" i="3"/>
  <c r="Q59" i="3"/>
  <c r="CQ62" i="3"/>
  <c r="X9" i="3"/>
  <c r="Y62" i="3"/>
  <c r="X68" i="3" s="1"/>
  <c r="AH9" i="3"/>
  <c r="AF62" i="3"/>
  <c r="AM62" i="3"/>
  <c r="AL68" i="3" s="1"/>
  <c r="AT62" i="3"/>
  <c r="BG9" i="3"/>
  <c r="BH62" i="3"/>
  <c r="BO62" i="3"/>
  <c r="BV62" i="3"/>
  <c r="CC62" i="3"/>
  <c r="CJ62" i="3"/>
  <c r="CJ65" i="3" s="1"/>
  <c r="CX62" i="3"/>
  <c r="M44" i="3"/>
  <c r="F44" i="3"/>
  <c r="H56" i="22751"/>
  <c r="C59" i="3"/>
  <c r="B29" i="22715"/>
  <c r="C29" i="22715" s="1"/>
  <c r="BW20" i="22746" s="1"/>
  <c r="BX20" i="22746" s="1"/>
  <c r="AA23" i="3"/>
  <c r="F23" i="3"/>
  <c r="M11" i="3"/>
  <c r="AS11" i="3"/>
  <c r="AS13" i="3" s="1"/>
  <c r="CS46" i="3"/>
  <c r="E149" i="2"/>
  <c r="E125" i="2"/>
  <c r="E126" i="22745"/>
  <c r="BN9" i="3"/>
  <c r="CP10" i="3"/>
  <c r="BJ48" i="3"/>
  <c r="AV48" i="3"/>
  <c r="CZ44" i="3"/>
  <c r="M48" i="3"/>
  <c r="CP9" i="3"/>
  <c r="AV11" i="3"/>
  <c r="AA9" i="3"/>
  <c r="M9" i="3"/>
  <c r="AA46" i="3"/>
  <c r="Y85" i="3"/>
  <c r="W87" i="3" s="1"/>
  <c r="E89" i="4"/>
  <c r="F89" i="4" s="1"/>
  <c r="CE46" i="3"/>
  <c r="T44" i="3"/>
  <c r="AA82" i="3"/>
  <c r="CE77" i="3"/>
  <c r="T77" i="3"/>
  <c r="AH77" i="3"/>
  <c r="AH84" i="3" s="1"/>
  <c r="E71" i="22752"/>
  <c r="K63" i="4"/>
  <c r="X10" i="3"/>
  <c r="BN11" i="3"/>
  <c r="E59" i="2"/>
  <c r="F83" i="4"/>
  <c r="B150" i="4" s="1"/>
  <c r="BJ23" i="3"/>
  <c r="AA47" i="3"/>
  <c r="CE23" i="3"/>
  <c r="AO23" i="3"/>
  <c r="T48" i="3"/>
  <c r="F48" i="3"/>
  <c r="Q11" i="3"/>
  <c r="AA83" i="3"/>
  <c r="BC83" i="3"/>
  <c r="BQ83" i="3"/>
  <c r="CE83" i="3"/>
  <c r="CS83" i="3"/>
  <c r="F243" i="1"/>
  <c r="CL23" i="3"/>
  <c r="AU9" i="3"/>
  <c r="AV9" i="3" s="1"/>
  <c r="BJ44" i="3"/>
  <c r="AE9" i="3"/>
  <c r="CI11" i="3"/>
  <c r="AV47" i="3"/>
  <c r="AV46" i="3"/>
  <c r="CS47" i="3"/>
  <c r="AH46" i="3"/>
  <c r="CB9" i="3"/>
  <c r="CB13" i="3" s="1"/>
  <c r="CQ85" i="3"/>
  <c r="CO87" i="3" s="1"/>
  <c r="AV83" i="3"/>
  <c r="BX77" i="3"/>
  <c r="CZ77" i="3"/>
  <c r="B181" i="4"/>
  <c r="E103" i="2"/>
  <c r="CS23" i="3"/>
  <c r="BX23" i="3"/>
  <c r="T23" i="3"/>
  <c r="B28" i="22715"/>
  <c r="C28" i="22715" s="1"/>
  <c r="D81" i="4"/>
  <c r="H217" i="22715"/>
  <c r="F81" i="4"/>
  <c r="B148" i="4" s="1"/>
  <c r="CZ23" i="3"/>
  <c r="BQ47" i="3"/>
  <c r="BQ46" i="3"/>
  <c r="C11" i="4"/>
  <c r="AL9" i="3"/>
  <c r="AL13" i="3" s="1"/>
  <c r="H16" i="22751"/>
  <c r="H33" i="22751" s="1"/>
  <c r="H47" i="22751" s="1"/>
  <c r="H50" i="22751" s="1"/>
  <c r="AH44" i="3"/>
  <c r="AA48" i="3"/>
  <c r="E67" i="2"/>
  <c r="E80" i="2" s="1"/>
  <c r="F83" i="3"/>
  <c r="BJ83" i="3"/>
  <c r="C155" i="2"/>
  <c r="C151" i="2" s="1"/>
  <c r="E68" i="22752"/>
  <c r="E73" i="22752" s="1"/>
  <c r="B58" i="1"/>
  <c r="T10" i="3"/>
  <c r="AV23" i="3"/>
  <c r="BQ23" i="3"/>
  <c r="CE47" i="3"/>
  <c r="F42" i="4"/>
  <c r="CS48" i="3"/>
  <c r="F11" i="3"/>
  <c r="CB85" i="3"/>
  <c r="CD62" i="3" s="1"/>
  <c r="CB68" i="3" s="1"/>
  <c r="AE85" i="3"/>
  <c r="AG62" i="3" s="1"/>
  <c r="AE68" i="3" s="1"/>
  <c r="BU85" i="3"/>
  <c r="BW62" i="3" s="1"/>
  <c r="BU68" i="3" s="1"/>
  <c r="CW85" i="3"/>
  <c r="CY62" i="3" s="1"/>
  <c r="BG85" i="3"/>
  <c r="BI62" i="3" s="1"/>
  <c r="BG68" i="3" s="1"/>
  <c r="CI85" i="3"/>
  <c r="CK62" i="3" s="1"/>
  <c r="CI68" i="3" s="1"/>
  <c r="AS85" i="3"/>
  <c r="AU62" i="3" s="1"/>
  <c r="AS68" i="3" s="1"/>
  <c r="BN85" i="3"/>
  <c r="BP62" i="3" s="1"/>
  <c r="L55" i="3"/>
  <c r="M55" i="3" s="1"/>
  <c r="AU55" i="3"/>
  <c r="AV55" i="3" s="1"/>
  <c r="Z55" i="3"/>
  <c r="AA55" i="3" s="1"/>
  <c r="BI55" i="3"/>
  <c r="BJ55" i="3" s="1"/>
  <c r="AN55" i="3"/>
  <c r="AO55" i="3" s="1"/>
  <c r="CR55" i="3"/>
  <c r="CS55" i="3" s="1"/>
  <c r="BB55" i="3"/>
  <c r="BC55" i="3" s="1"/>
  <c r="E55" i="3"/>
  <c r="F55" i="3" s="1"/>
  <c r="BW55" i="3"/>
  <c r="BX55" i="3" s="1"/>
  <c r="S55" i="3"/>
  <c r="T55" i="3" s="1"/>
  <c r="CD55" i="3"/>
  <c r="CE55" i="3" s="1"/>
  <c r="BP55" i="3"/>
  <c r="BQ55" i="3" s="1"/>
  <c r="AG55" i="3"/>
  <c r="AH55" i="3" s="1"/>
  <c r="CY55" i="3"/>
  <c r="CZ55" i="3" s="1"/>
  <c r="CK55" i="3"/>
  <c r="CL55" i="3" s="1"/>
  <c r="E58" i="4"/>
  <c r="F58" i="4" s="1"/>
  <c r="CL46" i="3"/>
  <c r="CL48" i="3"/>
  <c r="D106" i="2"/>
  <c r="E106" i="2" s="1"/>
  <c r="E108" i="2" s="1"/>
  <c r="E112" i="2" s="1"/>
  <c r="E54" i="2"/>
  <c r="E57" i="3"/>
  <c r="F57" i="3" s="1"/>
  <c r="T75" i="3"/>
  <c r="E64" i="3"/>
  <c r="F64" i="3" s="1"/>
  <c r="AA74" i="3"/>
  <c r="BC11" i="3"/>
  <c r="AM85" i="3"/>
  <c r="AO85" i="3" s="1"/>
  <c r="AO87" i="3" s="1"/>
  <c r="M46" i="3"/>
  <c r="BJ47" i="3"/>
  <c r="CL47" i="3"/>
  <c r="BQ48" i="3"/>
  <c r="AA11" i="3"/>
  <c r="T9" i="3"/>
  <c r="T13" i="3" s="1"/>
  <c r="S13" i="3" s="1"/>
  <c r="CI9" i="3"/>
  <c r="AE10" i="3"/>
  <c r="BC48" i="3"/>
  <c r="BQ11" i="3"/>
  <c r="CS11" i="3"/>
  <c r="B8" i="22715"/>
  <c r="C8" i="22715" s="1"/>
  <c r="E18" i="22714"/>
  <c r="AE11" i="3"/>
  <c r="AH47" i="3"/>
  <c r="X11" i="3"/>
  <c r="B44" i="22715"/>
  <c r="AO9" i="3"/>
  <c r="AO47" i="3"/>
  <c r="CP11" i="3"/>
  <c r="AH48" i="3"/>
  <c r="CL77" i="3"/>
  <c r="CZ46" i="3"/>
  <c r="BC44" i="3"/>
  <c r="AV75" i="3"/>
  <c r="BC23" i="3"/>
  <c r="C80" i="2"/>
  <c r="AO77" i="3"/>
  <c r="BJ46" i="3"/>
  <c r="BG11" i="3"/>
  <c r="CW9" i="3"/>
  <c r="CW13" i="3" s="1"/>
  <c r="CZ47" i="3"/>
  <c r="CL44" i="3"/>
  <c r="AO46" i="3"/>
  <c r="J10" i="3"/>
  <c r="M10" i="3"/>
  <c r="K85" i="3"/>
  <c r="I87" i="3" s="1"/>
  <c r="BN10" i="3"/>
  <c r="BA9" i="3"/>
  <c r="BD13" i="3"/>
  <c r="BX47" i="3"/>
  <c r="BU9" i="3"/>
  <c r="BU13" i="3" s="1"/>
  <c r="B10" i="22715"/>
  <c r="C10" i="22715" s="1"/>
  <c r="Q9" i="3"/>
  <c r="T46" i="3"/>
  <c r="T47" i="3"/>
  <c r="R85" i="3"/>
  <c r="BX46" i="3"/>
  <c r="D68" i="22751"/>
  <c r="H68" i="22751" s="1"/>
  <c r="H64" i="22751"/>
  <c r="BA74" i="3"/>
  <c r="AM75" i="3"/>
  <c r="AO75" i="3" s="1"/>
  <c r="D62" i="3"/>
  <c r="C68" i="3" s="1"/>
  <c r="C9" i="3"/>
  <c r="C13" i="3" s="1"/>
  <c r="D85" i="3"/>
  <c r="F47" i="3"/>
  <c r="F46" i="3"/>
  <c r="AT44" i="3"/>
  <c r="AM45" i="3"/>
  <c r="CJ74" i="3"/>
  <c r="AT74" i="3"/>
  <c r="F10" i="3"/>
  <c r="CX75" i="3"/>
  <c r="Y75" i="3"/>
  <c r="F9" i="3"/>
  <c r="BH74" i="3"/>
  <c r="AM74" i="3"/>
  <c r="E94" i="2"/>
  <c r="C55" i="1"/>
  <c r="Z10" i="3"/>
  <c r="AA10" i="3" s="1"/>
  <c r="F83" i="22752"/>
  <c r="C85" i="22752"/>
  <c r="BB9" i="3"/>
  <c r="B59" i="1"/>
  <c r="H29" i="22748"/>
  <c r="I29" i="22748" s="1"/>
  <c r="G57" i="22744"/>
  <c r="AV44" i="22746"/>
  <c r="AT10" i="22746"/>
  <c r="AS10" i="22746" s="1"/>
  <c r="E79" i="22747"/>
  <c r="F51" i="22750"/>
  <c r="H51" i="22750" s="1"/>
  <c r="F108" i="22750"/>
  <c r="H108" i="22750" s="1"/>
  <c r="F53" i="22750"/>
  <c r="H53" i="22750" s="1"/>
  <c r="F109" i="22750"/>
  <c r="H109" i="22750" s="1"/>
  <c r="D74" i="22746"/>
  <c r="AZ82" i="22746"/>
  <c r="G13" i="22746"/>
  <c r="C13" i="22745"/>
  <c r="E13" i="22745" s="1"/>
  <c r="E12" i="22749"/>
  <c r="D13" i="22746"/>
  <c r="D12" i="22746" s="1"/>
  <c r="F12" i="22746" s="1"/>
  <c r="G51" i="22744"/>
  <c r="C12" i="22747"/>
  <c r="F12" i="22747"/>
  <c r="H35" i="22748"/>
  <c r="I35" i="22748" s="1"/>
  <c r="CJ12" i="22746"/>
  <c r="C10" i="22745"/>
  <c r="E10" i="22745" s="1"/>
  <c r="E14" i="22745" s="1"/>
  <c r="E9" i="22749"/>
  <c r="M12" i="22746"/>
  <c r="J12" i="22746"/>
  <c r="AV12" i="22746"/>
  <c r="AS12" i="22746"/>
  <c r="CL44" i="22746"/>
  <c r="D73" i="22746"/>
  <c r="K73" i="22746"/>
  <c r="CJ9" i="22746"/>
  <c r="CL48" i="22746" s="1"/>
  <c r="C151" i="22745"/>
  <c r="CW82" i="22746"/>
  <c r="C53" i="22744"/>
  <c r="S10" i="22746" s="1"/>
  <c r="C246" i="22744"/>
  <c r="C152" i="22745" s="1"/>
  <c r="C153" i="22745" s="1"/>
  <c r="G63" i="22744"/>
  <c r="CJ10" i="22746"/>
  <c r="CI10" i="22746" s="1"/>
  <c r="CI58" i="22746"/>
  <c r="CJ73" i="22746" s="1"/>
  <c r="AS58" i="22746"/>
  <c r="AT73" i="22746" s="1"/>
  <c r="BU58" i="22746"/>
  <c r="BN58" i="22746"/>
  <c r="BO73" i="22746" s="1"/>
  <c r="AE58" i="22746"/>
  <c r="AF73" i="22746" s="1"/>
  <c r="CP56" i="22746"/>
  <c r="CW58" i="22746"/>
  <c r="CX73" i="22746" s="1"/>
  <c r="BU56" i="22746"/>
  <c r="BV74" i="22746" s="1"/>
  <c r="CP58" i="22746"/>
  <c r="CQ73" i="22746" s="1"/>
  <c r="AL58" i="22746"/>
  <c r="AM73" i="22746" s="1"/>
  <c r="CB58" i="22746"/>
  <c r="CC73" i="22746" s="1"/>
  <c r="AZ58" i="22746"/>
  <c r="BA73" i="22746" s="1"/>
  <c r="X58" i="22746"/>
  <c r="Y73" i="22746" s="1"/>
  <c r="AS56" i="22746"/>
  <c r="AT74" i="22746" s="1"/>
  <c r="BG58" i="22746"/>
  <c r="BH73" i="22746" s="1"/>
  <c r="D80" i="22747"/>
  <c r="K63" i="22747"/>
  <c r="F88" i="22747"/>
  <c r="R73" i="22746"/>
  <c r="CC74" i="22746"/>
  <c r="AH40" i="22746"/>
  <c r="AO40" i="22746"/>
  <c r="BQ40" i="22746"/>
  <c r="BX40" i="22746"/>
  <c r="BH74" i="22746"/>
  <c r="CE40" i="22746"/>
  <c r="J217" i="22715"/>
  <c r="AL81" i="22746"/>
  <c r="CW81" i="22746"/>
  <c r="C87" i="22747"/>
  <c r="AE81" i="22746"/>
  <c r="AV40" i="22746"/>
  <c r="D79" i="22747"/>
  <c r="R74" i="22746"/>
  <c r="BU82" i="22746"/>
  <c r="Q82" i="22746"/>
  <c r="CI81" i="22746"/>
  <c r="E104" i="22745"/>
  <c r="CL40" i="22746"/>
  <c r="BC40" i="22746"/>
  <c r="F39" i="22747"/>
  <c r="Y74" i="22746"/>
  <c r="C81" i="22746"/>
  <c r="X82" i="22746"/>
  <c r="CB82" i="22746"/>
  <c r="BN82" i="22746"/>
  <c r="AL82" i="22746"/>
  <c r="J82" i="22746"/>
  <c r="X81" i="22746"/>
  <c r="BU81" i="22746"/>
  <c r="CI82" i="22746"/>
  <c r="AA40" i="22746"/>
  <c r="D69" i="22744"/>
  <c r="E18" i="22748" s="1"/>
  <c r="CS40" i="22746"/>
  <c r="CJ74" i="22746"/>
  <c r="CX74" i="22746"/>
  <c r="F40" i="22746"/>
  <c r="BJ40" i="22746"/>
  <c r="D68" i="22744"/>
  <c r="E11" i="22747" s="1"/>
  <c r="E80" i="22745"/>
  <c r="E95" i="22745"/>
  <c r="E96" i="22745" s="1"/>
  <c r="E97" i="22745" s="1"/>
  <c r="K74" i="22746"/>
  <c r="AM74" i="22746"/>
  <c r="E54" i="22746"/>
  <c r="F54" i="22746" s="1"/>
  <c r="E58" i="22747"/>
  <c r="Z54" i="22746"/>
  <c r="AA54" i="22746" s="1"/>
  <c r="AN54" i="22746"/>
  <c r="AO54" i="22746" s="1"/>
  <c r="BP54" i="22746"/>
  <c r="BQ54" i="22746" s="1"/>
  <c r="CD54" i="22746"/>
  <c r="CE54" i="22746" s="1"/>
  <c r="AU54" i="22746"/>
  <c r="AV54" i="22746" s="1"/>
  <c r="CK54" i="22746"/>
  <c r="CL54" i="22746" s="1"/>
  <c r="L54" i="22746"/>
  <c r="M54" i="22746" s="1"/>
  <c r="S54" i="22746"/>
  <c r="T54" i="22746" s="1"/>
  <c r="AG54" i="22746"/>
  <c r="AH54" i="22746" s="1"/>
  <c r="BB54" i="22746"/>
  <c r="BC54" i="22746" s="1"/>
  <c r="BW54" i="22746"/>
  <c r="BX54" i="22746" s="1"/>
  <c r="CR54" i="22746"/>
  <c r="CS54" i="22746" s="1"/>
  <c r="BI54" i="22746"/>
  <c r="BJ54" i="22746" s="1"/>
  <c r="CY54" i="22746"/>
  <c r="CZ54" i="22746" s="1"/>
  <c r="CP81" i="22746"/>
  <c r="BN81" i="22746"/>
  <c r="AS81" i="22746"/>
  <c r="AS82" i="22746"/>
  <c r="Q81" i="22746"/>
  <c r="C82" i="22746"/>
  <c r="BG82" i="22746"/>
  <c r="CP82" i="22746"/>
  <c r="BG81" i="22746"/>
  <c r="CB81" i="22746"/>
  <c r="J81" i="22746"/>
  <c r="AZ81" i="22746"/>
  <c r="AE82" i="22746"/>
  <c r="F58" i="22747"/>
  <c r="BO74" i="22746"/>
  <c r="BK9" i="22746"/>
  <c r="BD9" i="22746"/>
  <c r="B90" i="22744"/>
  <c r="B89" i="22744"/>
  <c r="G9" i="22747" s="1"/>
  <c r="AF74" i="22746"/>
  <c r="BA74" i="22746"/>
  <c r="B155" i="22747"/>
  <c r="B206" i="22747"/>
  <c r="E89" i="22744"/>
  <c r="H89" i="22744"/>
  <c r="J84" i="22746" s="1"/>
  <c r="H90" i="22744"/>
  <c r="E90" i="22744"/>
  <c r="N10" i="22746"/>
  <c r="C90" i="22744"/>
  <c r="D68" i="22745"/>
  <c r="E68" i="22745" s="1"/>
  <c r="D71" i="22745"/>
  <c r="E71" i="22745" s="1"/>
  <c r="D75" i="22745"/>
  <c r="E75" i="22745" s="1"/>
  <c r="D77" i="22745"/>
  <c r="E77" i="22745" s="1"/>
  <c r="E83" i="22747"/>
  <c r="F83" i="22747" s="1"/>
  <c r="B151" i="22747" s="1"/>
  <c r="J114" i="22715" s="1"/>
  <c r="I114" i="22715" s="1"/>
  <c r="Z84" i="22746"/>
  <c r="BB84" i="22746"/>
  <c r="CD84" i="22746"/>
  <c r="CR84" i="22746"/>
  <c r="D72" i="22745"/>
  <c r="E72" i="22745" s="1"/>
  <c r="L84" i="22746"/>
  <c r="AG84" i="22746"/>
  <c r="D67" i="22745"/>
  <c r="E67" i="22745" s="1"/>
  <c r="D79" i="22745"/>
  <c r="E79" i="22745" s="1"/>
  <c r="E86" i="22747"/>
  <c r="F86" i="22747" s="1"/>
  <c r="B154" i="22747" s="1"/>
  <c r="BW84" i="22746"/>
  <c r="D69" i="22745"/>
  <c r="E69" i="22745" s="1"/>
  <c r="D76" i="22745"/>
  <c r="E76" i="22745" s="1"/>
  <c r="D74" i="22745"/>
  <c r="E74" i="22745" s="1"/>
  <c r="AU84" i="22746"/>
  <c r="CK84" i="22746"/>
  <c r="AN84" i="22746"/>
  <c r="S84" i="22746"/>
  <c r="BP84" i="22746"/>
  <c r="D73" i="22745"/>
  <c r="E73" i="22745" s="1"/>
  <c r="D70" i="22745"/>
  <c r="E70" i="22745" s="1"/>
  <c r="CY84" i="22746"/>
  <c r="D78" i="22745"/>
  <c r="E78" i="22745" s="1"/>
  <c r="E84" i="22746"/>
  <c r="BI84" i="22746"/>
  <c r="E85" i="22747"/>
  <c r="F85" i="22747" s="1"/>
  <c r="B153" i="22747" s="1"/>
  <c r="E91" i="22747"/>
  <c r="E79" i="22746"/>
  <c r="Z80" i="22746"/>
  <c r="AA80" i="22746" s="1"/>
  <c r="AN80" i="22746"/>
  <c r="AO80" i="22746" s="1"/>
  <c r="AN77" i="22746"/>
  <c r="AO77" i="22746" s="1"/>
  <c r="AU79" i="22746"/>
  <c r="AV79" i="22746" s="1"/>
  <c r="BB80" i="22746"/>
  <c r="BC80" i="22746" s="1"/>
  <c r="BB77" i="22746"/>
  <c r="BC77" i="22746" s="1"/>
  <c r="BI79" i="22746"/>
  <c r="BJ79" i="22746" s="1"/>
  <c r="BP80" i="22746"/>
  <c r="BQ80" i="22746" s="1"/>
  <c r="E77" i="22746"/>
  <c r="L79" i="22746"/>
  <c r="M79" i="22746" s="1"/>
  <c r="S80" i="22746"/>
  <c r="T80" i="22746" s="1"/>
  <c r="S77" i="22746"/>
  <c r="T77" i="22746" s="1"/>
  <c r="Z79" i="22746"/>
  <c r="AA79" i="22746" s="1"/>
  <c r="AG77" i="22746"/>
  <c r="AH77" i="22746" s="1"/>
  <c r="AN79" i="22746"/>
  <c r="AO79" i="22746" s="1"/>
  <c r="AU80" i="22746"/>
  <c r="AV80" i="22746" s="1"/>
  <c r="AU77" i="22746"/>
  <c r="AV77" i="22746" s="1"/>
  <c r="BB79" i="22746"/>
  <c r="BC79" i="22746" s="1"/>
  <c r="CK80" i="22746"/>
  <c r="CL80" i="22746" s="1"/>
  <c r="CK77" i="22746"/>
  <c r="CL77" i="22746" s="1"/>
  <c r="CY79" i="22746"/>
  <c r="CZ79" i="22746" s="1"/>
  <c r="CR79" i="22746"/>
  <c r="CS79" i="22746" s="1"/>
  <c r="CR77" i="22746"/>
  <c r="CS77" i="22746" s="1"/>
  <c r="L80" i="22746"/>
  <c r="M80" i="22746" s="1"/>
  <c r="S79" i="22746"/>
  <c r="T79" i="22746" s="1"/>
  <c r="AG79" i="22746"/>
  <c r="AH79" i="22746" s="1"/>
  <c r="BW79" i="22746"/>
  <c r="BX79" i="22746" s="1"/>
  <c r="CD77" i="22746"/>
  <c r="CE77" i="22746" s="1"/>
  <c r="CY80" i="22746"/>
  <c r="CZ80" i="22746" s="1"/>
  <c r="CR80" i="22746"/>
  <c r="CS80" i="22746" s="1"/>
  <c r="AG80" i="22746"/>
  <c r="AH80" i="22746" s="1"/>
  <c r="BI77" i="22746"/>
  <c r="BJ77" i="22746" s="1"/>
  <c r="BW80" i="22746"/>
  <c r="BX80" i="22746" s="1"/>
  <c r="CD79" i="22746"/>
  <c r="CE79" i="22746" s="1"/>
  <c r="L77" i="22746"/>
  <c r="M77" i="22746" s="1"/>
  <c r="CD80" i="22746"/>
  <c r="CE80" i="22746" s="1"/>
  <c r="CY77" i="22746"/>
  <c r="CZ77" i="22746" s="1"/>
  <c r="BI80" i="22746"/>
  <c r="BJ80" i="22746" s="1"/>
  <c r="BW77" i="22746"/>
  <c r="BX77" i="22746" s="1"/>
  <c r="Z77" i="22746"/>
  <c r="AA77" i="22746" s="1"/>
  <c r="BP77" i="22746"/>
  <c r="BQ77" i="22746" s="1"/>
  <c r="CK79" i="22746"/>
  <c r="CL79" i="22746" s="1"/>
  <c r="E80" i="22746"/>
  <c r="F80" i="22746" s="1"/>
  <c r="BP79" i="22746"/>
  <c r="BQ79" i="22746" s="1"/>
  <c r="B53" i="22744"/>
  <c r="C79" i="22749"/>
  <c r="K39" i="22746" s="1"/>
  <c r="M39" i="22746" s="1"/>
  <c r="L9" i="22746"/>
  <c r="G52" i="22744"/>
  <c r="F66" i="22744"/>
  <c r="F69" i="22744"/>
  <c r="C78" i="22749"/>
  <c r="D39" i="22746" s="1"/>
  <c r="F39" i="22746" s="1"/>
  <c r="F67" i="22744"/>
  <c r="G58" i="22744"/>
  <c r="BA13" i="22746"/>
  <c r="BA12" i="22746" s="1"/>
  <c r="G62" i="22744"/>
  <c r="CC13" i="22746"/>
  <c r="CC12" i="22746" s="1"/>
  <c r="BO13" i="22746"/>
  <c r="BO12" i="22746" s="1"/>
  <c r="G60" i="22744"/>
  <c r="G54" i="22744"/>
  <c r="Y13" i="22746"/>
  <c r="Y12" i="22746" s="1"/>
  <c r="CH11" i="22746"/>
  <c r="BF11" i="22746"/>
  <c r="AD11" i="22746"/>
  <c r="B11" i="22746"/>
  <c r="BT11" i="22746"/>
  <c r="P11" i="22746"/>
  <c r="E17" i="22748"/>
  <c r="CO11" i="22746"/>
  <c r="BM11" i="22746"/>
  <c r="AK11" i="22746"/>
  <c r="I11" i="22746"/>
  <c r="CV11" i="22746"/>
  <c r="B11" i="22747"/>
  <c r="AY11" i="22746"/>
  <c r="AR11" i="22746"/>
  <c r="D72" i="22744"/>
  <c r="W11" i="22746"/>
  <c r="CA11" i="22746"/>
  <c r="C89" i="22744"/>
  <c r="G10" i="22747" s="1"/>
  <c r="D10" i="22747" s="1"/>
  <c r="C10" i="22747" s="1"/>
  <c r="AF13" i="22746"/>
  <c r="G55" i="22744"/>
  <c r="CP84" i="22746"/>
  <c r="W10" i="22746"/>
  <c r="C73" i="22744"/>
  <c r="CV10" i="22746"/>
  <c r="BF10" i="22746"/>
  <c r="P10" i="22746"/>
  <c r="CH10" i="22746"/>
  <c r="CO10" i="22746"/>
  <c r="B10" i="22747"/>
  <c r="I10" i="22746"/>
  <c r="CA10" i="22746"/>
  <c r="BT10" i="22746"/>
  <c r="B10" i="22746"/>
  <c r="AD10" i="22746"/>
  <c r="BM10" i="22746"/>
  <c r="D17" i="22748"/>
  <c r="AY10" i="22746"/>
  <c r="AR10" i="22746"/>
  <c r="AK10" i="22746"/>
  <c r="CR75" i="22746"/>
  <c r="CS75" i="22746" s="1"/>
  <c r="CD82" i="22746"/>
  <c r="BP73" i="22746"/>
  <c r="BB81" i="22746"/>
  <c r="AU81" i="22746"/>
  <c r="AG76" i="22746"/>
  <c r="AH76" i="22746" s="1"/>
  <c r="BI73" i="22746"/>
  <c r="CK74" i="22746"/>
  <c r="CR74" i="22746"/>
  <c r="Z74" i="22746"/>
  <c r="BW75" i="22746"/>
  <c r="BX75" i="22746" s="1"/>
  <c r="CR81" i="22746"/>
  <c r="D146" i="22745"/>
  <c r="E146" i="22745" s="1"/>
  <c r="E149" i="22745" s="1"/>
  <c r="BI82" i="22746"/>
  <c r="BB82" i="22746"/>
  <c r="Z81" i="22746"/>
  <c r="E76" i="22746"/>
  <c r="F76" i="22746" s="1"/>
  <c r="L76" i="22746"/>
  <c r="M76" i="22746" s="1"/>
  <c r="AG73" i="22746"/>
  <c r="S75" i="22746"/>
  <c r="T75" i="22746" s="1"/>
  <c r="BP76" i="22746"/>
  <c r="BQ76" i="22746" s="1"/>
  <c r="CK82" i="22746"/>
  <c r="D64" i="22749"/>
  <c r="E64" i="22749" s="1"/>
  <c r="BB74" i="22746"/>
  <c r="CK81" i="22746"/>
  <c r="AN75" i="22746"/>
  <c r="AO75" i="22746" s="1"/>
  <c r="S81" i="22746"/>
  <c r="BB73" i="22746"/>
  <c r="CD81" i="22746"/>
  <c r="AG82" i="22746"/>
  <c r="CR82" i="22746"/>
  <c r="BI75" i="22746"/>
  <c r="BJ75" i="22746" s="1"/>
  <c r="D51" i="22749"/>
  <c r="E51" i="22749" s="1"/>
  <c r="D53" i="22749"/>
  <c r="E53" i="22749" s="1"/>
  <c r="D130" i="22745"/>
  <c r="E130" i="22745" s="1"/>
  <c r="E81" i="22747"/>
  <c r="F81" i="22747" s="1"/>
  <c r="B149" i="22747" s="1"/>
  <c r="J113" i="22715" s="1"/>
  <c r="I113" i="22715" s="1"/>
  <c r="L81" i="22746"/>
  <c r="CY75" i="22746"/>
  <c r="CZ75" i="22746" s="1"/>
  <c r="Z75" i="22746"/>
  <c r="AA75" i="22746" s="1"/>
  <c r="AG74" i="22746"/>
  <c r="L73" i="22746"/>
  <c r="BW73" i="22746"/>
  <c r="Z76" i="22746"/>
  <c r="AA76" i="22746" s="1"/>
  <c r="E75" i="22746"/>
  <c r="F75" i="22746" s="1"/>
  <c r="CD74" i="22746"/>
  <c r="CY76" i="22746"/>
  <c r="CZ76" i="22746" s="1"/>
  <c r="BI81" i="22746"/>
  <c r="BI76" i="22746"/>
  <c r="BJ76" i="22746" s="1"/>
  <c r="Z73" i="22746"/>
  <c r="BW82" i="22746"/>
  <c r="S73" i="22746"/>
  <c r="E82" i="22746"/>
  <c r="BI74" i="22746"/>
  <c r="CY81" i="22746"/>
  <c r="AG81" i="22746"/>
  <c r="E74" i="22746"/>
  <c r="BP74" i="22746"/>
  <c r="AN76" i="22746"/>
  <c r="AO76" i="22746" s="1"/>
  <c r="BW76" i="22746"/>
  <c r="BX76" i="22746" s="1"/>
  <c r="AN73" i="22746"/>
  <c r="AU74" i="22746"/>
  <c r="CD76" i="22746"/>
  <c r="CE76" i="22746" s="1"/>
  <c r="S82" i="22746"/>
  <c r="E73" i="22746"/>
  <c r="Z82" i="22746"/>
  <c r="AU73" i="22746"/>
  <c r="BW74" i="22746"/>
  <c r="CK73" i="22746"/>
  <c r="BP81" i="22746"/>
  <c r="AU76" i="22746"/>
  <c r="AV76" i="22746" s="1"/>
  <c r="S76" i="22746"/>
  <c r="T76" i="22746" s="1"/>
  <c r="CY82" i="22746"/>
  <c r="AN74" i="22746"/>
  <c r="L74" i="22746"/>
  <c r="AN81" i="22746"/>
  <c r="E80" i="22747"/>
  <c r="CD73" i="22746"/>
  <c r="AN82" i="22746"/>
  <c r="E81" i="22746"/>
  <c r="BB76" i="22746"/>
  <c r="BC76" i="22746" s="1"/>
  <c r="D54" i="22749"/>
  <c r="E54" i="22749" s="1"/>
  <c r="CD75" i="22746"/>
  <c r="CE75" i="22746" s="1"/>
  <c r="S74" i="22746"/>
  <c r="BW81" i="22746"/>
  <c r="L82" i="22746"/>
  <c r="CK75" i="22746"/>
  <c r="CL75" i="22746" s="1"/>
  <c r="AU82" i="22746"/>
  <c r="D63" i="22749"/>
  <c r="E63" i="22749" s="1"/>
  <c r="CR76" i="22746"/>
  <c r="CS76" i="22746" s="1"/>
  <c r="BB75" i="22746"/>
  <c r="BC75" i="22746" s="1"/>
  <c r="CR73" i="22746"/>
  <c r="CY73" i="22746"/>
  <c r="AG75" i="22746"/>
  <c r="AH75" i="22746" s="1"/>
  <c r="E82" i="22747"/>
  <c r="F82" i="22747" s="1"/>
  <c r="B150" i="22747" s="1"/>
  <c r="BP82" i="22746"/>
  <c r="BP75" i="22746"/>
  <c r="BQ75" i="22746" s="1"/>
  <c r="AU75" i="22746"/>
  <c r="AV75" i="22746" s="1"/>
  <c r="L75" i="22746"/>
  <c r="M75" i="22746" s="1"/>
  <c r="D131" i="22745"/>
  <c r="E131" i="22745" s="1"/>
  <c r="CK76" i="22746"/>
  <c r="CL76" i="22746" s="1"/>
  <c r="D52" i="22749"/>
  <c r="E52" i="22749" s="1"/>
  <c r="CY74" i="22746"/>
  <c r="CX13" i="22746"/>
  <c r="CX12" i="22746" s="1"/>
  <c r="G65" i="22744"/>
  <c r="BV13" i="22746"/>
  <c r="BV12" i="22746" s="1"/>
  <c r="G61" i="22744"/>
  <c r="CQ13" i="22746"/>
  <c r="CQ12" i="22746" s="1"/>
  <c r="G64" i="22744"/>
  <c r="BH13" i="22746"/>
  <c r="BH12" i="22746" s="1"/>
  <c r="G59" i="22744"/>
  <c r="AM13" i="22746"/>
  <c r="AM12" i="22746" s="1"/>
  <c r="G56" i="22744"/>
  <c r="R13" i="22746"/>
  <c r="R12" i="22746" s="1"/>
  <c r="G53" i="22744"/>
  <c r="G80" i="22744"/>
  <c r="AW11" i="22746" s="1"/>
  <c r="AT11" i="22746" s="1"/>
  <c r="G82" i="22744"/>
  <c r="BK11" i="22746" s="1"/>
  <c r="G87" i="22744"/>
  <c r="CT11" i="22746" s="1"/>
  <c r="CT13" i="22746" s="1"/>
  <c r="G83" i="22744"/>
  <c r="BR11" i="22746" s="1"/>
  <c r="BR13" i="22746" s="1"/>
  <c r="G88" i="22744"/>
  <c r="DA11" i="22746" s="1"/>
  <c r="DA13" i="22746" s="1"/>
  <c r="G76" i="22744"/>
  <c r="U11" i="22746" s="1"/>
  <c r="U13" i="22746" s="1"/>
  <c r="G81" i="22744"/>
  <c r="BD11" i="22746" s="1"/>
  <c r="G86" i="22744"/>
  <c r="CM11" i="22746" s="1"/>
  <c r="CM13" i="22746" s="1"/>
  <c r="G84" i="22744"/>
  <c r="BY11" i="22746" s="1"/>
  <c r="BY13" i="22746" s="1"/>
  <c r="G78" i="22744"/>
  <c r="AI11" i="22746" s="1"/>
  <c r="AI13" i="22746" s="1"/>
  <c r="G75" i="22744"/>
  <c r="N11" i="22746" s="1"/>
  <c r="G79" i="22744"/>
  <c r="AP11" i="22746" s="1"/>
  <c r="AP13" i="22746" s="1"/>
  <c r="G85" i="22744"/>
  <c r="CF11" i="22746" s="1"/>
  <c r="CF13" i="22746" s="1"/>
  <c r="G77" i="22744"/>
  <c r="D90" i="22744"/>
  <c r="D89" i="22744"/>
  <c r="AT9" i="22746"/>
  <c r="D66" i="22750"/>
  <c r="H66" i="22750" s="1"/>
  <c r="H62" i="22750"/>
  <c r="E48" i="22745" l="1"/>
  <c r="E121" i="22745"/>
  <c r="H55" i="22750"/>
  <c r="AH51" i="3"/>
  <c r="D66" i="3"/>
  <c r="CC65" i="3"/>
  <c r="BO65" i="3"/>
  <c r="BO66" i="3" s="1"/>
  <c r="BQ66" i="3" s="1"/>
  <c r="R65" i="3"/>
  <c r="BH65" i="3"/>
  <c r="BH66" i="3" s="1"/>
  <c r="BJ66" i="3" s="1"/>
  <c r="AT65" i="3"/>
  <c r="AE13" i="3"/>
  <c r="BN68" i="3"/>
  <c r="CW68" i="3"/>
  <c r="T54" i="3"/>
  <c r="U44" i="3"/>
  <c r="T51" i="3"/>
  <c r="M47" i="3"/>
  <c r="AF65" i="3"/>
  <c r="CQ65" i="3"/>
  <c r="BV65" i="3"/>
  <c r="CX65" i="3"/>
  <c r="CX66" i="3" s="1"/>
  <c r="CZ66" i="3" s="1"/>
  <c r="U50" i="3"/>
  <c r="Y65" i="3"/>
  <c r="Y66" i="3" s="1"/>
  <c r="AA66" i="3" s="1"/>
  <c r="AM65" i="3"/>
  <c r="AM66" i="3" s="1"/>
  <c r="AO66" i="3" s="1"/>
  <c r="F90" i="4"/>
  <c r="B180" i="4"/>
  <c r="B182" i="4" s="1"/>
  <c r="B192" i="4" s="1"/>
  <c r="H207" i="22715" s="1"/>
  <c r="BA62" i="3"/>
  <c r="BC49" i="3"/>
  <c r="BC50" i="3"/>
  <c r="F13" i="3"/>
  <c r="BG13" i="3"/>
  <c r="X13" i="3"/>
  <c r="J13" i="3"/>
  <c r="M50" i="3"/>
  <c r="M49" i="3"/>
  <c r="BO74" i="3"/>
  <c r="BQ74" i="3" s="1"/>
  <c r="BN13" i="3"/>
  <c r="M13" i="3"/>
  <c r="L13" i="3" s="1"/>
  <c r="CQ66" i="3"/>
  <c r="CS66" i="3" s="1"/>
  <c r="CP13" i="3"/>
  <c r="CI13" i="3"/>
  <c r="Q13" i="3"/>
  <c r="BV66" i="3"/>
  <c r="BX66" i="3" s="1"/>
  <c r="R74" i="3"/>
  <c r="T74" i="3" s="1"/>
  <c r="CQ74" i="3"/>
  <c r="CS74" i="3" s="1"/>
  <c r="CC74" i="3"/>
  <c r="CE74" i="3" s="1"/>
  <c r="CE84" i="3" s="1"/>
  <c r="BV74" i="3"/>
  <c r="BX74" i="3" s="1"/>
  <c r="BX84" i="3" s="1"/>
  <c r="K62" i="3"/>
  <c r="CX74" i="3"/>
  <c r="CZ74" i="3" s="1"/>
  <c r="R66" i="3"/>
  <c r="T66" i="3" s="1"/>
  <c r="T72" i="3" s="1"/>
  <c r="AA13" i="3"/>
  <c r="Z13" i="3" s="1"/>
  <c r="AF66" i="3"/>
  <c r="AH66" i="3" s="1"/>
  <c r="AT66" i="3"/>
  <c r="AV66" i="3" s="1"/>
  <c r="CC66" i="3"/>
  <c r="CE66" i="3" s="1"/>
  <c r="CJ66" i="3"/>
  <c r="CL66" i="3" s="1"/>
  <c r="F51" i="3"/>
  <c r="F54" i="3" s="1"/>
  <c r="F61" i="3"/>
  <c r="F66" i="3"/>
  <c r="E62" i="2"/>
  <c r="E74" i="22752"/>
  <c r="D74" i="3"/>
  <c r="F74" i="3" s="1"/>
  <c r="F84" i="3" s="1"/>
  <c r="BP19" i="22746"/>
  <c r="BQ19" i="22746" s="1"/>
  <c r="BP21" i="22746"/>
  <c r="BQ21" i="22746" s="1"/>
  <c r="AG20" i="22746"/>
  <c r="AH20" i="22746" s="1"/>
  <c r="BW21" i="22746"/>
  <c r="BX21" i="22746" s="1"/>
  <c r="CR20" i="22746"/>
  <c r="CS20" i="22746" s="1"/>
  <c r="AA85" i="3"/>
  <c r="AA87" i="3" s="1"/>
  <c r="AK87" i="3"/>
  <c r="CY19" i="22746"/>
  <c r="CZ19" i="22746" s="1"/>
  <c r="CK19" i="22746"/>
  <c r="CL19" i="22746" s="1"/>
  <c r="BI20" i="22746"/>
  <c r="BJ20" i="22746" s="1"/>
  <c r="BB21" i="22746"/>
  <c r="BC21" i="22746" s="1"/>
  <c r="Z21" i="22746"/>
  <c r="AA21" i="22746" s="1"/>
  <c r="CK20" i="22746"/>
  <c r="CL20" i="22746" s="1"/>
  <c r="E120" i="2"/>
  <c r="E124" i="2" s="1"/>
  <c r="E127" i="2" s="1"/>
  <c r="BV85" i="3"/>
  <c r="BT87" i="3" s="1"/>
  <c r="T84" i="3"/>
  <c r="CE51" i="3"/>
  <c r="CJ85" i="3"/>
  <c r="CL85" i="3" s="1"/>
  <c r="CL87" i="3" s="1"/>
  <c r="BQ84" i="3"/>
  <c r="M16" i="3"/>
  <c r="AU20" i="22746"/>
  <c r="AV20" i="22746" s="1"/>
  <c r="AG21" i="22746"/>
  <c r="AH21" i="22746" s="1"/>
  <c r="AN20" i="22746"/>
  <c r="AO20" i="22746" s="1"/>
  <c r="AU21" i="22746"/>
  <c r="AV21" i="22746" s="1"/>
  <c r="BP20" i="22746"/>
  <c r="BQ20" i="22746" s="1"/>
  <c r="BB20" i="22746"/>
  <c r="BC20" i="22746" s="1"/>
  <c r="L19" i="22746"/>
  <c r="M19" i="22746" s="1"/>
  <c r="CY21" i="22746"/>
  <c r="CZ21" i="22746" s="1"/>
  <c r="AN21" i="22746"/>
  <c r="AO21" i="22746" s="1"/>
  <c r="CD20" i="22746"/>
  <c r="CE20" i="22746" s="1"/>
  <c r="AA51" i="3"/>
  <c r="BC9" i="3"/>
  <c r="CQ87" i="3"/>
  <c r="BO85" i="3"/>
  <c r="BO87" i="3" s="1"/>
  <c r="B185" i="4"/>
  <c r="B193" i="4" s="1"/>
  <c r="H208" i="22715" s="1"/>
  <c r="CS85" i="3"/>
  <c r="CS87" i="3" s="1"/>
  <c r="CX85" i="3"/>
  <c r="CX87" i="3" s="1"/>
  <c r="T16" i="3"/>
  <c r="T94" i="3" s="1"/>
  <c r="CS84" i="3"/>
  <c r="CR19" i="22746"/>
  <c r="CS19" i="22746" s="1"/>
  <c r="Z20" i="22746"/>
  <c r="AA20" i="22746" s="1"/>
  <c r="AG19" i="22746"/>
  <c r="AH19" i="22746" s="1"/>
  <c r="L21" i="22746"/>
  <c r="M21" i="22746" s="1"/>
  <c r="CK21" i="22746"/>
  <c r="CL21" i="22746" s="1"/>
  <c r="S19" i="22746"/>
  <c r="T19" i="22746" s="1"/>
  <c r="CR21" i="22746"/>
  <c r="CS21" i="22746" s="1"/>
  <c r="BW19" i="22746"/>
  <c r="BX19" i="22746" s="1"/>
  <c r="BI21" i="22746"/>
  <c r="BJ21" i="22746" s="1"/>
  <c r="CY20" i="22746"/>
  <c r="CZ20" i="22746" s="1"/>
  <c r="CD21" i="22746"/>
  <c r="CE21" i="22746" s="1"/>
  <c r="BB19" i="22746"/>
  <c r="BC19" i="22746" s="1"/>
  <c r="Z19" i="22746"/>
  <c r="AA19" i="22746" s="1"/>
  <c r="E21" i="22746"/>
  <c r="F21" i="22746" s="1"/>
  <c r="F22" i="22746" s="1"/>
  <c r="CD19" i="22746"/>
  <c r="CE19" i="22746" s="1"/>
  <c r="BI19" i="22746"/>
  <c r="BJ19" i="22746" s="1"/>
  <c r="L20" i="22746"/>
  <c r="M20" i="22746" s="1"/>
  <c r="S20" i="22746"/>
  <c r="T20" i="22746" s="1"/>
  <c r="S21" i="22746"/>
  <c r="T21" i="22746" s="1"/>
  <c r="AU19" i="22746"/>
  <c r="AV19" i="22746" s="1"/>
  <c r="AN19" i="22746"/>
  <c r="AO19" i="22746" s="1"/>
  <c r="B177" i="4"/>
  <c r="B191" i="4" s="1"/>
  <c r="H206" i="22715" s="1"/>
  <c r="AV51" i="3"/>
  <c r="BP29" i="22746"/>
  <c r="BQ29" i="22746" s="1"/>
  <c r="CD26" i="22746"/>
  <c r="CE26" i="22746" s="1"/>
  <c r="E31" i="22746"/>
  <c r="F31" i="22746" s="1"/>
  <c r="CK30" i="22746"/>
  <c r="CL30" i="22746" s="1"/>
  <c r="AG28" i="22746"/>
  <c r="AH28" i="22746" s="1"/>
  <c r="CK27" i="22746"/>
  <c r="CL27" i="22746" s="1"/>
  <c r="CD36" i="22746"/>
  <c r="CE36" i="22746" s="1"/>
  <c r="AG33" i="22746"/>
  <c r="AH33" i="22746" s="1"/>
  <c r="BP26" i="22746"/>
  <c r="BQ26" i="22746" s="1"/>
  <c r="CK25" i="22746"/>
  <c r="CL25" i="22746" s="1"/>
  <c r="BW36" i="22746"/>
  <c r="BX36" i="22746" s="1"/>
  <c r="BB36" i="22746"/>
  <c r="BC36" i="22746" s="1"/>
  <c r="L34" i="22746"/>
  <c r="M34" i="22746" s="1"/>
  <c r="S32" i="22746"/>
  <c r="T32" i="22746" s="1"/>
  <c r="AU37" i="22746"/>
  <c r="AV37" i="22746" s="1"/>
  <c r="Z24" i="22746"/>
  <c r="AA24" i="22746" s="1"/>
  <c r="AU28" i="22746"/>
  <c r="AV28" i="22746" s="1"/>
  <c r="CY26" i="22746"/>
  <c r="CZ26" i="22746" s="1"/>
  <c r="AN33" i="22746"/>
  <c r="AO33" i="22746" s="1"/>
  <c r="CD28" i="22746"/>
  <c r="CE28" i="22746" s="1"/>
  <c r="CY25" i="22746"/>
  <c r="CZ25" i="22746" s="1"/>
  <c r="BI27" i="22746"/>
  <c r="BJ27" i="22746" s="1"/>
  <c r="AG36" i="22746"/>
  <c r="AH36" i="22746" s="1"/>
  <c r="BI34" i="22746"/>
  <c r="BJ34" i="22746" s="1"/>
  <c r="CD31" i="22746"/>
  <c r="CE31" i="22746" s="1"/>
  <c r="CY35" i="22746"/>
  <c r="CZ35" i="22746" s="1"/>
  <c r="CR27" i="22746"/>
  <c r="CS27" i="22746" s="1"/>
  <c r="AN34" i="22746"/>
  <c r="AO34" i="22746" s="1"/>
  <c r="BI31" i="22746"/>
  <c r="BJ31" i="22746" s="1"/>
  <c r="CD35" i="22746"/>
  <c r="CE35" i="22746" s="1"/>
  <c r="CY32" i="22746"/>
  <c r="CZ32" i="22746" s="1"/>
  <c r="E30" i="22746"/>
  <c r="F30" i="22746" s="1"/>
  <c r="L28" i="22746"/>
  <c r="M28" i="22746" s="1"/>
  <c r="E24" i="22746"/>
  <c r="F24" i="22746" s="1"/>
  <c r="Z36" i="22746"/>
  <c r="AA36" i="22746" s="1"/>
  <c r="BW34" i="22746"/>
  <c r="BX34" i="22746" s="1"/>
  <c r="Z30" i="22746"/>
  <c r="AA30" i="22746" s="1"/>
  <c r="BB33" i="22746"/>
  <c r="BC33" i="22746" s="1"/>
  <c r="CY36" i="22746"/>
  <c r="CZ36" i="22746" s="1"/>
  <c r="E36" i="22746"/>
  <c r="F36" i="22746" s="1"/>
  <c r="CY24" i="22746"/>
  <c r="CZ24" i="22746" s="1"/>
  <c r="Z25" i="22746"/>
  <c r="AA25" i="22746" s="1"/>
  <c r="AU29" i="22746"/>
  <c r="AV29" i="22746" s="1"/>
  <c r="AG35" i="22746"/>
  <c r="AH35" i="22746" s="1"/>
  <c r="CD27" i="22746"/>
  <c r="CE27" i="22746" s="1"/>
  <c r="CY31" i="22746"/>
  <c r="CZ31" i="22746" s="1"/>
  <c r="L27" i="22746"/>
  <c r="M27" i="22746" s="1"/>
  <c r="S30" i="22746"/>
  <c r="T30" i="22746" s="1"/>
  <c r="S34" i="22746"/>
  <c r="T34" i="22746" s="1"/>
  <c r="CD24" i="22746"/>
  <c r="CE24" i="22746" s="1"/>
  <c r="Z29" i="22746"/>
  <c r="AA29" i="22746" s="1"/>
  <c r="BP25" i="22746"/>
  <c r="BQ25" i="22746" s="1"/>
  <c r="AU26" i="22746"/>
  <c r="AV26" i="22746" s="1"/>
  <c r="CK29" i="22746"/>
  <c r="CL29" i="22746" s="1"/>
  <c r="AU25" i="22746"/>
  <c r="AV25" i="22746" s="1"/>
  <c r="S27" i="22746"/>
  <c r="T27" i="22746" s="1"/>
  <c r="Z31" i="22746"/>
  <c r="AA31" i="22746" s="1"/>
  <c r="AU35" i="22746"/>
  <c r="AV35" i="22746" s="1"/>
  <c r="BP32" i="22746"/>
  <c r="BQ32" i="22746" s="1"/>
  <c r="CK36" i="22746"/>
  <c r="CL36" i="22746" s="1"/>
  <c r="AN27" i="22746"/>
  <c r="AO27" i="22746" s="1"/>
  <c r="Z35" i="22746"/>
  <c r="AA35" i="22746" s="1"/>
  <c r="AU32" i="22746"/>
  <c r="AV32" i="22746" s="1"/>
  <c r="BP36" i="22746"/>
  <c r="BQ36" i="22746" s="1"/>
  <c r="CR34" i="22746"/>
  <c r="CS34" i="22746" s="1"/>
  <c r="AG30" i="22746"/>
  <c r="AH30" i="22746" s="1"/>
  <c r="L36" i="22746"/>
  <c r="M36" i="22746" s="1"/>
  <c r="E29" i="22746"/>
  <c r="F29" i="22746" s="1"/>
  <c r="L29" i="22746"/>
  <c r="M29" i="22746" s="1"/>
  <c r="CS51" i="3"/>
  <c r="CZ22" i="22746"/>
  <c r="L25" i="22746"/>
  <c r="M25" i="22746" s="1"/>
  <c r="CR31" i="22746"/>
  <c r="CS31" i="22746" s="1"/>
  <c r="BW31" i="22746"/>
  <c r="BX31" i="22746" s="1"/>
  <c r="CY30" i="22746"/>
  <c r="CZ30" i="22746" s="1"/>
  <c r="AN28" i="22746"/>
  <c r="AO28" i="22746" s="1"/>
  <c r="S33" i="22746"/>
  <c r="T33" i="22746" s="1"/>
  <c r="CK28" i="22746"/>
  <c r="CL28" i="22746" s="1"/>
  <c r="S29" i="22746"/>
  <c r="T29" i="22746" s="1"/>
  <c r="Z32" i="22746"/>
  <c r="AA32" i="22746" s="1"/>
  <c r="BB27" i="22746"/>
  <c r="BC27" i="22746" s="1"/>
  <c r="CR35" i="22746"/>
  <c r="CS35" i="22746" s="1"/>
  <c r="E35" i="22746"/>
  <c r="F35" i="22746" s="1"/>
  <c r="BP37" i="22746"/>
  <c r="BQ37" i="22746" s="1"/>
  <c r="BB37" i="22746"/>
  <c r="BC37" i="22746" s="1"/>
  <c r="CY37" i="22746"/>
  <c r="CZ37" i="22746" s="1"/>
  <c r="CK24" i="22746"/>
  <c r="CL24" i="22746" s="1"/>
  <c r="E32" i="22747"/>
  <c r="F32" i="22747" s="1"/>
  <c r="BB25" i="22746"/>
  <c r="BC25" i="22746" s="1"/>
  <c r="BB26" i="22746"/>
  <c r="BC26" i="22746" s="1"/>
  <c r="BW29" i="22746"/>
  <c r="BX29" i="22746" s="1"/>
  <c r="E33" i="22747"/>
  <c r="F33" i="22747" s="1"/>
  <c r="AN31" i="22746"/>
  <c r="AO31" i="22746" s="1"/>
  <c r="CD32" i="22746"/>
  <c r="CE32" i="22746" s="1"/>
  <c r="E26" i="22747"/>
  <c r="F26" i="22747" s="1"/>
  <c r="BI32" i="22746"/>
  <c r="BJ32" i="22746" s="1"/>
  <c r="E30" i="22747"/>
  <c r="F30" i="22747" s="1"/>
  <c r="L30" i="22746"/>
  <c r="M30" i="22746" s="1"/>
  <c r="S37" i="22746"/>
  <c r="T37" i="22746" s="1"/>
  <c r="BW24" i="22746"/>
  <c r="BX24" i="22746" s="1"/>
  <c r="CK33" i="22746"/>
  <c r="CL33" i="22746" s="1"/>
  <c r="AN29" i="22746"/>
  <c r="AO29" i="22746" s="1"/>
  <c r="BI28" i="22746"/>
  <c r="BJ28" i="22746" s="1"/>
  <c r="CD25" i="22746"/>
  <c r="CE25" i="22746" s="1"/>
  <c r="CR26" i="22746"/>
  <c r="CS26" i="22746" s="1"/>
  <c r="AN26" i="22746"/>
  <c r="AO26" i="22746" s="1"/>
  <c r="Z33" i="22746"/>
  <c r="AA33" i="22746" s="1"/>
  <c r="CY29" i="22746"/>
  <c r="CZ29" i="22746" s="1"/>
  <c r="AG25" i="22746"/>
  <c r="AH25" i="22746" s="1"/>
  <c r="E23" i="22747"/>
  <c r="F23" i="22747" s="1"/>
  <c r="S35" i="22746"/>
  <c r="T35" i="22746" s="1"/>
  <c r="AU34" i="22746"/>
  <c r="AV34" i="22746" s="1"/>
  <c r="BP31" i="22746"/>
  <c r="BQ31" i="22746" s="1"/>
  <c r="CK35" i="22746"/>
  <c r="CL35" i="22746" s="1"/>
  <c r="Z27" i="22746"/>
  <c r="AA27" i="22746" s="1"/>
  <c r="Z34" i="22746"/>
  <c r="AA34" i="22746" s="1"/>
  <c r="AU31" i="22746"/>
  <c r="AV31" i="22746" s="1"/>
  <c r="BP35" i="22746"/>
  <c r="BQ35" i="22746" s="1"/>
  <c r="CK32" i="22746"/>
  <c r="CL32" i="22746" s="1"/>
  <c r="S31" i="22746"/>
  <c r="T31" i="22746" s="1"/>
  <c r="E28" i="22746"/>
  <c r="F28" i="22746" s="1"/>
  <c r="L26" i="22746"/>
  <c r="M26" i="22746" s="1"/>
  <c r="L35" i="22746"/>
  <c r="M35" i="22746" s="1"/>
  <c r="CK37" i="22746"/>
  <c r="CL37" i="22746" s="1"/>
  <c r="S24" i="22746"/>
  <c r="T24" i="22746" s="1"/>
  <c r="Z37" i="22746"/>
  <c r="AA37" i="22746" s="1"/>
  <c r="BW37" i="22746"/>
  <c r="BX37" i="22746" s="1"/>
  <c r="CD30" i="22746"/>
  <c r="CE30" i="22746" s="1"/>
  <c r="CR37" i="22746"/>
  <c r="CS37" i="22746" s="1"/>
  <c r="AN30" i="22746"/>
  <c r="AO30" i="22746" s="1"/>
  <c r="CR24" i="22746"/>
  <c r="CS24" i="22746" s="1"/>
  <c r="BP24" i="22746"/>
  <c r="BQ24" i="22746" s="1"/>
  <c r="AN24" i="22746"/>
  <c r="AO24" i="22746" s="1"/>
  <c r="BW33" i="22746"/>
  <c r="BX33" i="22746" s="1"/>
  <c r="S28" i="22746"/>
  <c r="T28" i="22746" s="1"/>
  <c r="BB29" i="22746"/>
  <c r="BC29" i="22746" s="1"/>
  <c r="E28" i="22747"/>
  <c r="F28" i="22747" s="1"/>
  <c r="BW28" i="22746"/>
  <c r="BX28" i="22746" s="1"/>
  <c r="AN25" i="22746"/>
  <c r="AO25" i="22746" s="1"/>
  <c r="CR25" i="22746"/>
  <c r="CS25" i="22746" s="1"/>
  <c r="E31" i="22747"/>
  <c r="F31" i="22747" s="1"/>
  <c r="CK26" i="22746"/>
  <c r="CL26" i="22746" s="1"/>
  <c r="BI26" i="22746"/>
  <c r="BJ26" i="22746" s="1"/>
  <c r="AG26" i="22746"/>
  <c r="AH26" i="22746" s="1"/>
  <c r="BP33" i="22746"/>
  <c r="BQ33" i="22746" s="1"/>
  <c r="CY33" i="22746"/>
  <c r="CZ33" i="22746" s="1"/>
  <c r="BI29" i="22746"/>
  <c r="BJ29" i="22746" s="1"/>
  <c r="Z28" i="22746"/>
  <c r="AA28" i="22746" s="1"/>
  <c r="L33" i="22746"/>
  <c r="M33" i="22746" s="1"/>
  <c r="E25" i="22746"/>
  <c r="F25" i="22746" s="1"/>
  <c r="E33" i="22746"/>
  <c r="F33" i="22746" s="1"/>
  <c r="L32" i="22746"/>
  <c r="M32" i="22746" s="1"/>
  <c r="E26" i="22746"/>
  <c r="F26" i="22746" s="1"/>
  <c r="E34" i="22746"/>
  <c r="F34" i="22746" s="1"/>
  <c r="BI37" i="22746"/>
  <c r="BJ37" i="22746" s="1"/>
  <c r="CR36" i="22746"/>
  <c r="CS36" i="22746" s="1"/>
  <c r="CK31" i="22746"/>
  <c r="CL31" i="22746" s="1"/>
  <c r="BW32" i="22746"/>
  <c r="BX32" i="22746" s="1"/>
  <c r="BP34" i="22746"/>
  <c r="BQ34" i="22746" s="1"/>
  <c r="BB35" i="22746"/>
  <c r="BC35" i="22746" s="1"/>
  <c r="AN36" i="22746"/>
  <c r="AO36" i="22746" s="1"/>
  <c r="AG31" i="22746"/>
  <c r="AH31" i="22746" s="1"/>
  <c r="S36" i="22746"/>
  <c r="T36" i="22746" s="1"/>
  <c r="BP27" i="22746"/>
  <c r="BQ27" i="22746" s="1"/>
  <c r="E34" i="22747"/>
  <c r="F34" i="22747" s="1"/>
  <c r="CR32" i="22746"/>
  <c r="CS32" i="22746" s="1"/>
  <c r="CK34" i="22746"/>
  <c r="CL34" i="22746" s="1"/>
  <c r="BW35" i="22746"/>
  <c r="BX35" i="22746" s="1"/>
  <c r="BI36" i="22746"/>
  <c r="BJ36" i="22746" s="1"/>
  <c r="BB31" i="22746"/>
  <c r="BC31" i="22746" s="1"/>
  <c r="AN32" i="22746"/>
  <c r="AO32" i="22746" s="1"/>
  <c r="AG34" i="22746"/>
  <c r="AH34" i="22746" s="1"/>
  <c r="CY27" i="22746"/>
  <c r="CZ27" i="22746" s="1"/>
  <c r="BW27" i="22746"/>
  <c r="BX27" i="22746" s="1"/>
  <c r="E29" i="22747"/>
  <c r="F29" i="22747" s="1"/>
  <c r="BW25" i="22746"/>
  <c r="BX25" i="22746" s="1"/>
  <c r="E27" i="22747"/>
  <c r="F27" i="22747" s="1"/>
  <c r="BB28" i="22746"/>
  <c r="BC28" i="22746" s="1"/>
  <c r="AG29" i="22746"/>
  <c r="AH29" i="22746" s="1"/>
  <c r="CR33" i="22746"/>
  <c r="CS33" i="22746" s="1"/>
  <c r="BW26" i="22746"/>
  <c r="BX26" i="22746" s="1"/>
  <c r="E36" i="22747"/>
  <c r="F36" i="22747" s="1"/>
  <c r="CY28" i="22746"/>
  <c r="CZ28" i="22746" s="1"/>
  <c r="CD29" i="22746"/>
  <c r="CE29" i="22746" s="1"/>
  <c r="AU33" i="22746"/>
  <c r="AV33" i="22746" s="1"/>
  <c r="BB24" i="22746"/>
  <c r="BC24" i="22746" s="1"/>
  <c r="BB30" i="22746"/>
  <c r="BC30" i="22746" s="1"/>
  <c r="S26" i="22746"/>
  <c r="T26" i="22746" s="1"/>
  <c r="AG37" i="22746"/>
  <c r="AH37" i="22746" s="1"/>
  <c r="BW30" i="22746"/>
  <c r="BX30" i="22746" s="1"/>
  <c r="E27" i="22746"/>
  <c r="F27" i="22746" s="1"/>
  <c r="CR30" i="22746"/>
  <c r="CS30" i="22746" s="1"/>
  <c r="CD34" i="22746"/>
  <c r="CE34" i="22746" s="1"/>
  <c r="AG32" i="22746"/>
  <c r="AH32" i="22746" s="1"/>
  <c r="CY34" i="22746"/>
  <c r="CZ34" i="22746" s="1"/>
  <c r="BB32" i="22746"/>
  <c r="BC32" i="22746" s="1"/>
  <c r="AG27" i="22746"/>
  <c r="AH27" i="22746" s="1"/>
  <c r="BP28" i="22746"/>
  <c r="BQ28" i="22746" s="1"/>
  <c r="CD33" i="22746"/>
  <c r="CE33" i="22746" s="1"/>
  <c r="E35" i="22747"/>
  <c r="F35" i="22747" s="1"/>
  <c r="CR29" i="22746"/>
  <c r="CS29" i="22746" s="1"/>
  <c r="AU24" i="22746"/>
  <c r="AV24" i="22746" s="1"/>
  <c r="E32" i="22746"/>
  <c r="F32" i="22746" s="1"/>
  <c r="AN35" i="22746"/>
  <c r="AO35" i="22746" s="1"/>
  <c r="BI35" i="22746"/>
  <c r="BJ35" i="22746" s="1"/>
  <c r="CR28" i="22746"/>
  <c r="CS28" i="22746" s="1"/>
  <c r="E25" i="22747"/>
  <c r="F25" i="22747" s="1"/>
  <c r="AG24" i="22746"/>
  <c r="AH24" i="22746" s="1"/>
  <c r="CD37" i="22746"/>
  <c r="CE37" i="22746" s="1"/>
  <c r="AN37" i="22746"/>
  <c r="AO37" i="22746" s="1"/>
  <c r="L31" i="22746"/>
  <c r="M31" i="22746" s="1"/>
  <c r="BB34" i="22746"/>
  <c r="BC34" i="22746" s="1"/>
  <c r="BI25" i="22746"/>
  <c r="BJ25" i="22746" s="1"/>
  <c r="BI33" i="22746"/>
  <c r="BJ33" i="22746" s="1"/>
  <c r="BI24" i="22746"/>
  <c r="BJ24" i="22746" s="1"/>
  <c r="AU30" i="22746"/>
  <c r="AV30" i="22746" s="1"/>
  <c r="AO51" i="3"/>
  <c r="CL51" i="3"/>
  <c r="BQ51" i="3"/>
  <c r="S25" i="22746"/>
  <c r="T25" i="22746" s="1"/>
  <c r="AU36" i="22746"/>
  <c r="AV36" i="22746" s="1"/>
  <c r="E24" i="22747"/>
  <c r="F24" i="22747" s="1"/>
  <c r="BP30" i="22746"/>
  <c r="BQ30" i="22746" s="1"/>
  <c r="BI30" i="22746"/>
  <c r="BJ30" i="22746" s="1"/>
  <c r="AU27" i="22746"/>
  <c r="AV27" i="22746" s="1"/>
  <c r="L24" i="22746"/>
  <c r="M24" i="22746" s="1"/>
  <c r="Z26" i="22746"/>
  <c r="AA26" i="22746" s="1"/>
  <c r="E81" i="2"/>
  <c r="AF85" i="3"/>
  <c r="E82" i="2"/>
  <c r="BH85" i="3"/>
  <c r="BH87" i="3" s="1"/>
  <c r="AT85" i="3"/>
  <c r="AT87" i="3" s="1"/>
  <c r="CC85" i="3"/>
  <c r="CE85" i="3" s="1"/>
  <c r="CE87" i="3" s="1"/>
  <c r="BJ51" i="3"/>
  <c r="AH54" i="3"/>
  <c r="CZ51" i="3"/>
  <c r="K75" i="3"/>
  <c r="M75" i="3" s="1"/>
  <c r="M84" i="3" s="1"/>
  <c r="H70" i="22751"/>
  <c r="F16" i="3"/>
  <c r="D23" i="22714" s="1"/>
  <c r="M85" i="3"/>
  <c r="M87" i="3" s="1"/>
  <c r="BX51" i="3"/>
  <c r="P87" i="3"/>
  <c r="T85" i="3"/>
  <c r="T87" i="3" s="1"/>
  <c r="D9" i="4"/>
  <c r="BA85" i="3"/>
  <c r="BA87" i="3" s="1"/>
  <c r="BC46" i="3"/>
  <c r="AZ9" i="3"/>
  <c r="AZ13" i="3" s="1"/>
  <c r="BC47" i="3"/>
  <c r="AO74" i="3"/>
  <c r="AO84" i="3" s="1"/>
  <c r="AM87" i="3"/>
  <c r="CZ75" i="3"/>
  <c r="AV74" i="3"/>
  <c r="AV84" i="3" s="1"/>
  <c r="AT45" i="3"/>
  <c r="BA44" i="3"/>
  <c r="E95" i="2"/>
  <c r="BJ74" i="3"/>
  <c r="BJ84" i="3" s="1"/>
  <c r="AA75" i="3"/>
  <c r="Y87" i="3"/>
  <c r="CL74" i="3"/>
  <c r="CL84" i="3" s="1"/>
  <c r="F85" i="3"/>
  <c r="F87" i="3" s="1"/>
  <c r="B87" i="3"/>
  <c r="BC74" i="3"/>
  <c r="BC84" i="3" s="1"/>
  <c r="AG10" i="3"/>
  <c r="AH10" i="3" s="1"/>
  <c r="AH13" i="3" s="1"/>
  <c r="AG13" i="3" s="1"/>
  <c r="C56" i="1"/>
  <c r="B60" i="1"/>
  <c r="BI9" i="3"/>
  <c r="BJ9" i="3" s="1"/>
  <c r="C86" i="22752"/>
  <c r="F85" i="22752"/>
  <c r="H46" i="22750"/>
  <c r="H49" i="22750" s="1"/>
  <c r="CW84" i="22746"/>
  <c r="C54" i="22744"/>
  <c r="C55" i="22744" s="1"/>
  <c r="CL82" i="22746"/>
  <c r="AA81" i="22746"/>
  <c r="CE82" i="22746"/>
  <c r="BG84" i="22746"/>
  <c r="AZ84" i="22746"/>
  <c r="CI9" i="22746"/>
  <c r="CL46" i="22746"/>
  <c r="F81" i="22746"/>
  <c r="BC82" i="22746"/>
  <c r="CL49" i="22746"/>
  <c r="N13" i="22746"/>
  <c r="E67" i="22749"/>
  <c r="T12" i="22746"/>
  <c r="Q12" i="22746"/>
  <c r="AO12" i="22746"/>
  <c r="AL12" i="22746"/>
  <c r="BJ12" i="22746"/>
  <c r="BG12" i="22746"/>
  <c r="CS12" i="22746"/>
  <c r="CP12" i="22746"/>
  <c r="BX12" i="22746"/>
  <c r="BU12" i="22746"/>
  <c r="CZ12" i="22746"/>
  <c r="CW12" i="22746"/>
  <c r="AF10" i="22746"/>
  <c r="AE10" i="22746" s="1"/>
  <c r="AF12" i="22746"/>
  <c r="BQ12" i="22746"/>
  <c r="BN12" i="22746"/>
  <c r="D9" i="22747"/>
  <c r="C9" i="22747" s="1"/>
  <c r="AW13" i="22746"/>
  <c r="AA12" i="22746"/>
  <c r="X12" i="22746"/>
  <c r="CE12" i="22746"/>
  <c r="CB12" i="22746"/>
  <c r="BC12" i="22746"/>
  <c r="AZ12" i="22746"/>
  <c r="BK13" i="22746"/>
  <c r="C154" i="22745"/>
  <c r="C150" i="22745" s="1"/>
  <c r="CL12" i="22746"/>
  <c r="CI12" i="22746"/>
  <c r="M73" i="22746"/>
  <c r="CL45" i="22746"/>
  <c r="CJ61" i="22746"/>
  <c r="CZ82" i="22746"/>
  <c r="F73" i="22746"/>
  <c r="AO73" i="22746"/>
  <c r="BJ73" i="22746"/>
  <c r="AO81" i="22746"/>
  <c r="AO74" i="22746"/>
  <c r="BQ74" i="22746"/>
  <c r="BJ74" i="22746"/>
  <c r="BJ81" i="22746"/>
  <c r="AH82" i="22746"/>
  <c r="BJ82" i="22746"/>
  <c r="CS81" i="22746"/>
  <c r="AS84" i="22746"/>
  <c r="AL84" i="22746"/>
  <c r="BN84" i="22746"/>
  <c r="C84" i="22746"/>
  <c r="CZ73" i="22746"/>
  <c r="AH73" i="22746"/>
  <c r="BQ73" i="22746"/>
  <c r="CQ74" i="22746"/>
  <c r="CS74" i="22746" s="1"/>
  <c r="CS73" i="22746"/>
  <c r="CE73" i="22746"/>
  <c r="BX74" i="22746"/>
  <c r="T82" i="22746"/>
  <c r="AV74" i="22746"/>
  <c r="AH81" i="22746"/>
  <c r="AA73" i="22746"/>
  <c r="BC73" i="22746"/>
  <c r="BC74" i="22746"/>
  <c r="BV73" i="22746"/>
  <c r="BX73" i="22746" s="1"/>
  <c r="CL73" i="22746"/>
  <c r="AV73" i="22746"/>
  <c r="F80" i="22747"/>
  <c r="B148" i="22747" s="1"/>
  <c r="K61" i="22747"/>
  <c r="T73" i="22746"/>
  <c r="CE74" i="22746"/>
  <c r="F79" i="22747"/>
  <c r="T74" i="22746"/>
  <c r="BX81" i="22746"/>
  <c r="F82" i="22746"/>
  <c r="BX82" i="22746"/>
  <c r="CS82" i="22746"/>
  <c r="CE81" i="22746"/>
  <c r="CL81" i="22746"/>
  <c r="E105" i="22745"/>
  <c r="CZ81" i="22746"/>
  <c r="AO82" i="22746"/>
  <c r="F74" i="22746"/>
  <c r="F83" i="22746" s="1"/>
  <c r="BQ82" i="22746"/>
  <c r="AV82" i="22746"/>
  <c r="M82" i="22746"/>
  <c r="BQ81" i="22746"/>
  <c r="AA82" i="22746"/>
  <c r="AA74" i="22746"/>
  <c r="BC81" i="22746"/>
  <c r="AE84" i="22746"/>
  <c r="CI84" i="22746"/>
  <c r="Q84" i="22746"/>
  <c r="X84" i="22746"/>
  <c r="BU84" i="22746"/>
  <c r="C91" i="22747"/>
  <c r="CB84" i="22746"/>
  <c r="CL74" i="22746"/>
  <c r="CZ74" i="22746"/>
  <c r="M74" i="22746"/>
  <c r="M81" i="22746"/>
  <c r="T81" i="22746"/>
  <c r="AV81" i="22746"/>
  <c r="Z10" i="22746"/>
  <c r="AH74" i="22746"/>
  <c r="AH83" i="22746" s="1"/>
  <c r="D11" i="22746"/>
  <c r="H68" i="22750"/>
  <c r="E137" i="22745" s="1"/>
  <c r="E141" i="22745" s="1"/>
  <c r="E144" i="22745" s="1"/>
  <c r="F144" i="22745" s="1"/>
  <c r="E133" i="22745"/>
  <c r="E71" i="22749"/>
  <c r="G68" i="22744"/>
  <c r="BQ44" i="22746"/>
  <c r="H32" i="22748"/>
  <c r="I32" i="22748" s="1"/>
  <c r="BO9" i="22746"/>
  <c r="BO10" i="22746"/>
  <c r="BN10" i="22746" s="1"/>
  <c r="F44" i="22746"/>
  <c r="D10" i="22746"/>
  <c r="C10" i="22746" s="1"/>
  <c r="D9" i="22746"/>
  <c r="H23" i="22748"/>
  <c r="I23" i="22748" s="1"/>
  <c r="E81" i="22745"/>
  <c r="K10" i="22746"/>
  <c r="T44" i="22746"/>
  <c r="H25" i="22748"/>
  <c r="I25" i="22748" s="1"/>
  <c r="R9" i="22746"/>
  <c r="R61" i="22746" s="1"/>
  <c r="AO44" i="22746"/>
  <c r="H28" i="22748"/>
  <c r="I28" i="22748" s="1"/>
  <c r="AM9" i="22746"/>
  <c r="AM10" i="22746"/>
  <c r="AL10" i="22746" s="1"/>
  <c r="H31" i="22748"/>
  <c r="I31" i="22748" s="1"/>
  <c r="BJ44" i="22746"/>
  <c r="BH9" i="22746"/>
  <c r="CQ9" i="22746"/>
  <c r="H36" i="22748"/>
  <c r="I36" i="22748" s="1"/>
  <c r="CS44" i="22746"/>
  <c r="CQ10" i="22746"/>
  <c r="CP10" i="22746" s="1"/>
  <c r="H33" i="22748"/>
  <c r="I33" i="22748" s="1"/>
  <c r="BX44" i="22746"/>
  <c r="BV10" i="22746"/>
  <c r="BU10" i="22746" s="1"/>
  <c r="BV9" i="22746"/>
  <c r="CZ44" i="22746"/>
  <c r="H37" i="22748"/>
  <c r="I37" i="22748" s="1"/>
  <c r="CX10" i="22746"/>
  <c r="CW10" i="22746" s="1"/>
  <c r="CX9" i="22746"/>
  <c r="H27" i="22748"/>
  <c r="I27" i="22748" s="1"/>
  <c r="AH44" i="22746"/>
  <c r="AF9" i="22746"/>
  <c r="R10" i="22746"/>
  <c r="AA44" i="22746"/>
  <c r="Y10" i="22746"/>
  <c r="H26" i="22748"/>
  <c r="I26" i="22748" s="1"/>
  <c r="Y9" i="22746"/>
  <c r="Y61" i="22746" s="1"/>
  <c r="CE44" i="22746"/>
  <c r="CC10" i="22746"/>
  <c r="CB10" i="22746" s="1"/>
  <c r="H34" i="22748"/>
  <c r="I34" i="22748" s="1"/>
  <c r="CC9" i="22746"/>
  <c r="H30" i="22748"/>
  <c r="I30" i="22748" s="1"/>
  <c r="BC44" i="22746"/>
  <c r="BA9" i="22746"/>
  <c r="BA10" i="22746"/>
  <c r="AZ10" i="22746" s="1"/>
  <c r="G66" i="22744"/>
  <c r="G67" i="22744"/>
  <c r="G69" i="22744"/>
  <c r="M44" i="22746"/>
  <c r="H24" i="22748"/>
  <c r="I24" i="22748" s="1"/>
  <c r="K9" i="22746"/>
  <c r="B54" i="22744"/>
  <c r="C80" i="22749"/>
  <c r="R39" i="22746" s="1"/>
  <c r="T39" i="22746" s="1"/>
  <c r="S9" i="22746"/>
  <c r="BH10" i="22746"/>
  <c r="BG10" i="22746" s="1"/>
  <c r="CC11" i="22746"/>
  <c r="CE47" i="22746" s="1"/>
  <c r="K11" i="22746"/>
  <c r="M47" i="22746" s="1"/>
  <c r="BV11" i="22746"/>
  <c r="BX47" i="22746" s="1"/>
  <c r="BA11" i="22746"/>
  <c r="CX11" i="22746"/>
  <c r="CQ11" i="22746"/>
  <c r="AV11" i="22746"/>
  <c r="AS11" i="22746"/>
  <c r="AV43" i="22746"/>
  <c r="AV47" i="22746"/>
  <c r="AB11" i="22746"/>
  <c r="AB13" i="22746" s="1"/>
  <c r="G89" i="22744"/>
  <c r="G11" i="22747" s="1"/>
  <c r="D11" i="22747" s="1"/>
  <c r="G90" i="22744"/>
  <c r="AM11" i="22746"/>
  <c r="AF11" i="22746"/>
  <c r="AH47" i="22746" s="1"/>
  <c r="CJ11" i="22746"/>
  <c r="R11" i="22746"/>
  <c r="T47" i="22746" s="1"/>
  <c r="BO11" i="22746"/>
  <c r="BQ47" i="22746" s="1"/>
  <c r="BH11" i="22746"/>
  <c r="AV48" i="22746"/>
  <c r="AS9" i="22746"/>
  <c r="AV46" i="22746"/>
  <c r="AV45" i="22746"/>
  <c r="AT61" i="22746"/>
  <c r="AV49" i="22746"/>
  <c r="E125" i="22745"/>
  <c r="T83" i="22746" l="1"/>
  <c r="BX54" i="3"/>
  <c r="BY51" i="3"/>
  <c r="AI24" i="3"/>
  <c r="AI40" i="3"/>
  <c r="AI42" i="3"/>
  <c r="AI52" i="3"/>
  <c r="AI54" i="3"/>
  <c r="AI37" i="3"/>
  <c r="AI29" i="3"/>
  <c r="AI38" i="3"/>
  <c r="AI30" i="3"/>
  <c r="AI35" i="3"/>
  <c r="AI27" i="3"/>
  <c r="AI21" i="3"/>
  <c r="AI36" i="3"/>
  <c r="AI28" i="3"/>
  <c r="AI33" i="3"/>
  <c r="AI25" i="3"/>
  <c r="AI22" i="3"/>
  <c r="AI34" i="3"/>
  <c r="AI26" i="3"/>
  <c r="AI20" i="3"/>
  <c r="AI31" i="3"/>
  <c r="AI32" i="3"/>
  <c r="AI19" i="3"/>
  <c r="AI39" i="3"/>
  <c r="AI23" i="3"/>
  <c r="AI53" i="3"/>
  <c r="AI43" i="3"/>
  <c r="AI45" i="3"/>
  <c r="AI41" i="3"/>
  <c r="BQ54" i="3"/>
  <c r="AO54" i="3"/>
  <c r="AA54" i="3"/>
  <c r="CE54" i="3"/>
  <c r="G54" i="3"/>
  <c r="G24" i="3"/>
  <c r="G21" i="3"/>
  <c r="G33" i="3"/>
  <c r="G30" i="3"/>
  <c r="G38" i="3"/>
  <c r="G31" i="3"/>
  <c r="G28" i="3"/>
  <c r="G36" i="3"/>
  <c r="G29" i="3"/>
  <c r="G37" i="3"/>
  <c r="G26" i="3"/>
  <c r="G34" i="3"/>
  <c r="G27" i="3"/>
  <c r="G35" i="3"/>
  <c r="G32" i="3"/>
  <c r="G25" i="3"/>
  <c r="G39" i="3"/>
  <c r="G20" i="3"/>
  <c r="G45" i="3"/>
  <c r="G53" i="3"/>
  <c r="G43" i="3"/>
  <c r="G41" i="3"/>
  <c r="G19" i="3"/>
  <c r="G40" i="3"/>
  <c r="G22" i="3"/>
  <c r="M51" i="3"/>
  <c r="G50" i="3"/>
  <c r="CZ72" i="3"/>
  <c r="G23" i="3"/>
  <c r="U24" i="3"/>
  <c r="U40" i="3"/>
  <c r="U42" i="3"/>
  <c r="U52" i="3"/>
  <c r="U54" i="3"/>
  <c r="U53" i="3"/>
  <c r="U36" i="3"/>
  <c r="U32" i="3"/>
  <c r="U28" i="3"/>
  <c r="U37" i="3"/>
  <c r="U33" i="3"/>
  <c r="U29" i="3"/>
  <c r="U38" i="3"/>
  <c r="U34" i="3"/>
  <c r="U30" i="3"/>
  <c r="U26" i="3"/>
  <c r="U25" i="3"/>
  <c r="U35" i="3"/>
  <c r="U31" i="3"/>
  <c r="U27" i="3"/>
  <c r="U39" i="3"/>
  <c r="U43" i="3"/>
  <c r="U45" i="3"/>
  <c r="U21" i="3"/>
  <c r="U19" i="3"/>
  <c r="U41" i="3"/>
  <c r="U22" i="3"/>
  <c r="U20" i="3"/>
  <c r="U49" i="3"/>
  <c r="G49" i="3"/>
  <c r="AI44" i="3"/>
  <c r="U46" i="3"/>
  <c r="CZ54" i="3"/>
  <c r="DA51" i="3"/>
  <c r="CL54" i="3"/>
  <c r="CS54" i="3"/>
  <c r="J68" i="3"/>
  <c r="K65" i="3"/>
  <c r="BA65" i="3"/>
  <c r="BA66" i="3" s="1"/>
  <c r="AZ68" i="3"/>
  <c r="AI50" i="3"/>
  <c r="U51" i="3"/>
  <c r="G48" i="3"/>
  <c r="AI46" i="3"/>
  <c r="U23" i="3"/>
  <c r="U47" i="3"/>
  <c r="G47" i="3"/>
  <c r="AI49" i="3"/>
  <c r="G44" i="3"/>
  <c r="BJ54" i="3"/>
  <c r="U48" i="3"/>
  <c r="AI51" i="3"/>
  <c r="AV54" i="3"/>
  <c r="AI47" i="3"/>
  <c r="AI48" i="3"/>
  <c r="G46" i="3"/>
  <c r="BX22" i="22746"/>
  <c r="M38" i="22746"/>
  <c r="AH38" i="22746"/>
  <c r="AV38" i="22746"/>
  <c r="F37" i="22747"/>
  <c r="B177" i="22747" s="1"/>
  <c r="B191" i="22747" s="1"/>
  <c r="J206" i="22715" s="1"/>
  <c r="AA84" i="3"/>
  <c r="CZ84" i="3"/>
  <c r="R87" i="3"/>
  <c r="BX72" i="3"/>
  <c r="K66" i="3"/>
  <c r="M66" i="3" s="1"/>
  <c r="D87" i="3"/>
  <c r="BV87" i="3"/>
  <c r="BJ72" i="3"/>
  <c r="AV72" i="3"/>
  <c r="AA16" i="3"/>
  <c r="D26" i="22714" s="1"/>
  <c r="AA72" i="3"/>
  <c r="AH72" i="3"/>
  <c r="AO72" i="3"/>
  <c r="BQ72" i="3"/>
  <c r="CE72" i="3"/>
  <c r="CL72" i="3"/>
  <c r="F65" i="3"/>
  <c r="F72" i="3" s="1"/>
  <c r="AO22" i="22746"/>
  <c r="CH87" i="3"/>
  <c r="CL22" i="22746"/>
  <c r="BQ22" i="22746"/>
  <c r="CE22" i="22746"/>
  <c r="AV22" i="22746"/>
  <c r="BC22" i="22746"/>
  <c r="B194" i="4"/>
  <c r="C194" i="4" s="1"/>
  <c r="H86" i="22751"/>
  <c r="H101" i="22751" s="1"/>
  <c r="BX85" i="3"/>
  <c r="BX87" i="3" s="1"/>
  <c r="CJ87" i="3"/>
  <c r="BQ85" i="3"/>
  <c r="BQ87" i="3" s="1"/>
  <c r="D25" i="22714"/>
  <c r="T38" i="22746"/>
  <c r="M22" i="22746"/>
  <c r="F94" i="3"/>
  <c r="F38" i="22746"/>
  <c r="CE38" i="22746"/>
  <c r="B187" i="4"/>
  <c r="AA22" i="22746"/>
  <c r="AH22" i="22746"/>
  <c r="BJ22" i="22746"/>
  <c r="CS22" i="22746"/>
  <c r="BM87" i="3"/>
  <c r="AA38" i="22746"/>
  <c r="T22" i="22746"/>
  <c r="CV87" i="3"/>
  <c r="CZ85" i="3"/>
  <c r="CZ87" i="3" s="1"/>
  <c r="BJ38" i="22746"/>
  <c r="CS38" i="22746"/>
  <c r="BX38" i="22746"/>
  <c r="E137" i="2"/>
  <c r="F137" i="2" s="1"/>
  <c r="BQ38" i="22746"/>
  <c r="CZ38" i="22746"/>
  <c r="AO38" i="22746"/>
  <c r="BC38" i="22746"/>
  <c r="CL38" i="22746"/>
  <c r="AH85" i="3"/>
  <c r="AH87" i="3" s="1"/>
  <c r="AD87" i="3"/>
  <c r="AF87" i="3"/>
  <c r="CC87" i="3"/>
  <c r="CA87" i="3"/>
  <c r="BF87" i="3"/>
  <c r="BJ85" i="3"/>
  <c r="BJ87" i="3" s="1"/>
  <c r="AV85" i="3"/>
  <c r="AV87" i="3" s="1"/>
  <c r="AR87" i="3"/>
  <c r="E83" i="2"/>
  <c r="F81" i="2" s="1"/>
  <c r="K87" i="3"/>
  <c r="M94" i="3"/>
  <c r="D24" i="22714"/>
  <c r="BC51" i="3"/>
  <c r="AY87" i="3"/>
  <c r="BC85" i="3"/>
  <c r="BC87" i="3" s="1"/>
  <c r="F48" i="4"/>
  <c r="F47" i="4"/>
  <c r="C9" i="4"/>
  <c r="C13" i="4" s="1"/>
  <c r="F45" i="4"/>
  <c r="D66" i="4"/>
  <c r="D91" i="4"/>
  <c r="F44" i="4"/>
  <c r="F122" i="2"/>
  <c r="F126" i="2"/>
  <c r="F121" i="2"/>
  <c r="F125" i="2"/>
  <c r="F142" i="2"/>
  <c r="F127" i="2"/>
  <c r="F139" i="2"/>
  <c r="F138" i="2"/>
  <c r="F143" i="2"/>
  <c r="F140" i="2"/>
  <c r="F123" i="2"/>
  <c r="F120" i="2"/>
  <c r="BH44" i="3"/>
  <c r="BA45" i="3"/>
  <c r="I206" i="22715"/>
  <c r="E96" i="2"/>
  <c r="F124" i="2"/>
  <c r="AH16" i="3"/>
  <c r="C57" i="1"/>
  <c r="AN10" i="3"/>
  <c r="AO10" i="3" s="1"/>
  <c r="AO13" i="3" s="1"/>
  <c r="AN13" i="3" s="1"/>
  <c r="F86" i="22752"/>
  <c r="BP9" i="3"/>
  <c r="BQ9" i="3" s="1"/>
  <c r="C87" i="22752"/>
  <c r="B61" i="1"/>
  <c r="F44" i="22747"/>
  <c r="F48" i="22747"/>
  <c r="F89" i="22747"/>
  <c r="CS83" i="22746"/>
  <c r="AA83" i="22746"/>
  <c r="F47" i="22747"/>
  <c r="F45" i="22747"/>
  <c r="G13" i="22747"/>
  <c r="AH12" i="22746"/>
  <c r="AE12" i="22746"/>
  <c r="AS13" i="22746"/>
  <c r="C11" i="22747"/>
  <c r="F11" i="22747"/>
  <c r="C13" i="22747"/>
  <c r="D61" i="22746"/>
  <c r="B185" i="22747"/>
  <c r="B193" i="22747" s="1"/>
  <c r="AT84" i="22746"/>
  <c r="AT86" i="22746" s="1"/>
  <c r="AV83" i="22746"/>
  <c r="CL83" i="22746"/>
  <c r="BQ83" i="22746"/>
  <c r="BC83" i="22746"/>
  <c r="AO83" i="22746"/>
  <c r="BJ83" i="22746"/>
  <c r="BX83" i="22746"/>
  <c r="CE83" i="22746"/>
  <c r="AF84" i="22746"/>
  <c r="AF86" i="22746" s="1"/>
  <c r="M83" i="22746"/>
  <c r="B147" i="22747"/>
  <c r="CZ83" i="22746"/>
  <c r="Y84" i="22746"/>
  <c r="W86" i="22746" s="1"/>
  <c r="CJ84" i="22746"/>
  <c r="CH86" i="22746" s="1"/>
  <c r="D91" i="22747"/>
  <c r="D93" i="22747" s="1"/>
  <c r="C43" i="22748" s="1"/>
  <c r="C44" i="22748" s="1"/>
  <c r="F11" i="22746"/>
  <c r="C11" i="22746"/>
  <c r="C12" i="22746"/>
  <c r="K61" i="22746"/>
  <c r="H84" i="22750"/>
  <c r="H99" i="22750" s="1"/>
  <c r="D104" i="22750" s="1"/>
  <c r="H104" i="22750" s="1"/>
  <c r="K84" i="22746"/>
  <c r="M84" i="22746" s="1"/>
  <c r="M86" i="22746" s="1"/>
  <c r="AM61" i="22746"/>
  <c r="CQ84" i="22746"/>
  <c r="CS84" i="22746" s="1"/>
  <c r="CS86" i="22746" s="1"/>
  <c r="CQ61" i="22746"/>
  <c r="C56" i="22744"/>
  <c r="AG10" i="22746"/>
  <c r="AH10" i="22746" s="1"/>
  <c r="D72" i="22715"/>
  <c r="BA61" i="22746"/>
  <c r="BH84" i="22746"/>
  <c r="BF86" i="22746" s="1"/>
  <c r="BA84" i="22746"/>
  <c r="AY86" i="22746" s="1"/>
  <c r="AM84" i="22746"/>
  <c r="AK86" i="22746" s="1"/>
  <c r="D84" i="22746"/>
  <c r="F84" i="22746" s="1"/>
  <c r="F86" i="22746" s="1"/>
  <c r="BO84" i="22746"/>
  <c r="BQ84" i="22746" s="1"/>
  <c r="BQ86" i="22746" s="1"/>
  <c r="AF61" i="22746"/>
  <c r="M49" i="22746"/>
  <c r="J9" i="22746"/>
  <c r="M48" i="22746"/>
  <c r="M9" i="22746"/>
  <c r="M46" i="22746"/>
  <c r="M45" i="22746"/>
  <c r="CB9" i="22746"/>
  <c r="CC84" i="22746"/>
  <c r="CE48" i="22746"/>
  <c r="CE45" i="22746"/>
  <c r="CE46" i="22746"/>
  <c r="CC61" i="22746"/>
  <c r="CE49" i="22746"/>
  <c r="AA45" i="22746"/>
  <c r="AA49" i="22746"/>
  <c r="AA48" i="22746"/>
  <c r="X9" i="22746"/>
  <c r="AA46" i="22746"/>
  <c r="X10" i="22746"/>
  <c r="AA10" i="22746"/>
  <c r="T10" i="22746"/>
  <c r="Q10" i="22746"/>
  <c r="CS49" i="22746"/>
  <c r="CP9" i="22746"/>
  <c r="CS45" i="22746"/>
  <c r="CS48" i="22746"/>
  <c r="CS46" i="22746"/>
  <c r="T49" i="22746"/>
  <c r="T46" i="22746"/>
  <c r="T48" i="22746"/>
  <c r="T9" i="22746"/>
  <c r="Q9" i="22746"/>
  <c r="T45" i="22746"/>
  <c r="R84" i="22746"/>
  <c r="F45" i="22746"/>
  <c r="F9" i="22746"/>
  <c r="F48" i="22746"/>
  <c r="C9" i="22746"/>
  <c r="F49" i="22746"/>
  <c r="F46" i="22746"/>
  <c r="BQ48" i="22746"/>
  <c r="BN9" i="22746"/>
  <c r="BQ45" i="22746"/>
  <c r="BQ46" i="22746"/>
  <c r="BQ49" i="22746"/>
  <c r="BO61" i="22746"/>
  <c r="Z9" i="22746"/>
  <c r="AA9" i="22746" s="1"/>
  <c r="C81" i="22749"/>
  <c r="B55" i="22744"/>
  <c r="BC49" i="22746"/>
  <c r="BC48" i="22746"/>
  <c r="AZ9" i="22746"/>
  <c r="BC46" i="22746"/>
  <c r="BC45" i="22746"/>
  <c r="AH49" i="22746"/>
  <c r="AH46" i="22746"/>
  <c r="AH48" i="22746"/>
  <c r="AE9" i="22746"/>
  <c r="AH45" i="22746"/>
  <c r="CZ49" i="22746"/>
  <c r="CX84" i="22746"/>
  <c r="CZ45" i="22746"/>
  <c r="CZ46" i="22746"/>
  <c r="CZ48" i="22746"/>
  <c r="CW9" i="22746"/>
  <c r="CX61" i="22746"/>
  <c r="BX49" i="22746"/>
  <c r="BU9" i="22746"/>
  <c r="BX48" i="22746"/>
  <c r="BV61" i="22746"/>
  <c r="BV84" i="22746"/>
  <c r="BX45" i="22746"/>
  <c r="BX46" i="22746"/>
  <c r="BJ49" i="22746"/>
  <c r="BG9" i="22746"/>
  <c r="BJ48" i="22746"/>
  <c r="BH61" i="22746"/>
  <c r="BJ46" i="22746"/>
  <c r="BJ45" i="22746"/>
  <c r="AO46" i="22746"/>
  <c r="AO49" i="22746"/>
  <c r="AL9" i="22746"/>
  <c r="AO45" i="22746"/>
  <c r="AO48" i="22746"/>
  <c r="J10" i="22746"/>
  <c r="M10" i="22746"/>
  <c r="F10" i="22746"/>
  <c r="AO11" i="22746"/>
  <c r="AO43" i="22746"/>
  <c r="AL11" i="22746"/>
  <c r="Y11" i="22746"/>
  <c r="AO47" i="22746"/>
  <c r="CS43" i="22746"/>
  <c r="CS11" i="22746"/>
  <c r="CP11" i="22746"/>
  <c r="CW11" i="22746"/>
  <c r="CZ11" i="22746"/>
  <c r="CZ43" i="22746"/>
  <c r="AZ11" i="22746"/>
  <c r="BC11" i="22746"/>
  <c r="BC43" i="22746"/>
  <c r="BU11" i="22746"/>
  <c r="BX43" i="22746"/>
  <c r="BX11" i="22746"/>
  <c r="M11" i="22746"/>
  <c r="M43" i="22746"/>
  <c r="J11" i="22746"/>
  <c r="F43" i="22746"/>
  <c r="CB11" i="22746"/>
  <c r="CE43" i="22746"/>
  <c r="CE11" i="22746"/>
  <c r="BJ43" i="22746"/>
  <c r="BG11" i="22746"/>
  <c r="BJ11" i="22746"/>
  <c r="BQ43" i="22746"/>
  <c r="BN11" i="22746"/>
  <c r="BQ11" i="22746"/>
  <c r="T11" i="22746"/>
  <c r="Q11" i="22746"/>
  <c r="T43" i="22746"/>
  <c r="CL11" i="22746"/>
  <c r="CI11" i="22746"/>
  <c r="CI13" i="22746" s="1"/>
  <c r="CL43" i="22746"/>
  <c r="AE11" i="22746"/>
  <c r="AH43" i="22746"/>
  <c r="AH11" i="22746"/>
  <c r="BC47" i="22746"/>
  <c r="CZ47" i="22746"/>
  <c r="CS47" i="22746"/>
  <c r="BJ47" i="22746"/>
  <c r="F47" i="22746"/>
  <c r="CL47" i="22746"/>
  <c r="AV50" i="22746"/>
  <c r="E128" i="22745"/>
  <c r="D152" i="22745" s="1"/>
  <c r="BC66" i="3" l="1"/>
  <c r="BC72" i="3" s="1"/>
  <c r="BC54" i="3"/>
  <c r="BD51" i="3"/>
  <c r="AW24" i="3"/>
  <c r="AW40" i="3"/>
  <c r="AW42" i="3"/>
  <c r="AW52" i="3"/>
  <c r="AW54" i="3"/>
  <c r="AW37" i="3"/>
  <c r="AW29" i="3"/>
  <c r="AW36" i="3"/>
  <c r="AW28" i="3"/>
  <c r="AW19" i="3"/>
  <c r="AW35" i="3"/>
  <c r="AW27" i="3"/>
  <c r="AW22" i="3"/>
  <c r="AW20" i="3"/>
  <c r="AW38" i="3"/>
  <c r="AW30" i="3"/>
  <c r="AW33" i="3"/>
  <c r="AW25" i="3"/>
  <c r="AW32" i="3"/>
  <c r="AW31" i="3"/>
  <c r="AW34" i="3"/>
  <c r="AW26" i="3"/>
  <c r="AW21" i="3"/>
  <c r="AW39" i="3"/>
  <c r="AW53" i="3"/>
  <c r="AW45" i="3"/>
  <c r="AW43" i="3"/>
  <c r="AW44" i="3"/>
  <c r="AW41" i="3"/>
  <c r="AW49" i="3"/>
  <c r="AW48" i="3"/>
  <c r="AW50" i="3"/>
  <c r="AW23" i="3"/>
  <c r="AW47" i="3"/>
  <c r="AW46" i="3"/>
  <c r="AW51" i="3"/>
  <c r="CT24" i="3"/>
  <c r="CT40" i="3"/>
  <c r="CT52" i="3"/>
  <c r="CT42" i="3"/>
  <c r="CT54" i="3"/>
  <c r="CT36" i="3"/>
  <c r="CT28" i="3"/>
  <c r="CT21" i="3"/>
  <c r="CT37" i="3"/>
  <c r="CT19" i="3"/>
  <c r="CT38" i="3"/>
  <c r="CT30" i="3"/>
  <c r="CT31" i="3"/>
  <c r="CT29" i="3"/>
  <c r="CT32" i="3"/>
  <c r="CT26" i="3"/>
  <c r="CT22" i="3"/>
  <c r="CT33" i="3"/>
  <c r="CT27" i="3"/>
  <c r="CT34" i="3"/>
  <c r="CT35" i="3"/>
  <c r="CT25" i="3"/>
  <c r="CT20" i="3"/>
  <c r="CT39" i="3"/>
  <c r="CT43" i="3"/>
  <c r="CT44" i="3"/>
  <c r="CT53" i="3"/>
  <c r="CT45" i="3"/>
  <c r="CT41" i="3"/>
  <c r="CT47" i="3"/>
  <c r="CT23" i="3"/>
  <c r="CT48" i="3"/>
  <c r="CT46" i="3"/>
  <c r="CT49" i="3"/>
  <c r="CT50" i="3"/>
  <c r="CM24" i="3"/>
  <c r="CM40" i="3"/>
  <c r="CM42" i="3"/>
  <c r="CM52" i="3"/>
  <c r="CM54" i="3"/>
  <c r="CM37" i="3"/>
  <c r="CM29" i="3"/>
  <c r="CM38" i="3"/>
  <c r="CM30" i="3"/>
  <c r="CM35" i="3"/>
  <c r="CM27" i="3"/>
  <c r="CM36" i="3"/>
  <c r="CM28" i="3"/>
  <c r="CM21" i="3"/>
  <c r="CM33" i="3"/>
  <c r="CM25" i="3"/>
  <c r="CM34" i="3"/>
  <c r="CM26" i="3"/>
  <c r="CM19" i="3"/>
  <c r="CM31" i="3"/>
  <c r="CM22" i="3"/>
  <c r="CM20" i="3"/>
  <c r="CM32" i="3"/>
  <c r="CM39" i="3"/>
  <c r="CM43" i="3"/>
  <c r="CM53" i="3"/>
  <c r="CM45" i="3"/>
  <c r="CM41" i="3"/>
  <c r="CM47" i="3"/>
  <c r="CM46" i="3"/>
  <c r="CM49" i="3"/>
  <c r="CM48" i="3"/>
  <c r="CM50" i="3"/>
  <c r="CM44" i="3"/>
  <c r="CM23" i="3"/>
  <c r="M54" i="3"/>
  <c r="N51" i="3"/>
  <c r="CF24" i="3"/>
  <c r="CF40" i="3"/>
  <c r="CF42" i="3"/>
  <c r="CF52" i="3"/>
  <c r="CF54" i="3"/>
  <c r="CF20" i="3"/>
  <c r="CF36" i="3"/>
  <c r="CF28" i="3"/>
  <c r="CF22" i="3"/>
  <c r="CF37" i="3"/>
  <c r="CF29" i="3"/>
  <c r="CF34" i="3"/>
  <c r="CF31" i="3"/>
  <c r="CF32" i="3"/>
  <c r="CF26" i="3"/>
  <c r="CF33" i="3"/>
  <c r="CF25" i="3"/>
  <c r="CF38" i="3"/>
  <c r="CF30" i="3"/>
  <c r="CF19" i="3"/>
  <c r="CF35" i="3"/>
  <c r="CF27" i="3"/>
  <c r="CF21" i="3"/>
  <c r="CF39" i="3"/>
  <c r="CF43" i="3"/>
  <c r="CF44" i="3"/>
  <c r="CF41" i="3"/>
  <c r="CF48" i="3"/>
  <c r="CF45" i="3"/>
  <c r="CF53" i="3"/>
  <c r="CF47" i="3"/>
  <c r="CF46" i="3"/>
  <c r="CF23" i="3"/>
  <c r="CF49" i="3"/>
  <c r="CF50" i="3"/>
  <c r="AB54" i="3"/>
  <c r="AB18" i="3"/>
  <c r="AB24" i="3"/>
  <c r="AB40" i="3"/>
  <c r="AB42" i="3"/>
  <c r="AB52" i="3"/>
  <c r="AB36" i="3"/>
  <c r="AB28" i="3"/>
  <c r="AB35" i="3"/>
  <c r="AB27" i="3"/>
  <c r="AB34" i="3"/>
  <c r="AB37" i="3"/>
  <c r="AB29" i="3"/>
  <c r="AB32" i="3"/>
  <c r="AB26" i="3"/>
  <c r="AB31" i="3"/>
  <c r="AB38" i="3"/>
  <c r="AB30" i="3"/>
  <c r="AB21" i="3"/>
  <c r="AB33" i="3"/>
  <c r="AB25" i="3"/>
  <c r="AB39" i="3"/>
  <c r="AB43" i="3"/>
  <c r="AB53" i="3"/>
  <c r="AB44" i="3"/>
  <c r="AB41" i="3"/>
  <c r="AB45" i="3"/>
  <c r="AB22" i="3"/>
  <c r="AB19" i="3"/>
  <c r="AB20" i="3"/>
  <c r="AB23" i="3"/>
  <c r="AB48" i="3"/>
  <c r="AB47" i="3"/>
  <c r="AB46" i="3"/>
  <c r="AB49" i="3"/>
  <c r="AB50" i="3"/>
  <c r="AP24" i="3"/>
  <c r="AP40" i="3"/>
  <c r="AP42" i="3"/>
  <c r="AP52" i="3"/>
  <c r="AP54" i="3"/>
  <c r="AP20" i="3"/>
  <c r="AP36" i="3"/>
  <c r="AP28" i="3"/>
  <c r="AP31" i="3"/>
  <c r="AP34" i="3"/>
  <c r="AP37" i="3"/>
  <c r="AP29" i="3"/>
  <c r="AP21" i="3"/>
  <c r="AP32" i="3"/>
  <c r="AP26" i="3"/>
  <c r="AP22" i="3"/>
  <c r="AP35" i="3"/>
  <c r="AP27" i="3"/>
  <c r="AP38" i="3"/>
  <c r="AP30" i="3"/>
  <c r="AP19" i="3"/>
  <c r="AP33" i="3"/>
  <c r="AP25" i="3"/>
  <c r="AP39" i="3"/>
  <c r="AP45" i="3"/>
  <c r="AP43" i="3"/>
  <c r="AP53" i="3"/>
  <c r="AP48" i="3"/>
  <c r="AP44" i="3"/>
  <c r="AP41" i="3"/>
  <c r="AP47" i="3"/>
  <c r="AP49" i="3"/>
  <c r="AP46" i="3"/>
  <c r="AP23" i="3"/>
  <c r="AP50" i="3"/>
  <c r="BR24" i="3"/>
  <c r="BR40" i="3"/>
  <c r="BR42" i="3"/>
  <c r="BR52" i="3"/>
  <c r="BR54" i="3"/>
  <c r="BR36" i="3"/>
  <c r="BR28" i="3"/>
  <c r="BR31" i="3"/>
  <c r="BR34" i="3"/>
  <c r="BR37" i="3"/>
  <c r="BR29" i="3"/>
  <c r="BR32" i="3"/>
  <c r="BR26" i="3"/>
  <c r="BR22" i="3"/>
  <c r="BR20" i="3"/>
  <c r="BR35" i="3"/>
  <c r="BR27" i="3"/>
  <c r="BR21" i="3"/>
  <c r="BR38" i="3"/>
  <c r="BR30" i="3"/>
  <c r="BR33" i="3"/>
  <c r="BR25" i="3"/>
  <c r="BR19" i="3"/>
  <c r="BR39" i="3"/>
  <c r="BR43" i="3"/>
  <c r="BR44" i="3"/>
  <c r="BR53" i="3"/>
  <c r="BR41" i="3"/>
  <c r="BR45" i="3"/>
  <c r="BR49" i="3"/>
  <c r="BR48" i="3"/>
  <c r="BR50" i="3"/>
  <c r="BR46" i="3"/>
  <c r="BR23" i="3"/>
  <c r="BR47" i="3"/>
  <c r="BK24" i="3"/>
  <c r="BK40" i="3"/>
  <c r="BK42" i="3"/>
  <c r="BK52" i="3"/>
  <c r="BK54" i="3"/>
  <c r="BK20" i="3"/>
  <c r="BK37" i="3"/>
  <c r="BK29" i="3"/>
  <c r="BK38" i="3"/>
  <c r="BK30" i="3"/>
  <c r="BK21" i="3"/>
  <c r="BK35" i="3"/>
  <c r="BK27" i="3"/>
  <c r="BK19" i="3"/>
  <c r="BK36" i="3"/>
  <c r="BK28" i="3"/>
  <c r="BK33" i="3"/>
  <c r="BK25" i="3"/>
  <c r="BK34" i="3"/>
  <c r="BK26" i="3"/>
  <c r="BK31" i="3"/>
  <c r="BK22" i="3"/>
  <c r="BK32" i="3"/>
  <c r="BK39" i="3"/>
  <c r="BK45" i="3"/>
  <c r="BK53" i="3"/>
  <c r="BK43" i="3"/>
  <c r="BK41" i="3"/>
  <c r="BK46" i="3"/>
  <c r="BK48" i="3"/>
  <c r="BK44" i="3"/>
  <c r="BK23" i="3"/>
  <c r="BK49" i="3"/>
  <c r="BK47" i="3"/>
  <c r="BK50" i="3"/>
  <c r="CT51" i="3"/>
  <c r="CM51" i="3"/>
  <c r="BK51" i="3"/>
  <c r="DA24" i="3"/>
  <c r="DA40" i="3"/>
  <c r="DA52" i="3"/>
  <c r="DA54" i="3"/>
  <c r="DA42" i="3"/>
  <c r="DA20" i="3"/>
  <c r="DA37" i="3"/>
  <c r="DA29" i="3"/>
  <c r="DA38" i="3"/>
  <c r="DA30" i="3"/>
  <c r="DA31" i="3"/>
  <c r="DA22" i="3"/>
  <c r="DA19" i="3"/>
  <c r="DA32" i="3"/>
  <c r="DA33" i="3"/>
  <c r="DA25" i="3"/>
  <c r="DA34" i="3"/>
  <c r="DA26" i="3"/>
  <c r="DA21" i="3"/>
  <c r="DA35" i="3"/>
  <c r="DA27" i="3"/>
  <c r="DA36" i="3"/>
  <c r="DA28" i="3"/>
  <c r="DA39" i="3"/>
  <c r="DA43" i="3"/>
  <c r="DA45" i="3"/>
  <c r="DA53" i="3"/>
  <c r="DA41" i="3"/>
  <c r="DA23" i="3"/>
  <c r="DA49" i="3"/>
  <c r="DA47" i="3"/>
  <c r="DA50" i="3"/>
  <c r="DA46" i="3"/>
  <c r="DA44" i="3"/>
  <c r="DA48" i="3"/>
  <c r="CF51" i="3"/>
  <c r="AB51" i="3"/>
  <c r="AP51" i="3"/>
  <c r="BR51" i="3"/>
  <c r="BY24" i="3"/>
  <c r="BY40" i="3"/>
  <c r="BY42" i="3"/>
  <c r="BY52" i="3"/>
  <c r="BY54" i="3"/>
  <c r="BY37" i="3"/>
  <c r="BY29" i="3"/>
  <c r="BY36" i="3"/>
  <c r="BY28" i="3"/>
  <c r="BY20" i="3"/>
  <c r="BY35" i="3"/>
  <c r="BY27" i="3"/>
  <c r="BY22" i="3"/>
  <c r="BY38" i="3"/>
  <c r="BY30" i="3"/>
  <c r="BY19" i="3"/>
  <c r="BY33" i="3"/>
  <c r="BY25" i="3"/>
  <c r="BY21" i="3"/>
  <c r="BY32" i="3"/>
  <c r="BY31" i="3"/>
  <c r="BY34" i="3"/>
  <c r="BY26" i="3"/>
  <c r="BY39" i="3"/>
  <c r="BY53" i="3"/>
  <c r="BY43" i="3"/>
  <c r="BY48" i="3"/>
  <c r="BY44" i="3"/>
  <c r="BY45" i="3"/>
  <c r="BY41" i="3"/>
  <c r="BY47" i="3"/>
  <c r="BY49" i="3"/>
  <c r="BY50" i="3"/>
  <c r="BY23" i="3"/>
  <c r="BY46" i="3"/>
  <c r="F49" i="4"/>
  <c r="C72" i="4"/>
  <c r="F72" i="4" s="1"/>
  <c r="D69" i="4"/>
  <c r="D70" i="4" s="1"/>
  <c r="C192" i="4"/>
  <c r="H212" i="22715" s="1"/>
  <c r="H209" i="22715"/>
  <c r="CS72" i="3"/>
  <c r="C191" i="4"/>
  <c r="H211" i="22715" s="1"/>
  <c r="C193" i="4"/>
  <c r="H213" i="22715" s="1"/>
  <c r="H188" i="22715"/>
  <c r="M72" i="3"/>
  <c r="AA94" i="3"/>
  <c r="D106" i="22751"/>
  <c r="H106" i="22751" s="1"/>
  <c r="H104" i="22751"/>
  <c r="E141" i="2"/>
  <c r="F141" i="2" s="1"/>
  <c r="F70" i="2"/>
  <c r="F26" i="2"/>
  <c r="F18" i="2"/>
  <c r="F53" i="2"/>
  <c r="F59" i="2"/>
  <c r="F30" i="2"/>
  <c r="F56" i="2"/>
  <c r="F51" i="2"/>
  <c r="F66" i="2"/>
  <c r="F68" i="2"/>
  <c r="F37" i="2"/>
  <c r="F33" i="2"/>
  <c r="F16" i="2"/>
  <c r="F54" i="2"/>
  <c r="F17" i="2"/>
  <c r="F83" i="2"/>
  <c r="F25" i="2"/>
  <c r="F10" i="2"/>
  <c r="F69" i="2"/>
  <c r="F13" i="2"/>
  <c r="F19" i="2"/>
  <c r="F32" i="2"/>
  <c r="F75" i="2"/>
  <c r="F8" i="2"/>
  <c r="F23" i="2"/>
  <c r="F36" i="2"/>
  <c r="F31" i="2"/>
  <c r="F34" i="2"/>
  <c r="F55" i="2"/>
  <c r="F22" i="2"/>
  <c r="F58" i="2"/>
  <c r="F77" i="2"/>
  <c r="F38" i="2"/>
  <c r="F14" i="2"/>
  <c r="F21" i="2"/>
  <c r="F72" i="2"/>
  <c r="F74" i="2"/>
  <c r="F12" i="2"/>
  <c r="F76" i="2"/>
  <c r="F52" i="2"/>
  <c r="E84" i="2"/>
  <c r="F62" i="2"/>
  <c r="F47" i="2"/>
  <c r="F27" i="2"/>
  <c r="F78" i="2"/>
  <c r="F71" i="2"/>
  <c r="F60" i="2"/>
  <c r="F79" i="2"/>
  <c r="F11" i="2"/>
  <c r="F61" i="2"/>
  <c r="F80" i="2"/>
  <c r="F20" i="2"/>
  <c r="F29" i="2"/>
  <c r="F73" i="2"/>
  <c r="F67" i="2"/>
  <c r="F24" i="2"/>
  <c r="F39" i="2"/>
  <c r="M50" i="22746"/>
  <c r="M53" i="22746" s="1"/>
  <c r="B93" i="4"/>
  <c r="F91" i="4"/>
  <c r="D93" i="4"/>
  <c r="B72" i="22715"/>
  <c r="C72" i="22715" s="1"/>
  <c r="B160" i="4"/>
  <c r="H134" i="22715" s="1"/>
  <c r="F65" i="4"/>
  <c r="B202" i="4"/>
  <c r="E104" i="2"/>
  <c r="AM86" i="22746"/>
  <c r="BO44" i="3"/>
  <c r="BH45" i="3"/>
  <c r="AU10" i="3"/>
  <c r="AV10" i="3" s="1"/>
  <c r="AV13" i="3" s="1"/>
  <c r="AU13" i="3" s="1"/>
  <c r="C58" i="1"/>
  <c r="AO16" i="3"/>
  <c r="D27" i="22714"/>
  <c r="AH94" i="3"/>
  <c r="C88" i="22752"/>
  <c r="F88" i="22752" s="1"/>
  <c r="BW9" i="3"/>
  <c r="BX9" i="3" s="1"/>
  <c r="B62" i="1"/>
  <c r="F87" i="22752"/>
  <c r="AD86" i="22746"/>
  <c r="AR86" i="22746"/>
  <c r="F91" i="22747"/>
  <c r="B152" i="22747" s="1"/>
  <c r="B156" i="22747" s="1"/>
  <c r="CJ86" i="22746"/>
  <c r="AV84" i="22746"/>
  <c r="AV86" i="22746" s="1"/>
  <c r="BG13" i="22746"/>
  <c r="CB13" i="22746"/>
  <c r="CW13" i="22746"/>
  <c r="AL13" i="22746"/>
  <c r="BU13" i="22746"/>
  <c r="AE13" i="22746"/>
  <c r="AZ13" i="22746"/>
  <c r="BN13" i="22746"/>
  <c r="C13" i="22746"/>
  <c r="Q13" i="22746"/>
  <c r="CP13" i="22746"/>
  <c r="J13" i="22746"/>
  <c r="F13" i="22746"/>
  <c r="F16" i="22746" s="1"/>
  <c r="F93" i="22746" s="1"/>
  <c r="AA84" i="22746"/>
  <c r="AA86" i="22746" s="1"/>
  <c r="K86" i="22746"/>
  <c r="AH84" i="22746"/>
  <c r="AH86" i="22746" s="1"/>
  <c r="BJ84" i="22746"/>
  <c r="BJ86" i="22746" s="1"/>
  <c r="H102" i="22750"/>
  <c r="Y86" i="22746"/>
  <c r="F127" i="22747"/>
  <c r="J69" i="22715" s="1"/>
  <c r="D65" i="22715"/>
  <c r="BX50" i="22746"/>
  <c r="T13" i="22746"/>
  <c r="S13" i="22746" s="1"/>
  <c r="T50" i="22746"/>
  <c r="T53" i="22746" s="1"/>
  <c r="CE50" i="22746"/>
  <c r="CL84" i="22746"/>
  <c r="CL86" i="22746" s="1"/>
  <c r="B93" i="22747"/>
  <c r="D70" i="22715" s="1"/>
  <c r="I86" i="22746"/>
  <c r="CO86" i="22746"/>
  <c r="BM86" i="22746"/>
  <c r="CQ86" i="22746"/>
  <c r="D86" i="22746"/>
  <c r="BC84" i="22746"/>
  <c r="BC86" i="22746" s="1"/>
  <c r="AN10" i="22746"/>
  <c r="AO10" i="22746" s="1"/>
  <c r="C57" i="22744"/>
  <c r="AO84" i="22746"/>
  <c r="AO86" i="22746" s="1"/>
  <c r="BO86" i="22746"/>
  <c r="BH86" i="22746"/>
  <c r="M13" i="22746"/>
  <c r="B86" i="22746"/>
  <c r="BA86" i="22746"/>
  <c r="AO50" i="22746"/>
  <c r="AH50" i="22746"/>
  <c r="BQ50" i="22746"/>
  <c r="J208" i="22715"/>
  <c r="I208" i="22715" s="1"/>
  <c r="T84" i="22746"/>
  <c r="T86" i="22746" s="1"/>
  <c r="R86" i="22746"/>
  <c r="P86" i="22746"/>
  <c r="CA86" i="22746"/>
  <c r="CC86" i="22746"/>
  <c r="CE84" i="22746"/>
  <c r="CE86" i="22746" s="1"/>
  <c r="CS50" i="22746"/>
  <c r="BX84" i="22746"/>
  <c r="BX86" i="22746" s="1"/>
  <c r="BV86" i="22746"/>
  <c r="BT86" i="22746"/>
  <c r="CV86" i="22746"/>
  <c r="CZ84" i="22746"/>
  <c r="CZ86" i="22746" s="1"/>
  <c r="CX86" i="22746"/>
  <c r="C82" i="22749"/>
  <c r="AG9" i="22746"/>
  <c r="AH9" i="22746" s="1"/>
  <c r="AH13" i="22746" s="1"/>
  <c r="B56" i="22744"/>
  <c r="Y39" i="22746"/>
  <c r="AA39" i="22746" s="1"/>
  <c r="F81" i="22749"/>
  <c r="BJ50" i="22746"/>
  <c r="BC50" i="22746"/>
  <c r="AA11" i="22746"/>
  <c r="AA13" i="22746" s="1"/>
  <c r="X11" i="22746"/>
  <c r="X13" i="22746" s="1"/>
  <c r="AA43" i="22746"/>
  <c r="AA47" i="22746"/>
  <c r="F42" i="22747"/>
  <c r="F46" i="22747"/>
  <c r="CL50" i="22746"/>
  <c r="F50" i="22746"/>
  <c r="F53" i="22746" s="1"/>
  <c r="CZ50" i="22746"/>
  <c r="J112" i="22715"/>
  <c r="C106" i="22750"/>
  <c r="H106" i="22750" s="1"/>
  <c r="F142" i="22745"/>
  <c r="F124" i="22745"/>
  <c r="F138" i="22745"/>
  <c r="F127" i="22745"/>
  <c r="F128" i="22745"/>
  <c r="F139" i="22745"/>
  <c r="D153" i="22745"/>
  <c r="F126" i="22745"/>
  <c r="F143" i="22745"/>
  <c r="F140" i="22745"/>
  <c r="F123" i="22745"/>
  <c r="F122" i="22745"/>
  <c r="F137" i="22745"/>
  <c r="F141" i="22745"/>
  <c r="F121" i="22745"/>
  <c r="F125" i="22745"/>
  <c r="E144" i="2" l="1"/>
  <c r="D153" i="2" s="1"/>
  <c r="E153" i="2" s="1"/>
  <c r="C108" i="22751"/>
  <c r="H108" i="22751" s="1"/>
  <c r="N24" i="3"/>
  <c r="N38" i="3"/>
  <c r="N42" i="3"/>
  <c r="N52" i="3"/>
  <c r="N54" i="3"/>
  <c r="N22" i="3"/>
  <c r="N21" i="3"/>
  <c r="N19" i="3"/>
  <c r="N31" i="3"/>
  <c r="N26" i="3"/>
  <c r="N34" i="3"/>
  <c r="N20" i="3"/>
  <c r="N33" i="3"/>
  <c r="N28" i="3"/>
  <c r="N36" i="3"/>
  <c r="N27" i="3"/>
  <c r="N35" i="3"/>
  <c r="N30" i="3"/>
  <c r="N25" i="3"/>
  <c r="N29" i="3"/>
  <c r="N37" i="3"/>
  <c r="N32" i="3"/>
  <c r="N39" i="3"/>
  <c r="N23" i="3"/>
  <c r="N43" i="3"/>
  <c r="N41" i="3"/>
  <c r="N45" i="3"/>
  <c r="N53" i="3"/>
  <c r="N40" i="3"/>
  <c r="N44" i="3"/>
  <c r="N46" i="3"/>
  <c r="N48" i="3"/>
  <c r="N49" i="3"/>
  <c r="N47" i="3"/>
  <c r="N50" i="3"/>
  <c r="BD24" i="3"/>
  <c r="BD40" i="3"/>
  <c r="BD42" i="3"/>
  <c r="BD52" i="3"/>
  <c r="BD54" i="3"/>
  <c r="BD36" i="3"/>
  <c r="BD28" i="3"/>
  <c r="BD22" i="3"/>
  <c r="BD21" i="3"/>
  <c r="BD37" i="3"/>
  <c r="BD29" i="3"/>
  <c r="BD34" i="3"/>
  <c r="BD31" i="3"/>
  <c r="BD20" i="3"/>
  <c r="BD32" i="3"/>
  <c r="BD26" i="3"/>
  <c r="BD33" i="3"/>
  <c r="BD25" i="3"/>
  <c r="BD19" i="3"/>
  <c r="BD38" i="3"/>
  <c r="BD30" i="3"/>
  <c r="BD35" i="3"/>
  <c r="BD27" i="3"/>
  <c r="BD39" i="3"/>
  <c r="BD45" i="3"/>
  <c r="BD43" i="3"/>
  <c r="BD53" i="3"/>
  <c r="BD41" i="3"/>
  <c r="BD44" i="3"/>
  <c r="BD48" i="3"/>
  <c r="BD23" i="3"/>
  <c r="BD47" i="3"/>
  <c r="BD50" i="3"/>
  <c r="BD49" i="3"/>
  <c r="BD46" i="3"/>
  <c r="F69" i="4"/>
  <c r="H113" i="22751"/>
  <c r="F84" i="2"/>
  <c r="F82" i="2"/>
  <c r="B201" i="4"/>
  <c r="B152" i="4"/>
  <c r="B205" i="4"/>
  <c r="B212" i="4" s="1"/>
  <c r="H260" i="22715" s="1"/>
  <c r="F93" i="4"/>
  <c r="F70" i="4"/>
  <c r="K70" i="4"/>
  <c r="C43" i="22714"/>
  <c r="C44" i="22714" s="1"/>
  <c r="B68" i="22715"/>
  <c r="B65" i="22715"/>
  <c r="F127" i="4"/>
  <c r="H69" i="22715" s="1"/>
  <c r="I69" i="22715" s="1"/>
  <c r="B66" i="22715"/>
  <c r="B70" i="22715"/>
  <c r="C70" i="22715" s="1"/>
  <c r="BV44" i="3"/>
  <c r="BO45" i="3"/>
  <c r="F144" i="2"/>
  <c r="E113" i="2"/>
  <c r="F104" i="2" s="1"/>
  <c r="BB10" i="3"/>
  <c r="BC10" i="3" s="1"/>
  <c r="BC13" i="3" s="1"/>
  <c r="BB13" i="3" s="1"/>
  <c r="C59" i="1"/>
  <c r="D28" i="22714"/>
  <c r="AO94" i="3"/>
  <c r="AV16" i="3"/>
  <c r="CD9" i="3"/>
  <c r="CE9" i="3" s="1"/>
  <c r="B63" i="1"/>
  <c r="C89" i="22752"/>
  <c r="B205" i="22747"/>
  <c r="B212" i="22747" s="1"/>
  <c r="J260" i="22715" s="1"/>
  <c r="F93" i="22747"/>
  <c r="B136" i="22747" s="1"/>
  <c r="J79" i="22715" s="1"/>
  <c r="D44" i="22715"/>
  <c r="C44" i="22715" s="1"/>
  <c r="D71" i="22715"/>
  <c r="M16" i="22746"/>
  <c r="D24" i="22748" s="1"/>
  <c r="L13" i="22746"/>
  <c r="T16" i="22746"/>
  <c r="T93" i="22746" s="1"/>
  <c r="D68" i="22715"/>
  <c r="D66" i="22715"/>
  <c r="D23" i="22748"/>
  <c r="AU10" i="22746"/>
  <c r="AV10" i="22746" s="1"/>
  <c r="C58" i="22744"/>
  <c r="B160" i="22747"/>
  <c r="J134" i="22715" s="1"/>
  <c r="I134" i="22715" s="1"/>
  <c r="AH16" i="22746"/>
  <c r="AH93" i="22746" s="1"/>
  <c r="AG13" i="22746"/>
  <c r="C83" i="22749"/>
  <c r="B57" i="22744"/>
  <c r="AN9" i="22746"/>
  <c r="AO9" i="22746" s="1"/>
  <c r="AO13" i="22746" s="1"/>
  <c r="F82" i="22749"/>
  <c r="AF39" i="22746"/>
  <c r="AH39" i="22746" s="1"/>
  <c r="AH53" i="22746" s="1"/>
  <c r="AA50" i="22746"/>
  <c r="AA53" i="22746" s="1"/>
  <c r="Z13" i="22746"/>
  <c r="AA16" i="22746"/>
  <c r="C156" i="22747"/>
  <c r="C151" i="22747"/>
  <c r="C153" i="22747"/>
  <c r="J116" i="22715"/>
  <c r="C147" i="22747"/>
  <c r="C155" i="22747"/>
  <c r="C149" i="22747"/>
  <c r="C150" i="22747"/>
  <c r="C154" i="22747"/>
  <c r="C148" i="22747"/>
  <c r="C152" i="22747"/>
  <c r="H111" i="22750"/>
  <c r="D154" i="2" l="1"/>
  <c r="E154" i="2" s="1"/>
  <c r="K76" i="4"/>
  <c r="F124" i="4" s="1"/>
  <c r="H40" i="22715" s="1"/>
  <c r="F76" i="4"/>
  <c r="C68" i="22715"/>
  <c r="I260" i="22715"/>
  <c r="B71" i="22715"/>
  <c r="C71" i="22715" s="1"/>
  <c r="C65" i="22715"/>
  <c r="C66" i="22715"/>
  <c r="B136" i="4"/>
  <c r="H79" i="22715" s="1"/>
  <c r="I79" i="22715" s="1"/>
  <c r="F118" i="4"/>
  <c r="B156" i="4"/>
  <c r="C152" i="4" s="1"/>
  <c r="H112" i="22715"/>
  <c r="B211" i="4"/>
  <c r="B207" i="4"/>
  <c r="H236" i="22715" s="1"/>
  <c r="F106" i="2"/>
  <c r="F98" i="2"/>
  <c r="F93" i="2"/>
  <c r="F97" i="2"/>
  <c r="F113" i="2"/>
  <c r="F102" i="2"/>
  <c r="F107" i="2"/>
  <c r="F108" i="2"/>
  <c r="F112" i="2"/>
  <c r="F90" i="2"/>
  <c r="F88" i="2"/>
  <c r="E115" i="2"/>
  <c r="F92" i="2"/>
  <c r="F89" i="2"/>
  <c r="F110" i="2"/>
  <c r="F99" i="2"/>
  <c r="F101" i="2"/>
  <c r="F100" i="2"/>
  <c r="F111" i="2"/>
  <c r="F87" i="2"/>
  <c r="F91" i="2"/>
  <c r="D151" i="2"/>
  <c r="E151" i="2" s="1"/>
  <c r="F103" i="2"/>
  <c r="D152" i="2"/>
  <c r="E152" i="2" s="1"/>
  <c r="F94" i="2"/>
  <c r="F95" i="2"/>
  <c r="F96" i="2"/>
  <c r="CC44" i="3"/>
  <c r="BV45" i="3"/>
  <c r="BI10" i="3"/>
  <c r="BJ10" i="3" s="1"/>
  <c r="C60" i="1"/>
  <c r="D29" i="22714"/>
  <c r="AV94" i="3"/>
  <c r="BC16" i="3"/>
  <c r="F89" i="22752"/>
  <c r="C90" i="22752"/>
  <c r="F90" i="22752" s="1"/>
  <c r="B64" i="1"/>
  <c r="CK9" i="3"/>
  <c r="CL9" i="3" s="1"/>
  <c r="M93" i="22746"/>
  <c r="F118" i="22747"/>
  <c r="D25" i="22748"/>
  <c r="D27" i="22748"/>
  <c r="C59" i="22744"/>
  <c r="BB10" i="22746"/>
  <c r="BC10" i="22746" s="1"/>
  <c r="B58" i="22744"/>
  <c r="AU9" i="22746"/>
  <c r="AV9" i="22746" s="1"/>
  <c r="AV13" i="22746" s="1"/>
  <c r="C84" i="22749"/>
  <c r="AN13" i="22746"/>
  <c r="AO16" i="22746"/>
  <c r="F83" i="22749"/>
  <c r="AM39" i="22746"/>
  <c r="AO39" i="22746" s="1"/>
  <c r="AO53" i="22746" s="1"/>
  <c r="AA93" i="22746"/>
  <c r="D26" i="22748"/>
  <c r="J119" i="22715"/>
  <c r="J115" i="22715"/>
  <c r="J120" i="22715"/>
  <c r="J118" i="22715"/>
  <c r="BJ13" i="3" l="1"/>
  <c r="BI13" i="3" s="1"/>
  <c r="B213" i="4"/>
  <c r="C211" i="4" s="1"/>
  <c r="H264" i="22715" s="1"/>
  <c r="H259" i="22715"/>
  <c r="B162" i="4"/>
  <c r="H136" i="22715" s="1"/>
  <c r="B27" i="22715"/>
  <c r="C27" i="22715" s="1"/>
  <c r="E62" i="22747" s="1"/>
  <c r="I112" i="22715"/>
  <c r="C150" i="4"/>
  <c r="C149" i="4"/>
  <c r="H116" i="22715"/>
  <c r="C154" i="4"/>
  <c r="C148" i="4"/>
  <c r="C151" i="4"/>
  <c r="C153" i="4"/>
  <c r="C156" i="4"/>
  <c r="C155" i="4"/>
  <c r="C147" i="4"/>
  <c r="CC45" i="3"/>
  <c r="CJ44" i="3"/>
  <c r="E156" i="2"/>
  <c r="C61" i="1"/>
  <c r="C62" i="1" s="1"/>
  <c r="BW10" i="3"/>
  <c r="BX10" i="3" s="1"/>
  <c r="BX13" i="3" s="1"/>
  <c r="BW13" i="3" s="1"/>
  <c r="BP10" i="3"/>
  <c r="BQ10" i="3" s="1"/>
  <c r="BQ13" i="3" s="1"/>
  <c r="BP13" i="3" s="1"/>
  <c r="D30" i="22714"/>
  <c r="BC94" i="3"/>
  <c r="BJ16" i="3"/>
  <c r="CR9" i="3"/>
  <c r="CS9" i="3" s="1"/>
  <c r="C91" i="22752"/>
  <c r="B65" i="1"/>
  <c r="BI10" i="22746"/>
  <c r="BJ10" i="22746" s="1"/>
  <c r="C60" i="22744"/>
  <c r="AO93" i="22746"/>
  <c r="D28" i="22748"/>
  <c r="AT39" i="22746"/>
  <c r="AV39" i="22746" s="1"/>
  <c r="AV53" i="22746" s="1"/>
  <c r="F84" i="22749"/>
  <c r="C85" i="22749"/>
  <c r="BB9" i="22746"/>
  <c r="BC9" i="22746" s="1"/>
  <c r="BC13" i="22746" s="1"/>
  <c r="B59" i="22744"/>
  <c r="AV16" i="22746"/>
  <c r="AU13" i="22746"/>
  <c r="J121" i="22715"/>
  <c r="L67" i="22746" l="1"/>
  <c r="Z67" i="22746"/>
  <c r="AN67" i="22746"/>
  <c r="BB67" i="22746"/>
  <c r="BP67" i="22746"/>
  <c r="CD67" i="22746"/>
  <c r="CR67" i="22746"/>
  <c r="S67" i="22746"/>
  <c r="AG67" i="22746"/>
  <c r="AU67" i="22746"/>
  <c r="BI67" i="22746"/>
  <c r="BW67" i="22746"/>
  <c r="CK67" i="22746"/>
  <c r="CY67" i="22746"/>
  <c r="E66" i="22747"/>
  <c r="D69" i="22747" s="1"/>
  <c r="D70" i="22747" s="1"/>
  <c r="CY66" i="22746"/>
  <c r="CZ66" i="22746" s="1"/>
  <c r="S65" i="22746"/>
  <c r="L65" i="22746"/>
  <c r="S66" i="22746"/>
  <c r="T66" i="22746" s="1"/>
  <c r="S63" i="22746"/>
  <c r="T63" i="22746" s="1"/>
  <c r="S59" i="22746"/>
  <c r="T59" i="22746" s="1"/>
  <c r="S58" i="22746"/>
  <c r="T58" i="22746" s="1"/>
  <c r="S57" i="22746"/>
  <c r="T57" i="22746" s="1"/>
  <c r="S56" i="22746"/>
  <c r="T56" i="22746" s="1"/>
  <c r="S68" i="22746"/>
  <c r="T68" i="22746" s="1"/>
  <c r="S62" i="22746"/>
  <c r="T62" i="22746" s="1"/>
  <c r="S60" i="22746"/>
  <c r="T60" i="22746" s="1"/>
  <c r="S61" i="22746"/>
  <c r="Q67" i="22746" s="1"/>
  <c r="B69" i="1"/>
  <c r="B68" i="1"/>
  <c r="F9" i="4" s="1"/>
  <c r="H119" i="22715"/>
  <c r="H115" i="22715"/>
  <c r="H120" i="22715"/>
  <c r="I116" i="22715"/>
  <c r="H118" i="22715"/>
  <c r="BB65" i="22746"/>
  <c r="AU59" i="22746"/>
  <c r="AV59" i="22746" s="1"/>
  <c r="CD59" i="22746"/>
  <c r="CE59" i="22746" s="1"/>
  <c r="BW58" i="22746"/>
  <c r="BX58" i="22746" s="1"/>
  <c r="AU58" i="22746"/>
  <c r="AV58" i="22746" s="1"/>
  <c r="AU57" i="22746"/>
  <c r="AV57" i="22746" s="1"/>
  <c r="BI68" i="22746"/>
  <c r="BJ68" i="22746" s="1"/>
  <c r="E73" i="22747"/>
  <c r="F73" i="22747" s="1"/>
  <c r="BB68" i="22746"/>
  <c r="BC68" i="22746" s="1"/>
  <c r="BW57" i="22746"/>
  <c r="BX57" i="22746" s="1"/>
  <c r="CD58" i="22746"/>
  <c r="CE58" i="22746" s="1"/>
  <c r="CR56" i="22746"/>
  <c r="CS56" i="22746" s="1"/>
  <c r="BP63" i="22746"/>
  <c r="BQ63" i="22746" s="1"/>
  <c r="D55" i="22745"/>
  <c r="AU66" i="22746"/>
  <c r="AV66" i="22746" s="1"/>
  <c r="E66" i="22746"/>
  <c r="F66" i="22746" s="1"/>
  <c r="BB56" i="22746"/>
  <c r="BC56" i="22746" s="1"/>
  <c r="CD56" i="22746"/>
  <c r="CE56" i="22746" s="1"/>
  <c r="E63" i="22747"/>
  <c r="F63" i="22747" s="1"/>
  <c r="E71" i="22747"/>
  <c r="F71" i="22747" s="1"/>
  <c r="E65" i="22746"/>
  <c r="BB66" i="22746"/>
  <c r="BC66" i="22746" s="1"/>
  <c r="CY65" i="22746"/>
  <c r="BB62" i="22746"/>
  <c r="BC62" i="22746" s="1"/>
  <c r="CK65" i="22746"/>
  <c r="CK66" i="22746"/>
  <c r="CL66" i="22746" s="1"/>
  <c r="BW62" i="22746"/>
  <c r="BX62" i="22746" s="1"/>
  <c r="D60" i="22745"/>
  <c r="CK59" i="22746"/>
  <c r="CL59" i="22746" s="1"/>
  <c r="CR59" i="22746"/>
  <c r="CS59" i="22746" s="1"/>
  <c r="AU56" i="22746"/>
  <c r="AV56" i="22746" s="1"/>
  <c r="E63" i="22746"/>
  <c r="F63" i="22746" s="1"/>
  <c r="AU63" i="22746"/>
  <c r="AV63" i="22746" s="1"/>
  <c r="CY63" i="22746"/>
  <c r="CZ63" i="22746" s="1"/>
  <c r="AG57" i="22746"/>
  <c r="AH57" i="22746" s="1"/>
  <c r="CR60" i="22746"/>
  <c r="CS60" i="22746" s="1"/>
  <c r="BW63" i="22746"/>
  <c r="BX63" i="22746" s="1"/>
  <c r="CD66" i="22746"/>
  <c r="CE66" i="22746" s="1"/>
  <c r="CR58" i="22746"/>
  <c r="CS58" i="22746" s="1"/>
  <c r="CD60" i="22746"/>
  <c r="CE60" i="22746" s="1"/>
  <c r="BB59" i="22746"/>
  <c r="BC59" i="22746" s="1"/>
  <c r="E58" i="22746"/>
  <c r="F58" i="22746" s="1"/>
  <c r="CY68" i="22746"/>
  <c r="CZ68" i="22746" s="1"/>
  <c r="AU68" i="22746"/>
  <c r="AV68" i="22746" s="1"/>
  <c r="CR68" i="22746"/>
  <c r="CS68" i="22746" s="1"/>
  <c r="AN68" i="22746"/>
  <c r="AO68" i="22746" s="1"/>
  <c r="AN65" i="22746"/>
  <c r="AG66" i="22746"/>
  <c r="AH66" i="22746" s="1"/>
  <c r="BB58" i="22746"/>
  <c r="BC58" i="22746" s="1"/>
  <c r="AG63" i="22746"/>
  <c r="AH63" i="22746" s="1"/>
  <c r="D52" i="22745"/>
  <c r="E52" i="22745" s="1"/>
  <c r="E70" i="22747"/>
  <c r="B181" i="22747" s="1"/>
  <c r="CK56" i="22746"/>
  <c r="CL56" i="22746" s="1"/>
  <c r="CK57" i="22746"/>
  <c r="CL57" i="22746" s="1"/>
  <c r="D56" i="22745"/>
  <c r="E56" i="22745" s="1"/>
  <c r="CD57" i="22746"/>
  <c r="CE57" i="22746" s="1"/>
  <c r="AG59" i="22746"/>
  <c r="AH59" i="22746" s="1"/>
  <c r="BP66" i="22746"/>
  <c r="BQ66" i="22746" s="1"/>
  <c r="CD63" i="22746"/>
  <c r="CE63" i="22746" s="1"/>
  <c r="D54" i="22745"/>
  <c r="E54" i="22745" s="1"/>
  <c r="Z59" i="22746"/>
  <c r="AA59" i="22746" s="1"/>
  <c r="Z60" i="22746"/>
  <c r="AA60" i="22746" s="1"/>
  <c r="CR66" i="22746"/>
  <c r="CS66" i="22746" s="1"/>
  <c r="AG56" i="22746"/>
  <c r="AH56" i="22746" s="1"/>
  <c r="Z56" i="22746"/>
  <c r="AA56" i="22746" s="1"/>
  <c r="CY56" i="22746"/>
  <c r="CZ56" i="22746" s="1"/>
  <c r="E61" i="22747"/>
  <c r="F61" i="22747" s="1"/>
  <c r="AU60" i="22746"/>
  <c r="AV60" i="22746" s="1"/>
  <c r="BI65" i="22746"/>
  <c r="L66" i="22746"/>
  <c r="M66" i="22746" s="1"/>
  <c r="E56" i="22746"/>
  <c r="F56" i="22746" s="1"/>
  <c r="BP56" i="22746"/>
  <c r="BQ56" i="22746" s="1"/>
  <c r="CD65" i="22746"/>
  <c r="D61" i="22745"/>
  <c r="E61" i="22745" s="1"/>
  <c r="BI57" i="22746"/>
  <c r="BJ57" i="22746" s="1"/>
  <c r="CK62" i="22746"/>
  <c r="CL62" i="22746" s="1"/>
  <c r="AN62" i="22746"/>
  <c r="AO62" i="22746" s="1"/>
  <c r="BP60" i="22746"/>
  <c r="BQ60" i="22746" s="1"/>
  <c r="E60" i="22746"/>
  <c r="F60" i="22746" s="1"/>
  <c r="AU65" i="22746"/>
  <c r="AG68" i="22746"/>
  <c r="AH68" i="22746" s="1"/>
  <c r="Z68" i="22746"/>
  <c r="AA68" i="22746" s="1"/>
  <c r="L57" i="22746"/>
  <c r="M57" i="22746" s="1"/>
  <c r="L63" i="22746"/>
  <c r="M63" i="22746" s="1"/>
  <c r="D53" i="22745"/>
  <c r="E53" i="22745" s="1"/>
  <c r="L56" i="22746"/>
  <c r="M56" i="22746" s="1"/>
  <c r="CY57" i="22746"/>
  <c r="CZ57" i="22746" s="1"/>
  <c r="L59" i="22746"/>
  <c r="M59" i="22746" s="1"/>
  <c r="AN56" i="22746"/>
  <c r="AO56" i="22746" s="1"/>
  <c r="BW60" i="22746"/>
  <c r="BX60" i="22746" s="1"/>
  <c r="Z57" i="22746"/>
  <c r="AA57" i="22746" s="1"/>
  <c r="BI66" i="22746"/>
  <c r="BJ66" i="22746" s="1"/>
  <c r="BB60" i="22746"/>
  <c r="BC60" i="22746" s="1"/>
  <c r="CK58" i="22746"/>
  <c r="CL58" i="22746" s="1"/>
  <c r="AN58" i="22746"/>
  <c r="AO58" i="22746" s="1"/>
  <c r="CK63" i="22746"/>
  <c r="CL63" i="22746" s="1"/>
  <c r="BW66" i="22746"/>
  <c r="BX66" i="22746" s="1"/>
  <c r="E68" i="22747"/>
  <c r="F68" i="22747" s="1"/>
  <c r="L68" i="22746"/>
  <c r="M68" i="22746" s="1"/>
  <c r="BI63" i="22746"/>
  <c r="BJ63" i="22746" s="1"/>
  <c r="BB63" i="22746"/>
  <c r="BC63" i="22746" s="1"/>
  <c r="CR62" i="22746"/>
  <c r="CS62" i="22746" s="1"/>
  <c r="E59" i="22746"/>
  <c r="F59" i="22746" s="1"/>
  <c r="BW65" i="22746"/>
  <c r="BP58" i="22746"/>
  <c r="BQ58" i="22746" s="1"/>
  <c r="AG65" i="22746"/>
  <c r="BI60" i="22746"/>
  <c r="BJ60" i="22746" s="1"/>
  <c r="CY59" i="22746"/>
  <c r="CZ59" i="22746" s="1"/>
  <c r="BP59" i="22746"/>
  <c r="BQ59" i="22746" s="1"/>
  <c r="CD62" i="22746"/>
  <c r="CE62" i="22746" s="1"/>
  <c r="E67" i="22747"/>
  <c r="F67" i="22747" s="1"/>
  <c r="CY60" i="22746"/>
  <c r="CZ60" i="22746" s="1"/>
  <c r="AN59" i="22746"/>
  <c r="AO59" i="22746" s="1"/>
  <c r="BP57" i="22746"/>
  <c r="BQ57" i="22746" s="1"/>
  <c r="BB57" i="22746"/>
  <c r="BC57" i="22746" s="1"/>
  <c r="CR61" i="22746"/>
  <c r="CP67" i="22746" s="1"/>
  <c r="CD61" i="22746"/>
  <c r="E61" i="22746"/>
  <c r="D64" i="22746" s="1"/>
  <c r="AU61" i="22746"/>
  <c r="BW61" i="22746"/>
  <c r="AN61" i="22746"/>
  <c r="BP61" i="22746"/>
  <c r="AG62" i="22746"/>
  <c r="AH62" i="22746" s="1"/>
  <c r="AN60" i="22746"/>
  <c r="AO60" i="22746" s="1"/>
  <c r="CK68" i="22746"/>
  <c r="CL68" i="22746" s="1"/>
  <c r="CD68" i="22746"/>
  <c r="CE68" i="22746" s="1"/>
  <c r="AG60" i="22746"/>
  <c r="AH60" i="22746" s="1"/>
  <c r="CY62" i="22746"/>
  <c r="CZ62" i="22746" s="1"/>
  <c r="CR63" i="22746"/>
  <c r="CS63" i="22746" s="1"/>
  <c r="AN66" i="22746"/>
  <c r="AO66" i="22746" s="1"/>
  <c r="Z62" i="22746"/>
  <c r="AA62" i="22746" s="1"/>
  <c r="CR57" i="22746"/>
  <c r="CS57" i="22746" s="1"/>
  <c r="E68" i="22746"/>
  <c r="F68" i="22746" s="1"/>
  <c r="L60" i="22746"/>
  <c r="M60" i="22746" s="1"/>
  <c r="L58" i="22746"/>
  <c r="M58" i="22746" s="1"/>
  <c r="F62" i="22747"/>
  <c r="AG58" i="22746"/>
  <c r="AH58" i="22746" s="1"/>
  <c r="Z58" i="22746"/>
  <c r="AA58" i="22746" s="1"/>
  <c r="E57" i="22746"/>
  <c r="F57" i="22746" s="1"/>
  <c r="E62" i="22745"/>
  <c r="AN63" i="22746"/>
  <c r="AO63" i="22746" s="1"/>
  <c r="Z65" i="22746"/>
  <c r="BW68" i="22746"/>
  <c r="BX68" i="22746" s="1"/>
  <c r="BP68" i="22746"/>
  <c r="BQ68" i="22746" s="1"/>
  <c r="BI56" i="22746"/>
  <c r="BJ56" i="22746" s="1"/>
  <c r="E62" i="22746"/>
  <c r="F62" i="22746" s="1"/>
  <c r="BP65" i="22746"/>
  <c r="BP62" i="22746"/>
  <c r="BQ62" i="22746" s="1"/>
  <c r="Z63" i="22746"/>
  <c r="AA63" i="22746" s="1"/>
  <c r="CY58" i="22746"/>
  <c r="CZ58" i="22746" s="1"/>
  <c r="CK60" i="22746"/>
  <c r="CL60" i="22746" s="1"/>
  <c r="Z66" i="22746"/>
  <c r="AA66" i="22746" s="1"/>
  <c r="L62" i="22746"/>
  <c r="M62" i="22746" s="1"/>
  <c r="BW59" i="22746"/>
  <c r="BX59" i="22746" s="1"/>
  <c r="BI62" i="22746"/>
  <c r="BJ62" i="22746" s="1"/>
  <c r="AU62" i="22746"/>
  <c r="AV62" i="22746" s="1"/>
  <c r="BI59" i="22746"/>
  <c r="BJ59" i="22746" s="1"/>
  <c r="BI58" i="22746"/>
  <c r="BJ58" i="22746" s="1"/>
  <c r="BW56" i="22746"/>
  <c r="BX56" i="22746" s="1"/>
  <c r="CR65" i="22746"/>
  <c r="AN57" i="22746"/>
  <c r="AO57" i="22746" s="1"/>
  <c r="E65" i="22747"/>
  <c r="L61" i="22746"/>
  <c r="BI61" i="22746"/>
  <c r="CK61" i="22746"/>
  <c r="CY61" i="22746"/>
  <c r="AG61" i="22746"/>
  <c r="Z61" i="22746"/>
  <c r="BB61" i="22746"/>
  <c r="AZ67" i="22746" s="1"/>
  <c r="H261" i="22715"/>
  <c r="C212" i="4"/>
  <c r="H265" i="22715" s="1"/>
  <c r="C213" i="4"/>
  <c r="F96" i="3"/>
  <c r="B50" i="22715"/>
  <c r="CJ45" i="3"/>
  <c r="CQ44" i="3"/>
  <c r="BQ16" i="3"/>
  <c r="CD10" i="3"/>
  <c r="CE10" i="3" s="1"/>
  <c r="CE13" i="3" s="1"/>
  <c r="CD13" i="3" s="1"/>
  <c r="C63" i="1"/>
  <c r="D31" i="22714"/>
  <c r="BJ94" i="3"/>
  <c r="BX16" i="3"/>
  <c r="B6" i="22715"/>
  <c r="C6" i="22715" s="1"/>
  <c r="C18" i="22714"/>
  <c r="F91" i="22752"/>
  <c r="C92" i="22752"/>
  <c r="CY9" i="3"/>
  <c r="CZ9" i="3" s="1"/>
  <c r="BW10" i="22746"/>
  <c r="BX10" i="22746" s="1"/>
  <c r="C61" i="22744"/>
  <c r="C62" i="22744" s="1"/>
  <c r="CD10" i="22746" s="1"/>
  <c r="CE10" i="22746" s="1"/>
  <c r="BP10" i="22746"/>
  <c r="BQ10" i="22746" s="1"/>
  <c r="BC16" i="22746"/>
  <c r="BB13" i="22746"/>
  <c r="D29" i="22748"/>
  <c r="AV93" i="22746"/>
  <c r="B60" i="22744"/>
  <c r="BI9" i="22746"/>
  <c r="BJ9" i="22746" s="1"/>
  <c r="BJ13" i="22746" s="1"/>
  <c r="C86" i="22749"/>
  <c r="F85" i="22749"/>
  <c r="BA39" i="22746"/>
  <c r="BC39" i="22746" s="1"/>
  <c r="BC53" i="22746" s="1"/>
  <c r="F64" i="22746" l="1"/>
  <c r="BX64" i="22746"/>
  <c r="BJ64" i="22746"/>
  <c r="AO64" i="22746"/>
  <c r="AA64" i="22746"/>
  <c r="CL64" i="22746"/>
  <c r="AV64" i="22746"/>
  <c r="BC64" i="22746"/>
  <c r="T64" i="22746"/>
  <c r="T67" i="22746"/>
  <c r="BC67" i="22746"/>
  <c r="M64" i="22746"/>
  <c r="BQ64" i="22746"/>
  <c r="CZ64" i="22746"/>
  <c r="AH64" i="22746"/>
  <c r="CE64" i="22746"/>
  <c r="CS64" i="22746"/>
  <c r="CS67" i="22746"/>
  <c r="F65" i="22747"/>
  <c r="B201" i="22747" s="1"/>
  <c r="CX64" i="22746"/>
  <c r="CX65" i="22746" s="1"/>
  <c r="CZ65" i="22746" s="1"/>
  <c r="CW67" i="22746"/>
  <c r="CZ67" i="22746" s="1"/>
  <c r="BH64" i="22746"/>
  <c r="BH65" i="22746" s="1"/>
  <c r="BJ65" i="22746" s="1"/>
  <c r="BG67" i="22746"/>
  <c r="BJ67" i="22746" s="1"/>
  <c r="BO64" i="22746"/>
  <c r="BO65" i="22746" s="1"/>
  <c r="BQ65" i="22746" s="1"/>
  <c r="BN67" i="22746"/>
  <c r="BQ67" i="22746" s="1"/>
  <c r="BV64" i="22746"/>
  <c r="BV65" i="22746" s="1"/>
  <c r="BX65" i="22746" s="1"/>
  <c r="BU67" i="22746"/>
  <c r="BX67" i="22746" s="1"/>
  <c r="D65" i="22746"/>
  <c r="F65" i="22746" s="1"/>
  <c r="C67" i="22746"/>
  <c r="F67" i="22746" s="1"/>
  <c r="Y64" i="22746"/>
  <c r="Y65" i="22746" s="1"/>
  <c r="AA65" i="22746" s="1"/>
  <c r="X67" i="22746"/>
  <c r="AA67" i="22746" s="1"/>
  <c r="AF64" i="22746"/>
  <c r="AF65" i="22746" s="1"/>
  <c r="AH65" i="22746" s="1"/>
  <c r="AE67" i="22746"/>
  <c r="AH67" i="22746" s="1"/>
  <c r="CJ64" i="22746"/>
  <c r="CJ65" i="22746" s="1"/>
  <c r="CL65" i="22746" s="1"/>
  <c r="CI67" i="22746"/>
  <c r="CL67" i="22746" s="1"/>
  <c r="K64" i="22746"/>
  <c r="K65" i="22746" s="1"/>
  <c r="M65" i="22746" s="1"/>
  <c r="J67" i="22746"/>
  <c r="M67" i="22746" s="1"/>
  <c r="AM64" i="22746"/>
  <c r="AM65" i="22746" s="1"/>
  <c r="AO65" i="22746" s="1"/>
  <c r="AL67" i="22746"/>
  <c r="AO67" i="22746" s="1"/>
  <c r="AT64" i="22746"/>
  <c r="AT65" i="22746" s="1"/>
  <c r="AV65" i="22746" s="1"/>
  <c r="AS67" i="22746"/>
  <c r="AV67" i="22746" s="1"/>
  <c r="CC64" i="22746"/>
  <c r="CC65" i="22746" s="1"/>
  <c r="CE65" i="22746" s="1"/>
  <c r="CB67" i="22746"/>
  <c r="CE67" i="22746" s="1"/>
  <c r="B42" i="22715"/>
  <c r="F13" i="4"/>
  <c r="BA64" i="22746"/>
  <c r="BA65" i="22746" s="1"/>
  <c r="BC65" i="22746" s="1"/>
  <c r="CQ64" i="22746"/>
  <c r="CQ65" i="22746" s="1"/>
  <c r="CS65" i="22746" s="1"/>
  <c r="R64" i="22746"/>
  <c r="R65" i="22746" s="1"/>
  <c r="T65" i="22746" s="1"/>
  <c r="B180" i="22747"/>
  <c r="B182" i="22747" s="1"/>
  <c r="F69" i="22747"/>
  <c r="D108" i="22745"/>
  <c r="E108" i="22745" s="1"/>
  <c r="E60" i="22745"/>
  <c r="E55" i="22745"/>
  <c r="D107" i="22745"/>
  <c r="E107" i="22745" s="1"/>
  <c r="H121" i="22715"/>
  <c r="I115" i="22715"/>
  <c r="B202" i="22747"/>
  <c r="CQ45" i="3"/>
  <c r="CX44" i="3"/>
  <c r="CX45" i="3" s="1"/>
  <c r="E90" i="3"/>
  <c r="F90" i="3" s="1"/>
  <c r="C22" i="22714"/>
  <c r="E22" i="22714" s="1"/>
  <c r="J22" i="22714"/>
  <c r="D33" i="22714"/>
  <c r="BX94" i="3"/>
  <c r="C64" i="1"/>
  <c r="CK10" i="3"/>
  <c r="CL10" i="3" s="1"/>
  <c r="CL13" i="3" s="1"/>
  <c r="CK13" i="3" s="1"/>
  <c r="D32" i="22714"/>
  <c r="BQ94" i="3"/>
  <c r="CE16" i="3"/>
  <c r="F92" i="22752"/>
  <c r="C93" i="22752"/>
  <c r="C94" i="22752"/>
  <c r="C63" i="22744"/>
  <c r="CK10" i="22746" s="1"/>
  <c r="CL10" i="22746" s="1"/>
  <c r="BI13" i="22746"/>
  <c r="BJ16" i="22746"/>
  <c r="F86" i="22749"/>
  <c r="BH39" i="22746"/>
  <c r="BJ39" i="22746" s="1"/>
  <c r="BJ53" i="22746" s="1"/>
  <c r="C87" i="22749"/>
  <c r="B61" i="22744"/>
  <c r="BP9" i="22746"/>
  <c r="BQ9" i="22746" s="1"/>
  <c r="BQ13" i="22746" s="1"/>
  <c r="BC93" i="22746"/>
  <c r="D30" i="22748"/>
  <c r="C64" i="22744"/>
  <c r="E109" i="22745" l="1"/>
  <c r="E63" i="22745"/>
  <c r="E83" i="22745" s="1"/>
  <c r="B211" i="22747"/>
  <c r="J259" i="22715" s="1"/>
  <c r="I259" i="22715" s="1"/>
  <c r="F91" i="3"/>
  <c r="CZ71" i="22746"/>
  <c r="M71" i="22746"/>
  <c r="BQ71" i="22746"/>
  <c r="E13" i="4"/>
  <c r="F16" i="4"/>
  <c r="BX71" i="22746"/>
  <c r="BC71" i="22746"/>
  <c r="T71" i="22746"/>
  <c r="CL71" i="22746"/>
  <c r="AA71" i="22746"/>
  <c r="AH71" i="22746"/>
  <c r="AO71" i="22746"/>
  <c r="CS71" i="22746"/>
  <c r="AV71" i="22746"/>
  <c r="B213" i="22747"/>
  <c r="E113" i="22745"/>
  <c r="CE71" i="22746"/>
  <c r="B187" i="22747"/>
  <c r="B192" i="22747"/>
  <c r="BJ71" i="22746"/>
  <c r="F70" i="22747"/>
  <c r="F76" i="22747" s="1"/>
  <c r="B162" i="22747" s="1"/>
  <c r="J136" i="22715" s="1"/>
  <c r="I136" i="22715" s="1"/>
  <c r="K70" i="22747"/>
  <c r="K75" i="22747" s="1"/>
  <c r="F71" i="22746"/>
  <c r="B207" i="22747"/>
  <c r="J236" i="22715" s="1"/>
  <c r="I236" i="22715" s="1"/>
  <c r="F22" i="22714"/>
  <c r="G22" i="22714"/>
  <c r="CL16" i="3"/>
  <c r="CE94" i="3"/>
  <c r="D34" i="22714"/>
  <c r="CR10" i="3"/>
  <c r="CS10" i="3" s="1"/>
  <c r="CS13" i="3" s="1"/>
  <c r="C65" i="1"/>
  <c r="F93" i="22752"/>
  <c r="D38" i="4"/>
  <c r="F38" i="4" s="1"/>
  <c r="BQ16" i="22746"/>
  <c r="BP13" i="22746"/>
  <c r="BO39" i="22746"/>
  <c r="BQ39" i="22746" s="1"/>
  <c r="BQ53" i="22746" s="1"/>
  <c r="F87" i="22749"/>
  <c r="D31" i="22748"/>
  <c r="BJ93" i="22746"/>
  <c r="B62" i="22744"/>
  <c r="BW9" i="22746"/>
  <c r="BX9" i="22746" s="1"/>
  <c r="BX13" i="22746" s="1"/>
  <c r="C88" i="22749"/>
  <c r="CR10" i="22746"/>
  <c r="CS10" i="22746" s="1"/>
  <c r="C65" i="22744"/>
  <c r="E82" i="22745" l="1"/>
  <c r="F124" i="22747"/>
  <c r="J40" i="22715" s="1"/>
  <c r="I40" i="22715" s="1"/>
  <c r="C211" i="22747"/>
  <c r="J264" i="22715" s="1"/>
  <c r="F92" i="3"/>
  <c r="F93" i="3" s="1"/>
  <c r="G91" i="3" s="1"/>
  <c r="C69" i="1"/>
  <c r="C68" i="1"/>
  <c r="E114" i="22745"/>
  <c r="F113" i="22745" s="1"/>
  <c r="C212" i="22747"/>
  <c r="J265" i="22715" s="1"/>
  <c r="J261" i="22715"/>
  <c r="I261" i="22715" s="1"/>
  <c r="C213" i="22747"/>
  <c r="E84" i="22745"/>
  <c r="B194" i="22747"/>
  <c r="C192" i="22747" s="1"/>
  <c r="J212" i="22715" s="1"/>
  <c r="J207" i="22715"/>
  <c r="I207" i="22715" s="1"/>
  <c r="CY10" i="3"/>
  <c r="CZ10" i="3" s="1"/>
  <c r="CR13" i="3"/>
  <c r="CS16" i="3"/>
  <c r="D35" i="22714"/>
  <c r="CL94" i="3"/>
  <c r="BX16" i="22746"/>
  <c r="BW13" i="22746"/>
  <c r="BV39" i="22746"/>
  <c r="BX39" i="22746" s="1"/>
  <c r="BX53" i="22746" s="1"/>
  <c r="F88" i="22749"/>
  <c r="CD9" i="22746"/>
  <c r="CE9" i="22746" s="1"/>
  <c r="CE13" i="22746" s="1"/>
  <c r="B63" i="22744"/>
  <c r="C89" i="22749"/>
  <c r="BQ93" i="22746"/>
  <c r="D32" i="22748"/>
  <c r="CY10" i="22746"/>
  <c r="CZ10" i="22746" s="1"/>
  <c r="C69" i="22744"/>
  <c r="D18" i="22748" s="1"/>
  <c r="C68" i="22744"/>
  <c r="E10" i="22747" s="1"/>
  <c r="F10" i="22747" s="1"/>
  <c r="G92" i="3" l="1"/>
  <c r="G57" i="3"/>
  <c r="G61" i="3"/>
  <c r="G67" i="3"/>
  <c r="G71" i="3"/>
  <c r="G76" i="3"/>
  <c r="G80" i="3"/>
  <c r="G86" i="3"/>
  <c r="G58" i="3"/>
  <c r="G62" i="3"/>
  <c r="G70" i="3"/>
  <c r="G79" i="3"/>
  <c r="G83" i="3"/>
  <c r="G87" i="3"/>
  <c r="G84" i="3"/>
  <c r="G66" i="3"/>
  <c r="G72" i="3"/>
  <c r="G59" i="3"/>
  <c r="G63" i="3"/>
  <c r="G69" i="3"/>
  <c r="G74" i="3"/>
  <c r="G78" i="3"/>
  <c r="G82" i="3"/>
  <c r="G88" i="3"/>
  <c r="G55" i="3"/>
  <c r="G60" i="3"/>
  <c r="G68" i="3"/>
  <c r="G75" i="3"/>
  <c r="G81" i="3"/>
  <c r="G85" i="3"/>
  <c r="G89" i="3"/>
  <c r="G77" i="3"/>
  <c r="G64" i="3"/>
  <c r="G65" i="3"/>
  <c r="G90" i="3"/>
  <c r="CZ13" i="3"/>
  <c r="CY13" i="3" s="1"/>
  <c r="F83" i="22745"/>
  <c r="E152" i="22745"/>
  <c r="D150" i="22745"/>
  <c r="E150" i="22745" s="1"/>
  <c r="E153" i="22745"/>
  <c r="F21" i="22745"/>
  <c r="F73" i="22745"/>
  <c r="E85" i="22745"/>
  <c r="F22" i="22745"/>
  <c r="F84" i="22745"/>
  <c r="F78" i="22745"/>
  <c r="F28" i="22745"/>
  <c r="F39" i="22745"/>
  <c r="F69" i="22745"/>
  <c r="F13" i="22745"/>
  <c r="F57" i="22745"/>
  <c r="F12" i="22745"/>
  <c r="F8" i="22745"/>
  <c r="F59" i="22745"/>
  <c r="F34" i="22745"/>
  <c r="F17" i="22745"/>
  <c r="F33" i="22745"/>
  <c r="D151" i="22745"/>
  <c r="E151" i="22745" s="1"/>
  <c r="F75" i="22745"/>
  <c r="F79" i="22745"/>
  <c r="F53" i="22745"/>
  <c r="F11" i="22745"/>
  <c r="F14" i="22745"/>
  <c r="F25" i="22745"/>
  <c r="F23" i="22745"/>
  <c r="F48" i="22745"/>
  <c r="F54" i="22745"/>
  <c r="F52" i="22745"/>
  <c r="F55" i="22745"/>
  <c r="F80" i="22745"/>
  <c r="F74" i="22745"/>
  <c r="F10" i="22745"/>
  <c r="F31" i="22745"/>
  <c r="F62" i="22745"/>
  <c r="F68" i="22745"/>
  <c r="F24" i="22745"/>
  <c r="F30" i="22745"/>
  <c r="F70" i="22745"/>
  <c r="F40" i="22745"/>
  <c r="F18" i="22745"/>
  <c r="F72" i="22745"/>
  <c r="F76" i="22745"/>
  <c r="F32" i="22745"/>
  <c r="F19" i="22745"/>
  <c r="F20" i="22745"/>
  <c r="F35" i="22745"/>
  <c r="F77" i="22745"/>
  <c r="F67" i="22745"/>
  <c r="F71" i="22745"/>
  <c r="F37" i="22745"/>
  <c r="F26" i="22745"/>
  <c r="F56" i="22745"/>
  <c r="F16" i="22745"/>
  <c r="F38" i="22745"/>
  <c r="F81" i="22745"/>
  <c r="F61" i="22745"/>
  <c r="F60" i="22745"/>
  <c r="F63" i="22745"/>
  <c r="C194" i="22747"/>
  <c r="J209" i="22715"/>
  <c r="I209" i="22715" s="1"/>
  <c r="C193" i="22747"/>
  <c r="J213" i="22715" s="1"/>
  <c r="J188" i="22715"/>
  <c r="I188" i="22715" s="1"/>
  <c r="C191" i="22747"/>
  <c r="J211" i="22715" s="1"/>
  <c r="F82" i="22745"/>
  <c r="F98" i="22745"/>
  <c r="F94" i="22745"/>
  <c r="F114" i="22745"/>
  <c r="F89" i="22745"/>
  <c r="F101" i="22745"/>
  <c r="F91" i="22745"/>
  <c r="F99" i="22745"/>
  <c r="F96" i="22745"/>
  <c r="E116" i="22745"/>
  <c r="F104" i="22745"/>
  <c r="F103" i="22745"/>
  <c r="F88" i="22745"/>
  <c r="F95" i="22745"/>
  <c r="F100" i="22745"/>
  <c r="F92" i="22745"/>
  <c r="F97" i="22745"/>
  <c r="F93" i="22745"/>
  <c r="F102" i="22745"/>
  <c r="F90" i="22745"/>
  <c r="F105" i="22745"/>
  <c r="F111" i="22745"/>
  <c r="F107" i="22745"/>
  <c r="F108" i="22745"/>
  <c r="F109" i="22745"/>
  <c r="B43" i="22715"/>
  <c r="D36" i="22714"/>
  <c r="CS94" i="3"/>
  <c r="B7" i="22715"/>
  <c r="C7" i="22715" s="1"/>
  <c r="D18" i="22714"/>
  <c r="CZ16" i="3"/>
  <c r="F89" i="22749"/>
  <c r="CC39" i="22746"/>
  <c r="CE39" i="22746" s="1"/>
  <c r="CE53" i="22746" s="1"/>
  <c r="CE16" i="22746"/>
  <c r="CD13" i="22746"/>
  <c r="D33" i="22748"/>
  <c r="BX93" i="22746"/>
  <c r="C90" i="22749"/>
  <c r="B64" i="22744"/>
  <c r="CK9" i="22746"/>
  <c r="CL9" i="22746" s="1"/>
  <c r="CL13" i="22746" s="1"/>
  <c r="D43" i="22715"/>
  <c r="F97" i="3" l="1"/>
  <c r="C43" i="22715"/>
  <c r="E155" i="22745"/>
  <c r="D50" i="22715" s="1"/>
  <c r="C50" i="22715" s="1"/>
  <c r="E23" i="22714"/>
  <c r="G93" i="3"/>
  <c r="F95" i="3"/>
  <c r="CZ94" i="3"/>
  <c r="D37" i="22714"/>
  <c r="D106" i="4"/>
  <c r="B65" i="22744"/>
  <c r="CR9" i="22746"/>
  <c r="CS9" i="22746" s="1"/>
  <c r="CS13" i="22746" s="1"/>
  <c r="C91" i="22749"/>
  <c r="CL16" i="22746"/>
  <c r="CK13" i="22746"/>
  <c r="CJ39" i="22746"/>
  <c r="CL39" i="22746" s="1"/>
  <c r="CL53" i="22746" s="1"/>
  <c r="F90" i="22749"/>
  <c r="D34" i="22748"/>
  <c r="CE93" i="22746"/>
  <c r="F95" i="22746" l="1"/>
  <c r="E89" i="22746" s="1"/>
  <c r="F89" i="22746" s="1"/>
  <c r="F90" i="22746" s="1"/>
  <c r="F91" i="22746" s="1"/>
  <c r="M96" i="3"/>
  <c r="L90" i="3" s="1"/>
  <c r="M90" i="3" s="1"/>
  <c r="M91" i="3" s="1"/>
  <c r="M92" i="3" s="1"/>
  <c r="F98" i="3"/>
  <c r="J23" i="22714" s="1"/>
  <c r="C23" i="22714"/>
  <c r="G23" i="22714"/>
  <c r="F23" i="22714"/>
  <c r="B40" i="22715"/>
  <c r="G124" i="4"/>
  <c r="F126" i="4"/>
  <c r="H70" i="22715" s="1"/>
  <c r="CL93" i="22746"/>
  <c r="D35" i="22748"/>
  <c r="CR13" i="22746"/>
  <c r="CS16" i="22746"/>
  <c r="CQ39" i="22746"/>
  <c r="CS39" i="22746" s="1"/>
  <c r="CS53" i="22746" s="1"/>
  <c r="F91" i="22749"/>
  <c r="C92" i="22749"/>
  <c r="CY9" i="22746"/>
  <c r="CZ9" i="22746" s="1"/>
  <c r="CZ13" i="22746" s="1"/>
  <c r="B69" i="22744"/>
  <c r="C18" i="22748" s="1"/>
  <c r="B68" i="22744"/>
  <c r="E9" i="22747" s="1"/>
  <c r="F9" i="22747" s="1"/>
  <c r="F13" i="22747" s="1"/>
  <c r="M93" i="3" l="1"/>
  <c r="C22" i="22748"/>
  <c r="E22" i="22748" s="1"/>
  <c r="G22" i="22748" s="1"/>
  <c r="J22" i="22748"/>
  <c r="F92" i="22746"/>
  <c r="M97" i="3"/>
  <c r="E13" i="22747"/>
  <c r="D42" i="22715"/>
  <c r="C42" i="22715" s="1"/>
  <c r="D106" i="22747"/>
  <c r="CZ16" i="22746"/>
  <c r="CY13" i="22746"/>
  <c r="D36" i="22748"/>
  <c r="CS93" i="22746"/>
  <c r="CX39" i="22746"/>
  <c r="CZ39" i="22746" s="1"/>
  <c r="CZ53" i="22746" s="1"/>
  <c r="F92" i="22749"/>
  <c r="C94" i="22749"/>
  <c r="C93" i="22749"/>
  <c r="G91" i="22746" l="1"/>
  <c r="G19" i="22746"/>
  <c r="G21" i="22746"/>
  <c r="G20" i="22746"/>
  <c r="G22" i="22746"/>
  <c r="N57" i="3"/>
  <c r="N59" i="3"/>
  <c r="N61" i="3"/>
  <c r="N63" i="3"/>
  <c r="N67" i="3"/>
  <c r="N69" i="3"/>
  <c r="N71" i="3"/>
  <c r="N74" i="3"/>
  <c r="N76" i="3"/>
  <c r="N78" i="3"/>
  <c r="N80" i="3"/>
  <c r="N82" i="3"/>
  <c r="N86" i="3"/>
  <c r="N88" i="3"/>
  <c r="N90" i="3"/>
  <c r="N55" i="3"/>
  <c r="N58" i="3"/>
  <c r="N60" i="3"/>
  <c r="N62" i="3"/>
  <c r="N68" i="3"/>
  <c r="N70" i="3"/>
  <c r="N75" i="3"/>
  <c r="N79" i="3"/>
  <c r="N81" i="3"/>
  <c r="N83" i="3"/>
  <c r="N85" i="3"/>
  <c r="N87" i="3"/>
  <c r="N89" i="3"/>
  <c r="N91" i="3"/>
  <c r="N93" i="3"/>
  <c r="N64" i="3"/>
  <c r="N77" i="3"/>
  <c r="N84" i="3"/>
  <c r="N66" i="3"/>
  <c r="N65" i="3"/>
  <c r="N72" i="3"/>
  <c r="M95" i="3"/>
  <c r="E24" i="22714"/>
  <c r="F24" i="22714" s="1"/>
  <c r="N92" i="3"/>
  <c r="F22" i="22748"/>
  <c r="T96" i="3"/>
  <c r="S90" i="3" s="1"/>
  <c r="T90" i="3" s="1"/>
  <c r="M98" i="3"/>
  <c r="J24" i="22714" s="1"/>
  <c r="C24" i="22714"/>
  <c r="G24" i="22714"/>
  <c r="G38" i="22746"/>
  <c r="G27" i="22746"/>
  <c r="G31" i="22746"/>
  <c r="G35" i="22746"/>
  <c r="G26" i="22746"/>
  <c r="G30" i="22746"/>
  <c r="G34" i="22746"/>
  <c r="AP82" i="22746"/>
  <c r="G52" i="22746"/>
  <c r="AI81" i="22746"/>
  <c r="G74" i="22746"/>
  <c r="G81" i="22746"/>
  <c r="G75" i="22746"/>
  <c r="G82" i="22746"/>
  <c r="G45" i="22746"/>
  <c r="G53" i="22746"/>
  <c r="G58" i="22746"/>
  <c r="G56" i="22746"/>
  <c r="G60" i="22746"/>
  <c r="G73" i="22746"/>
  <c r="E23" i="22748"/>
  <c r="G79" i="22746"/>
  <c r="G83" i="22746"/>
  <c r="G84" i="22746"/>
  <c r="G64" i="22746"/>
  <c r="G88" i="22746"/>
  <c r="AI82" i="22746"/>
  <c r="F94" i="22746"/>
  <c r="G63" i="22746"/>
  <c r="G25" i="22746"/>
  <c r="G29" i="22746"/>
  <c r="G33" i="22746"/>
  <c r="G24" i="22746"/>
  <c r="G28" i="22746"/>
  <c r="G32" i="22746"/>
  <c r="G36" i="22746"/>
  <c r="G42" i="22746"/>
  <c r="G80" i="22746"/>
  <c r="DA82" i="22746"/>
  <c r="G54" i="22746"/>
  <c r="G77" i="22746"/>
  <c r="G85" i="22746"/>
  <c r="G43" i="22746"/>
  <c r="G50" i="22746"/>
  <c r="G86" i="22746"/>
  <c r="G65" i="22746"/>
  <c r="G62" i="22746"/>
  <c r="G71" i="22746"/>
  <c r="N82" i="22746"/>
  <c r="AP81" i="22746"/>
  <c r="G92" i="22746"/>
  <c r="G46" i="22746"/>
  <c r="G66" i="22746"/>
  <c r="G76" i="22746"/>
  <c r="DA81" i="22746"/>
  <c r="G47" i="22746"/>
  <c r="G59" i="22746"/>
  <c r="G68" i="22746"/>
  <c r="F96" i="22746"/>
  <c r="G89" i="22746"/>
  <c r="G90" i="22746"/>
  <c r="CZ93" i="22746"/>
  <c r="D37" i="22748"/>
  <c r="F16" i="22747"/>
  <c r="D38" i="22747"/>
  <c r="F38" i="22747" s="1"/>
  <c r="F93" i="22749"/>
  <c r="M95" i="22746" l="1"/>
  <c r="L89" i="22746" s="1"/>
  <c r="M89" i="22746" s="1"/>
  <c r="C23" i="22748"/>
  <c r="F97" i="22746"/>
  <c r="J23" i="22748" s="1"/>
  <c r="G23" i="22748"/>
  <c r="F23" i="22748"/>
  <c r="T91" i="3"/>
  <c r="T92" i="3" s="1"/>
  <c r="F126" i="22747"/>
  <c r="J70" i="22715" s="1"/>
  <c r="I70" i="22715" s="1"/>
  <c r="G124" i="22747"/>
  <c r="D40" i="22715"/>
  <c r="C40" i="22715" s="1"/>
  <c r="T93" i="3" l="1"/>
  <c r="U92" i="3" s="1"/>
  <c r="M90" i="22746"/>
  <c r="U55" i="3" l="1"/>
  <c r="U58" i="3"/>
  <c r="U60" i="3"/>
  <c r="U62" i="3"/>
  <c r="U64" i="3"/>
  <c r="U68" i="3"/>
  <c r="U70" i="3"/>
  <c r="U77" i="3"/>
  <c r="U79" i="3"/>
  <c r="U81" i="3"/>
  <c r="U83" i="3"/>
  <c r="U85" i="3"/>
  <c r="U87" i="3"/>
  <c r="U89" i="3"/>
  <c r="U91" i="3"/>
  <c r="U59" i="3"/>
  <c r="U61" i="3"/>
  <c r="U63" i="3"/>
  <c r="U67" i="3"/>
  <c r="U69" i="3"/>
  <c r="U71" i="3"/>
  <c r="U74" i="3"/>
  <c r="U76" i="3"/>
  <c r="U78" i="3"/>
  <c r="U80" i="3"/>
  <c r="U82" i="3"/>
  <c r="U86" i="3"/>
  <c r="U88" i="3"/>
  <c r="U90" i="3"/>
  <c r="U57" i="3"/>
  <c r="U75" i="3"/>
  <c r="U66" i="3"/>
  <c r="U65" i="3"/>
  <c r="U84" i="3"/>
  <c r="U72" i="3"/>
  <c r="M91" i="22746"/>
  <c r="M92" i="22746" s="1"/>
  <c r="N90" i="22746" s="1"/>
  <c r="T95" i="3"/>
  <c r="E25" i="22714"/>
  <c r="T97" i="3"/>
  <c r="U93" i="3"/>
  <c r="AA96" i="3" l="1"/>
  <c r="Z90" i="3" s="1"/>
  <c r="AA90" i="3" s="1"/>
  <c r="T98" i="3"/>
  <c r="C25" i="22714"/>
  <c r="G25" i="22714"/>
  <c r="F25" i="22714"/>
  <c r="N91" i="22746"/>
  <c r="N45" i="22746"/>
  <c r="N74" i="22746"/>
  <c r="N88" i="22746"/>
  <c r="N77" i="22746"/>
  <c r="N25" i="22746"/>
  <c r="N75" i="22746"/>
  <c r="N43" i="22746"/>
  <c r="N84" i="22746"/>
  <c r="N62" i="22746"/>
  <c r="N56" i="22746"/>
  <c r="N76" i="22746"/>
  <c r="N33" i="22746"/>
  <c r="M96" i="22746"/>
  <c r="T95" i="22746" s="1"/>
  <c r="S89" i="22746" s="1"/>
  <c r="N50" i="22746"/>
  <c r="N60" i="22746"/>
  <c r="N79" i="22746"/>
  <c r="N20" i="22746"/>
  <c r="N92" i="22746"/>
  <c r="N31" i="22746"/>
  <c r="N86" i="22746"/>
  <c r="N65" i="22746"/>
  <c r="N85" i="22746"/>
  <c r="N80" i="22746"/>
  <c r="N73" i="22746"/>
  <c r="N52" i="22746"/>
  <c r="N24" i="22746"/>
  <c r="N54" i="22746"/>
  <c r="N19" i="22746"/>
  <c r="M94" i="22746"/>
  <c r="N53" i="22746"/>
  <c r="N63" i="22746"/>
  <c r="N64" i="22746"/>
  <c r="N46" i="22746"/>
  <c r="N42" i="22746"/>
  <c r="N81" i="22746"/>
  <c r="N58" i="22746"/>
  <c r="N71" i="22746"/>
  <c r="E24" i="22748"/>
  <c r="N38" i="22746"/>
  <c r="N51" i="22746"/>
  <c r="N47" i="22746"/>
  <c r="N68" i="22746"/>
  <c r="N89" i="22746"/>
  <c r="G24" i="22748" l="1"/>
  <c r="F24" i="22748"/>
  <c r="C51" i="4"/>
  <c r="AA98" i="3"/>
  <c r="J25" i="22714"/>
  <c r="T89" i="22746"/>
  <c r="C24" i="22748"/>
  <c r="M97" i="22746"/>
  <c r="J24" i="22748" s="1"/>
  <c r="AA91" i="3"/>
  <c r="T90" i="22746" l="1"/>
  <c r="AH98" i="3"/>
  <c r="J26" i="22714"/>
  <c r="AA92" i="3"/>
  <c r="E97" i="4"/>
  <c r="F97" i="4" s="1"/>
  <c r="B51" i="22715"/>
  <c r="F51" i="4"/>
  <c r="F57" i="4" l="1"/>
  <c r="B161" i="4"/>
  <c r="H135" i="22715" s="1"/>
  <c r="B52" i="22715"/>
  <c r="F98" i="4"/>
  <c r="F100" i="4" s="1"/>
  <c r="B143" i="4"/>
  <c r="AA93" i="3"/>
  <c r="J27" i="22714"/>
  <c r="AO98" i="3"/>
  <c r="T91" i="22746"/>
  <c r="AB59" i="3" l="1"/>
  <c r="AB61" i="3"/>
  <c r="AB63" i="3"/>
  <c r="AB67" i="3"/>
  <c r="AB69" i="3"/>
  <c r="AB71" i="3"/>
  <c r="AB74" i="3"/>
  <c r="AB76" i="3"/>
  <c r="AB78" i="3"/>
  <c r="AB80" i="3"/>
  <c r="AB82" i="3"/>
  <c r="AB86" i="3"/>
  <c r="AB88" i="3"/>
  <c r="AB90" i="3"/>
  <c r="AB55" i="3"/>
  <c r="AB58" i="3"/>
  <c r="AB60" i="3"/>
  <c r="AB62" i="3"/>
  <c r="AB64" i="3"/>
  <c r="AB68" i="3"/>
  <c r="AB70" i="3"/>
  <c r="AB77" i="3"/>
  <c r="AB79" i="3"/>
  <c r="AB81" i="3"/>
  <c r="AB83" i="3"/>
  <c r="AB85" i="3"/>
  <c r="AB87" i="3"/>
  <c r="AB89" i="3"/>
  <c r="AB91" i="3"/>
  <c r="AB57" i="3"/>
  <c r="AB66" i="3"/>
  <c r="AB75" i="3"/>
  <c r="AB65" i="3"/>
  <c r="AB84" i="3"/>
  <c r="AB72" i="3"/>
  <c r="AB92" i="3"/>
  <c r="T92" i="22746"/>
  <c r="U91" i="22746" s="1"/>
  <c r="AB93" i="3"/>
  <c r="AA97" i="3"/>
  <c r="AA95" i="3"/>
  <c r="E26" i="22714"/>
  <c r="H95" i="22715"/>
  <c r="B144" i="4"/>
  <c r="C143" i="4" s="1"/>
  <c r="H99" i="22715" s="1"/>
  <c r="AV98" i="3"/>
  <c r="J28" i="22714"/>
  <c r="B137" i="4"/>
  <c r="B53" i="22715"/>
  <c r="F112" i="4"/>
  <c r="B168" i="4"/>
  <c r="B61" i="22715"/>
  <c r="F113" i="4"/>
  <c r="B60" i="22715" s="1"/>
  <c r="H157" i="22715" l="1"/>
  <c r="J29" i="22714"/>
  <c r="BC98" i="3"/>
  <c r="C26" i="22714"/>
  <c r="AH96" i="3"/>
  <c r="AG90" i="3" s="1"/>
  <c r="AH90" i="3" s="1"/>
  <c r="B169" i="4"/>
  <c r="H158" i="22715" s="1"/>
  <c r="F102" i="4"/>
  <c r="G85" i="4" s="1"/>
  <c r="B62" i="22715"/>
  <c r="H80" i="22715"/>
  <c r="C144" i="4"/>
  <c r="C142" i="4"/>
  <c r="H98" i="22715" s="1"/>
  <c r="H96" i="22715"/>
  <c r="G26" i="22714"/>
  <c r="F26" i="22714"/>
  <c r="T96" i="22746"/>
  <c r="U88" i="22746"/>
  <c r="U33" i="22746"/>
  <c r="U79" i="22746"/>
  <c r="U34" i="22746"/>
  <c r="U74" i="22746"/>
  <c r="U26" i="22746"/>
  <c r="U83" i="22746"/>
  <c r="U45" i="22746"/>
  <c r="U86" i="22746"/>
  <c r="U62" i="22746"/>
  <c r="U60" i="22746"/>
  <c r="U76" i="22746"/>
  <c r="U51" i="22746"/>
  <c r="U38" i="22746"/>
  <c r="U24" i="22746"/>
  <c r="U32" i="22746"/>
  <c r="U92" i="22746"/>
  <c r="U47" i="22746"/>
  <c r="U50" i="22746"/>
  <c r="T94" i="22746"/>
  <c r="U58" i="22746"/>
  <c r="U64" i="22746"/>
  <c r="U52" i="22746"/>
  <c r="U85" i="22746"/>
  <c r="U31" i="22746"/>
  <c r="E25" i="22748"/>
  <c r="U25" i="22746"/>
  <c r="U54" i="22746"/>
  <c r="U81" i="22746"/>
  <c r="U43" i="22746"/>
  <c r="U84" i="22746"/>
  <c r="U56" i="22746"/>
  <c r="U65" i="22746"/>
  <c r="U71" i="22746"/>
  <c r="U75" i="22746"/>
  <c r="U77" i="22746"/>
  <c r="U73" i="22746"/>
  <c r="U42" i="22746"/>
  <c r="U80" i="22746"/>
  <c r="U82" i="22746"/>
  <c r="U46" i="22746"/>
  <c r="U53" i="22746"/>
  <c r="U63" i="22746"/>
  <c r="U68" i="22746"/>
  <c r="U89" i="22746"/>
  <c r="U90" i="22746"/>
  <c r="G66" i="4" l="1"/>
  <c r="G22" i="4"/>
  <c r="G40" i="4"/>
  <c r="G50" i="4"/>
  <c r="G52" i="4"/>
  <c r="G54" i="4"/>
  <c r="G56" i="4"/>
  <c r="G73" i="4"/>
  <c r="G35" i="4"/>
  <c r="G31" i="4"/>
  <c r="G27" i="4"/>
  <c r="G23" i="4"/>
  <c r="G75" i="4"/>
  <c r="G74" i="4"/>
  <c r="G33" i="4"/>
  <c r="G29" i="4"/>
  <c r="G25" i="4"/>
  <c r="G67" i="4"/>
  <c r="G68" i="4"/>
  <c r="G32" i="4"/>
  <c r="G24" i="4"/>
  <c r="G30" i="4"/>
  <c r="G28" i="4"/>
  <c r="G36" i="4"/>
  <c r="G62" i="4"/>
  <c r="G26" i="4"/>
  <c r="G34" i="4"/>
  <c r="G37" i="4"/>
  <c r="G41" i="4"/>
  <c r="G64" i="4"/>
  <c r="G55" i="4"/>
  <c r="G71" i="4"/>
  <c r="G43" i="4"/>
  <c r="G20" i="4"/>
  <c r="G63" i="4"/>
  <c r="G53" i="4"/>
  <c r="G19" i="4"/>
  <c r="G46" i="4"/>
  <c r="G39" i="4"/>
  <c r="G42" i="4"/>
  <c r="G21" i="4"/>
  <c r="G48" i="4"/>
  <c r="G47" i="4"/>
  <c r="G44" i="4"/>
  <c r="G45" i="4"/>
  <c r="G72" i="4"/>
  <c r="G65" i="4"/>
  <c r="G49" i="4"/>
  <c r="G69" i="4"/>
  <c r="G70" i="4"/>
  <c r="G76" i="4"/>
  <c r="G38" i="4"/>
  <c r="G51" i="4"/>
  <c r="G57" i="4"/>
  <c r="G100" i="4"/>
  <c r="C169" i="4" s="1"/>
  <c r="H162" i="22715" s="1"/>
  <c r="C177" i="4"/>
  <c r="G58" i="4"/>
  <c r="G87" i="4"/>
  <c r="G61" i="4"/>
  <c r="C202" i="4"/>
  <c r="C205" i="4"/>
  <c r="G93" i="4"/>
  <c r="F110" i="4"/>
  <c r="H44" i="22715" s="1"/>
  <c r="G18" i="4"/>
  <c r="G82" i="4"/>
  <c r="B208" i="4"/>
  <c r="F104" i="4"/>
  <c r="B47" i="22715" s="1"/>
  <c r="H10" i="22715" s="1"/>
  <c r="G83" i="4"/>
  <c r="B188" i="4"/>
  <c r="C185" i="4"/>
  <c r="E106" i="4"/>
  <c r="F106" i="4" s="1"/>
  <c r="B49" i="22715" s="1"/>
  <c r="H8" i="22715" s="1"/>
  <c r="G96" i="4"/>
  <c r="C180" i="4"/>
  <c r="C207" i="4"/>
  <c r="H241" i="22715" s="1"/>
  <c r="B139" i="4"/>
  <c r="G102" i="4"/>
  <c r="G84" i="4"/>
  <c r="B46" i="22715"/>
  <c r="H82" i="22715" s="1"/>
  <c r="G81" i="4"/>
  <c r="G90" i="4"/>
  <c r="F108" i="4"/>
  <c r="G92" i="4"/>
  <c r="F117" i="4"/>
  <c r="G86" i="4"/>
  <c r="C206" i="4"/>
  <c r="C181" i="4"/>
  <c r="C182" i="4"/>
  <c r="C201" i="4"/>
  <c r="G80" i="4"/>
  <c r="C187" i="4"/>
  <c r="H192" i="22715" s="1"/>
  <c r="G88" i="4"/>
  <c r="G89" i="4"/>
  <c r="B138" i="4"/>
  <c r="G91" i="4"/>
  <c r="G97" i="4"/>
  <c r="C168" i="4"/>
  <c r="G98" i="4"/>
  <c r="AH91" i="3"/>
  <c r="BJ98" i="3"/>
  <c r="J30" i="22714"/>
  <c r="G25" i="22748"/>
  <c r="F25" i="22748"/>
  <c r="C25" i="22748"/>
  <c r="AA95" i="22746"/>
  <c r="Z89" i="22746" s="1"/>
  <c r="AA89" i="22746" s="1"/>
  <c r="T97" i="22746"/>
  <c r="B170" i="4"/>
  <c r="H190" i="22715" l="1"/>
  <c r="H159" i="22715"/>
  <c r="AA90" i="22746"/>
  <c r="C139" i="4"/>
  <c r="C136" i="4"/>
  <c r="H84" i="22715" s="1"/>
  <c r="C137" i="4"/>
  <c r="H85" i="22715" s="1"/>
  <c r="H237" i="22715"/>
  <c r="H238" i="22715" s="1"/>
  <c r="C208" i="4"/>
  <c r="H242" i="22715" s="1"/>
  <c r="C51" i="22747"/>
  <c r="F51" i="22747" s="1"/>
  <c r="AA97" i="22746"/>
  <c r="J25" i="22748"/>
  <c r="BQ98" i="3"/>
  <c r="J31" i="22714"/>
  <c r="AH92" i="3"/>
  <c r="C170" i="4"/>
  <c r="H161" i="22715"/>
  <c r="C138" i="4"/>
  <c r="H86" i="22715" s="1"/>
  <c r="B164" i="4"/>
  <c r="B63" i="22715"/>
  <c r="F119" i="4"/>
  <c r="F115" i="4"/>
  <c r="H52" i="22715" s="1"/>
  <c r="F129" i="4"/>
  <c r="H47" i="22715" s="1"/>
  <c r="H42" i="22715"/>
  <c r="C188" i="4"/>
  <c r="H193" i="22715" s="1"/>
  <c r="H189" i="22715"/>
  <c r="AH93" i="3" l="1"/>
  <c r="AI92" i="3" s="1"/>
  <c r="F120" i="4"/>
  <c r="F122" i="4"/>
  <c r="H67" i="22715" s="1"/>
  <c r="H6" i="22715" s="1"/>
  <c r="B64" i="22715"/>
  <c r="B67" i="22715" s="1"/>
  <c r="B163" i="4"/>
  <c r="C160" i="4"/>
  <c r="H140" i="22715" s="1"/>
  <c r="H81" i="22715"/>
  <c r="C164" i="4"/>
  <c r="C162" i="4"/>
  <c r="H142" i="22715" s="1"/>
  <c r="H138" i="22715"/>
  <c r="C161" i="4"/>
  <c r="H141" i="22715" s="1"/>
  <c r="D51" i="22715"/>
  <c r="C51" i="22715" s="1"/>
  <c r="E97" i="22747"/>
  <c r="F97" i="22747" s="1"/>
  <c r="BX98" i="3"/>
  <c r="J32" i="22714"/>
  <c r="J26" i="22748"/>
  <c r="AH97" i="22746"/>
  <c r="AA91" i="22746"/>
  <c r="AI93" i="3" l="1"/>
  <c r="AH95" i="3"/>
  <c r="E27" i="22714"/>
  <c r="G27" i="22714" s="1"/>
  <c r="AH97" i="3"/>
  <c r="C27" i="22714" s="1"/>
  <c r="AI55" i="3"/>
  <c r="AI58" i="3"/>
  <c r="AI60" i="3"/>
  <c r="AI62" i="3"/>
  <c r="AI64" i="3"/>
  <c r="AI68" i="3"/>
  <c r="AI70" i="3"/>
  <c r="AI77" i="3"/>
  <c r="AI79" i="3"/>
  <c r="AI81" i="3"/>
  <c r="AI83" i="3"/>
  <c r="AI85" i="3"/>
  <c r="AI87" i="3"/>
  <c r="AI89" i="3"/>
  <c r="AI91" i="3"/>
  <c r="AI59" i="3"/>
  <c r="AI61" i="3"/>
  <c r="AI63" i="3"/>
  <c r="AI67" i="3"/>
  <c r="AI69" i="3"/>
  <c r="AI71" i="3"/>
  <c r="AI74" i="3"/>
  <c r="AI76" i="3"/>
  <c r="AI78" i="3"/>
  <c r="AI80" i="3"/>
  <c r="AI82" i="3"/>
  <c r="AI86" i="3"/>
  <c r="AI88" i="3"/>
  <c r="AI90" i="3"/>
  <c r="AI57" i="3"/>
  <c r="AI75" i="3"/>
  <c r="AI84" i="3"/>
  <c r="AI66" i="3"/>
  <c r="AI65" i="3"/>
  <c r="AI72" i="3"/>
  <c r="J27" i="22748"/>
  <c r="AO97" i="22746"/>
  <c r="C163" i="4"/>
  <c r="H143" i="22715" s="1"/>
  <c r="H137" i="22715"/>
  <c r="AA92" i="22746"/>
  <c r="AB91" i="22746" s="1"/>
  <c r="J33" i="22714"/>
  <c r="CE98" i="3"/>
  <c r="F27" i="22714"/>
  <c r="AO96" i="3"/>
  <c r="AN90" i="3" s="1"/>
  <c r="AO90" i="3" s="1"/>
  <c r="AO91" i="3" s="1"/>
  <c r="AO92" i="3" s="1"/>
  <c r="F98" i="22747"/>
  <c r="F100" i="22747" s="1"/>
  <c r="B143" i="22747"/>
  <c r="F57" i="22747"/>
  <c r="B161" i="22747"/>
  <c r="J135" i="22715" s="1"/>
  <c r="I135" i="22715" s="1"/>
  <c r="D52" i="22715"/>
  <c r="C52" i="22715" s="1"/>
  <c r="C42" i="22714"/>
  <c r="H64" i="22715"/>
  <c r="H7" i="22715" s="1"/>
  <c r="AO93" i="3" l="1"/>
  <c r="AP92" i="3" s="1"/>
  <c r="F112" i="22747"/>
  <c r="F113" i="22747"/>
  <c r="D60" i="22715" s="1"/>
  <c r="D61" i="22715"/>
  <c r="C61" i="22715" s="1"/>
  <c r="B168" i="22747"/>
  <c r="B144" i="22747"/>
  <c r="J95" i="22715"/>
  <c r="I95" i="22715" s="1"/>
  <c r="CL98" i="3"/>
  <c r="J34" i="22714"/>
  <c r="J28" i="22748"/>
  <c r="AV97" i="22746"/>
  <c r="B137" i="22747"/>
  <c r="D53" i="22715"/>
  <c r="C53" i="22715" s="1"/>
  <c r="E26" i="22748"/>
  <c r="AB38" i="22746"/>
  <c r="AB54" i="22746"/>
  <c r="AB31" i="22746"/>
  <c r="AB24" i="22746"/>
  <c r="AB26" i="22746"/>
  <c r="AB32" i="22746"/>
  <c r="AA96" i="22746"/>
  <c r="AB80" i="22746"/>
  <c r="AB84" i="22746"/>
  <c r="AA94" i="22746"/>
  <c r="AB56" i="22746"/>
  <c r="AB62" i="22746"/>
  <c r="AB52" i="22746"/>
  <c r="AB82" i="22746"/>
  <c r="AB33" i="22746"/>
  <c r="AB73" i="22746"/>
  <c r="AB79" i="22746"/>
  <c r="AB83" i="22746"/>
  <c r="AB47" i="22746"/>
  <c r="AB50" i="22746"/>
  <c r="AB63" i="22746"/>
  <c r="AB65" i="22746"/>
  <c r="AB42" i="22746"/>
  <c r="AB25" i="22746"/>
  <c r="AB76" i="22746"/>
  <c r="AB20" i="22746"/>
  <c r="AB77" i="22746"/>
  <c r="AB51" i="22746"/>
  <c r="AB85" i="22746"/>
  <c r="AB88" i="22746"/>
  <c r="AB81" i="22746"/>
  <c r="AB45" i="22746"/>
  <c r="AB86" i="22746"/>
  <c r="AB60" i="22746"/>
  <c r="AB68" i="22746"/>
  <c r="AB71" i="22746"/>
  <c r="AB75" i="22746"/>
  <c r="AB74" i="22746"/>
  <c r="AB19" i="22746"/>
  <c r="AB34" i="22746"/>
  <c r="AB92" i="22746"/>
  <c r="AB46" i="22746"/>
  <c r="AB43" i="22746"/>
  <c r="AB53" i="22746"/>
  <c r="AB58" i="22746"/>
  <c r="AB64" i="22746"/>
  <c r="AB89" i="22746"/>
  <c r="AB90" i="22746"/>
  <c r="C60" i="22715" l="1"/>
  <c r="AO95" i="3"/>
  <c r="AP93" i="3"/>
  <c r="AO97" i="3"/>
  <c r="AV96" i="3" s="1"/>
  <c r="AU90" i="3" s="1"/>
  <c r="AV90" i="3" s="1"/>
  <c r="E28" i="22714"/>
  <c r="F28" i="22714" s="1"/>
  <c r="C28" i="22714"/>
  <c r="G28" i="22714"/>
  <c r="AP59" i="3"/>
  <c r="AP61" i="3"/>
  <c r="AP63" i="3"/>
  <c r="AP67" i="3"/>
  <c r="AP69" i="3"/>
  <c r="AP71" i="3"/>
  <c r="AP74" i="3"/>
  <c r="AP76" i="3"/>
  <c r="AP78" i="3"/>
  <c r="AP80" i="3"/>
  <c r="AP82" i="3"/>
  <c r="AP86" i="3"/>
  <c r="AP88" i="3"/>
  <c r="AP90" i="3"/>
  <c r="AP55" i="3"/>
  <c r="AP58" i="3"/>
  <c r="AP60" i="3"/>
  <c r="AP62" i="3"/>
  <c r="AP64" i="3"/>
  <c r="AP68" i="3"/>
  <c r="AP70" i="3"/>
  <c r="AP77" i="3"/>
  <c r="AP79" i="3"/>
  <c r="AP81" i="3"/>
  <c r="AP83" i="3"/>
  <c r="AP85" i="3"/>
  <c r="AP87" i="3"/>
  <c r="AP89" i="3"/>
  <c r="AP91" i="3"/>
  <c r="AP57" i="3"/>
  <c r="AP75" i="3"/>
  <c r="AP84" i="3"/>
  <c r="AP65" i="3"/>
  <c r="AP66" i="3"/>
  <c r="AP72" i="3"/>
  <c r="F26" i="22748"/>
  <c r="G26" i="22748"/>
  <c r="F102" i="22747"/>
  <c r="D62" i="22715"/>
  <c r="C62" i="22715" s="1"/>
  <c r="B169" i="22747"/>
  <c r="J158" i="22715" s="1"/>
  <c r="I158" i="22715" s="1"/>
  <c r="J35" i="22714"/>
  <c r="CS98" i="3"/>
  <c r="C143" i="22747"/>
  <c r="J99" i="22715" s="1"/>
  <c r="C144" i="22747"/>
  <c r="J96" i="22715"/>
  <c r="I96" i="22715" s="1"/>
  <c r="C142" i="22747"/>
  <c r="J98" i="22715" s="1"/>
  <c r="J157" i="22715"/>
  <c r="I157" i="22715" s="1"/>
  <c r="C26" i="22748"/>
  <c r="AH95" i="22746"/>
  <c r="AG89" i="22746" s="1"/>
  <c r="AH89" i="22746" s="1"/>
  <c r="J80" i="22715"/>
  <c r="I80" i="22715" s="1"/>
  <c r="BC97" i="22746"/>
  <c r="J29" i="22748"/>
  <c r="AV91" i="3"/>
  <c r="E106" i="22747" l="1"/>
  <c r="F106" i="22747" s="1"/>
  <c r="D49" i="22715" s="1"/>
  <c r="G85" i="22747"/>
  <c r="G84" i="22747"/>
  <c r="G100" i="22747"/>
  <c r="C169" i="22747" s="1"/>
  <c r="J162" i="22715" s="1"/>
  <c r="G55" i="22747"/>
  <c r="G24" i="22747"/>
  <c r="G26" i="22747"/>
  <c r="G28" i="22747"/>
  <c r="G30" i="22747"/>
  <c r="G32" i="22747"/>
  <c r="G34" i="22747"/>
  <c r="G36" i="22747"/>
  <c r="G38" i="22747"/>
  <c r="G40" i="22747"/>
  <c r="G42" i="22747"/>
  <c r="G44" i="22747"/>
  <c r="G46" i="22747"/>
  <c r="G48" i="22747"/>
  <c r="G49" i="22747"/>
  <c r="G53" i="22747"/>
  <c r="G25" i="22747"/>
  <c r="G27" i="22747"/>
  <c r="G29" i="22747"/>
  <c r="G31" i="22747"/>
  <c r="G33" i="22747"/>
  <c r="G35" i="22747"/>
  <c r="G37" i="22747"/>
  <c r="G39" i="22747"/>
  <c r="G41" i="22747"/>
  <c r="G43" i="22747"/>
  <c r="G45" i="22747"/>
  <c r="G47" i="22747"/>
  <c r="G51" i="22747"/>
  <c r="B170" i="22747"/>
  <c r="J159" i="22715" s="1"/>
  <c r="I159" i="22715" s="1"/>
  <c r="AH90" i="22746"/>
  <c r="J190" i="22715"/>
  <c r="I190" i="22715" s="1"/>
  <c r="J36" i="22714"/>
  <c r="CZ98" i="3"/>
  <c r="J37" i="22714" s="1"/>
  <c r="J30" i="22748"/>
  <c r="BJ97" i="22746"/>
  <c r="G73" i="22747"/>
  <c r="G72" i="22747"/>
  <c r="G18" i="22747"/>
  <c r="B139" i="22747"/>
  <c r="F104" i="22747"/>
  <c r="D47" i="22715" s="1"/>
  <c r="G86" i="22747"/>
  <c r="G23" i="22747"/>
  <c r="B138" i="22747"/>
  <c r="G82" i="22747"/>
  <c r="G90" i="22747"/>
  <c r="G88" i="22747"/>
  <c r="G89" i="22747"/>
  <c r="G93" i="22747"/>
  <c r="G65" i="22747"/>
  <c r="C180" i="22747"/>
  <c r="G70" i="22747"/>
  <c r="F110" i="22747"/>
  <c r="J44" i="22715" s="1"/>
  <c r="I44" i="22715" s="1"/>
  <c r="G19" i="22747"/>
  <c r="G58" i="22747"/>
  <c r="G81" i="22747"/>
  <c r="G83" i="22747"/>
  <c r="C185" i="22747"/>
  <c r="C177" i="22747"/>
  <c r="C205" i="22747"/>
  <c r="G63" i="22747"/>
  <c r="C181" i="22747"/>
  <c r="G69" i="22747"/>
  <c r="C182" i="22747"/>
  <c r="C187" i="22747"/>
  <c r="J192" i="22715" s="1"/>
  <c r="F108" i="22747"/>
  <c r="G76" i="22747"/>
  <c r="G74" i="22747"/>
  <c r="G96" i="22747"/>
  <c r="G102" i="22747"/>
  <c r="G92" i="22747"/>
  <c r="D46" i="22715"/>
  <c r="B188" i="22747"/>
  <c r="G80" i="22747"/>
  <c r="G21" i="22747"/>
  <c r="G91" i="22747"/>
  <c r="G67" i="22747"/>
  <c r="G68" i="22747"/>
  <c r="C201" i="22747"/>
  <c r="G87" i="22747"/>
  <c r="F117" i="22747"/>
  <c r="B208" i="22747"/>
  <c r="C206" i="22747"/>
  <c r="G79" i="22747"/>
  <c r="G75" i="22747"/>
  <c r="G71" i="22747"/>
  <c r="G61" i="22747"/>
  <c r="C202" i="22747"/>
  <c r="C207" i="22747"/>
  <c r="J241" i="22715" s="1"/>
  <c r="G97" i="22747"/>
  <c r="G57" i="22747"/>
  <c r="C168" i="22747" s="1"/>
  <c r="G98" i="22747"/>
  <c r="AV92" i="3"/>
  <c r="J8" i="22715" l="1"/>
  <c r="C49" i="22715"/>
  <c r="I8" i="22715" s="1"/>
  <c r="F119" i="22747"/>
  <c r="D63" i="22715"/>
  <c r="C63" i="22715" s="1"/>
  <c r="C46" i="22715"/>
  <c r="J82" i="22715"/>
  <c r="I82" i="22715" s="1"/>
  <c r="C138" i="22747"/>
  <c r="J86" i="22715" s="1"/>
  <c r="J81" i="22715"/>
  <c r="I81" i="22715" s="1"/>
  <c r="B164" i="22747"/>
  <c r="C136" i="22747"/>
  <c r="J84" i="22715" s="1"/>
  <c r="C139" i="22747"/>
  <c r="C137" i="22747"/>
  <c r="J85" i="22715" s="1"/>
  <c r="J31" i="22748"/>
  <c r="BQ97" i="22746"/>
  <c r="C170" i="22747"/>
  <c r="J161" i="22715"/>
  <c r="C208" i="22747"/>
  <c r="J242" i="22715" s="1"/>
  <c r="J237" i="22715"/>
  <c r="J189" i="22715"/>
  <c r="I189" i="22715" s="1"/>
  <c r="C188" i="22747"/>
  <c r="J193" i="22715" s="1"/>
  <c r="F115" i="22747"/>
  <c r="J52" i="22715" s="1"/>
  <c r="I52" i="22715" s="1"/>
  <c r="F129" i="22747"/>
  <c r="J47" i="22715" s="1"/>
  <c r="I47" i="22715" s="1"/>
  <c r="J42" i="22715"/>
  <c r="I42" i="22715" s="1"/>
  <c r="J10" i="22715"/>
  <c r="C47" i="22715"/>
  <c r="I10" i="22715" s="1"/>
  <c r="AH91" i="22746"/>
  <c r="AH92" i="22746" s="1"/>
  <c r="AV93" i="3"/>
  <c r="AW92" i="3" s="1"/>
  <c r="AW55" i="3" l="1"/>
  <c r="AW58" i="3"/>
  <c r="AW60" i="3"/>
  <c r="AW62" i="3"/>
  <c r="AW64" i="3"/>
  <c r="AW68" i="3"/>
  <c r="AW70" i="3"/>
  <c r="AW77" i="3"/>
  <c r="AW79" i="3"/>
  <c r="AW81" i="3"/>
  <c r="AW83" i="3"/>
  <c r="AW85" i="3"/>
  <c r="AW87" i="3"/>
  <c r="AW89" i="3"/>
  <c r="AW91" i="3"/>
  <c r="AW59" i="3"/>
  <c r="AW61" i="3"/>
  <c r="AW63" i="3"/>
  <c r="AW67" i="3"/>
  <c r="AW69" i="3"/>
  <c r="AW71" i="3"/>
  <c r="AW74" i="3"/>
  <c r="AW76" i="3"/>
  <c r="AW78" i="3"/>
  <c r="AW80" i="3"/>
  <c r="AW82" i="3"/>
  <c r="AW86" i="3"/>
  <c r="AW88" i="3"/>
  <c r="AW90" i="3"/>
  <c r="AW57" i="3"/>
  <c r="AW75" i="3"/>
  <c r="AW84" i="3"/>
  <c r="AW66" i="3"/>
  <c r="AW65" i="3"/>
  <c r="AW72" i="3"/>
  <c r="AI91" i="22746"/>
  <c r="AI46" i="22746"/>
  <c r="AI25" i="22746"/>
  <c r="AI92" i="22746"/>
  <c r="AI51" i="22746"/>
  <c r="AI34" i="22746"/>
  <c r="AI74" i="22746"/>
  <c r="AI33" i="22746"/>
  <c r="AI50" i="22746"/>
  <c r="AI53" i="22746"/>
  <c r="AI56" i="22746"/>
  <c r="AI64" i="22746"/>
  <c r="AI19" i="22746"/>
  <c r="AI77" i="22746"/>
  <c r="AI42" i="22746"/>
  <c r="AI86" i="22746"/>
  <c r="AI68" i="22746"/>
  <c r="AI75" i="22746"/>
  <c r="AI76" i="22746"/>
  <c r="AI43" i="22746"/>
  <c r="AI84" i="22746"/>
  <c r="AI65" i="22746"/>
  <c r="AI26" i="22746"/>
  <c r="AI20" i="22746"/>
  <c r="AI52" i="22746"/>
  <c r="AI85" i="22746"/>
  <c r="AH96" i="22746"/>
  <c r="AI31" i="22746"/>
  <c r="AI38" i="22746"/>
  <c r="AH94" i="22746"/>
  <c r="AI60" i="22746"/>
  <c r="AI63" i="22746"/>
  <c r="E27" i="22748"/>
  <c r="AI54" i="22746"/>
  <c r="AI88" i="22746"/>
  <c r="AI47" i="22746"/>
  <c r="AI58" i="22746"/>
  <c r="AI73" i="22746"/>
  <c r="AI45" i="22746"/>
  <c r="AI32" i="22746"/>
  <c r="AI24" i="22746"/>
  <c r="AI62" i="22746"/>
  <c r="AI71" i="22746"/>
  <c r="AI89" i="22746"/>
  <c r="J238" i="22715"/>
  <c r="I238" i="22715" s="1"/>
  <c r="I237" i="22715"/>
  <c r="BX97" i="22746"/>
  <c r="J32" i="22748"/>
  <c r="AI90" i="22746"/>
  <c r="B163" i="22747"/>
  <c r="C160" i="22747"/>
  <c r="J140" i="22715" s="1"/>
  <c r="C161" i="22747"/>
  <c r="J141" i="22715" s="1"/>
  <c r="C164" i="22747"/>
  <c r="J138" i="22715"/>
  <c r="I138" i="22715" s="1"/>
  <c r="C162" i="22747"/>
  <c r="J142" i="22715" s="1"/>
  <c r="F120" i="22747"/>
  <c r="D64" i="22715"/>
  <c r="F122" i="22747"/>
  <c r="J67" i="22715" s="1"/>
  <c r="AV97" i="3"/>
  <c r="E29" i="22714"/>
  <c r="AW93" i="3"/>
  <c r="AV95" i="3"/>
  <c r="J6" i="22715" l="1"/>
  <c r="I67" i="22715"/>
  <c r="I6" i="22715" s="1"/>
  <c r="C42" i="22748"/>
  <c r="J64" i="22715"/>
  <c r="C163" i="22747"/>
  <c r="J143" i="22715" s="1"/>
  <c r="J137" i="22715"/>
  <c r="I137" i="22715" s="1"/>
  <c r="D67" i="22715"/>
  <c r="C67" i="22715" s="1"/>
  <c r="C64" i="22715"/>
  <c r="J33" i="22748"/>
  <c r="CE97" i="22746"/>
  <c r="G27" i="22748"/>
  <c r="F27" i="22748"/>
  <c r="AO95" i="22746"/>
  <c r="AN89" i="22746" s="1"/>
  <c r="AO89" i="22746" s="1"/>
  <c r="AO90" i="22746" s="1"/>
  <c r="AO91" i="22746" s="1"/>
  <c r="AO92" i="22746" s="1"/>
  <c r="AP92" i="22746" s="1"/>
  <c r="C27" i="22748"/>
  <c r="G29" i="22714"/>
  <c r="F29" i="22714"/>
  <c r="C29" i="22714"/>
  <c r="BC96" i="3"/>
  <c r="BB90" i="3" s="1"/>
  <c r="BC90" i="3" s="1"/>
  <c r="AP62" i="22746" l="1"/>
  <c r="AP58" i="22746"/>
  <c r="AP25" i="22746"/>
  <c r="AP71" i="22746"/>
  <c r="AP47" i="22746"/>
  <c r="AO96" i="22746"/>
  <c r="AV95" i="22746" s="1"/>
  <c r="AU89" i="22746" s="1"/>
  <c r="AV89" i="22746" s="1"/>
  <c r="AP86" i="22746"/>
  <c r="AP54" i="22746"/>
  <c r="AP76" i="22746"/>
  <c r="AP43" i="22746"/>
  <c r="AP42" i="22746"/>
  <c r="AP90" i="22746"/>
  <c r="AP65" i="22746"/>
  <c r="AP84" i="22746"/>
  <c r="AP31" i="22746"/>
  <c r="AP34" i="22746"/>
  <c r="AP75" i="22746"/>
  <c r="AP63" i="22746"/>
  <c r="AP46" i="22746"/>
  <c r="AP74" i="22746"/>
  <c r="AP85" i="22746"/>
  <c r="AP52" i="22746"/>
  <c r="AP91" i="22746"/>
  <c r="AP89" i="22746"/>
  <c r="AP56" i="22746"/>
  <c r="AP60" i="22746"/>
  <c r="AO94" i="22746"/>
  <c r="AP45" i="22746"/>
  <c r="AP77" i="22746"/>
  <c r="AP73" i="22746"/>
  <c r="AP88" i="22746"/>
  <c r="AP26" i="22746"/>
  <c r="AP24" i="22746"/>
  <c r="AP64" i="22746"/>
  <c r="AP68" i="22746"/>
  <c r="AP53" i="22746"/>
  <c r="AP50" i="22746"/>
  <c r="AP20" i="22746"/>
  <c r="AP38" i="22746"/>
  <c r="AP32" i="22746"/>
  <c r="AP33" i="22746"/>
  <c r="AP19" i="22746"/>
  <c r="E28" i="22748"/>
  <c r="G28" i="22748" s="1"/>
  <c r="CL97" i="22746"/>
  <c r="J34" i="22748"/>
  <c r="J7" i="22715"/>
  <c r="I64" i="22715"/>
  <c r="I7" i="22715" s="1"/>
  <c r="BC91" i="3"/>
  <c r="F28" i="22748" l="1"/>
  <c r="C28" i="22748"/>
  <c r="CS97" i="22746"/>
  <c r="J35" i="22748"/>
  <c r="BC92" i="3"/>
  <c r="AV90" i="22746"/>
  <c r="CZ97" i="22746" l="1"/>
  <c r="J37" i="22748" s="1"/>
  <c r="J36" i="22748"/>
  <c r="BC93" i="3"/>
  <c r="BD92" i="3" s="1"/>
  <c r="AV91" i="22746"/>
  <c r="BD59" i="3" l="1"/>
  <c r="BD61" i="3"/>
  <c r="BD63" i="3"/>
  <c r="BD67" i="3"/>
  <c r="BD69" i="3"/>
  <c r="BD71" i="3"/>
  <c r="BD74" i="3"/>
  <c r="BD76" i="3"/>
  <c r="BD78" i="3"/>
  <c r="BD80" i="3"/>
  <c r="BD82" i="3"/>
  <c r="BD86" i="3"/>
  <c r="BD88" i="3"/>
  <c r="BD90" i="3"/>
  <c r="BD55" i="3"/>
  <c r="BD58" i="3"/>
  <c r="BD60" i="3"/>
  <c r="BD62" i="3"/>
  <c r="BD64" i="3"/>
  <c r="BD68" i="3"/>
  <c r="BD70" i="3"/>
  <c r="BD77" i="3"/>
  <c r="BD79" i="3"/>
  <c r="BD81" i="3"/>
  <c r="BD83" i="3"/>
  <c r="BD85" i="3"/>
  <c r="BD87" i="3"/>
  <c r="BD89" i="3"/>
  <c r="BD91" i="3"/>
  <c r="BD57" i="3"/>
  <c r="BD75" i="3"/>
  <c r="BD65" i="3"/>
  <c r="BD84" i="3"/>
  <c r="BD66" i="3"/>
  <c r="BD72" i="3"/>
  <c r="BC97" i="3"/>
  <c r="E30" i="22714"/>
  <c r="BD93" i="3"/>
  <c r="BC95" i="3"/>
  <c r="AV92" i="22746"/>
  <c r="AW91" i="22746" s="1"/>
  <c r="G30" i="22714" l="1"/>
  <c r="F30" i="22714"/>
  <c r="C30" i="22714"/>
  <c r="BJ96" i="3"/>
  <c r="BI90" i="3" s="1"/>
  <c r="BJ90" i="3" s="1"/>
  <c r="AW42" i="22746"/>
  <c r="AW20" i="22746"/>
  <c r="AW25" i="22746"/>
  <c r="AW24" i="22746"/>
  <c r="AW74" i="22746"/>
  <c r="AW85" i="22746"/>
  <c r="AW26" i="22746"/>
  <c r="AW33" i="22746"/>
  <c r="AW79" i="22746"/>
  <c r="AW38" i="22746"/>
  <c r="AW34" i="22746"/>
  <c r="AW32" i="22746"/>
  <c r="AW46" i="22746"/>
  <c r="AW19" i="22746"/>
  <c r="AW73" i="22746"/>
  <c r="AW43" i="22746"/>
  <c r="AW50" i="22746"/>
  <c r="AW84" i="22746"/>
  <c r="AW86" i="22746"/>
  <c r="AW65" i="22746"/>
  <c r="AW62" i="22746"/>
  <c r="AW68" i="22746"/>
  <c r="AW63" i="22746"/>
  <c r="AW71" i="22746"/>
  <c r="AW75" i="22746"/>
  <c r="AW80" i="22746"/>
  <c r="AW88" i="22746"/>
  <c r="AW92" i="22746"/>
  <c r="AW31" i="22746"/>
  <c r="AW81" i="22746"/>
  <c r="AV96" i="22746"/>
  <c r="AW76" i="22746"/>
  <c r="AW45" i="22746"/>
  <c r="AW77" i="22746"/>
  <c r="E29" i="22748"/>
  <c r="AW52" i="22746"/>
  <c r="AW82" i="22746"/>
  <c r="AW54" i="22746"/>
  <c r="AW83" i="22746"/>
  <c r="AW47" i="22746"/>
  <c r="AW53" i="22746"/>
  <c r="AV94" i="22746"/>
  <c r="AW58" i="22746"/>
  <c r="AW60" i="22746"/>
  <c r="AW56" i="22746"/>
  <c r="AW64" i="22746"/>
  <c r="AW89" i="22746"/>
  <c r="AW90" i="22746"/>
  <c r="BJ91" i="3" l="1"/>
  <c r="G29" i="22748"/>
  <c r="F29" i="22748"/>
  <c r="BC95" i="22746"/>
  <c r="BB89" i="22746" s="1"/>
  <c r="BC89" i="22746" s="1"/>
  <c r="C29" i="22748"/>
  <c r="BJ92" i="3" l="1"/>
  <c r="BJ93" i="3" s="1"/>
  <c r="BC90" i="22746"/>
  <c r="BC91" i="22746" l="1"/>
  <c r="BK59" i="3" l="1"/>
  <c r="BK61" i="3"/>
  <c r="BK63" i="3"/>
  <c r="BK67" i="3"/>
  <c r="BK69" i="3"/>
  <c r="BK71" i="3"/>
  <c r="BK74" i="3"/>
  <c r="BK76" i="3"/>
  <c r="BK78" i="3"/>
  <c r="BK80" i="3"/>
  <c r="BK82" i="3"/>
  <c r="BK86" i="3"/>
  <c r="BK88" i="3"/>
  <c r="BK90" i="3"/>
  <c r="BK58" i="3"/>
  <c r="BK60" i="3"/>
  <c r="BK62" i="3"/>
  <c r="BK64" i="3"/>
  <c r="BK68" i="3"/>
  <c r="BK70" i="3"/>
  <c r="BK77" i="3"/>
  <c r="BK79" i="3"/>
  <c r="BK81" i="3"/>
  <c r="BK83" i="3"/>
  <c r="BK85" i="3"/>
  <c r="BK87" i="3"/>
  <c r="BK89" i="3"/>
  <c r="BK91" i="3"/>
  <c r="BK57" i="3"/>
  <c r="BK75" i="3"/>
  <c r="BK66" i="3"/>
  <c r="BK65" i="3"/>
  <c r="BK84" i="3"/>
  <c r="BK72" i="3"/>
  <c r="BK92" i="3"/>
  <c r="BK55" i="3"/>
  <c r="E31" i="22714"/>
  <c r="BK93" i="3"/>
  <c r="BJ97" i="3"/>
  <c r="BJ95" i="3"/>
  <c r="BC92" i="22746"/>
  <c r="C31" i="22714" l="1"/>
  <c r="BQ96" i="3"/>
  <c r="BP90" i="3" s="1"/>
  <c r="BQ90" i="3" s="1"/>
  <c r="G31" i="22714"/>
  <c r="F31" i="22714"/>
  <c r="BD82" i="22746"/>
  <c r="BD42" i="22746"/>
  <c r="BD26" i="22746"/>
  <c r="BD80" i="22746"/>
  <c r="BD74" i="22746"/>
  <c r="BD24" i="22746"/>
  <c r="BD43" i="22746"/>
  <c r="BD45" i="22746"/>
  <c r="BD38" i="22746"/>
  <c r="BD77" i="22746"/>
  <c r="BD33" i="22746"/>
  <c r="BD88" i="22746"/>
  <c r="BC96" i="22746"/>
  <c r="BD73" i="22746"/>
  <c r="BD81" i="22746"/>
  <c r="BD83" i="22746"/>
  <c r="BD50" i="22746"/>
  <c r="BD86" i="22746"/>
  <c r="BC94" i="22746"/>
  <c r="BD65" i="22746"/>
  <c r="BD56" i="22746"/>
  <c r="BD58" i="22746"/>
  <c r="BD64" i="22746"/>
  <c r="E30" i="22748"/>
  <c r="BD54" i="22746"/>
  <c r="BD34" i="22746"/>
  <c r="BD46" i="22746"/>
  <c r="BD85" i="22746"/>
  <c r="BD31" i="22746"/>
  <c r="BD20" i="22746"/>
  <c r="BD76" i="22746"/>
  <c r="BD25" i="22746"/>
  <c r="BD32" i="22746"/>
  <c r="BD92" i="22746"/>
  <c r="BD52" i="22746"/>
  <c r="BD19" i="22746"/>
  <c r="BD75" i="22746"/>
  <c r="BD79" i="22746"/>
  <c r="BD47" i="22746"/>
  <c r="BD84" i="22746"/>
  <c r="BD53" i="22746"/>
  <c r="BD60" i="22746"/>
  <c r="BD62" i="22746"/>
  <c r="BD63" i="22746"/>
  <c r="BD68" i="22746"/>
  <c r="BD71" i="22746"/>
  <c r="BD89" i="22746"/>
  <c r="BD90" i="22746"/>
  <c r="BD91" i="22746"/>
  <c r="BQ91" i="3" l="1"/>
  <c r="G30" i="22748"/>
  <c r="F30" i="22748"/>
  <c r="C30" i="22748"/>
  <c r="BJ95" i="22746"/>
  <c r="BI89" i="22746" s="1"/>
  <c r="BJ89" i="22746" s="1"/>
  <c r="BQ92" i="3" l="1"/>
  <c r="BJ90" i="22746"/>
  <c r="BQ93" i="3" l="1"/>
  <c r="BR92" i="3" s="1"/>
  <c r="BJ91" i="22746"/>
  <c r="BR55" i="3" l="1"/>
  <c r="BR58" i="3"/>
  <c r="BR60" i="3"/>
  <c r="BR62" i="3"/>
  <c r="BR64" i="3"/>
  <c r="BR68" i="3"/>
  <c r="BR70" i="3"/>
  <c r="BR77" i="3"/>
  <c r="BR79" i="3"/>
  <c r="BR81" i="3"/>
  <c r="BR83" i="3"/>
  <c r="BR85" i="3"/>
  <c r="BR87" i="3"/>
  <c r="BR89" i="3"/>
  <c r="BR91" i="3"/>
  <c r="BR59" i="3"/>
  <c r="BR61" i="3"/>
  <c r="BR63" i="3"/>
  <c r="BR67" i="3"/>
  <c r="BR69" i="3"/>
  <c r="BR71" i="3"/>
  <c r="BR74" i="3"/>
  <c r="BR76" i="3"/>
  <c r="BR78" i="3"/>
  <c r="BR80" i="3"/>
  <c r="BR82" i="3"/>
  <c r="BR86" i="3"/>
  <c r="BR88" i="3"/>
  <c r="BR90" i="3"/>
  <c r="BR57" i="3"/>
  <c r="BR75" i="3"/>
  <c r="BR84" i="3"/>
  <c r="BR66" i="3"/>
  <c r="BR65" i="3"/>
  <c r="BR72" i="3"/>
  <c r="BR93" i="3"/>
  <c r="E32" i="22714"/>
  <c r="BQ97" i="3"/>
  <c r="BQ95" i="3"/>
  <c r="BJ92" i="22746"/>
  <c r="BK91" i="22746" s="1"/>
  <c r="C32" i="22714" l="1"/>
  <c r="BX96" i="3"/>
  <c r="BW90" i="3" s="1"/>
  <c r="BX90" i="3" s="1"/>
  <c r="G32" i="22714"/>
  <c r="F32" i="22714"/>
  <c r="BK19" i="22746"/>
  <c r="BK46" i="22746"/>
  <c r="BK77" i="22746"/>
  <c r="BJ96" i="22746"/>
  <c r="BK54" i="22746"/>
  <c r="BK24" i="22746"/>
  <c r="BK85" i="22746"/>
  <c r="BK32" i="22746"/>
  <c r="BK92" i="22746"/>
  <c r="BK73" i="22746"/>
  <c r="BK31" i="22746"/>
  <c r="BK88" i="22746"/>
  <c r="BK33" i="22746"/>
  <c r="BK81" i="22746"/>
  <c r="BK50" i="22746"/>
  <c r="BK47" i="22746"/>
  <c r="BK86" i="22746"/>
  <c r="BK60" i="22746"/>
  <c r="BJ94" i="22746"/>
  <c r="BK65" i="22746"/>
  <c r="BK62" i="22746"/>
  <c r="BK64" i="22746"/>
  <c r="BK76" i="22746"/>
  <c r="BK52" i="22746"/>
  <c r="BK20" i="22746"/>
  <c r="BK74" i="22746"/>
  <c r="BK45" i="22746"/>
  <c r="BK25" i="22746"/>
  <c r="BK38" i="22746"/>
  <c r="BK80" i="22746"/>
  <c r="BK79" i="22746"/>
  <c r="BK42" i="22746"/>
  <c r="BK26" i="22746"/>
  <c r="BK75" i="22746"/>
  <c r="BK34" i="22746"/>
  <c r="E31" i="22748"/>
  <c r="BK43" i="22746"/>
  <c r="BK82" i="22746"/>
  <c r="BK83" i="22746"/>
  <c r="BK84" i="22746"/>
  <c r="BK53" i="22746"/>
  <c r="BK68" i="22746"/>
  <c r="BK63" i="22746"/>
  <c r="BK56" i="22746"/>
  <c r="BK58" i="22746"/>
  <c r="BK71" i="22746"/>
  <c r="BK89" i="22746"/>
  <c r="BK90" i="22746"/>
  <c r="BX91" i="3" l="1"/>
  <c r="F31" i="22748"/>
  <c r="G31" i="22748"/>
  <c r="C31" i="22748"/>
  <c r="BQ95" i="22746"/>
  <c r="BP89" i="22746" s="1"/>
  <c r="BQ89" i="22746" s="1"/>
  <c r="BX92" i="3" l="1"/>
  <c r="BQ90" i="22746"/>
  <c r="BX93" i="3" l="1"/>
  <c r="BQ91" i="22746"/>
  <c r="BY59" i="3" l="1"/>
  <c r="BY61" i="3"/>
  <c r="BY63" i="3"/>
  <c r="BY67" i="3"/>
  <c r="BY69" i="3"/>
  <c r="BY71" i="3"/>
  <c r="BY74" i="3"/>
  <c r="BY76" i="3"/>
  <c r="BY78" i="3"/>
  <c r="BY80" i="3"/>
  <c r="BY82" i="3"/>
  <c r="BY86" i="3"/>
  <c r="BY88" i="3"/>
  <c r="BY90" i="3"/>
  <c r="BY55" i="3"/>
  <c r="BY58" i="3"/>
  <c r="BY60" i="3"/>
  <c r="BY62" i="3"/>
  <c r="BY64" i="3"/>
  <c r="BY68" i="3"/>
  <c r="BY70" i="3"/>
  <c r="BY77" i="3"/>
  <c r="BY79" i="3"/>
  <c r="BY81" i="3"/>
  <c r="BY83" i="3"/>
  <c r="BY85" i="3"/>
  <c r="BY87" i="3"/>
  <c r="BY89" i="3"/>
  <c r="BY91" i="3"/>
  <c r="BY57" i="3"/>
  <c r="BY75" i="3"/>
  <c r="BY84" i="3"/>
  <c r="BY66" i="3"/>
  <c r="BY65" i="3"/>
  <c r="BY72" i="3"/>
  <c r="BY92" i="3"/>
  <c r="E33" i="22714"/>
  <c r="BY93" i="3"/>
  <c r="BX97" i="3"/>
  <c r="BX95" i="3"/>
  <c r="BQ92" i="22746"/>
  <c r="C33" i="22714" l="1"/>
  <c r="CE96" i="3"/>
  <c r="CD90" i="3" s="1"/>
  <c r="CE90" i="3" s="1"/>
  <c r="F33" i="22714"/>
  <c r="G33" i="22714"/>
  <c r="BQ96" i="22746"/>
  <c r="BR54" i="22746"/>
  <c r="BR26" i="22746"/>
  <c r="BR83" i="22746"/>
  <c r="BR77" i="22746"/>
  <c r="BR34" i="22746"/>
  <c r="BR20" i="22746"/>
  <c r="E32" i="22748"/>
  <c r="BR81" i="22746"/>
  <c r="BR79" i="22746"/>
  <c r="BR85" i="22746"/>
  <c r="BR75" i="22746"/>
  <c r="BR80" i="22746"/>
  <c r="BR74" i="22746"/>
  <c r="BR32" i="22746"/>
  <c r="BR46" i="22746"/>
  <c r="BR45" i="22746"/>
  <c r="BR84" i="22746"/>
  <c r="BR58" i="22746"/>
  <c r="BR62" i="22746"/>
  <c r="BR53" i="22746"/>
  <c r="BR68" i="22746"/>
  <c r="BR64" i="22746"/>
  <c r="BR71" i="22746"/>
  <c r="BR82" i="22746"/>
  <c r="BR24" i="22746"/>
  <c r="BR73" i="22746"/>
  <c r="BR88" i="22746"/>
  <c r="BR52" i="22746"/>
  <c r="BR33" i="22746"/>
  <c r="BR42" i="22746"/>
  <c r="BR43" i="22746"/>
  <c r="BR86" i="22746"/>
  <c r="BR60" i="22746"/>
  <c r="BR56" i="22746"/>
  <c r="BR76" i="22746"/>
  <c r="BR25" i="22746"/>
  <c r="BR38" i="22746"/>
  <c r="BR19" i="22746"/>
  <c r="BR92" i="22746"/>
  <c r="BR31" i="22746"/>
  <c r="BR47" i="22746"/>
  <c r="BR50" i="22746"/>
  <c r="BR65" i="22746"/>
  <c r="BR63" i="22746"/>
  <c r="BQ94" i="22746"/>
  <c r="BR89" i="22746"/>
  <c r="BR90" i="22746"/>
  <c r="BR91" i="22746"/>
  <c r="CE91" i="3" l="1"/>
  <c r="G32" i="22748"/>
  <c r="F32" i="22748"/>
  <c r="C32" i="22748"/>
  <c r="BX95" i="22746"/>
  <c r="BW89" i="22746" s="1"/>
  <c r="BX89" i="22746" s="1"/>
  <c r="CE92" i="3" l="1"/>
  <c r="BX90" i="22746"/>
  <c r="CE93" i="3" l="1"/>
  <c r="BX91" i="22746"/>
  <c r="CF55" i="3" l="1"/>
  <c r="CF58" i="3"/>
  <c r="CF60" i="3"/>
  <c r="CF62" i="3"/>
  <c r="CF64" i="3"/>
  <c r="CF68" i="3"/>
  <c r="CF70" i="3"/>
  <c r="CF77" i="3"/>
  <c r="CF79" i="3"/>
  <c r="CF81" i="3"/>
  <c r="CF83" i="3"/>
  <c r="CF85" i="3"/>
  <c r="CF87" i="3"/>
  <c r="CF89" i="3"/>
  <c r="CF91" i="3"/>
  <c r="CF59" i="3"/>
  <c r="CF61" i="3"/>
  <c r="CF63" i="3"/>
  <c r="CF67" i="3"/>
  <c r="CF69" i="3"/>
  <c r="CF71" i="3"/>
  <c r="CF74" i="3"/>
  <c r="CF76" i="3"/>
  <c r="CF78" i="3"/>
  <c r="CF80" i="3"/>
  <c r="CF82" i="3"/>
  <c r="CF86" i="3"/>
  <c r="CF88" i="3"/>
  <c r="CF90" i="3"/>
  <c r="CF57" i="3"/>
  <c r="CF75" i="3"/>
  <c r="CF66" i="3"/>
  <c r="CF84" i="3"/>
  <c r="CF65" i="3"/>
  <c r="CF72" i="3"/>
  <c r="CF92" i="3"/>
  <c r="CF93" i="3"/>
  <c r="E34" i="22714"/>
  <c r="CE97" i="3"/>
  <c r="CE95" i="3"/>
  <c r="BX92" i="22746"/>
  <c r="G34" i="22714" l="1"/>
  <c r="F34" i="22714"/>
  <c r="C34" i="22714"/>
  <c r="CL96" i="3"/>
  <c r="CK90" i="3" s="1"/>
  <c r="CL90" i="3" s="1"/>
  <c r="BY33" i="22746"/>
  <c r="BY76" i="22746"/>
  <c r="BY74" i="22746"/>
  <c r="E33" i="22748"/>
  <c r="BY88" i="22746"/>
  <c r="BY19" i="22746"/>
  <c r="BY92" i="22746"/>
  <c r="BY26" i="22746"/>
  <c r="BY20" i="22746"/>
  <c r="BY82" i="22746"/>
  <c r="BY34" i="22746"/>
  <c r="BY52" i="22746"/>
  <c r="BY79" i="22746"/>
  <c r="BY80" i="22746"/>
  <c r="BY75" i="22746"/>
  <c r="BY54" i="22746"/>
  <c r="BY81" i="22746"/>
  <c r="BY83" i="22746"/>
  <c r="BY45" i="22746"/>
  <c r="BY50" i="22746"/>
  <c r="BY86" i="22746"/>
  <c r="BY62" i="22746"/>
  <c r="BY60" i="22746"/>
  <c r="BY56" i="22746"/>
  <c r="BY53" i="22746"/>
  <c r="BX94" i="22746"/>
  <c r="BY38" i="22746"/>
  <c r="BY73" i="22746"/>
  <c r="BX96" i="22746"/>
  <c r="BY32" i="22746"/>
  <c r="BY42" i="22746"/>
  <c r="BY25" i="22746"/>
  <c r="BY24" i="22746"/>
  <c r="BY31" i="22746"/>
  <c r="BY77" i="22746"/>
  <c r="BY85" i="22746"/>
  <c r="BY43" i="22746"/>
  <c r="BY47" i="22746"/>
  <c r="BY46" i="22746"/>
  <c r="BY84" i="22746"/>
  <c r="BY65" i="22746"/>
  <c r="BY63" i="22746"/>
  <c r="BY68" i="22746"/>
  <c r="BY58" i="22746"/>
  <c r="BY64" i="22746"/>
  <c r="BY71" i="22746"/>
  <c r="BY89" i="22746"/>
  <c r="BY90" i="22746"/>
  <c r="BY91" i="22746"/>
  <c r="CL91" i="3" l="1"/>
  <c r="CE95" i="22746"/>
  <c r="CD89" i="22746" s="1"/>
  <c r="CE89" i="22746" s="1"/>
  <c r="C33" i="22748"/>
  <c r="F33" i="22748"/>
  <c r="G33" i="22748"/>
  <c r="CL92" i="3" l="1"/>
  <c r="CE90" i="22746"/>
  <c r="CL93" i="3" l="1"/>
  <c r="CE91" i="22746"/>
  <c r="CM92" i="3" l="1"/>
  <c r="CM58" i="3"/>
  <c r="CM60" i="3"/>
  <c r="CM62" i="3"/>
  <c r="CM64" i="3"/>
  <c r="CM68" i="3"/>
  <c r="CM70" i="3"/>
  <c r="CM77" i="3"/>
  <c r="CM79" i="3"/>
  <c r="CM81" i="3"/>
  <c r="CM83" i="3"/>
  <c r="CM85" i="3"/>
  <c r="CM87" i="3"/>
  <c r="CM89" i="3"/>
  <c r="CM91" i="3"/>
  <c r="CM59" i="3"/>
  <c r="CM61" i="3"/>
  <c r="CM63" i="3"/>
  <c r="CM67" i="3"/>
  <c r="CM69" i="3"/>
  <c r="CM71" i="3"/>
  <c r="CM74" i="3"/>
  <c r="CM76" i="3"/>
  <c r="CM78" i="3"/>
  <c r="CM80" i="3"/>
  <c r="CM82" i="3"/>
  <c r="CM86" i="3"/>
  <c r="CM88" i="3"/>
  <c r="CM90" i="3"/>
  <c r="CM57" i="3"/>
  <c r="CM75" i="3"/>
  <c r="CM65" i="3"/>
  <c r="CM66" i="3"/>
  <c r="CM84" i="3"/>
  <c r="CM72" i="3"/>
  <c r="E35" i="22714"/>
  <c r="CM93" i="3"/>
  <c r="CM55" i="3"/>
  <c r="CL97" i="3"/>
  <c r="CL95" i="3"/>
  <c r="CE92" i="22746"/>
  <c r="CF91" i="22746" s="1"/>
  <c r="C35" i="22714" l="1"/>
  <c r="CS96" i="3"/>
  <c r="CR90" i="3" s="1"/>
  <c r="CS90" i="3" s="1"/>
  <c r="F35" i="22714"/>
  <c r="G35" i="22714"/>
  <c r="CF32" i="22746"/>
  <c r="CF81" i="22746"/>
  <c r="CF54" i="22746"/>
  <c r="CF24" i="22746"/>
  <c r="CF31" i="22746"/>
  <c r="CF33" i="22746"/>
  <c r="CF34" i="22746"/>
  <c r="CF38" i="22746"/>
  <c r="CF76" i="22746"/>
  <c r="CF75" i="22746"/>
  <c r="CF73" i="22746"/>
  <c r="CF92" i="22746"/>
  <c r="CF19" i="22746"/>
  <c r="CF79" i="22746"/>
  <c r="CF83" i="22746"/>
  <c r="CF43" i="22746"/>
  <c r="CF84" i="22746"/>
  <c r="CF86" i="22746"/>
  <c r="CF62" i="22746"/>
  <c r="CF60" i="22746"/>
  <c r="CF65" i="22746"/>
  <c r="CF64" i="22746"/>
  <c r="CF71" i="22746"/>
  <c r="E34" i="22748"/>
  <c r="CF42" i="22746"/>
  <c r="CF85" i="22746"/>
  <c r="CF88" i="22746"/>
  <c r="CF52" i="22746"/>
  <c r="CF80" i="22746"/>
  <c r="CF82" i="22746"/>
  <c r="CF20" i="22746"/>
  <c r="CF26" i="22746"/>
  <c r="CF74" i="22746"/>
  <c r="CE96" i="22746"/>
  <c r="CF25" i="22746"/>
  <c r="CF77" i="22746"/>
  <c r="CF47" i="22746"/>
  <c r="CF45" i="22746"/>
  <c r="CF46" i="22746"/>
  <c r="CF50" i="22746"/>
  <c r="CF56" i="22746"/>
  <c r="CF68" i="22746"/>
  <c r="CF58" i="22746"/>
  <c r="CF63" i="22746"/>
  <c r="CF53" i="22746"/>
  <c r="CE94" i="22746"/>
  <c r="CF89" i="22746"/>
  <c r="CF90" i="22746"/>
  <c r="CS91" i="3" l="1"/>
  <c r="C34" i="22748"/>
  <c r="CL95" i="22746"/>
  <c r="CK89" i="22746" s="1"/>
  <c r="CL89" i="22746" s="1"/>
  <c r="G34" i="22748"/>
  <c r="F34" i="22748"/>
  <c r="CS92" i="3" l="1"/>
  <c r="CL90" i="22746"/>
  <c r="CS93" i="3" l="1"/>
  <c r="CT92" i="3" s="1"/>
  <c r="CL91" i="22746"/>
  <c r="CT59" i="3" l="1"/>
  <c r="CT61" i="3"/>
  <c r="CT63" i="3"/>
  <c r="CT67" i="3"/>
  <c r="CT69" i="3"/>
  <c r="CT71" i="3"/>
  <c r="CT74" i="3"/>
  <c r="CT76" i="3"/>
  <c r="CT78" i="3"/>
  <c r="CT80" i="3"/>
  <c r="CT82" i="3"/>
  <c r="CT86" i="3"/>
  <c r="CT88" i="3"/>
  <c r="CT90" i="3"/>
  <c r="CT58" i="3"/>
  <c r="CT60" i="3"/>
  <c r="CT62" i="3"/>
  <c r="CT64" i="3"/>
  <c r="CT68" i="3"/>
  <c r="CT70" i="3"/>
  <c r="CT77" i="3"/>
  <c r="CT79" i="3"/>
  <c r="CT81" i="3"/>
  <c r="CT83" i="3"/>
  <c r="CT85" i="3"/>
  <c r="CT87" i="3"/>
  <c r="CT89" i="3"/>
  <c r="CT91" i="3"/>
  <c r="CT57" i="3"/>
  <c r="CT75" i="3"/>
  <c r="CT66" i="3"/>
  <c r="CT84" i="3"/>
  <c r="CT65" i="3"/>
  <c r="CT72" i="3"/>
  <c r="CS97" i="3"/>
  <c r="CT93" i="3"/>
  <c r="E36" i="22714"/>
  <c r="CT55" i="3"/>
  <c r="CS95" i="3"/>
  <c r="CL92" i="22746"/>
  <c r="C36" i="22714" l="1"/>
  <c r="CZ96" i="3"/>
  <c r="G36" i="22714"/>
  <c r="F36" i="22714"/>
  <c r="CM38" i="22746"/>
  <c r="CM26" i="22746"/>
  <c r="CM75" i="22746"/>
  <c r="CL96" i="22746"/>
  <c r="CM20" i="22746"/>
  <c r="CM74" i="22746"/>
  <c r="CM85" i="22746"/>
  <c r="CM33" i="22746"/>
  <c r="CM92" i="22746"/>
  <c r="CM34" i="22746"/>
  <c r="CM32" i="22746"/>
  <c r="CM25" i="22746"/>
  <c r="CM82" i="22746"/>
  <c r="CM83" i="22746"/>
  <c r="CM46" i="22746"/>
  <c r="CM43" i="22746"/>
  <c r="CM50" i="22746"/>
  <c r="CM58" i="22746"/>
  <c r="CM65" i="22746"/>
  <c r="CM56" i="22746"/>
  <c r="CM60" i="22746"/>
  <c r="CM71" i="22746"/>
  <c r="CL94" i="22746"/>
  <c r="CM79" i="22746"/>
  <c r="CM31" i="22746"/>
  <c r="CM52" i="22746"/>
  <c r="CM19" i="22746"/>
  <c r="CM73" i="22746"/>
  <c r="CM80" i="22746"/>
  <c r="CM76" i="22746"/>
  <c r="CM42" i="22746"/>
  <c r="CM24" i="22746"/>
  <c r="CM77" i="22746"/>
  <c r="CM88" i="22746"/>
  <c r="E35" i="22748"/>
  <c r="CM54" i="22746"/>
  <c r="CM81" i="22746"/>
  <c r="CM47" i="22746"/>
  <c r="CM45" i="22746"/>
  <c r="CM84" i="22746"/>
  <c r="CM86" i="22746"/>
  <c r="CM62" i="22746"/>
  <c r="CM63" i="22746"/>
  <c r="CM68" i="22746"/>
  <c r="CM64" i="22746"/>
  <c r="CM53" i="22746"/>
  <c r="CM89" i="22746"/>
  <c r="CM90" i="22746"/>
  <c r="CM91" i="22746"/>
  <c r="CY90" i="3" l="1"/>
  <c r="CZ90" i="3" s="1"/>
  <c r="CZ91" i="3" s="1"/>
  <c r="F35" i="22748"/>
  <c r="G35" i="22748"/>
  <c r="CS95" i="22746"/>
  <c r="CR89" i="22746" s="1"/>
  <c r="CS89" i="22746" s="1"/>
  <c r="C35" i="22748"/>
  <c r="CZ92" i="3" l="1"/>
  <c r="CS90" i="22746"/>
  <c r="CZ93" i="3" l="1"/>
  <c r="CS91" i="22746"/>
  <c r="DA57" i="3" l="1"/>
  <c r="DA59" i="3"/>
  <c r="DA61" i="3"/>
  <c r="DA63" i="3"/>
  <c r="DA67" i="3"/>
  <c r="DA69" i="3"/>
  <c r="DA71" i="3"/>
  <c r="DA74" i="3"/>
  <c r="DA76" i="3"/>
  <c r="DA78" i="3"/>
  <c r="DA80" i="3"/>
  <c r="DA82" i="3"/>
  <c r="DA86" i="3"/>
  <c r="DA88" i="3"/>
  <c r="DA90" i="3"/>
  <c r="DA58" i="3"/>
  <c r="DA60" i="3"/>
  <c r="DA62" i="3"/>
  <c r="DA64" i="3"/>
  <c r="DA68" i="3"/>
  <c r="DA70" i="3"/>
  <c r="DA77" i="3"/>
  <c r="DA79" i="3"/>
  <c r="DA81" i="3"/>
  <c r="DA83" i="3"/>
  <c r="DA85" i="3"/>
  <c r="DA87" i="3"/>
  <c r="DA89" i="3"/>
  <c r="DA91" i="3"/>
  <c r="DA93" i="3"/>
  <c r="DA65" i="3"/>
  <c r="DA75" i="3"/>
  <c r="DA66" i="3"/>
  <c r="DA72" i="3"/>
  <c r="DA84" i="3"/>
  <c r="DA92" i="3"/>
  <c r="DA55" i="3"/>
  <c r="CZ97" i="3"/>
  <c r="C37" i="22714" s="1"/>
  <c r="C40" i="22714" s="1"/>
  <c r="H60" i="22715" s="1"/>
  <c r="E37" i="22714"/>
  <c r="CZ95" i="3"/>
  <c r="CS92" i="22746"/>
  <c r="CT91" i="22746" s="1"/>
  <c r="F37" i="22714" l="1"/>
  <c r="G37" i="22714"/>
  <c r="CT73" i="22746"/>
  <c r="CT80" i="22746"/>
  <c r="CT19" i="22746"/>
  <c r="CT74" i="22746"/>
  <c r="CT85" i="22746"/>
  <c r="CT42" i="22746"/>
  <c r="CT88" i="22746"/>
  <c r="CT52" i="22746"/>
  <c r="CT92" i="22746"/>
  <c r="CT33" i="22746"/>
  <c r="CT75" i="22746"/>
  <c r="CT76" i="22746"/>
  <c r="CT83" i="22746"/>
  <c r="CT26" i="22746"/>
  <c r="CT45" i="22746"/>
  <c r="CT38" i="22746"/>
  <c r="CT47" i="22746"/>
  <c r="CT86" i="22746"/>
  <c r="CT60" i="22746"/>
  <c r="CT58" i="22746"/>
  <c r="CT65" i="22746"/>
  <c r="CT68" i="22746"/>
  <c r="CS94" i="22746"/>
  <c r="CT20" i="22746"/>
  <c r="CT81" i="22746"/>
  <c r="CT79" i="22746"/>
  <c r="CT77" i="22746"/>
  <c r="CT31" i="22746"/>
  <c r="CS96" i="22746"/>
  <c r="CT34" i="22746"/>
  <c r="CT25" i="22746"/>
  <c r="E36" i="22748"/>
  <c r="CT32" i="22746"/>
  <c r="CT24" i="22746"/>
  <c r="CT82" i="22746"/>
  <c r="CT46" i="22746"/>
  <c r="CT54" i="22746"/>
  <c r="CT84" i="22746"/>
  <c r="CT43" i="22746"/>
  <c r="CT50" i="22746"/>
  <c r="CT56" i="22746"/>
  <c r="CT62" i="22746"/>
  <c r="CT63" i="22746"/>
  <c r="CT64" i="22746"/>
  <c r="CT53" i="22746"/>
  <c r="CT71" i="22746"/>
  <c r="CT89" i="22746"/>
  <c r="CT90" i="22746"/>
  <c r="G36" i="22748" l="1"/>
  <c r="F36" i="22748"/>
  <c r="CZ95" i="22746"/>
  <c r="CY89" i="22746" s="1"/>
  <c r="CZ89" i="22746" s="1"/>
  <c r="CZ90" i="22746" s="1"/>
  <c r="C36" i="22748"/>
  <c r="CZ91" i="22746" l="1"/>
  <c r="CZ92" i="22746" l="1"/>
  <c r="DA20" i="22746" l="1"/>
  <c r="DA33" i="22746"/>
  <c r="DA80" i="22746"/>
  <c r="DA32" i="22746"/>
  <c r="DA34" i="22746"/>
  <c r="E37" i="22748"/>
  <c r="DA26" i="22746"/>
  <c r="DA52" i="22746"/>
  <c r="DA46" i="22746"/>
  <c r="DA86" i="22746"/>
  <c r="DA63" i="22746"/>
  <c r="DA64" i="22746"/>
  <c r="DA73" i="22746"/>
  <c r="DA92" i="22746"/>
  <c r="DA75" i="22746"/>
  <c r="DA31" i="22746"/>
  <c r="DA76" i="22746"/>
  <c r="DA25" i="22746"/>
  <c r="DA42" i="22746"/>
  <c r="DA38" i="22746"/>
  <c r="DA77" i="22746"/>
  <c r="DA88" i="22746"/>
  <c r="DA19" i="22746"/>
  <c r="DA74" i="22746"/>
  <c r="DA43" i="22746"/>
  <c r="DA45" i="22746"/>
  <c r="DA84" i="22746"/>
  <c r="DA56" i="22746"/>
  <c r="DA62" i="22746"/>
  <c r="DA68" i="22746"/>
  <c r="DA65" i="22746"/>
  <c r="DA71" i="22746"/>
  <c r="CZ94" i="22746"/>
  <c r="CZ96" i="22746"/>
  <c r="C37" i="22748" s="1"/>
  <c r="C40" i="22748" s="1"/>
  <c r="J60" i="22715" s="1"/>
  <c r="I60" i="22715" s="1"/>
  <c r="DA79" i="22746"/>
  <c r="DA54" i="22746"/>
  <c r="DA24" i="22746"/>
  <c r="DA85" i="22746"/>
  <c r="DA47" i="22746"/>
  <c r="DA50" i="22746"/>
  <c r="DA60" i="22746"/>
  <c r="DA58" i="22746"/>
  <c r="DA53" i="22746"/>
  <c r="DA89" i="22746"/>
  <c r="DA90" i="22746"/>
  <c r="DA91" i="22746"/>
  <c r="F37" i="22748" l="1"/>
  <c r="G37" i="22748"/>
  <c r="BD13" i="22746"/>
</calcChain>
</file>

<file path=xl/comments1.xml><?xml version="1.0" encoding="utf-8"?>
<comments xmlns="http://schemas.openxmlformats.org/spreadsheetml/2006/main">
  <authors>
    <author>zue</author>
    <author>FAW</author>
  </authors>
  <commentList>
    <comment ref="B6" authorId="0" shapeId="0">
      <text>
        <r>
          <rPr>
            <b/>
            <sz val="10"/>
            <color indexed="81"/>
            <rFont val="Tahoma"/>
            <family val="2"/>
          </rPr>
          <t>AGRIDEA Preiskatalog 2008</t>
        </r>
      </text>
    </comment>
    <comment ref="D24" authorId="1" shapeId="0">
      <text>
        <r>
          <rPr>
            <b/>
            <sz val="8"/>
            <color indexed="81"/>
            <rFont val="Tahoma"/>
            <family val="2"/>
          </rPr>
          <t>FAW:</t>
        </r>
        <r>
          <rPr>
            <sz val="8"/>
            <color indexed="81"/>
            <rFont val="Tahoma"/>
            <family val="2"/>
          </rPr>
          <t xml:space="preserve">
</t>
        </r>
        <r>
          <rPr>
            <sz val="10"/>
            <color indexed="81"/>
            <rFont val="Tahoma"/>
            <family val="2"/>
          </rPr>
          <t>Bei einer Änderung der Bäume/ha auch Ertrag/Jahr korrigieren</t>
        </r>
      </text>
    </comment>
    <comment ref="G40" authorId="0" shapeId="0">
      <text>
        <r>
          <rPr>
            <b/>
            <sz val="10"/>
            <color indexed="81"/>
            <rFont val="Tahoma"/>
            <family val="2"/>
          </rPr>
          <t>zue:</t>
        </r>
        <r>
          <rPr>
            <sz val="10"/>
            <color indexed="81"/>
            <rFont val="Tahoma"/>
            <family val="2"/>
          </rPr>
          <t xml:space="preserve">
Leistung sollte Betriebsminimum  decken</t>
        </r>
      </text>
    </comment>
    <comment ref="G52" authorId="0" shapeId="0">
      <text>
        <r>
          <rPr>
            <b/>
            <sz val="10"/>
            <color indexed="81"/>
            <rFont val="Tahoma"/>
            <family val="2"/>
          </rPr>
          <t>zue:</t>
        </r>
        <r>
          <rPr>
            <sz val="10"/>
            <color indexed="81"/>
            <rFont val="Tahoma"/>
            <family val="2"/>
          </rPr>
          <t xml:space="preserve">
Cash Flow sollte Abschreibungen decken</t>
        </r>
      </text>
    </comment>
  </commentList>
</comments>
</file>

<file path=xl/comments10.xml><?xml version="1.0" encoding="utf-8"?>
<comments xmlns="http://schemas.openxmlformats.org/spreadsheetml/2006/main">
  <authors>
    <author>Liebegg</author>
    <author>FAW</author>
  </authors>
  <commentList>
    <comment ref="A6" authorId="0" shapeId="0">
      <text>
        <r>
          <rPr>
            <b/>
            <sz val="8"/>
            <color indexed="81"/>
            <rFont val="Tahoma"/>
            <family val="2"/>
          </rPr>
          <t>Liebegg:</t>
        </r>
        <r>
          <rPr>
            <sz val="8"/>
            <color indexed="81"/>
            <rFont val="Tahoma"/>
            <family val="2"/>
          </rPr>
          <t xml:space="preserve">
Kostenstadn 2006/2007
Offerte THURELLA</t>
        </r>
      </text>
    </comment>
    <comment ref="B12" authorId="0" shapeId="0">
      <text>
        <r>
          <rPr>
            <b/>
            <sz val="8"/>
            <color indexed="81"/>
            <rFont val="Tahoma"/>
            <family val="2"/>
          </rPr>
          <t>ACW:</t>
        </r>
        <r>
          <rPr>
            <sz val="8"/>
            <color indexed="81"/>
            <rFont val="Tahoma"/>
            <family val="2"/>
          </rPr>
          <t xml:space="preserve">
Anbohrschellen 50mmx3/4 21 Stck. à 4.80, Aufschraubnippel 3/4 x 20 mm 22 Stck. à 1.5, Tropfschlauchenden 22 à 70 Rp. (Quelle Anbauempehlung für die Obstregion NO-CH 2007)
</t>
        </r>
      </text>
    </comment>
    <comment ref="B15" authorId="0" shapeId="0">
      <text>
        <r>
          <rPr>
            <b/>
            <sz val="8"/>
            <color indexed="81"/>
            <rFont val="Tahoma"/>
            <family val="2"/>
          </rPr>
          <t>ACW:</t>
        </r>
        <r>
          <rPr>
            <sz val="8"/>
            <color indexed="81"/>
            <rFont val="Tahoma"/>
            <family val="2"/>
          </rPr>
          <t xml:space="preserve">
Tropfschlauch Anschluss an Sektorenleitung 21 x 1 m 20mmà 1.-- (Quelle: Anbauempfehlung für die Obstregion NO-CH 2007)</t>
        </r>
      </text>
    </comment>
    <comment ref="B17" authorId="0" shapeId="0">
      <text>
        <r>
          <rPr>
            <b/>
            <sz val="8"/>
            <color indexed="81"/>
            <rFont val="Tahoma"/>
            <family val="2"/>
          </rPr>
          <t>ACW:</t>
        </r>
        <r>
          <rPr>
            <sz val="8"/>
            <color indexed="81"/>
            <rFont val="Tahoma"/>
            <family val="2"/>
          </rPr>
          <t xml:space="preserve">
Sektorenleitung Zuleitung Kultur (Quelle Anbauempfehlung für die Obstregion NO-CH 2007)
Für Hauptlietung PE 63mm PN 12.5 bzw. PE ND 8 63 mm à 6.--</t>
        </r>
      </text>
    </comment>
    <comment ref="B20" authorId="0" shapeId="0">
      <text>
        <r>
          <rPr>
            <b/>
            <sz val="8"/>
            <color indexed="81"/>
            <rFont val="Tahoma"/>
            <family val="2"/>
          </rPr>
          <t>ACW:</t>
        </r>
        <r>
          <rPr>
            <sz val="8"/>
            <color indexed="81"/>
            <rFont val="Tahoma"/>
            <family val="2"/>
          </rPr>
          <t xml:space="preserve">
Sektorenleitungsendeverschluss 50mm 1 Stck à 10.80,
plus Anschlusskupplung 2" 50mm pro Sektor 1 (Quelle: Anbauempfehlung für die Obstregion NO-CH 2007)</t>
        </r>
      </text>
    </comment>
    <comment ref="F30" authorId="0" shapeId="0">
      <text>
        <r>
          <rPr>
            <b/>
            <sz val="8"/>
            <color indexed="81"/>
            <rFont val="Tahoma"/>
            <family val="2"/>
          </rPr>
          <t>Liebegg:</t>
        </r>
        <r>
          <rPr>
            <sz val="8"/>
            <color indexed="81"/>
            <rFont val="Tahoma"/>
            <family val="2"/>
          </rPr>
          <t xml:space="preserve">
Dosatron D8R</t>
        </r>
      </text>
    </comment>
    <comment ref="A33" authorId="1" shapeId="0">
      <text>
        <r>
          <rPr>
            <b/>
            <sz val="8"/>
            <color indexed="81"/>
            <rFont val="Tahoma"/>
            <family val="2"/>
          </rPr>
          <t>FAW:</t>
        </r>
        <r>
          <rPr>
            <sz val="8"/>
            <color indexed="81"/>
            <rFont val="Tahoma"/>
            <family val="2"/>
          </rPr>
          <t xml:space="preserve">
Inkl. Mehrwertsteuer</t>
        </r>
      </text>
    </comment>
    <comment ref="D65" authorId="0" shapeId="0">
      <text>
        <r>
          <rPr>
            <b/>
            <sz val="8"/>
            <color indexed="81"/>
            <rFont val="Tahoma"/>
            <family val="2"/>
          </rPr>
          <t>Liebegg:</t>
        </r>
        <r>
          <rPr>
            <sz val="8"/>
            <color indexed="81"/>
            <rFont val="Tahoma"/>
            <family val="2"/>
          </rPr>
          <t xml:space="preserve">
1 Sprinkler pro Baum</t>
        </r>
      </text>
    </comment>
    <comment ref="B66" authorId="0" shapeId="0">
      <text>
        <r>
          <rPr>
            <b/>
            <sz val="8"/>
            <color indexed="81"/>
            <rFont val="Tahoma"/>
            <family val="2"/>
          </rPr>
          <t>Liebegg:</t>
        </r>
        <r>
          <rPr>
            <sz val="8"/>
            <color indexed="81"/>
            <rFont val="Tahoma"/>
            <family val="2"/>
          </rPr>
          <t xml:space="preserve">
17 Stck. Anbohrschellen 50mmx3/4. à 4.80, 
17 Stck. Plasim Anschlusskupplung 3/4"x25mm à 4.80  
18 Stck. Plasim Schlauchkupplungen 25x25mm à 5.80
17 Stck. Plassim Schlauchenden  4.80</t>
        </r>
      </text>
    </comment>
    <comment ref="B68" authorId="0" shapeId="0">
      <text>
        <r>
          <rPr>
            <b/>
            <sz val="8"/>
            <color indexed="81"/>
            <rFont val="Tahoma"/>
            <family val="2"/>
          </rPr>
          <t>Liebegg:</t>
        </r>
        <r>
          <rPr>
            <sz val="8"/>
            <color indexed="81"/>
            <rFont val="Tahoma"/>
            <family val="2"/>
          </rPr>
          <t xml:space="preserve">
Schlauchaufhänger Blitzbinder 7 cm, kg à 490 Stck, 4 kg à 38.-</t>
        </r>
      </text>
    </comment>
    <comment ref="B71" authorId="0" shapeId="0">
      <text>
        <r>
          <rPr>
            <b/>
            <sz val="8"/>
            <color indexed="81"/>
            <rFont val="Tahoma"/>
            <family val="2"/>
          </rPr>
          <t>Liebegg:</t>
        </r>
        <r>
          <rPr>
            <sz val="8"/>
            <color indexed="81"/>
            <rFont val="Tahoma"/>
            <family val="2"/>
          </rPr>
          <t xml:space="preserve">
Sektorenleitung Zuleitung Kultur
Für Hauptlietung PE 63mm PN 12.5 bzw. PE ND 8 63 mm à 6.--</t>
        </r>
      </text>
    </comment>
    <comment ref="B74" authorId="0" shapeId="0">
      <text>
        <r>
          <rPr>
            <b/>
            <sz val="8"/>
            <color indexed="81"/>
            <rFont val="Tahoma"/>
            <family val="2"/>
          </rPr>
          <t>Liebegg:</t>
        </r>
        <r>
          <rPr>
            <sz val="8"/>
            <color indexed="81"/>
            <rFont val="Tahoma"/>
            <family val="2"/>
          </rPr>
          <t xml:space="preserve">
4 Stck Sektorenleitungsendeverschluss 50mm  à 10.80,
4 Anschlusskupplung 2" 50mm für  Sektoren  à 18.4 4 Sektoren
</t>
        </r>
      </text>
    </comment>
    <comment ref="B80" authorId="0" shapeId="0">
      <text>
        <r>
          <rPr>
            <b/>
            <sz val="8"/>
            <color indexed="81"/>
            <rFont val="Tahoma"/>
            <family val="2"/>
          </rPr>
          <t>Liebegg:</t>
        </r>
        <r>
          <rPr>
            <sz val="8"/>
            <color indexed="81"/>
            <rFont val="Tahoma"/>
            <family val="2"/>
          </rPr>
          <t xml:space="preserve">
Bermet AC 24 Volt 1.5"</t>
        </r>
      </text>
    </comment>
    <comment ref="B81" authorId="0" shapeId="0">
      <text>
        <r>
          <rPr>
            <b/>
            <sz val="8"/>
            <color indexed="81"/>
            <rFont val="Tahoma"/>
            <family val="2"/>
          </rPr>
          <t>Liebegg:</t>
        </r>
        <r>
          <rPr>
            <sz val="8"/>
            <color indexed="81"/>
            <rFont val="Tahoma"/>
            <family val="2"/>
          </rPr>
          <t xml:space="preserve">
Miracle Netz 220 V 6 Stationen inkl. Abdeckung Wasserdicht</t>
        </r>
      </text>
    </comment>
    <comment ref="B82" authorId="0" shapeId="0">
      <text>
        <r>
          <rPr>
            <b/>
            <sz val="8"/>
            <color indexed="81"/>
            <rFont val="Tahoma"/>
            <family val="2"/>
          </rPr>
          <t>Liebegg:</t>
        </r>
        <r>
          <rPr>
            <sz val="8"/>
            <color indexed="81"/>
            <rFont val="Tahoma"/>
            <family val="2"/>
          </rPr>
          <t xml:space="preserve">
Druckmanometer</t>
        </r>
      </text>
    </comment>
    <comment ref="F84" authorId="0" shapeId="0">
      <text>
        <r>
          <rPr>
            <b/>
            <sz val="8"/>
            <color indexed="81"/>
            <rFont val="Tahoma"/>
            <family val="2"/>
          </rPr>
          <t>Liebegg:</t>
        </r>
        <r>
          <rPr>
            <sz val="8"/>
            <color indexed="81"/>
            <rFont val="Tahoma"/>
            <family val="2"/>
          </rPr>
          <t xml:space="preserve">
Dosatron D8R</t>
        </r>
      </text>
    </comment>
    <comment ref="A115" authorId="0" shapeId="0">
      <text>
        <r>
          <rPr>
            <b/>
            <sz val="8"/>
            <color indexed="81"/>
            <rFont val="Tahoma"/>
            <family val="2"/>
          </rPr>
          <t>Liebegg:</t>
        </r>
        <r>
          <rPr>
            <sz val="8"/>
            <color indexed="81"/>
            <rFont val="Tahoma"/>
            <family val="2"/>
          </rPr>
          <t xml:space="preserve">
Für Hauptlietung PE 63mm PN 12.5 bzw. PE ND 8 63 mm à 6.--</t>
        </r>
      </text>
    </comment>
  </commentList>
</comments>
</file>

<file path=xl/comments11.xml><?xml version="1.0" encoding="utf-8"?>
<comments xmlns="http://schemas.openxmlformats.org/spreadsheetml/2006/main">
  <authors>
    <author>FAW</author>
    <author>P. Mouron</author>
  </authors>
  <commentList>
    <comment ref="C57" authorId="0" shapeId="0">
      <text>
        <r>
          <rPr>
            <b/>
            <sz val="8"/>
            <color indexed="81"/>
            <rFont val="Tahoma"/>
            <family val="2"/>
          </rPr>
          <t>FAW:</t>
        </r>
        <r>
          <rPr>
            <sz val="8"/>
            <color indexed="81"/>
            <rFont val="Tahoma"/>
            <family val="2"/>
          </rPr>
          <t xml:space="preserve">
Verlustzeit entspricht 10% von der aufgelisteten Zkh oder Akh</t>
        </r>
      </text>
    </comment>
    <comment ref="C58" authorId="0" shapeId="0">
      <text>
        <r>
          <rPr>
            <b/>
            <sz val="8"/>
            <color indexed="81"/>
            <rFont val="Tahoma"/>
            <family val="2"/>
          </rPr>
          <t>FAW:</t>
        </r>
        <r>
          <rPr>
            <sz val="8"/>
            <color indexed="81"/>
            <rFont val="Tahoma"/>
            <family val="2"/>
          </rPr>
          <t xml:space="preserve">
Quelle: Topcat GmbH, L'Auberson, Dezember 2007</t>
        </r>
      </text>
    </comment>
    <comment ref="C79" authorId="1" shapeId="0">
      <text>
        <r>
          <rPr>
            <sz val="8"/>
            <color indexed="81"/>
            <rFont val="Tahoma"/>
            <family val="2"/>
          </rPr>
          <t>zue:
In der Regel wird hier mit 10% der totalen Stunden gerechnet.</t>
        </r>
      </text>
    </comment>
    <comment ref="C87" authorId="0" shapeId="0">
      <text>
        <r>
          <rPr>
            <sz val="8"/>
            <color indexed="81"/>
            <rFont val="Tahoma"/>
            <family val="2"/>
          </rPr>
          <t xml:space="preserve">Umfang der eingezäunten Fläche abzüglich 2 Tore à je ca. 6 m 
</t>
        </r>
      </text>
    </comment>
    <comment ref="B88" authorId="0" shapeId="0">
      <text>
        <r>
          <rPr>
            <sz val="9"/>
            <color indexed="81"/>
            <rFont val="Tahoma"/>
            <family val="2"/>
          </rPr>
          <t>200cm Länge, 7x7 cm Dimension; nur oben gefasst</t>
        </r>
      </text>
    </comment>
    <comment ref="C88" authorId="0" shapeId="0">
      <text>
        <r>
          <rPr>
            <sz val="9"/>
            <color indexed="81"/>
            <rFont val="Tahoma"/>
            <family val="2"/>
          </rPr>
          <t>Jeder 5te Pfahl ist ein stärkerer, dh. von 100 sind 20 Pfähle stärker</t>
        </r>
      </text>
    </comment>
    <comment ref="B89" authorId="0" shapeId="0">
      <text>
        <r>
          <rPr>
            <sz val="9"/>
            <color indexed="81"/>
            <rFont val="Tahoma"/>
            <family val="2"/>
          </rPr>
          <t>225 cm lang; 8x8cm Dimension, nur oben gefasst</t>
        </r>
      </text>
    </comment>
    <comment ref="B90" authorId="0" shapeId="0">
      <text>
        <r>
          <rPr>
            <sz val="9"/>
            <color indexed="81"/>
            <rFont val="Tahoma"/>
            <family val="2"/>
          </rPr>
          <t>225 cm lang; 8x10cm Dimension, nur oben gefasst; für die Befestigung der Tore gebraucht</t>
        </r>
      </text>
    </comment>
    <comment ref="E120" authorId="0" shapeId="0">
      <text>
        <r>
          <rPr>
            <b/>
            <sz val="8"/>
            <color indexed="81"/>
            <rFont val="Tahoma"/>
            <family val="2"/>
          </rPr>
          <t>FAW:</t>
        </r>
        <r>
          <rPr>
            <sz val="8"/>
            <color indexed="81"/>
            <rFont val="Tahoma"/>
            <family val="2"/>
          </rPr>
          <t xml:space="preserve">
Quelle Anbauempfehlung für die Obstregion Nordwestschweiz, mit nur 21 Rehien</t>
        </r>
      </text>
    </comment>
    <comment ref="D127" authorId="0" shapeId="0">
      <text>
        <r>
          <rPr>
            <b/>
            <sz val="8"/>
            <color indexed="81"/>
            <rFont val="Tahoma"/>
            <family val="2"/>
          </rPr>
          <t>FAW:</t>
        </r>
        <r>
          <rPr>
            <sz val="8"/>
            <color indexed="81"/>
            <rFont val="Tahoma"/>
            <family val="2"/>
          </rPr>
          <t xml:space="preserve">
Tropfenbewässerung Ja/Nein</t>
        </r>
      </text>
    </comment>
    <comment ref="C131" authorId="0" shapeId="0">
      <text>
        <r>
          <rPr>
            <b/>
            <sz val="8"/>
            <color indexed="81"/>
            <rFont val="Tahoma"/>
            <family val="2"/>
          </rPr>
          <t>FAW:</t>
        </r>
        <r>
          <rPr>
            <sz val="8"/>
            <color indexed="81"/>
            <rFont val="Tahoma"/>
            <family val="2"/>
          </rPr>
          <t xml:space="preserve">
m^2</t>
        </r>
      </text>
    </comment>
    <comment ref="D131" authorId="0" shapeId="0">
      <text>
        <r>
          <rPr>
            <b/>
            <sz val="8"/>
            <color indexed="81"/>
            <rFont val="Tahoma"/>
            <family val="2"/>
          </rPr>
          <t>FAW:</t>
        </r>
        <r>
          <rPr>
            <sz val="8"/>
            <color indexed="81"/>
            <rFont val="Tahoma"/>
            <family val="2"/>
          </rPr>
          <t xml:space="preserve">
Fr/m^3</t>
        </r>
      </text>
    </comment>
    <comment ref="E137" authorId="0" shapeId="0">
      <text>
        <r>
          <rPr>
            <b/>
            <sz val="8"/>
            <color indexed="81"/>
            <rFont val="Tahoma"/>
            <family val="2"/>
          </rPr>
          <t>FAW:</t>
        </r>
        <r>
          <rPr>
            <sz val="8"/>
            <color indexed="81"/>
            <rFont val="Tahoma"/>
            <family val="2"/>
          </rPr>
          <t xml:space="preserve">
Quelle Anbauempfehlung für die Obstregion Nordwestschweiz, mit nur 21 Rehien</t>
        </r>
      </text>
    </comment>
    <comment ref="C148" authorId="0" shapeId="0">
      <text>
        <r>
          <rPr>
            <b/>
            <sz val="8"/>
            <color indexed="81"/>
            <rFont val="Tahoma"/>
            <family val="2"/>
          </rPr>
          <t>FAW:</t>
        </r>
        <r>
          <rPr>
            <sz val="8"/>
            <color indexed="81"/>
            <rFont val="Tahoma"/>
            <family val="2"/>
          </rPr>
          <t xml:space="preserve">
m^2</t>
        </r>
      </text>
    </comment>
    <comment ref="D148" authorId="0" shapeId="0">
      <text>
        <r>
          <rPr>
            <b/>
            <sz val="8"/>
            <color indexed="81"/>
            <rFont val="Tahoma"/>
            <family val="2"/>
          </rPr>
          <t>FAW:</t>
        </r>
        <r>
          <rPr>
            <sz val="8"/>
            <color indexed="81"/>
            <rFont val="Tahoma"/>
            <family val="2"/>
          </rPr>
          <t xml:space="preserve">
Fr/m^3</t>
        </r>
      </text>
    </comment>
    <comment ref="C151" authorId="0" shapeId="0">
      <text>
        <r>
          <rPr>
            <b/>
            <sz val="8"/>
            <color indexed="81"/>
            <rFont val="Tahoma"/>
            <family val="2"/>
          </rPr>
          <t>FAW:</t>
        </r>
        <r>
          <rPr>
            <sz val="8"/>
            <color indexed="81"/>
            <rFont val="Tahoma"/>
            <family val="2"/>
          </rPr>
          <t xml:space="preserve">
Hagelversicherung ja=1, Hagelversicherung nein = 0
</t>
        </r>
      </text>
    </comment>
    <comment ref="C152" authorId="0" shapeId="0">
      <text>
        <r>
          <rPr>
            <b/>
            <sz val="8"/>
            <color indexed="81"/>
            <rFont val="Tahoma"/>
            <family val="2"/>
          </rPr>
          <t>FAW:</t>
        </r>
        <r>
          <rPr>
            <sz val="8"/>
            <color indexed="81"/>
            <rFont val="Tahoma"/>
            <family val="2"/>
          </rPr>
          <t xml:space="preserve">
Hagelnetz ja=1, Hagenletz nein=o
</t>
        </r>
      </text>
    </comment>
    <comment ref="C155" authorId="0" shapeId="0">
      <text>
        <r>
          <rPr>
            <b/>
            <sz val="8"/>
            <color indexed="81"/>
            <rFont val="Tahoma"/>
            <family val="2"/>
          </rPr>
          <t>FAW:</t>
        </r>
        <r>
          <rPr>
            <sz val="8"/>
            <color indexed="81"/>
            <rFont val="Tahoma"/>
            <family val="2"/>
          </rPr>
          <t xml:space="preserve">
Summe von  Zellen 32/133/134 C um zelle C 131 zu definieren.</t>
        </r>
      </text>
    </comment>
  </commentList>
</comments>
</file>

<file path=xl/comments12.xml><?xml version="1.0" encoding="utf-8"?>
<comments xmlns="http://schemas.openxmlformats.org/spreadsheetml/2006/main">
  <authors>
    <author>FAW</author>
    <author>P. Mouron</author>
    <author>zue</author>
  </authors>
  <commentList>
    <comment ref="F5" authorId="0" shapeId="0">
      <text>
        <r>
          <rPr>
            <sz val="9"/>
            <color indexed="81"/>
            <rFont val="Tahoma"/>
            <family val="2"/>
          </rPr>
          <t>Diese Seite ist schreibgeschützt. Der Schutz kann aufgehoben werden mit dem Kennwort "Arbokost"</t>
        </r>
      </text>
    </comment>
    <comment ref="D41" authorId="0" shapeId="0">
      <text>
        <r>
          <rPr>
            <b/>
            <sz val="8"/>
            <color indexed="81"/>
            <rFont val="Tahoma"/>
            <family val="2"/>
          </rPr>
          <t>FAW:</t>
        </r>
        <r>
          <rPr>
            <sz val="8"/>
            <color indexed="81"/>
            <rFont val="Tahoma"/>
            <family val="2"/>
          </rPr>
          <t xml:space="preserve">
m^2</t>
        </r>
      </text>
    </comment>
    <comment ref="E41" authorId="0" shapeId="0">
      <text>
        <r>
          <rPr>
            <b/>
            <sz val="8"/>
            <color indexed="81"/>
            <rFont val="Tahoma"/>
            <family val="2"/>
          </rPr>
          <t>FAW:</t>
        </r>
        <r>
          <rPr>
            <sz val="8"/>
            <color indexed="81"/>
            <rFont val="Tahoma"/>
            <family val="2"/>
          </rPr>
          <t xml:space="preserve">
Fr/m^3</t>
        </r>
      </text>
    </comment>
    <comment ref="K41" authorId="0" shapeId="0">
      <text>
        <r>
          <rPr>
            <b/>
            <sz val="8"/>
            <color indexed="81"/>
            <rFont val="Tahoma"/>
            <family val="2"/>
          </rPr>
          <t>FAW:</t>
        </r>
        <r>
          <rPr>
            <sz val="8"/>
            <color indexed="81"/>
            <rFont val="Tahoma"/>
            <family val="2"/>
          </rPr>
          <t xml:space="preserve">
m^2</t>
        </r>
      </text>
    </comment>
    <comment ref="L41" authorId="0" shapeId="0">
      <text>
        <r>
          <rPr>
            <b/>
            <sz val="8"/>
            <color indexed="81"/>
            <rFont val="Tahoma"/>
            <family val="2"/>
          </rPr>
          <t>FAW:</t>
        </r>
        <r>
          <rPr>
            <sz val="8"/>
            <color indexed="81"/>
            <rFont val="Tahoma"/>
            <family val="2"/>
          </rPr>
          <t xml:space="preserve">
Fr/m^3</t>
        </r>
      </text>
    </comment>
    <comment ref="R41" authorId="0" shapeId="0">
      <text>
        <r>
          <rPr>
            <b/>
            <sz val="8"/>
            <color indexed="81"/>
            <rFont val="Tahoma"/>
            <family val="2"/>
          </rPr>
          <t>FAW:</t>
        </r>
        <r>
          <rPr>
            <sz val="8"/>
            <color indexed="81"/>
            <rFont val="Tahoma"/>
            <family val="2"/>
          </rPr>
          <t xml:space="preserve">
m^2</t>
        </r>
      </text>
    </comment>
    <comment ref="S41" authorId="0" shapeId="0">
      <text>
        <r>
          <rPr>
            <b/>
            <sz val="8"/>
            <color indexed="81"/>
            <rFont val="Tahoma"/>
            <family val="2"/>
          </rPr>
          <t>FAW:</t>
        </r>
        <r>
          <rPr>
            <sz val="8"/>
            <color indexed="81"/>
            <rFont val="Tahoma"/>
            <family val="2"/>
          </rPr>
          <t xml:space="preserve">
Fr/m^3</t>
        </r>
      </text>
    </comment>
    <comment ref="Y41" authorId="0" shapeId="0">
      <text>
        <r>
          <rPr>
            <b/>
            <sz val="8"/>
            <color indexed="81"/>
            <rFont val="Tahoma"/>
            <family val="2"/>
          </rPr>
          <t>FAW:</t>
        </r>
        <r>
          <rPr>
            <sz val="8"/>
            <color indexed="81"/>
            <rFont val="Tahoma"/>
            <family val="2"/>
          </rPr>
          <t xml:space="preserve">
m^2</t>
        </r>
      </text>
    </comment>
    <comment ref="Z41" authorId="0" shapeId="0">
      <text>
        <r>
          <rPr>
            <b/>
            <sz val="8"/>
            <color indexed="81"/>
            <rFont val="Tahoma"/>
            <family val="2"/>
          </rPr>
          <t>FAW:</t>
        </r>
        <r>
          <rPr>
            <sz val="8"/>
            <color indexed="81"/>
            <rFont val="Tahoma"/>
            <family val="2"/>
          </rPr>
          <t xml:space="preserve">
Fr/m^3</t>
        </r>
      </text>
    </comment>
    <comment ref="AF41" authorId="0" shapeId="0">
      <text>
        <r>
          <rPr>
            <b/>
            <sz val="8"/>
            <color indexed="81"/>
            <rFont val="Tahoma"/>
            <family val="2"/>
          </rPr>
          <t>FAW:</t>
        </r>
        <r>
          <rPr>
            <sz val="8"/>
            <color indexed="81"/>
            <rFont val="Tahoma"/>
            <family val="2"/>
          </rPr>
          <t xml:space="preserve">
m^2</t>
        </r>
      </text>
    </comment>
    <comment ref="AG41" authorId="0" shapeId="0">
      <text>
        <r>
          <rPr>
            <b/>
            <sz val="8"/>
            <color indexed="81"/>
            <rFont val="Tahoma"/>
            <family val="2"/>
          </rPr>
          <t>FAW:</t>
        </r>
        <r>
          <rPr>
            <sz val="8"/>
            <color indexed="81"/>
            <rFont val="Tahoma"/>
            <family val="2"/>
          </rPr>
          <t xml:space="preserve">
Fr/m^3</t>
        </r>
      </text>
    </comment>
    <comment ref="AM41" authorId="0" shapeId="0">
      <text>
        <r>
          <rPr>
            <b/>
            <sz val="8"/>
            <color indexed="81"/>
            <rFont val="Tahoma"/>
            <family val="2"/>
          </rPr>
          <t>FAW:</t>
        </r>
        <r>
          <rPr>
            <sz val="8"/>
            <color indexed="81"/>
            <rFont val="Tahoma"/>
            <family val="2"/>
          </rPr>
          <t xml:space="preserve">
m^2</t>
        </r>
      </text>
    </comment>
    <comment ref="AN41" authorId="0" shapeId="0">
      <text>
        <r>
          <rPr>
            <b/>
            <sz val="8"/>
            <color indexed="81"/>
            <rFont val="Tahoma"/>
            <family val="2"/>
          </rPr>
          <t>FAW:</t>
        </r>
        <r>
          <rPr>
            <sz val="8"/>
            <color indexed="81"/>
            <rFont val="Tahoma"/>
            <family val="2"/>
          </rPr>
          <t xml:space="preserve">
Fr/m^3</t>
        </r>
      </text>
    </comment>
    <comment ref="AT41" authorId="0" shapeId="0">
      <text>
        <r>
          <rPr>
            <b/>
            <sz val="8"/>
            <color indexed="81"/>
            <rFont val="Tahoma"/>
            <family val="2"/>
          </rPr>
          <t>FAW:</t>
        </r>
        <r>
          <rPr>
            <sz val="8"/>
            <color indexed="81"/>
            <rFont val="Tahoma"/>
            <family val="2"/>
          </rPr>
          <t xml:space="preserve">
m^2</t>
        </r>
      </text>
    </comment>
    <comment ref="AU41" authorId="0" shapeId="0">
      <text>
        <r>
          <rPr>
            <b/>
            <sz val="8"/>
            <color indexed="81"/>
            <rFont val="Tahoma"/>
            <family val="2"/>
          </rPr>
          <t>FAW:</t>
        </r>
        <r>
          <rPr>
            <sz val="8"/>
            <color indexed="81"/>
            <rFont val="Tahoma"/>
            <family val="2"/>
          </rPr>
          <t xml:space="preserve">
Fr/m^3</t>
        </r>
      </text>
    </comment>
    <comment ref="BA41" authorId="0" shapeId="0">
      <text>
        <r>
          <rPr>
            <b/>
            <sz val="8"/>
            <color indexed="81"/>
            <rFont val="Tahoma"/>
            <family val="2"/>
          </rPr>
          <t>FAW:</t>
        </r>
        <r>
          <rPr>
            <sz val="8"/>
            <color indexed="81"/>
            <rFont val="Tahoma"/>
            <family val="2"/>
          </rPr>
          <t xml:space="preserve">
m^2</t>
        </r>
      </text>
    </comment>
    <comment ref="BB41" authorId="0" shapeId="0">
      <text>
        <r>
          <rPr>
            <b/>
            <sz val="8"/>
            <color indexed="81"/>
            <rFont val="Tahoma"/>
            <family val="2"/>
          </rPr>
          <t>FAW:</t>
        </r>
        <r>
          <rPr>
            <sz val="8"/>
            <color indexed="81"/>
            <rFont val="Tahoma"/>
            <family val="2"/>
          </rPr>
          <t xml:space="preserve">
Fr/m^3</t>
        </r>
      </text>
    </comment>
    <comment ref="BH41" authorId="0" shapeId="0">
      <text>
        <r>
          <rPr>
            <b/>
            <sz val="8"/>
            <color indexed="81"/>
            <rFont val="Tahoma"/>
            <family val="2"/>
          </rPr>
          <t>FAW:</t>
        </r>
        <r>
          <rPr>
            <sz val="8"/>
            <color indexed="81"/>
            <rFont val="Tahoma"/>
            <family val="2"/>
          </rPr>
          <t xml:space="preserve">
m^2</t>
        </r>
      </text>
    </comment>
    <comment ref="BI41" authorId="0" shapeId="0">
      <text>
        <r>
          <rPr>
            <b/>
            <sz val="8"/>
            <color indexed="81"/>
            <rFont val="Tahoma"/>
            <family val="2"/>
          </rPr>
          <t>FAW:</t>
        </r>
        <r>
          <rPr>
            <sz val="8"/>
            <color indexed="81"/>
            <rFont val="Tahoma"/>
            <family val="2"/>
          </rPr>
          <t xml:space="preserve">
Fr/m^3</t>
        </r>
      </text>
    </comment>
    <comment ref="BO41" authorId="0" shapeId="0">
      <text>
        <r>
          <rPr>
            <b/>
            <sz val="8"/>
            <color indexed="81"/>
            <rFont val="Tahoma"/>
            <family val="2"/>
          </rPr>
          <t>FAW:</t>
        </r>
        <r>
          <rPr>
            <sz val="8"/>
            <color indexed="81"/>
            <rFont val="Tahoma"/>
            <family val="2"/>
          </rPr>
          <t xml:space="preserve">
m^2</t>
        </r>
      </text>
    </comment>
    <comment ref="BP41" authorId="0" shapeId="0">
      <text>
        <r>
          <rPr>
            <b/>
            <sz val="8"/>
            <color indexed="81"/>
            <rFont val="Tahoma"/>
            <family val="2"/>
          </rPr>
          <t>FAW:</t>
        </r>
        <r>
          <rPr>
            <sz val="8"/>
            <color indexed="81"/>
            <rFont val="Tahoma"/>
            <family val="2"/>
          </rPr>
          <t xml:space="preserve">
Fr/m^3</t>
        </r>
      </text>
    </comment>
    <comment ref="BV41" authorId="0" shapeId="0">
      <text>
        <r>
          <rPr>
            <b/>
            <sz val="8"/>
            <color indexed="81"/>
            <rFont val="Tahoma"/>
            <family val="2"/>
          </rPr>
          <t>FAW:</t>
        </r>
        <r>
          <rPr>
            <sz val="8"/>
            <color indexed="81"/>
            <rFont val="Tahoma"/>
            <family val="2"/>
          </rPr>
          <t xml:space="preserve">
m^2</t>
        </r>
      </text>
    </comment>
    <comment ref="BW41" authorId="0" shapeId="0">
      <text>
        <r>
          <rPr>
            <b/>
            <sz val="8"/>
            <color indexed="81"/>
            <rFont val="Tahoma"/>
            <family val="2"/>
          </rPr>
          <t>FAW:</t>
        </r>
        <r>
          <rPr>
            <sz val="8"/>
            <color indexed="81"/>
            <rFont val="Tahoma"/>
            <family val="2"/>
          </rPr>
          <t xml:space="preserve">
Fr/m^3</t>
        </r>
      </text>
    </comment>
    <comment ref="CC41" authorId="0" shapeId="0">
      <text>
        <r>
          <rPr>
            <b/>
            <sz val="8"/>
            <color indexed="81"/>
            <rFont val="Tahoma"/>
            <family val="2"/>
          </rPr>
          <t>FAW:</t>
        </r>
        <r>
          <rPr>
            <sz val="8"/>
            <color indexed="81"/>
            <rFont val="Tahoma"/>
            <family val="2"/>
          </rPr>
          <t xml:space="preserve">
m^2</t>
        </r>
      </text>
    </comment>
    <comment ref="CD41" authorId="0" shapeId="0">
      <text>
        <r>
          <rPr>
            <b/>
            <sz val="8"/>
            <color indexed="81"/>
            <rFont val="Tahoma"/>
            <family val="2"/>
          </rPr>
          <t>FAW:</t>
        </r>
        <r>
          <rPr>
            <sz val="8"/>
            <color indexed="81"/>
            <rFont val="Tahoma"/>
            <family val="2"/>
          </rPr>
          <t xml:space="preserve">
Fr/m^3</t>
        </r>
      </text>
    </comment>
    <comment ref="CJ41" authorId="0" shapeId="0">
      <text>
        <r>
          <rPr>
            <b/>
            <sz val="8"/>
            <color indexed="81"/>
            <rFont val="Tahoma"/>
            <family val="2"/>
          </rPr>
          <t>FAW:</t>
        </r>
        <r>
          <rPr>
            <sz val="8"/>
            <color indexed="81"/>
            <rFont val="Tahoma"/>
            <family val="2"/>
          </rPr>
          <t xml:space="preserve">
m^2</t>
        </r>
      </text>
    </comment>
    <comment ref="CK41" authorId="0" shapeId="0">
      <text>
        <r>
          <rPr>
            <b/>
            <sz val="8"/>
            <color indexed="81"/>
            <rFont val="Tahoma"/>
            <family val="2"/>
          </rPr>
          <t>FAW:</t>
        </r>
        <r>
          <rPr>
            <sz val="8"/>
            <color indexed="81"/>
            <rFont val="Tahoma"/>
            <family val="2"/>
          </rPr>
          <t xml:space="preserve">
Fr/m^3</t>
        </r>
      </text>
    </comment>
    <comment ref="CX41" authorId="0" shapeId="0">
      <text>
        <r>
          <rPr>
            <b/>
            <sz val="8"/>
            <color indexed="81"/>
            <rFont val="Tahoma"/>
            <family val="2"/>
          </rPr>
          <t>FAW:</t>
        </r>
        <r>
          <rPr>
            <sz val="8"/>
            <color indexed="81"/>
            <rFont val="Tahoma"/>
            <family val="2"/>
          </rPr>
          <t xml:space="preserve">
m^2</t>
        </r>
      </text>
    </comment>
    <comment ref="CY41" authorId="0" shapeId="0">
      <text>
        <r>
          <rPr>
            <b/>
            <sz val="8"/>
            <color indexed="81"/>
            <rFont val="Tahoma"/>
            <family val="2"/>
          </rPr>
          <t>FAW:</t>
        </r>
        <r>
          <rPr>
            <sz val="8"/>
            <color indexed="81"/>
            <rFont val="Tahoma"/>
            <family val="2"/>
          </rPr>
          <t xml:space="preserve">
Fr/m^3</t>
        </r>
      </text>
    </comment>
    <comment ref="S56" authorId="1" shapeId="0">
      <text>
        <r>
          <rPr>
            <b/>
            <sz val="8"/>
            <color indexed="81"/>
            <rFont val="Tahoma"/>
            <family val="2"/>
          </rPr>
          <t>P. Mouron:</t>
        </r>
        <r>
          <rPr>
            <sz val="8"/>
            <color indexed="81"/>
            <rFont val="Tahoma"/>
            <family val="2"/>
          </rPr>
          <t xml:space="preserve">
FAT-Ansätze für Miete minus 10 %</t>
        </r>
      </text>
    </comment>
    <comment ref="Z56" authorId="1" shapeId="0">
      <text>
        <r>
          <rPr>
            <b/>
            <sz val="8"/>
            <color indexed="81"/>
            <rFont val="Tahoma"/>
            <family val="2"/>
          </rPr>
          <t>P. Mouron:</t>
        </r>
        <r>
          <rPr>
            <sz val="8"/>
            <color indexed="81"/>
            <rFont val="Tahoma"/>
            <family val="2"/>
          </rPr>
          <t xml:space="preserve">
FAT-Ansätze für Miete minus 10 %</t>
        </r>
      </text>
    </comment>
    <comment ref="AG56" authorId="1" shapeId="0">
      <text>
        <r>
          <rPr>
            <b/>
            <sz val="8"/>
            <color indexed="81"/>
            <rFont val="Tahoma"/>
            <family val="2"/>
          </rPr>
          <t>P. Mouron:</t>
        </r>
        <r>
          <rPr>
            <sz val="8"/>
            <color indexed="81"/>
            <rFont val="Tahoma"/>
            <family val="2"/>
          </rPr>
          <t xml:space="preserve">
FAT-Ansätze für Miete minus 10 %</t>
        </r>
      </text>
    </comment>
    <comment ref="AN56" authorId="1" shapeId="0">
      <text>
        <r>
          <rPr>
            <b/>
            <sz val="8"/>
            <color indexed="81"/>
            <rFont val="Tahoma"/>
            <family val="2"/>
          </rPr>
          <t>P. Mouron:</t>
        </r>
        <r>
          <rPr>
            <sz val="8"/>
            <color indexed="81"/>
            <rFont val="Tahoma"/>
            <family val="2"/>
          </rPr>
          <t xml:space="preserve">
FAT-Ansätze für Miete minus 10 %</t>
        </r>
      </text>
    </comment>
    <comment ref="AU56" authorId="1" shapeId="0">
      <text>
        <r>
          <rPr>
            <b/>
            <sz val="8"/>
            <color indexed="81"/>
            <rFont val="Tahoma"/>
            <family val="2"/>
          </rPr>
          <t>P. Mouron:</t>
        </r>
        <r>
          <rPr>
            <sz val="8"/>
            <color indexed="81"/>
            <rFont val="Tahoma"/>
            <family val="2"/>
          </rPr>
          <t xml:space="preserve">
FAT-Ansätze für Miete minus 10 %</t>
        </r>
      </text>
    </comment>
    <comment ref="BB56" authorId="1" shapeId="0">
      <text>
        <r>
          <rPr>
            <b/>
            <sz val="8"/>
            <color indexed="81"/>
            <rFont val="Tahoma"/>
            <family val="2"/>
          </rPr>
          <t>P. Mouron:</t>
        </r>
        <r>
          <rPr>
            <sz val="8"/>
            <color indexed="81"/>
            <rFont val="Tahoma"/>
            <family val="2"/>
          </rPr>
          <t xml:space="preserve">
FAT-Ansätze für Miete minus 10 %</t>
        </r>
      </text>
    </comment>
    <comment ref="BI56" authorId="1" shapeId="0">
      <text>
        <r>
          <rPr>
            <b/>
            <sz val="8"/>
            <color indexed="81"/>
            <rFont val="Tahoma"/>
            <family val="2"/>
          </rPr>
          <t>P. Mouron:</t>
        </r>
        <r>
          <rPr>
            <sz val="8"/>
            <color indexed="81"/>
            <rFont val="Tahoma"/>
            <family val="2"/>
          </rPr>
          <t xml:space="preserve">
FAT-Ansätze für Miete minus 10 %</t>
        </r>
      </text>
    </comment>
    <comment ref="BP56" authorId="1" shapeId="0">
      <text>
        <r>
          <rPr>
            <b/>
            <sz val="8"/>
            <color indexed="81"/>
            <rFont val="Tahoma"/>
            <family val="2"/>
          </rPr>
          <t>P. Mouron:</t>
        </r>
        <r>
          <rPr>
            <sz val="8"/>
            <color indexed="81"/>
            <rFont val="Tahoma"/>
            <family val="2"/>
          </rPr>
          <t xml:space="preserve">
FAT-Ansätze für Miete minus 10 %</t>
        </r>
      </text>
    </comment>
    <comment ref="BW56" authorId="1" shapeId="0">
      <text>
        <r>
          <rPr>
            <b/>
            <sz val="8"/>
            <color indexed="81"/>
            <rFont val="Tahoma"/>
            <family val="2"/>
          </rPr>
          <t>P. Mouron:</t>
        </r>
        <r>
          <rPr>
            <sz val="8"/>
            <color indexed="81"/>
            <rFont val="Tahoma"/>
            <family val="2"/>
          </rPr>
          <t xml:space="preserve">
FAT-Ansätze für Miete minus 10 %</t>
        </r>
      </text>
    </comment>
    <comment ref="CD56" authorId="1" shapeId="0">
      <text>
        <r>
          <rPr>
            <b/>
            <sz val="8"/>
            <color indexed="81"/>
            <rFont val="Tahoma"/>
            <family val="2"/>
          </rPr>
          <t>P. Mouron:</t>
        </r>
        <r>
          <rPr>
            <sz val="8"/>
            <color indexed="81"/>
            <rFont val="Tahoma"/>
            <family val="2"/>
          </rPr>
          <t xml:space="preserve">
FAT-Ansätze für Miete minus 10 %</t>
        </r>
      </text>
    </comment>
    <comment ref="CK56" authorId="1" shapeId="0">
      <text>
        <r>
          <rPr>
            <b/>
            <sz val="8"/>
            <color indexed="81"/>
            <rFont val="Tahoma"/>
            <family val="2"/>
          </rPr>
          <t>P. Mouron:</t>
        </r>
        <r>
          <rPr>
            <sz val="8"/>
            <color indexed="81"/>
            <rFont val="Tahoma"/>
            <family val="2"/>
          </rPr>
          <t xml:space="preserve">
FAT-Ansätze für Miete minus 10 %</t>
        </r>
      </text>
    </comment>
    <comment ref="CR56" authorId="1" shapeId="0">
      <text>
        <r>
          <rPr>
            <b/>
            <sz val="8"/>
            <color indexed="81"/>
            <rFont val="Tahoma"/>
            <family val="2"/>
          </rPr>
          <t>P. Mouron:</t>
        </r>
        <r>
          <rPr>
            <sz val="8"/>
            <color indexed="81"/>
            <rFont val="Tahoma"/>
            <family val="2"/>
          </rPr>
          <t xml:space="preserve">
FAT-Ansätze für Miete minus 10 %</t>
        </r>
      </text>
    </comment>
    <comment ref="CY56" authorId="1" shapeId="0">
      <text>
        <r>
          <rPr>
            <b/>
            <sz val="8"/>
            <color indexed="81"/>
            <rFont val="Tahoma"/>
            <family val="2"/>
          </rPr>
          <t>P. Mouron:</t>
        </r>
        <r>
          <rPr>
            <sz val="8"/>
            <color indexed="81"/>
            <rFont val="Tahoma"/>
            <family val="2"/>
          </rPr>
          <t xml:space="preserve">
FAT-Ansätze für Miete minus 10 %</t>
        </r>
      </text>
    </comment>
    <comment ref="C61"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J61"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Q61"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X61"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AE61"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AL61"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AS61"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AZ61"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BG61"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BN61"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BU61"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CB61"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CI61"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CP61"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CW61"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D65" authorId="1" shapeId="0">
      <text>
        <r>
          <rPr>
            <sz val="10"/>
            <color indexed="81"/>
            <rFont val="Tahoma"/>
            <family val="2"/>
          </rPr>
          <t>Berechnung der Zugkraftstunden für Ernte:
Anzahl Fuder mal Erntezeit pro Fuder mal Auslastung der Zugkraft bei Ernte (0.25). Bei Miststreuer wurden 3 Stunden berechnet (keine Quellenangabe)</t>
        </r>
      </text>
    </comment>
    <comment ref="K65" authorId="1" shapeId="0">
      <text>
        <r>
          <rPr>
            <sz val="10"/>
            <color indexed="81"/>
            <rFont val="Tahoma"/>
            <family val="2"/>
          </rPr>
          <t>Berechnung der Zugkraftstunden für Ernte:
Anzahl Fuder mal Erntezeit pro Fuder mal Auslastung der Zugkraft bei Ernte (0.25). Bei Miststreuer wurden 3 Stunden berechnet (keine Quellenangabe)</t>
        </r>
      </text>
    </comment>
    <comment ref="R65" authorId="1" shapeId="0">
      <text>
        <r>
          <rPr>
            <sz val="10"/>
            <color indexed="81"/>
            <rFont val="Tahoma"/>
            <family val="2"/>
          </rPr>
          <t>Berechnung der Zugkraftstunden für Ernte:
Anzahl Fuder mal Erntezeit pro Fuder mal Auslastung der Zugkraft bei Ernte (0.25). Bei Miststreuer wurden 3 Stunden berechnet (keine Quellenangabe)</t>
        </r>
      </text>
    </comment>
    <comment ref="Y65" authorId="1" shapeId="0">
      <text>
        <r>
          <rPr>
            <sz val="10"/>
            <color indexed="81"/>
            <rFont val="Tahoma"/>
            <family val="2"/>
          </rPr>
          <t>Berechnung der Zugkraftstunden für Ernte:
Anzahl Fuder mal Erntezeit pro Fuder mal Auslastung der Zugkraft bei Ernte (0.25). Bei Miststreuer wurden 3 Stunden berechnet (keine Quellenangabe)</t>
        </r>
      </text>
    </comment>
    <comment ref="AF65" authorId="1" shapeId="0">
      <text>
        <r>
          <rPr>
            <sz val="10"/>
            <color indexed="81"/>
            <rFont val="Tahoma"/>
            <family val="2"/>
          </rPr>
          <t>Berechnung der Zugkraftstunden für Ernte:
Anzahl Fuder mal Erntezeit pro Fuder mal Auslastung der Zugkraft bei Ernte (0.25). Bei Miststreuer wurden 3 Stunden berechnet (keine Quellenangabe)</t>
        </r>
      </text>
    </comment>
    <comment ref="AM65" authorId="1" shapeId="0">
      <text>
        <r>
          <rPr>
            <sz val="10"/>
            <color indexed="81"/>
            <rFont val="Tahoma"/>
            <family val="2"/>
          </rPr>
          <t>Berechnung der Zugkraftstunden für Ernte:
Anzahl Fuder mal Erntezeit pro Fuder mal Auslastung der Zugkraft bei Ernte (0.25). Bei Miststreuer wurden 3 Stunden berechnet (keine Quellenangabe)</t>
        </r>
      </text>
    </comment>
    <comment ref="AT65" authorId="1" shapeId="0">
      <text>
        <r>
          <rPr>
            <sz val="10"/>
            <color indexed="81"/>
            <rFont val="Tahoma"/>
            <family val="2"/>
          </rPr>
          <t>Berechnung der Zugkraftstunden für Ernte:
Anzahl Fuder mal Erntezeit pro Fuder mal Auslastung der Zugkraft bei Ernte (0.25). Bei Miststreuer wurden 3 Stunden berechnet (keine Quellenangabe)</t>
        </r>
      </text>
    </comment>
    <comment ref="BA65" authorId="1" shapeId="0">
      <text>
        <r>
          <rPr>
            <sz val="10"/>
            <color indexed="81"/>
            <rFont val="Tahoma"/>
            <family val="2"/>
          </rPr>
          <t>Berechnung der Zugkraftstunden für Ernte:
Anzahl Fuder mal Erntezeit pro Fuder mal Auslastung der Zugkraft bei Ernte (0.25). Bei Miststreuer wurden 3 Stunden berechnet (keine Quellenangabe)</t>
        </r>
      </text>
    </comment>
    <comment ref="BH65" authorId="1" shapeId="0">
      <text>
        <r>
          <rPr>
            <sz val="10"/>
            <color indexed="81"/>
            <rFont val="Tahoma"/>
            <family val="2"/>
          </rPr>
          <t>Berechnung der Zugkraftstunden für Ernte:
Anzahl Fuder mal Erntezeit pro Fuder mal Auslastung der Zugkraft bei Ernte (0.25). Bei Miststreuer wurden 3 Stunden berechnet (keine Quellenangabe)</t>
        </r>
      </text>
    </comment>
    <comment ref="BO65" authorId="1" shapeId="0">
      <text>
        <r>
          <rPr>
            <sz val="10"/>
            <color indexed="81"/>
            <rFont val="Tahoma"/>
            <family val="2"/>
          </rPr>
          <t>Berechnung der Zugkraftstunden für Ernte:
Anzahl Fuder mal Erntezeit pro Fuder mal Auslastung der Zugkraft bei Ernte (0.25). Bei Miststreuer wurden 3 Stunden berechnet (keine Quellenangabe)</t>
        </r>
      </text>
    </comment>
    <comment ref="BV65" authorId="1" shapeId="0">
      <text>
        <r>
          <rPr>
            <sz val="10"/>
            <color indexed="81"/>
            <rFont val="Tahoma"/>
            <family val="2"/>
          </rPr>
          <t>Berechnung der Zugkraftstunden für Ernte:
Anzahl Fuder mal Erntezeit pro Fuder mal Auslastung der Zugkraft bei Ernte (0.25). Bei Miststreuer wurden 3 Stunden berechnet (keine Quellenangabe)</t>
        </r>
      </text>
    </comment>
    <comment ref="CC65" authorId="1" shapeId="0">
      <text>
        <r>
          <rPr>
            <sz val="10"/>
            <color indexed="81"/>
            <rFont val="Tahoma"/>
            <family val="2"/>
          </rPr>
          <t>Berechnung der Zugkraftstunden für Ernte:
Anzahl Fuder mal Erntezeit pro Fuder mal Auslastung der Zugkraft bei Ernte (0.25). Bei Miststreuer wurden 3 Stunden berechnet (keine Quellenangabe)</t>
        </r>
      </text>
    </comment>
    <comment ref="CJ65" authorId="1" shapeId="0">
      <text>
        <r>
          <rPr>
            <sz val="10"/>
            <color indexed="81"/>
            <rFont val="Tahoma"/>
            <family val="2"/>
          </rPr>
          <t>Berechnung der Zugkraftstunden für Ernte:
Anzahl Fuder mal Erntezeit pro Fuder mal Auslastung der Zugkraft bei Ernte (0.25). Bei Miststreuer wurden 3 Stunden berechnet (keine Quellenangabe)</t>
        </r>
      </text>
    </comment>
    <comment ref="CQ65" authorId="1" shapeId="0">
      <text>
        <r>
          <rPr>
            <sz val="10"/>
            <color indexed="81"/>
            <rFont val="Tahoma"/>
            <family val="2"/>
          </rPr>
          <t>Berechnung der Zugkraftstunden für Ernte:
Anzahl Fuder mal Erntezeit pro Fuder mal Auslastung der Zugkraft bei Ernte (0.25). Bei Miststreuer wurden 3 Stunden berechnet (keine Quellenangabe)</t>
        </r>
      </text>
    </comment>
    <comment ref="CX65" authorId="1" shapeId="0">
      <text>
        <r>
          <rPr>
            <sz val="10"/>
            <color indexed="81"/>
            <rFont val="Tahoma"/>
            <family val="2"/>
          </rPr>
          <t>Berechnung der Zugkraftstunden für Ernte:
Anzahl Fuder mal Erntezeit pro Fuder mal Auslastung der Zugkraft bei Ernte (0.25). Bei Miststreuer wurden 3 Stunden berechnet (keine Quellenangabe)</t>
        </r>
      </text>
    </comment>
    <comment ref="B80"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I80"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P80"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W80"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AD80"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AK80"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AR80"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AY80"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BF80"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BM80"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BT80"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CA80"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CH80"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CO80"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CV80"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CV99" authorId="1" shapeId="0">
      <text>
        <r>
          <rPr>
            <b/>
            <sz val="8"/>
            <color indexed="81"/>
            <rFont val="Tahoma"/>
            <family val="2"/>
          </rPr>
          <t>P. Mouron:</t>
        </r>
        <r>
          <rPr>
            <sz val="8"/>
            <color indexed="81"/>
            <rFont val="Tahoma"/>
            <family val="2"/>
          </rPr>
          <t xml:space="preserve">
Rodungskosten fallen im letzten Jahr an.
</t>
        </r>
      </text>
    </comment>
  </commentList>
</comments>
</file>

<file path=xl/comments13.xml><?xml version="1.0" encoding="utf-8"?>
<comments xmlns="http://schemas.openxmlformats.org/spreadsheetml/2006/main">
  <authors>
    <author>P. Mouron</author>
    <author>FAW</author>
    <author>zue</author>
  </authors>
  <commentList>
    <comment ref="E8" authorId="0" shapeId="0">
      <text>
        <r>
          <rPr>
            <sz val="10"/>
            <color indexed="81"/>
            <rFont val="Tahoma"/>
            <family val="2"/>
          </rPr>
          <t>Kosten für Gebindebenutzung und Transport (vom Betrieb zur Genossenschaft) sind hier pauschal bereits abgezogen.</t>
        </r>
        <r>
          <rPr>
            <sz val="8"/>
            <color indexed="81"/>
            <rFont val="Tahoma"/>
            <family val="2"/>
          </rPr>
          <t xml:space="preserve">
</t>
        </r>
      </text>
    </comment>
    <comment ref="B11" authorId="0" shapeId="0">
      <text>
        <r>
          <rPr>
            <b/>
            <sz val="8"/>
            <color indexed="81"/>
            <rFont val="Tahoma"/>
            <family val="2"/>
          </rPr>
          <t xml:space="preserve">zue:
</t>
        </r>
        <r>
          <rPr>
            <sz val="12"/>
            <color indexed="81"/>
            <rFont val="Tahoma"/>
            <family val="2"/>
          </rPr>
          <t>Sortierabgang + ab Boden</t>
        </r>
      </text>
    </comment>
    <comment ref="D13" authorId="0" shapeId="0">
      <text>
        <r>
          <rPr>
            <b/>
            <sz val="8"/>
            <color indexed="81"/>
            <rFont val="Tahoma"/>
            <family val="2"/>
          </rPr>
          <t>Zue:</t>
        </r>
        <r>
          <rPr>
            <sz val="8"/>
            <color indexed="81"/>
            <rFont val="Tahoma"/>
            <family val="2"/>
          </rPr>
          <t xml:space="preserve">
durchschnittlich während Ertragsphase, inkl. Schäden durch Frost 
Hagelschäden nicht berücksichtigt, da Hagelnetz.</t>
        </r>
      </text>
    </comment>
    <comment ref="C19" authorId="1" shapeId="0">
      <text>
        <r>
          <rPr>
            <b/>
            <sz val="8"/>
            <color indexed="81"/>
            <rFont val="Tahoma"/>
            <family val="2"/>
          </rPr>
          <t>FAW:</t>
        </r>
        <r>
          <rPr>
            <sz val="8"/>
            <color indexed="81"/>
            <rFont val="Tahoma"/>
            <family val="2"/>
          </rPr>
          <t xml:space="preserve">
20'000 alle drei Jahre
</t>
        </r>
      </text>
    </comment>
    <comment ref="C21" authorId="0" shapeId="0">
      <text>
        <r>
          <rPr>
            <b/>
            <sz val="8"/>
            <color indexed="81"/>
            <rFont val="Tahoma"/>
            <family val="2"/>
          </rPr>
          <t>zue:</t>
        </r>
        <r>
          <rPr>
            <sz val="8"/>
            <color indexed="81"/>
            <rFont val="Tahoma"/>
            <family val="2"/>
          </rPr>
          <t xml:space="preserve">
Anzahl Fahrten
</t>
        </r>
      </text>
    </comment>
    <comment ref="C37" authorId="2" shapeId="0">
      <text>
        <r>
          <rPr>
            <b/>
            <sz val="10"/>
            <color indexed="81"/>
            <rFont val="Tahoma"/>
            <family val="2"/>
          </rPr>
          <t>zue:</t>
        </r>
        <r>
          <rPr>
            <sz val="10"/>
            <color indexed="81"/>
            <rFont val="Tahoma"/>
            <family val="2"/>
          </rPr>
          <t xml:space="preserve">
nur theoretisch, tatsächliche Anzahl siehe Annahme unter C56</t>
        </r>
      </text>
    </comment>
    <comment ref="F37" authorId="1" shapeId="0">
      <text>
        <r>
          <rPr>
            <b/>
            <sz val="8"/>
            <color indexed="81"/>
            <rFont val="Tahoma"/>
            <family val="2"/>
          </rPr>
          <t>FAW:</t>
        </r>
        <r>
          <rPr>
            <sz val="8"/>
            <color indexed="81"/>
            <rFont val="Tahoma"/>
            <family val="2"/>
          </rPr>
          <t xml:space="preserve">
mal 0.9, d.h durchschnittlich 10% Rabatt abgezogen</t>
        </r>
      </text>
    </comment>
    <comment ref="D39" authorId="1" shapeId="0">
      <text>
        <r>
          <rPr>
            <b/>
            <sz val="8"/>
            <color indexed="81"/>
            <rFont val="Tahoma"/>
            <family val="2"/>
          </rPr>
          <t>FAW:</t>
        </r>
        <r>
          <rPr>
            <sz val="8"/>
            <color indexed="81"/>
            <rFont val="Tahoma"/>
            <family val="2"/>
          </rPr>
          <t xml:space="preserve">
m^2</t>
        </r>
      </text>
    </comment>
    <comment ref="E39" authorId="1" shapeId="0">
      <text>
        <r>
          <rPr>
            <b/>
            <sz val="8"/>
            <color indexed="81"/>
            <rFont val="Tahoma"/>
            <family val="2"/>
          </rPr>
          <t>FAW:</t>
        </r>
        <r>
          <rPr>
            <sz val="8"/>
            <color indexed="81"/>
            <rFont val="Tahoma"/>
            <family val="2"/>
          </rPr>
          <t xml:space="preserve">
Fr/m^3</t>
        </r>
      </text>
    </comment>
    <comment ref="B55" authorId="2" shapeId="0">
      <text>
        <r>
          <rPr>
            <b/>
            <sz val="10"/>
            <color indexed="81"/>
            <rFont val="Tahoma"/>
            <family val="2"/>
          </rPr>
          <t>zue:</t>
        </r>
        <r>
          <rPr>
            <sz val="10"/>
            <color indexed="81"/>
            <rFont val="Tahoma"/>
            <family val="2"/>
          </rPr>
          <t xml:space="preserve">
mit der Excel RMZ (Regelmässige Zahlung) Funktion berechnet. Liefert die konstante Zahlung einer Annuität pro Periode, wobei konstante Zahlungen und ein konstanter Zinssatz vorausgesetzt werden</t>
        </r>
      </text>
    </comment>
    <comment ref="E60" authorId="0" shapeId="0">
      <text>
        <r>
          <rPr>
            <b/>
            <sz val="8"/>
            <color indexed="81"/>
            <rFont val="Tahoma"/>
            <family val="2"/>
          </rPr>
          <t>P. Mouron:</t>
        </r>
        <r>
          <rPr>
            <sz val="8"/>
            <color indexed="81"/>
            <rFont val="Tahoma"/>
            <family val="2"/>
          </rPr>
          <t xml:space="preserve">
Fr./Durchgang = Fr./ha weil Arbokost die Kosten für 1 ha ausweist
FAT-Ansätze für fixe+variable Kosten</t>
        </r>
      </text>
    </comment>
    <comment ref="C65" authorId="0"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D69" authorId="0" shapeId="0">
      <text>
        <r>
          <rPr>
            <sz val="10"/>
            <color indexed="81"/>
            <rFont val="Tahoma"/>
            <family val="2"/>
          </rPr>
          <t>Berechnung der Zugkraftstunden für Ernte:
Anzahl Fuder mal Erntezeit pro Fuder mal Auslastung der Zugkraft bei Ernte (0.25). Bei Miststreuer wurden 3 Stunden berechnet (keine Quellenangabe)</t>
        </r>
      </text>
    </comment>
    <comment ref="B86"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A124" authorId="0" shapeId="0">
      <text>
        <r>
          <rPr>
            <b/>
            <sz val="8"/>
            <color indexed="81"/>
            <rFont val="Tahoma"/>
            <family val="2"/>
          </rPr>
          <t>ZUE:</t>
        </r>
        <r>
          <rPr>
            <sz val="10"/>
            <color indexed="81"/>
            <rFont val="Tahoma"/>
            <family val="2"/>
          </rPr>
          <t xml:space="preserve">
Im Betriebsminimum (oder Produktionsschwelle) werden gerade noch die entstehenden variablen Kosten gedeckt, jedoch nicht die werden die fixen Kosten.Kann der Gesamterlös diesen Betrag nicht mehr decken ist es ökonomisch sinnvoller nicht merh zu produzieren und die Parzelle zu roden.</t>
        </r>
      </text>
    </comment>
    <comment ref="A135" authorId="0" shapeId="0">
      <text>
        <r>
          <rPr>
            <b/>
            <sz val="8"/>
            <color indexed="81"/>
            <rFont val="Tahoma"/>
            <family val="2"/>
          </rPr>
          <t>ZUE:</t>
        </r>
        <r>
          <rPr>
            <sz val="8"/>
            <color indexed="81"/>
            <rFont val="Tahoma"/>
            <family val="2"/>
          </rPr>
          <t xml:space="preserve">
</t>
        </r>
        <r>
          <rPr>
            <sz val="10"/>
            <color indexed="81"/>
            <rFont val="Tahoma"/>
            <family val="2"/>
          </rPr>
          <t>siehe: Betriebswirtschaftliche Begriffe im Agrarbereich, LMZ 2000, S.112</t>
        </r>
      </text>
    </comment>
    <comment ref="A137" authorId="0" shapeId="0">
      <text>
        <r>
          <rPr>
            <b/>
            <sz val="8"/>
            <color indexed="81"/>
            <rFont val="Tahoma"/>
            <family val="2"/>
          </rPr>
          <t>ZUE:</t>
        </r>
        <r>
          <rPr>
            <sz val="8"/>
            <color indexed="81"/>
            <rFont val="Tahoma"/>
            <family val="2"/>
          </rPr>
          <t xml:space="preserve">
</t>
        </r>
        <r>
          <rPr>
            <sz val="10"/>
            <color indexed="81"/>
            <rFont val="Tahoma"/>
            <family val="2"/>
          </rPr>
          <t>Summe aus Zinsanspruch für das Eigenkapital und bezahlten Schuld- und Pachtzinsen ((Betriebswirtschaftliche Begriffe im Agrarbereich, LMZ 2000, S.110)
Hier: Zins für Investitionen und Boden.</t>
        </r>
      </text>
    </comment>
    <comment ref="A138" authorId="0" shapeId="0">
      <text>
        <r>
          <rPr>
            <b/>
            <sz val="8"/>
            <color indexed="81"/>
            <rFont val="Tahoma"/>
            <family val="2"/>
          </rPr>
          <t>P</t>
        </r>
        <r>
          <rPr>
            <b/>
            <sz val="10"/>
            <color indexed="81"/>
            <rFont val="Tahoma"/>
            <family val="2"/>
          </rPr>
          <t>. Mouron:</t>
        </r>
        <r>
          <rPr>
            <sz val="10"/>
            <color indexed="81"/>
            <rFont val="Tahoma"/>
            <family val="2"/>
          </rPr>
          <t xml:space="preserve">
Kosten für die in der Produktion eingesetzten Produktionsmittel </t>
        </r>
        <r>
          <rPr>
            <b/>
            <i/>
            <sz val="10"/>
            <color indexed="81"/>
            <rFont val="Tahoma"/>
            <family val="2"/>
          </rPr>
          <t>einschliesslich der Abschreibungen</t>
        </r>
        <r>
          <rPr>
            <sz val="10"/>
            <color indexed="81"/>
            <rFont val="Tahoma"/>
            <family val="2"/>
          </rPr>
          <t>, aber ohne die Entschädigung für die Produktionsfaktoren Arbeit und Kapital. (Betriebswirtschaftliche Begriffe im Agrarbereich, LMZ 2000, S.149)</t>
        </r>
      </text>
    </comment>
  </commentList>
</comments>
</file>

<file path=xl/comments2.xml><?xml version="1.0" encoding="utf-8"?>
<comments xmlns="http://schemas.openxmlformats.org/spreadsheetml/2006/main">
  <authors>
    <author>Bravin Esther</author>
    <author>P. Mouron</author>
    <author>referent</author>
    <author>FAW</author>
    <author>zue</author>
    <author>Adeline Kilchenmann</author>
    <author>Patrik Mouron</author>
  </authors>
  <commentList>
    <comment ref="C39" authorId="0" shapeId="0">
      <text>
        <r>
          <rPr>
            <b/>
            <sz val="9"/>
            <color indexed="81"/>
            <rFont val="Segoe UI"/>
            <family val="2"/>
          </rPr>
          <t>Bravin Esther:</t>
        </r>
        <r>
          <rPr>
            <sz val="9"/>
            <color indexed="81"/>
            <rFont val="Segoe UI"/>
            <family val="2"/>
          </rPr>
          <t xml:space="preserve">
700.- Basisbeitrag, 400.- Beitrag für offene Ackerfläche und Dauerkulturen, 1600.-  Beiträge für die biologische Landwirtschaft für die Spezialkulturen</t>
        </r>
      </text>
    </comment>
    <comment ref="C41" authorId="1" shapeId="0">
      <text>
        <r>
          <rPr>
            <b/>
            <sz val="8"/>
            <color indexed="81"/>
            <rFont val="Tahoma"/>
            <family val="2"/>
          </rPr>
          <t>zue:</t>
        </r>
        <r>
          <rPr>
            <sz val="8"/>
            <color indexed="81"/>
            <rFont val="Tahoma"/>
            <family val="2"/>
          </rPr>
          <t xml:space="preserve">
</t>
        </r>
        <r>
          <rPr>
            <sz val="10"/>
            <color indexed="81"/>
            <rFont val="Tahoma"/>
            <family val="2"/>
          </rPr>
          <t>Nach FAT
genauer Faktor bei 12 Jahren Abschreibungsdauer: 0.542</t>
        </r>
      </text>
    </comment>
    <comment ref="G46" authorId="2" shapeId="0">
      <text>
        <r>
          <rPr>
            <b/>
            <sz val="8"/>
            <color indexed="81"/>
            <rFont val="Tahoma"/>
            <family val="2"/>
          </rPr>
          <t>referent:</t>
        </r>
        <r>
          <rPr>
            <sz val="8"/>
            <color indexed="81"/>
            <rFont val="Tahoma"/>
            <family val="2"/>
          </rPr>
          <t xml:space="preserve">
Vogt 28.10.2008 12 Fr./100 kg</t>
        </r>
      </text>
    </comment>
    <comment ref="G47" authorId="2" shapeId="0">
      <text>
        <r>
          <rPr>
            <b/>
            <sz val="8"/>
            <color indexed="81"/>
            <rFont val="Tahoma"/>
            <family val="2"/>
          </rPr>
          <t>referent:</t>
        </r>
        <r>
          <rPr>
            <sz val="8"/>
            <color indexed="81"/>
            <rFont val="Tahoma"/>
            <family val="2"/>
          </rPr>
          <t xml:space="preserve">
Vogt 31.10.2022: 15 Rp/kg; andere Lagerhalter (Tobi, Biofarm, Landi Hüttwilen 5Rp/kg</t>
        </r>
      </text>
    </comment>
    <comment ref="B73" authorId="2" shapeId="0">
      <text>
        <r>
          <rPr>
            <b/>
            <sz val="8"/>
            <color indexed="81"/>
            <rFont val="Tahoma"/>
            <family val="2"/>
          </rPr>
          <t>referent:</t>
        </r>
        <r>
          <rPr>
            <sz val="8"/>
            <color indexed="81"/>
            <rFont val="Tahoma"/>
            <family val="2"/>
          </rPr>
          <t xml:space="preserve">
Quelle eingeben</t>
        </r>
      </text>
    </comment>
    <comment ref="E93" authorId="2" shapeId="0">
      <text>
        <r>
          <rPr>
            <b/>
            <sz val="8"/>
            <color indexed="81"/>
            <rFont val="Tahoma"/>
            <family val="2"/>
          </rPr>
          <t>Aus Sitzung mit FIBL (28.10.2008)</t>
        </r>
      </text>
    </comment>
    <comment ref="B94" authorId="1" shapeId="0">
      <text>
        <r>
          <rPr>
            <sz val="12"/>
            <color indexed="81"/>
            <rFont val="Tahoma"/>
            <family val="2"/>
          </rPr>
          <t>ohne Feuerbrandkontrolle + Pflege der Ökoelemente</t>
        </r>
      </text>
    </comment>
    <comment ref="B103" authorId="3" shapeId="0">
      <text>
        <r>
          <rPr>
            <b/>
            <sz val="8"/>
            <color indexed="81"/>
            <rFont val="Tahoma"/>
            <family val="2"/>
          </rPr>
          <t>FAW:</t>
        </r>
        <r>
          <rPr>
            <sz val="8"/>
            <color indexed="81"/>
            <rFont val="Tahoma"/>
            <family val="2"/>
          </rPr>
          <t xml:space="preserve">
Landor N-Bio: N=10</t>
        </r>
      </text>
    </comment>
    <comment ref="C103" authorId="4" shapeId="0">
      <text/>
    </comment>
    <comment ref="D103" authorId="2" shapeId="0">
      <text>
        <r>
          <rPr>
            <b/>
            <sz val="8"/>
            <color indexed="81"/>
            <rFont val="Tahoma"/>
            <family val="2"/>
          </rPr>
          <t>referent:</t>
        </r>
        <r>
          <rPr>
            <sz val="8"/>
            <color indexed="81"/>
            <rFont val="Tahoma"/>
            <family val="2"/>
          </rPr>
          <t xml:space="preserve">
Sitzung mit FIBL</t>
        </r>
      </text>
    </comment>
    <comment ref="E103" authorId="4" shapeId="0">
      <text>
        <r>
          <rPr>
            <b/>
            <sz val="10"/>
            <color indexed="81"/>
            <rFont val="Tahoma"/>
            <family val="2"/>
          </rPr>
          <t>zue:</t>
        </r>
        <r>
          <rPr>
            <sz val="10"/>
            <color indexed="81"/>
            <rFont val="Tahoma"/>
            <family val="2"/>
          </rPr>
          <t xml:space="preserve">
MIschdünger</t>
        </r>
      </text>
    </comment>
    <comment ref="C104" authorId="2" shapeId="0">
      <text>
        <r>
          <rPr>
            <b/>
            <sz val="8"/>
            <color indexed="81"/>
            <rFont val="Tahoma"/>
            <family val="2"/>
          </rPr>
          <t>referent:</t>
        </r>
        <r>
          <rPr>
            <sz val="8"/>
            <color indexed="81"/>
            <rFont val="Tahoma"/>
            <family val="2"/>
          </rPr>
          <t xml:space="preserve">
Transportkosten</t>
        </r>
      </text>
    </comment>
    <comment ref="B108" authorId="2" shapeId="0">
      <text>
        <r>
          <rPr>
            <b/>
            <sz val="8"/>
            <color indexed="81"/>
            <rFont val="Tahoma"/>
            <family val="2"/>
          </rPr>
          <t>referent:</t>
        </r>
        <r>
          <rPr>
            <sz val="8"/>
            <color indexed="81"/>
            <rFont val="Tahoma"/>
            <family val="2"/>
          </rPr>
          <t xml:space="preserve">
Landor Stickstoff</t>
        </r>
      </text>
    </comment>
    <comment ref="C114" authorId="3" shapeId="0">
      <text>
        <r>
          <rPr>
            <b/>
            <sz val="8"/>
            <color indexed="81"/>
            <rFont val="Tahoma"/>
            <family val="2"/>
          </rPr>
          <t>FAW:</t>
        </r>
        <r>
          <rPr>
            <sz val="8"/>
            <color indexed="81"/>
            <rFont val="Tahoma"/>
            <family val="2"/>
          </rPr>
          <t xml:space="preserve">
Alle drei Jahre</t>
        </r>
      </text>
    </comment>
    <comment ref="D118" authorId="4" shapeId="0">
      <text>
        <r>
          <rPr>
            <b/>
            <sz val="10"/>
            <color indexed="81"/>
            <rFont val="Tahoma"/>
            <family val="2"/>
          </rPr>
          <t>zue:</t>
        </r>
        <r>
          <rPr>
            <sz val="10"/>
            <color indexed="81"/>
            <rFont val="Tahoma"/>
            <family val="2"/>
          </rPr>
          <t xml:space="preserve">
zue:
gemäss Landi Katalog 2004 pro ha mit Baumvolumen von 10000m2</t>
        </r>
      </text>
    </comment>
    <comment ref="A173" authorId="4" shapeId="0">
      <text>
        <r>
          <rPr>
            <b/>
            <sz val="10"/>
            <color indexed="81"/>
            <rFont val="Tahoma"/>
            <family val="2"/>
          </rPr>
          <t>zue:</t>
        </r>
        <r>
          <rPr>
            <sz val="10"/>
            <color indexed="81"/>
            <rFont val="Tahoma"/>
            <family val="2"/>
          </rPr>
          <t xml:space="preserve">
Auslastung gemäss FAT im Durchschnitt eher zu hoch, d.h Ansätze eher zu klein</t>
        </r>
      </text>
    </comment>
    <comment ref="H176" authorId="1" shapeId="0">
      <text>
        <r>
          <rPr>
            <b/>
            <sz val="8"/>
            <color indexed="81"/>
            <rFont val="Tahoma"/>
            <family val="2"/>
          </rPr>
          <t>zue:</t>
        </r>
        <r>
          <rPr>
            <sz val="8"/>
            <color indexed="81"/>
            <rFont val="Tahoma"/>
            <family val="2"/>
          </rPr>
          <t xml:space="preserve">
</t>
        </r>
        <r>
          <rPr>
            <sz val="10"/>
            <color indexed="81"/>
            <rFont val="Tahoma"/>
            <family val="2"/>
          </rPr>
          <t>Annahme: Der  Moteor läuft   nur  ¼  der Einsatzzeit während der Ernte.</t>
        </r>
      </text>
    </comment>
    <comment ref="B180" authorId="2" shapeId="0">
      <text>
        <r>
          <rPr>
            <b/>
            <sz val="8"/>
            <color indexed="81"/>
            <rFont val="Tahoma"/>
            <family val="2"/>
          </rPr>
          <t>referent:</t>
        </r>
        <r>
          <rPr>
            <sz val="8"/>
            <color indexed="81"/>
            <rFont val="Tahoma"/>
            <family val="2"/>
          </rPr>
          <t xml:space="preserve">
Quelle: SOA</t>
        </r>
      </text>
    </comment>
    <comment ref="G182" authorId="5" shapeId="0">
      <text>
        <r>
          <rPr>
            <b/>
            <sz val="9"/>
            <color indexed="81"/>
            <rFont val="Tahoma"/>
            <family val="2"/>
          </rPr>
          <t>Adeline Kilchenmann:</t>
        </r>
        <r>
          <rPr>
            <sz val="9"/>
            <color indexed="81"/>
            <rFont val="Tahoma"/>
            <family val="2"/>
          </rPr>
          <t xml:space="preserve">
Tonnen</t>
        </r>
      </text>
    </comment>
    <comment ref="E183" authorId="1" shapeId="0">
      <text>
        <r>
          <rPr>
            <b/>
            <sz val="10"/>
            <color indexed="81"/>
            <rFont val="Tahoma"/>
            <family val="2"/>
          </rPr>
          <t>zue:</t>
        </r>
        <r>
          <rPr>
            <sz val="10"/>
            <color indexed="81"/>
            <rFont val="Tahoma"/>
            <family val="2"/>
          </rPr>
          <t xml:space="preserve">
1
 Pers pro Grosskiste</t>
        </r>
      </text>
    </comment>
    <comment ref="F183" authorId="4" shapeId="0">
      <text>
        <r>
          <rPr>
            <b/>
            <sz val="10"/>
            <color indexed="81"/>
            <rFont val="Tahoma"/>
            <family val="2"/>
          </rPr>
          <t>zue:</t>
        </r>
        <r>
          <rPr>
            <sz val="10"/>
            <color indexed="81"/>
            <rFont val="Tahoma"/>
            <family val="2"/>
          </rPr>
          <t xml:space="preserve">
pro Fuder</t>
        </r>
      </text>
    </comment>
    <comment ref="D189" authorId="0" shapeId="0">
      <text>
        <r>
          <rPr>
            <b/>
            <sz val="9"/>
            <color indexed="81"/>
            <rFont val="Segoe UI"/>
            <family val="2"/>
          </rPr>
          <t>Bravin Esther:</t>
        </r>
        <r>
          <rPr>
            <sz val="9"/>
            <color indexed="81"/>
            <rFont val="Segoe UI"/>
            <family val="2"/>
          </rPr>
          <t xml:space="preserve">
Fr./h
</t>
        </r>
      </text>
    </comment>
    <comment ref="C194" authorId="6" shapeId="0">
      <text>
        <r>
          <rPr>
            <b/>
            <sz val="8"/>
            <color indexed="81"/>
            <rFont val="Tahoma"/>
            <family val="2"/>
          </rPr>
          <t>zue:</t>
        </r>
        <r>
          <rPr>
            <sz val="8"/>
            <color indexed="81"/>
            <rFont val="Tahoma"/>
            <family val="2"/>
          </rPr>
          <t xml:space="preserve">
Annahme gemäss LBL DB Katalog div. Jahre</t>
        </r>
      </text>
    </comment>
    <comment ref="C195" authorId="3" shapeId="0">
      <text>
        <r>
          <rPr>
            <sz val="8"/>
            <color indexed="81"/>
            <rFont val="Tahoma"/>
            <family val="2"/>
          </rPr>
          <t>gemäss Anbauempfehlung für die Obstregion NO-CH 2007</t>
        </r>
      </text>
    </comment>
    <comment ref="C196" authorId="6" shapeId="0">
      <text>
        <r>
          <rPr>
            <b/>
            <sz val="8"/>
            <color indexed="81"/>
            <rFont val="Tahoma"/>
            <family val="2"/>
          </rPr>
          <t>zue:</t>
        </r>
        <r>
          <rPr>
            <sz val="8"/>
            <color indexed="81"/>
            <rFont val="Tahoma"/>
            <family val="2"/>
          </rPr>
          <t xml:space="preserve">
Annahme gemäss LBL DB-Katalog </t>
        </r>
      </text>
    </comment>
    <comment ref="C203" authorId="1" shapeId="0">
      <text>
        <r>
          <rPr>
            <b/>
            <sz val="8"/>
            <color indexed="81"/>
            <rFont val="Tahoma"/>
            <family val="2"/>
          </rPr>
          <t>P. Mouron:</t>
        </r>
        <r>
          <rPr>
            <sz val="8"/>
            <color indexed="81"/>
            <rFont val="Tahoma"/>
            <family val="2"/>
          </rPr>
          <t xml:space="preserve">
pro ha für Obstbau</t>
        </r>
      </text>
    </comment>
    <comment ref="D214" authorId="1" shapeId="0">
      <text>
        <r>
          <rPr>
            <sz val="10"/>
            <color indexed="81"/>
            <rFont val="Tahoma"/>
            <family val="2"/>
          </rPr>
          <t>Ursus Knotengitter schwer (Hortima)
Typ 11/120 (Abstände der Querdrähte 15cm)
Preis: 8.10 Fr. per lm
Ab 2000 Fr.  gibt es 15% Rabatt
Variante
Ursus Knotengitter leicht,Typ 23/160 
Preis: 7.45 Fr. per lm</t>
        </r>
      </text>
    </comment>
    <comment ref="B215" authorId="3" shapeId="0">
      <text>
        <r>
          <rPr>
            <sz val="9"/>
            <color indexed="81"/>
            <rFont val="Tahoma"/>
            <family val="2"/>
          </rPr>
          <t>200cm Länge, 7x7 cm Dimension; nur oben gefasst</t>
        </r>
      </text>
    </comment>
    <comment ref="D215" authorId="3" shapeId="0">
      <text>
        <r>
          <rPr>
            <sz val="9"/>
            <color indexed="81"/>
            <rFont val="Tahoma"/>
            <family val="2"/>
          </rPr>
          <t>ab 600 Fr. 6% Rabatt, urspr. Stückpreis war 10.20 Fr.</t>
        </r>
      </text>
    </comment>
    <comment ref="B216" authorId="3" shapeId="0">
      <text>
        <r>
          <rPr>
            <sz val="9"/>
            <color indexed="81"/>
            <rFont val="Tahoma"/>
            <family val="2"/>
          </rPr>
          <t>225 cm lang; 8x8cm Dimension, nur oben gefasst</t>
        </r>
      </text>
    </comment>
    <comment ref="D216" authorId="3" shapeId="0">
      <text>
        <r>
          <rPr>
            <sz val="9"/>
            <color indexed="81"/>
            <rFont val="Tahoma"/>
            <family val="2"/>
          </rPr>
          <t>es werden 21 Pfähle gekauft da es dann Rabatt von 3% gibt (ab 300 Fr.), urspr. Stückpreis 15.95</t>
        </r>
      </text>
    </comment>
    <comment ref="B217" authorId="3" shapeId="0">
      <text>
        <r>
          <rPr>
            <sz val="9"/>
            <color indexed="81"/>
            <rFont val="Tahoma"/>
            <family val="2"/>
          </rPr>
          <t>225 cm lang; 8x10cm Dimension, nur oben gefasst; für die Befestigung der Tore gebraucht</t>
        </r>
      </text>
    </comment>
    <comment ref="D218" authorId="3" shapeId="0">
      <text>
        <r>
          <rPr>
            <sz val="9"/>
            <color indexed="81"/>
            <rFont val="Tahoma"/>
            <family val="2"/>
          </rPr>
          <t>je nach Schiebetor etwas billiger/teurer.
Angaben von Durchschnittspreis von Roland Rot</t>
        </r>
      </text>
    </comment>
    <comment ref="B219" authorId="3" shapeId="0">
      <text>
        <r>
          <rPr>
            <sz val="9"/>
            <color indexed="81"/>
            <rFont val="Tahoma"/>
            <family val="2"/>
          </rPr>
          <t>Eisendraht stark verzinkt, 3mm Durchmesser, ca 18m per kg</t>
        </r>
      </text>
    </comment>
    <comment ref="B220" authorId="3" shapeId="0">
      <text>
        <r>
          <rPr>
            <sz val="10"/>
            <color indexed="81"/>
            <rFont val="Tahoma"/>
            <family val="2"/>
          </rPr>
          <t>verzinkt, 4.0/ 40mm , 150 Stk./kg
Pro Pfahl 4 x Agraffen=400</t>
        </r>
      </text>
    </comment>
    <comment ref="D221" authorId="4" shapeId="0">
      <text>
        <r>
          <rPr>
            <b/>
            <sz val="10"/>
            <color indexed="81"/>
            <rFont val="Tahoma"/>
            <family val="2"/>
          </rPr>
          <t>zue:</t>
        </r>
        <r>
          <rPr>
            <sz val="10"/>
            <color indexed="81"/>
            <rFont val="Tahoma"/>
            <family val="2"/>
          </rPr>
          <t xml:space="preserve">
gerundeter Erfahrungswert</t>
        </r>
      </text>
    </comment>
    <comment ref="B224" authorId="3" shapeId="0">
      <text>
        <r>
          <rPr>
            <b/>
            <sz val="8"/>
            <color indexed="81"/>
            <rFont val="Tahoma"/>
            <family val="2"/>
          </rPr>
          <t>FAW:</t>
        </r>
        <r>
          <rPr>
            <sz val="8"/>
            <color indexed="81"/>
            <rFont val="Tahoma"/>
            <family val="2"/>
          </rPr>
          <t xml:space="preserve">
Copyright: Topcat GmbH, L'Auberson, Dezember 2007</t>
        </r>
      </text>
    </comment>
    <comment ref="C230" authorId="2" shapeId="0">
      <text/>
    </comment>
    <comment ref="C231" authorId="2" shapeId="0">
      <text>
        <r>
          <rPr>
            <b/>
            <sz val="8"/>
            <color indexed="81"/>
            <rFont val="Tahoma"/>
            <family val="2"/>
          </rPr>
          <t>referent:</t>
        </r>
        <r>
          <rPr>
            <sz val="8"/>
            <color indexed="81"/>
            <rFont val="Tahoma"/>
            <family val="2"/>
          </rPr>
          <t xml:space="preserve">
FIBL 28.10.2008</t>
        </r>
      </text>
    </comment>
    <comment ref="C243" authorId="3" shapeId="0">
      <text>
        <r>
          <rPr>
            <b/>
            <sz val="8"/>
            <color indexed="81"/>
            <rFont val="Tahoma"/>
            <family val="2"/>
          </rPr>
          <t>FAW:</t>
        </r>
        <r>
          <rPr>
            <sz val="8"/>
            <color indexed="81"/>
            <rFont val="Tahoma"/>
            <family val="2"/>
          </rPr>
          <t xml:space="preserve">
m^2</t>
        </r>
      </text>
    </comment>
    <comment ref="D243" authorId="3" shapeId="0">
      <text>
        <r>
          <rPr>
            <b/>
            <sz val="8"/>
            <color indexed="81"/>
            <rFont val="Tahoma"/>
            <family val="2"/>
          </rPr>
          <t>FAW:</t>
        </r>
        <r>
          <rPr>
            <sz val="8"/>
            <color indexed="81"/>
            <rFont val="Tahoma"/>
            <family val="2"/>
          </rPr>
          <t xml:space="preserve">
Fr/m^3</t>
        </r>
      </text>
    </comment>
    <comment ref="C246" authorId="3" shapeId="0">
      <text>
        <r>
          <rPr>
            <b/>
            <sz val="8"/>
            <color indexed="81"/>
            <rFont val="Tahoma"/>
            <family val="2"/>
          </rPr>
          <t>FAW:</t>
        </r>
        <r>
          <rPr>
            <sz val="8"/>
            <color indexed="81"/>
            <rFont val="Tahoma"/>
            <family val="2"/>
          </rPr>
          <t xml:space="preserve">
Wenn Hagelnetz = ja und Bewässerung = Ja --&gt; dann = 2</t>
        </r>
      </text>
    </comment>
  </commentList>
</comments>
</file>

<file path=xl/comments3.xml><?xml version="1.0" encoding="utf-8"?>
<comments xmlns="http://schemas.openxmlformats.org/spreadsheetml/2006/main">
  <authors>
    <author>zue</author>
  </authors>
  <commentList>
    <comment ref="C45" authorId="0" shapeId="0">
      <text>
        <r>
          <rPr>
            <b/>
            <sz val="10"/>
            <color indexed="81"/>
            <rFont val="Tahoma"/>
            <family val="2"/>
          </rPr>
          <t>zue:</t>
        </r>
        <r>
          <rPr>
            <sz val="10"/>
            <color indexed="81"/>
            <rFont val="Tahoma"/>
            <family val="2"/>
          </rPr>
          <t xml:space="preserve">
Annahme: Hagelnetz  steht zuerst, desshalb nur 50% der Zeit ohne Hagelnetz</t>
        </r>
      </text>
    </comment>
  </commentList>
</comments>
</file>

<file path=xl/comments4.xml><?xml version="1.0" encoding="utf-8"?>
<comments xmlns="http://schemas.openxmlformats.org/spreadsheetml/2006/main">
  <authors>
    <author>Liebegg</author>
    <author>FAW</author>
  </authors>
  <commentList>
    <comment ref="A5" authorId="0" shapeId="0">
      <text>
        <r>
          <rPr>
            <b/>
            <sz val="8"/>
            <color indexed="81"/>
            <rFont val="Tahoma"/>
            <family val="2"/>
          </rPr>
          <t>Liebegg:</t>
        </r>
        <r>
          <rPr>
            <sz val="8"/>
            <color indexed="81"/>
            <rFont val="Tahoma"/>
            <family val="2"/>
          </rPr>
          <t xml:space="preserve">
Kostenstadn 2006/2007
Offerte THURELLA</t>
        </r>
      </text>
    </comment>
    <comment ref="B12" authorId="0" shapeId="0">
      <text>
        <r>
          <rPr>
            <b/>
            <sz val="8"/>
            <color indexed="81"/>
            <rFont val="Tahoma"/>
            <family val="2"/>
          </rPr>
          <t>ACW:</t>
        </r>
        <r>
          <rPr>
            <sz val="8"/>
            <color indexed="81"/>
            <rFont val="Tahoma"/>
            <family val="2"/>
          </rPr>
          <t xml:space="preserve">
Anbohrschellen 50mmx3/4 21 Stck. à 4.80, Aufschraubnippel 3/4 x 20 mm 22 Stck. à 1.5, Tropfschlauchenden 22 à 70 Rp. (Quelle Anbauempehlung für die Obstregion NO-CH 2007)
</t>
        </r>
      </text>
    </comment>
    <comment ref="B15" authorId="0" shapeId="0">
      <text>
        <r>
          <rPr>
            <b/>
            <sz val="8"/>
            <color indexed="81"/>
            <rFont val="Tahoma"/>
            <family val="2"/>
          </rPr>
          <t>ACW:</t>
        </r>
        <r>
          <rPr>
            <sz val="8"/>
            <color indexed="81"/>
            <rFont val="Tahoma"/>
            <family val="2"/>
          </rPr>
          <t xml:space="preserve">
Tropfschlauch Anschluss an Sektorenleitung 21 x 1 m 20mmà 1.-- (Quelle: Anbauempfehlung für die Obstregion NO-CH 2007)</t>
        </r>
      </text>
    </comment>
    <comment ref="B17" authorId="0" shapeId="0">
      <text>
        <r>
          <rPr>
            <b/>
            <sz val="8"/>
            <color indexed="81"/>
            <rFont val="Tahoma"/>
            <family val="2"/>
          </rPr>
          <t>ACW:</t>
        </r>
        <r>
          <rPr>
            <sz val="8"/>
            <color indexed="81"/>
            <rFont val="Tahoma"/>
            <family val="2"/>
          </rPr>
          <t xml:space="preserve">
Sektorenleitung Zuleitung Kultur (Quelle Anbauempfehlung für die Obstregion NO-CH 2007)
Für Hauptlietung PE 63mm PN 12.5 bzw. PE ND 8 63 mm à 6.--</t>
        </r>
      </text>
    </comment>
    <comment ref="B20" authorId="0" shapeId="0">
      <text>
        <r>
          <rPr>
            <b/>
            <sz val="8"/>
            <color indexed="81"/>
            <rFont val="Tahoma"/>
            <family val="2"/>
          </rPr>
          <t>ACW:</t>
        </r>
        <r>
          <rPr>
            <sz val="8"/>
            <color indexed="81"/>
            <rFont val="Tahoma"/>
            <family val="2"/>
          </rPr>
          <t xml:space="preserve">
Sektorenleitungsendeverschluss 50mm 1 Stck à 10.80,
plus Anschlusskupplung 2" 50mm pro Sektor 1 (Quelle: Anbauempfehlung für die Obstregion NO-CH 2007)</t>
        </r>
      </text>
    </comment>
    <comment ref="F30" authorId="0" shapeId="0">
      <text>
        <r>
          <rPr>
            <b/>
            <sz val="8"/>
            <color indexed="81"/>
            <rFont val="Tahoma"/>
            <family val="2"/>
          </rPr>
          <t>Liebegg:</t>
        </r>
        <r>
          <rPr>
            <sz val="8"/>
            <color indexed="81"/>
            <rFont val="Tahoma"/>
            <family val="2"/>
          </rPr>
          <t xml:space="preserve">
Dosatron D8R</t>
        </r>
      </text>
    </comment>
    <comment ref="A32" authorId="1" shapeId="0">
      <text>
        <r>
          <rPr>
            <b/>
            <sz val="8"/>
            <color indexed="81"/>
            <rFont val="Tahoma"/>
            <family val="2"/>
          </rPr>
          <t>FAW:</t>
        </r>
        <r>
          <rPr>
            <sz val="8"/>
            <color indexed="81"/>
            <rFont val="Tahoma"/>
            <family val="2"/>
          </rPr>
          <t xml:space="preserve">
Inkl. Mehrwertsteuer</t>
        </r>
      </text>
    </comment>
    <comment ref="D63" authorId="0" shapeId="0">
      <text>
        <r>
          <rPr>
            <b/>
            <sz val="8"/>
            <color indexed="81"/>
            <rFont val="Tahoma"/>
            <family val="2"/>
          </rPr>
          <t>Liebegg:</t>
        </r>
        <r>
          <rPr>
            <sz val="8"/>
            <color indexed="81"/>
            <rFont val="Tahoma"/>
            <family val="2"/>
          </rPr>
          <t xml:space="preserve">
1 Sprinkler pro Baum</t>
        </r>
      </text>
    </comment>
    <comment ref="B64" authorId="0" shapeId="0">
      <text>
        <r>
          <rPr>
            <b/>
            <sz val="8"/>
            <color indexed="81"/>
            <rFont val="Tahoma"/>
            <family val="2"/>
          </rPr>
          <t>Liebegg:</t>
        </r>
        <r>
          <rPr>
            <sz val="8"/>
            <color indexed="81"/>
            <rFont val="Tahoma"/>
            <family val="2"/>
          </rPr>
          <t xml:space="preserve">
17 Stck. Anbohrschellen 50mmx3/4. à 4.80, 
17 Stck. Plasim Anschlusskupplung 3/4"x25mm à 4.80  
18 Stck. Plasim Schlauchkupplungen 25x25mm à 5.80
17 Stck. Plassim Schlauchenden  4.80</t>
        </r>
      </text>
    </comment>
    <comment ref="B66" authorId="0" shapeId="0">
      <text>
        <r>
          <rPr>
            <b/>
            <sz val="8"/>
            <color indexed="81"/>
            <rFont val="Tahoma"/>
            <family val="2"/>
          </rPr>
          <t>Liebegg:</t>
        </r>
        <r>
          <rPr>
            <sz val="8"/>
            <color indexed="81"/>
            <rFont val="Tahoma"/>
            <family val="2"/>
          </rPr>
          <t xml:space="preserve">
Schlauchaufhänger Blitzbinder 7 cm, kg à 490 Stck, 4 kg à 38.-</t>
        </r>
      </text>
    </comment>
    <comment ref="B69" authorId="0" shapeId="0">
      <text>
        <r>
          <rPr>
            <b/>
            <sz val="8"/>
            <color indexed="81"/>
            <rFont val="Tahoma"/>
            <family val="2"/>
          </rPr>
          <t>Liebegg:</t>
        </r>
        <r>
          <rPr>
            <sz val="8"/>
            <color indexed="81"/>
            <rFont val="Tahoma"/>
            <family val="2"/>
          </rPr>
          <t xml:space="preserve">
Sektorenleitung Zuleitung Kultur
Für Hauptlietung PE 63mm PN 12.5 bzw. PE ND 8 63 mm à 6.--</t>
        </r>
      </text>
    </comment>
    <comment ref="B72" authorId="0" shapeId="0">
      <text>
        <r>
          <rPr>
            <b/>
            <sz val="8"/>
            <color indexed="81"/>
            <rFont val="Tahoma"/>
            <family val="2"/>
          </rPr>
          <t>Liebegg:</t>
        </r>
        <r>
          <rPr>
            <sz val="8"/>
            <color indexed="81"/>
            <rFont val="Tahoma"/>
            <family val="2"/>
          </rPr>
          <t xml:space="preserve">
4 Stck Sektorenleitungsendeverschluss 50mm  à 10.80,
4 Anschlusskupplung 2" 50mm für  Sektoren  à 18.4 4 Sektoren
</t>
        </r>
      </text>
    </comment>
    <comment ref="B78" authorId="0" shapeId="0">
      <text>
        <r>
          <rPr>
            <b/>
            <sz val="8"/>
            <color indexed="81"/>
            <rFont val="Tahoma"/>
            <family val="2"/>
          </rPr>
          <t>Liebegg:</t>
        </r>
        <r>
          <rPr>
            <sz val="8"/>
            <color indexed="81"/>
            <rFont val="Tahoma"/>
            <family val="2"/>
          </rPr>
          <t xml:space="preserve">
Bermet AC 24 Volt 1.5"</t>
        </r>
      </text>
    </comment>
    <comment ref="B79" authorId="0" shapeId="0">
      <text>
        <r>
          <rPr>
            <b/>
            <sz val="8"/>
            <color indexed="81"/>
            <rFont val="Tahoma"/>
            <family val="2"/>
          </rPr>
          <t>Liebegg:</t>
        </r>
        <r>
          <rPr>
            <sz val="8"/>
            <color indexed="81"/>
            <rFont val="Tahoma"/>
            <family val="2"/>
          </rPr>
          <t xml:space="preserve">
Miracle Netz 220 V 6 Stationen inkl. Abdeckung Wasserdicht</t>
        </r>
      </text>
    </comment>
    <comment ref="B80" authorId="0" shapeId="0">
      <text>
        <r>
          <rPr>
            <b/>
            <sz val="8"/>
            <color indexed="81"/>
            <rFont val="Tahoma"/>
            <family val="2"/>
          </rPr>
          <t>Liebegg:</t>
        </r>
        <r>
          <rPr>
            <sz val="8"/>
            <color indexed="81"/>
            <rFont val="Tahoma"/>
            <family val="2"/>
          </rPr>
          <t xml:space="preserve">
Druckmanometer</t>
        </r>
      </text>
    </comment>
    <comment ref="F82" authorId="0" shapeId="0">
      <text>
        <r>
          <rPr>
            <b/>
            <sz val="8"/>
            <color indexed="81"/>
            <rFont val="Tahoma"/>
            <family val="2"/>
          </rPr>
          <t>Liebegg:</t>
        </r>
        <r>
          <rPr>
            <sz val="8"/>
            <color indexed="81"/>
            <rFont val="Tahoma"/>
            <family val="2"/>
          </rPr>
          <t xml:space="preserve">
Dosatron D8R</t>
        </r>
      </text>
    </comment>
    <comment ref="A113" authorId="0" shapeId="0">
      <text>
        <r>
          <rPr>
            <b/>
            <sz val="8"/>
            <color indexed="81"/>
            <rFont val="Tahoma"/>
            <family val="2"/>
          </rPr>
          <t>Liebegg:</t>
        </r>
        <r>
          <rPr>
            <sz val="8"/>
            <color indexed="81"/>
            <rFont val="Tahoma"/>
            <family val="2"/>
          </rPr>
          <t xml:space="preserve">
Für Hauptlietung PE 63mm PN 12.5 bzw. PE ND 8 63 mm à 6.--</t>
        </r>
      </text>
    </comment>
  </commentList>
</comments>
</file>

<file path=xl/comments5.xml><?xml version="1.0" encoding="utf-8"?>
<comments xmlns="http://schemas.openxmlformats.org/spreadsheetml/2006/main">
  <authors>
    <author>FAW</author>
    <author>P. Mouron</author>
  </authors>
  <commentList>
    <comment ref="C58" authorId="0" shapeId="0">
      <text>
        <r>
          <rPr>
            <b/>
            <sz val="8"/>
            <color indexed="81"/>
            <rFont val="Tahoma"/>
            <family val="2"/>
          </rPr>
          <t>FAW:</t>
        </r>
        <r>
          <rPr>
            <sz val="8"/>
            <color indexed="81"/>
            <rFont val="Tahoma"/>
            <family val="2"/>
          </rPr>
          <t xml:space="preserve">
Verlustzeit entspricht 10% von der aufgelisteten Zkh oder Akh</t>
        </r>
      </text>
    </comment>
    <comment ref="C59" authorId="0" shapeId="0">
      <text>
        <r>
          <rPr>
            <b/>
            <sz val="8"/>
            <color indexed="81"/>
            <rFont val="Tahoma"/>
            <family val="2"/>
          </rPr>
          <t>FAW:</t>
        </r>
        <r>
          <rPr>
            <sz val="8"/>
            <color indexed="81"/>
            <rFont val="Tahoma"/>
            <family val="2"/>
          </rPr>
          <t xml:space="preserve">
Topcat GmbH, L'Auberson, Dezember 2007</t>
        </r>
      </text>
    </comment>
    <comment ref="C80" authorId="1" shapeId="0">
      <text>
        <r>
          <rPr>
            <sz val="8"/>
            <color indexed="81"/>
            <rFont val="Tahoma"/>
            <family val="2"/>
          </rPr>
          <t>zue:
In der Regel wird hier mit 10% der totalen Stunden gerechnet.</t>
        </r>
      </text>
    </comment>
    <comment ref="C88" authorId="0" shapeId="0">
      <text>
        <r>
          <rPr>
            <sz val="8"/>
            <color indexed="81"/>
            <rFont val="Tahoma"/>
            <family val="2"/>
          </rPr>
          <t xml:space="preserve">Umfang der eingezäunten Fläche abzüglich 2 Tore à je ca. 6 m 
</t>
        </r>
      </text>
    </comment>
    <comment ref="B89" authorId="0" shapeId="0">
      <text>
        <r>
          <rPr>
            <sz val="9"/>
            <color indexed="81"/>
            <rFont val="Tahoma"/>
            <family val="2"/>
          </rPr>
          <t>200cm Länge, 7x7 cm Dimension; nur oben gefasst</t>
        </r>
      </text>
    </comment>
    <comment ref="C89" authorId="0" shapeId="0">
      <text>
        <r>
          <rPr>
            <sz val="9"/>
            <color indexed="81"/>
            <rFont val="Tahoma"/>
            <family val="2"/>
          </rPr>
          <t>Jeder 5te Pfahl ist ein stärkerer, dh. von 100 sind 20 Pfähle stärker</t>
        </r>
      </text>
    </comment>
    <comment ref="B90" authorId="0" shapeId="0">
      <text>
        <r>
          <rPr>
            <sz val="9"/>
            <color indexed="81"/>
            <rFont val="Tahoma"/>
            <family val="2"/>
          </rPr>
          <t>225 cm lang; 8x8cm Dimension, nur oben gefasst</t>
        </r>
      </text>
    </comment>
    <comment ref="B91" authorId="0" shapeId="0">
      <text>
        <r>
          <rPr>
            <sz val="9"/>
            <color indexed="81"/>
            <rFont val="Tahoma"/>
            <family val="2"/>
          </rPr>
          <t>225 cm lang; 8x10cm Dimension, nur oben gefasst; für die Befestigung der Tore gebraucht</t>
        </r>
      </text>
    </comment>
    <comment ref="E121" authorId="0" shapeId="0">
      <text>
        <r>
          <rPr>
            <b/>
            <sz val="8"/>
            <color indexed="81"/>
            <rFont val="Tahoma"/>
            <family val="2"/>
          </rPr>
          <t>FAW:</t>
        </r>
        <r>
          <rPr>
            <sz val="8"/>
            <color indexed="81"/>
            <rFont val="Tahoma"/>
            <family val="2"/>
          </rPr>
          <t xml:space="preserve">
Quelle Anbauempfehlung für die Obstregion Nordwestschweiz, mit nur 21 Rehien</t>
        </r>
      </text>
    </comment>
    <comment ref="D128" authorId="0" shapeId="0">
      <text>
        <r>
          <rPr>
            <b/>
            <sz val="8"/>
            <color indexed="81"/>
            <rFont val="Tahoma"/>
            <family val="2"/>
          </rPr>
          <t>FAW:</t>
        </r>
        <r>
          <rPr>
            <sz val="8"/>
            <color indexed="81"/>
            <rFont val="Tahoma"/>
            <family val="2"/>
          </rPr>
          <t xml:space="preserve">
Tropfenbewässerung ja=1, Tropfenbewässerung nein=0</t>
        </r>
      </text>
    </comment>
    <comment ref="C132" authorId="0" shapeId="0">
      <text>
        <r>
          <rPr>
            <b/>
            <sz val="8"/>
            <color indexed="81"/>
            <rFont val="Tahoma"/>
            <family val="2"/>
          </rPr>
          <t>FAW:</t>
        </r>
        <r>
          <rPr>
            <sz val="8"/>
            <color indexed="81"/>
            <rFont val="Tahoma"/>
            <family val="2"/>
          </rPr>
          <t xml:space="preserve">
m^2</t>
        </r>
      </text>
    </comment>
    <comment ref="D132" authorId="0" shapeId="0">
      <text>
        <r>
          <rPr>
            <b/>
            <sz val="8"/>
            <color indexed="81"/>
            <rFont val="Tahoma"/>
            <family val="2"/>
          </rPr>
          <t>FAW:</t>
        </r>
        <r>
          <rPr>
            <sz val="8"/>
            <color indexed="81"/>
            <rFont val="Tahoma"/>
            <family val="2"/>
          </rPr>
          <t xml:space="preserve">
Fr/m^3</t>
        </r>
      </text>
    </comment>
    <comment ref="E137" authorId="0" shapeId="0">
      <text>
        <r>
          <rPr>
            <b/>
            <sz val="8"/>
            <color indexed="81"/>
            <rFont val="Tahoma"/>
            <family val="2"/>
          </rPr>
          <t>FAW:</t>
        </r>
        <r>
          <rPr>
            <sz val="8"/>
            <color indexed="81"/>
            <rFont val="Tahoma"/>
            <family val="2"/>
          </rPr>
          <t xml:space="preserve">
Quelle Anbauempfehlung für die Obstregion Nordwestschweiz, mit nur 21 Rehien</t>
        </r>
      </text>
    </comment>
    <comment ref="D144" authorId="0" shapeId="0">
      <text>
        <r>
          <rPr>
            <b/>
            <sz val="8"/>
            <color indexed="81"/>
            <rFont val="Tahoma"/>
            <family val="2"/>
          </rPr>
          <t>FAW:</t>
        </r>
        <r>
          <rPr>
            <sz val="8"/>
            <color indexed="81"/>
            <rFont val="Tahoma"/>
            <family val="2"/>
          </rPr>
          <t xml:space="preserve">
Mikrosprinkler ja=1, Mikrosprinkler nein=0</t>
        </r>
      </text>
    </comment>
    <comment ref="C148" authorId="0" shapeId="0">
      <text>
        <r>
          <rPr>
            <b/>
            <sz val="8"/>
            <color indexed="81"/>
            <rFont val="Tahoma"/>
            <family val="2"/>
          </rPr>
          <t>FAW:</t>
        </r>
        <r>
          <rPr>
            <sz val="8"/>
            <color indexed="81"/>
            <rFont val="Tahoma"/>
            <family val="2"/>
          </rPr>
          <t xml:space="preserve">
m^2</t>
        </r>
      </text>
    </comment>
    <comment ref="D148" authorId="0" shapeId="0">
      <text>
        <r>
          <rPr>
            <b/>
            <sz val="8"/>
            <color indexed="81"/>
            <rFont val="Tahoma"/>
            <family val="2"/>
          </rPr>
          <t>FAW:</t>
        </r>
        <r>
          <rPr>
            <sz val="8"/>
            <color indexed="81"/>
            <rFont val="Tahoma"/>
            <family val="2"/>
          </rPr>
          <t xml:space="preserve">
Fr/m^3</t>
        </r>
      </text>
    </comment>
    <comment ref="C150" authorId="0" shapeId="0">
      <text>
        <r>
          <rPr>
            <b/>
            <sz val="8"/>
            <color indexed="81"/>
            <rFont val="Tahoma"/>
            <family val="2"/>
          </rPr>
          <t>FAW:</t>
        </r>
        <r>
          <rPr>
            <sz val="8"/>
            <color indexed="81"/>
            <rFont val="Tahoma"/>
            <family val="2"/>
          </rPr>
          <t xml:space="preserve">
Hagelversicherung ja=1, Hagelversicherung nein = 0
</t>
        </r>
      </text>
    </comment>
    <comment ref="C151" authorId="0" shapeId="0">
      <text>
        <r>
          <rPr>
            <b/>
            <sz val="8"/>
            <color indexed="81"/>
            <rFont val="Tahoma"/>
            <family val="2"/>
          </rPr>
          <t>FAW:</t>
        </r>
        <r>
          <rPr>
            <sz val="8"/>
            <color indexed="81"/>
            <rFont val="Tahoma"/>
            <family val="2"/>
          </rPr>
          <t xml:space="preserve">
Hagelnetz ja=1, Hagenletz nein=o
</t>
        </r>
      </text>
    </comment>
    <comment ref="C154" authorId="0" shapeId="0">
      <text>
        <r>
          <rPr>
            <b/>
            <sz val="8"/>
            <color indexed="81"/>
            <rFont val="Tahoma"/>
            <family val="2"/>
          </rPr>
          <t>FAW:</t>
        </r>
        <r>
          <rPr>
            <sz val="8"/>
            <color indexed="81"/>
            <rFont val="Tahoma"/>
            <family val="2"/>
          </rPr>
          <t xml:space="preserve">
Summe von  Zellen 32/133/134 C um zelle C 131 zu definieren.</t>
        </r>
      </text>
    </comment>
  </commentList>
</comments>
</file>

<file path=xl/comments6.xml><?xml version="1.0" encoding="utf-8"?>
<comments xmlns="http://schemas.openxmlformats.org/spreadsheetml/2006/main">
  <authors>
    <author>FAW</author>
    <author>P. Mouron</author>
    <author>zue</author>
  </authors>
  <commentList>
    <comment ref="F5" authorId="0" shapeId="0">
      <text>
        <r>
          <rPr>
            <sz val="9"/>
            <color indexed="81"/>
            <rFont val="Tahoma"/>
            <family val="2"/>
          </rPr>
          <t>Diese Seite ist schreibgeschützt. Der Schutz kann aufgehoben werden mit dem Kennwort "Arbokost"</t>
        </r>
      </text>
    </comment>
    <comment ref="C40" authorId="0" shapeId="0">
      <text>
        <r>
          <rPr>
            <b/>
            <sz val="8"/>
            <color indexed="81"/>
            <rFont val="Tahoma"/>
            <family val="2"/>
          </rPr>
          <t>FAW:</t>
        </r>
        <r>
          <rPr>
            <sz val="8"/>
            <color indexed="81"/>
            <rFont val="Tahoma"/>
            <family val="2"/>
          </rPr>
          <t xml:space="preserve">
Wasser Ja=1/Nein=0
</t>
        </r>
      </text>
    </comment>
    <comment ref="J40" authorId="0" shapeId="0">
      <text>
        <r>
          <rPr>
            <b/>
            <sz val="8"/>
            <color indexed="81"/>
            <rFont val="Tahoma"/>
            <family val="2"/>
          </rPr>
          <t>FAW:</t>
        </r>
        <r>
          <rPr>
            <sz val="8"/>
            <color indexed="81"/>
            <rFont val="Tahoma"/>
            <family val="2"/>
          </rPr>
          <t xml:space="preserve">
Wasser Ja=1/Nein=0
</t>
        </r>
      </text>
    </comment>
    <comment ref="Q40" authorId="0" shapeId="0">
      <text>
        <r>
          <rPr>
            <b/>
            <sz val="8"/>
            <color indexed="81"/>
            <rFont val="Tahoma"/>
            <family val="2"/>
          </rPr>
          <t>FAW:</t>
        </r>
        <r>
          <rPr>
            <sz val="8"/>
            <color indexed="81"/>
            <rFont val="Tahoma"/>
            <family val="2"/>
          </rPr>
          <t xml:space="preserve">
Wasser Ja=1/Nein=0
</t>
        </r>
      </text>
    </comment>
    <comment ref="X40" authorId="0" shapeId="0">
      <text>
        <r>
          <rPr>
            <b/>
            <sz val="8"/>
            <color indexed="81"/>
            <rFont val="Tahoma"/>
            <family val="2"/>
          </rPr>
          <t>FAW:</t>
        </r>
        <r>
          <rPr>
            <sz val="8"/>
            <color indexed="81"/>
            <rFont val="Tahoma"/>
            <family val="2"/>
          </rPr>
          <t xml:space="preserve">
Wasser Ja=1/Nein=0
</t>
        </r>
      </text>
    </comment>
    <comment ref="AE40" authorId="0" shapeId="0">
      <text>
        <r>
          <rPr>
            <b/>
            <sz val="8"/>
            <color indexed="81"/>
            <rFont val="Tahoma"/>
            <family val="2"/>
          </rPr>
          <t>FAW:</t>
        </r>
        <r>
          <rPr>
            <sz val="8"/>
            <color indexed="81"/>
            <rFont val="Tahoma"/>
            <family val="2"/>
          </rPr>
          <t xml:space="preserve">
Wasser Ja=1/Nein=0
</t>
        </r>
      </text>
    </comment>
    <comment ref="AL40" authorId="0" shapeId="0">
      <text>
        <r>
          <rPr>
            <b/>
            <sz val="8"/>
            <color indexed="81"/>
            <rFont val="Tahoma"/>
            <family val="2"/>
          </rPr>
          <t>FAW:</t>
        </r>
        <r>
          <rPr>
            <sz val="8"/>
            <color indexed="81"/>
            <rFont val="Tahoma"/>
            <family val="2"/>
          </rPr>
          <t xml:space="preserve">
Wasser Ja=1/Nein=0
</t>
        </r>
      </text>
    </comment>
    <comment ref="AS40" authorId="0" shapeId="0">
      <text>
        <r>
          <rPr>
            <b/>
            <sz val="8"/>
            <color indexed="81"/>
            <rFont val="Tahoma"/>
            <family val="2"/>
          </rPr>
          <t>FAW:</t>
        </r>
        <r>
          <rPr>
            <sz val="8"/>
            <color indexed="81"/>
            <rFont val="Tahoma"/>
            <family val="2"/>
          </rPr>
          <t xml:space="preserve">
Wasser Ja=1/Nein=0
</t>
        </r>
      </text>
    </comment>
    <comment ref="AZ40" authorId="0" shapeId="0">
      <text>
        <r>
          <rPr>
            <b/>
            <sz val="8"/>
            <color indexed="81"/>
            <rFont val="Tahoma"/>
            <family val="2"/>
          </rPr>
          <t>FAW:</t>
        </r>
        <r>
          <rPr>
            <sz val="8"/>
            <color indexed="81"/>
            <rFont val="Tahoma"/>
            <family val="2"/>
          </rPr>
          <t xml:space="preserve">
Wasser Ja=1/Nein=0
</t>
        </r>
      </text>
    </comment>
    <comment ref="BG40" authorId="0" shapeId="0">
      <text>
        <r>
          <rPr>
            <b/>
            <sz val="8"/>
            <color indexed="81"/>
            <rFont val="Tahoma"/>
            <family val="2"/>
          </rPr>
          <t>FAW:</t>
        </r>
        <r>
          <rPr>
            <sz val="8"/>
            <color indexed="81"/>
            <rFont val="Tahoma"/>
            <family val="2"/>
          </rPr>
          <t xml:space="preserve">
Wasser Ja=1/Nein=0
</t>
        </r>
      </text>
    </comment>
    <comment ref="BN40" authorId="0" shapeId="0">
      <text>
        <r>
          <rPr>
            <b/>
            <sz val="8"/>
            <color indexed="81"/>
            <rFont val="Tahoma"/>
            <family val="2"/>
          </rPr>
          <t>FAW:</t>
        </r>
        <r>
          <rPr>
            <sz val="8"/>
            <color indexed="81"/>
            <rFont val="Tahoma"/>
            <family val="2"/>
          </rPr>
          <t xml:space="preserve">
Wasser Ja=1/Nein=0
</t>
        </r>
      </text>
    </comment>
    <comment ref="BU40" authorId="0" shapeId="0">
      <text>
        <r>
          <rPr>
            <b/>
            <sz val="8"/>
            <color indexed="81"/>
            <rFont val="Tahoma"/>
            <family val="2"/>
          </rPr>
          <t>FAW:</t>
        </r>
        <r>
          <rPr>
            <sz val="8"/>
            <color indexed="81"/>
            <rFont val="Tahoma"/>
            <family val="2"/>
          </rPr>
          <t xml:space="preserve">
Wasser Ja=1/Nein=0
</t>
        </r>
      </text>
    </comment>
    <comment ref="CB40" authorId="0" shapeId="0">
      <text>
        <r>
          <rPr>
            <b/>
            <sz val="8"/>
            <color indexed="81"/>
            <rFont val="Tahoma"/>
            <family val="2"/>
          </rPr>
          <t>FAW:</t>
        </r>
        <r>
          <rPr>
            <sz val="8"/>
            <color indexed="81"/>
            <rFont val="Tahoma"/>
            <family val="2"/>
          </rPr>
          <t xml:space="preserve">
Wasser Ja=1/Nein=0
</t>
        </r>
      </text>
    </comment>
    <comment ref="CI40" authorId="0" shapeId="0">
      <text>
        <r>
          <rPr>
            <b/>
            <sz val="8"/>
            <color indexed="81"/>
            <rFont val="Tahoma"/>
            <family val="2"/>
          </rPr>
          <t>FAW:</t>
        </r>
        <r>
          <rPr>
            <sz val="8"/>
            <color indexed="81"/>
            <rFont val="Tahoma"/>
            <family val="2"/>
          </rPr>
          <t xml:space="preserve">
Wasser Ja=1/Nein=0
</t>
        </r>
      </text>
    </comment>
    <comment ref="CP40" authorId="0" shapeId="0">
      <text>
        <r>
          <rPr>
            <b/>
            <sz val="8"/>
            <color indexed="81"/>
            <rFont val="Tahoma"/>
            <family val="2"/>
          </rPr>
          <t>FAW:</t>
        </r>
        <r>
          <rPr>
            <sz val="8"/>
            <color indexed="81"/>
            <rFont val="Tahoma"/>
            <family val="2"/>
          </rPr>
          <t xml:space="preserve">
Wasser Ja=1/Nein=0
</t>
        </r>
      </text>
    </comment>
    <comment ref="CW40" authorId="0" shapeId="0">
      <text>
        <r>
          <rPr>
            <b/>
            <sz val="8"/>
            <color indexed="81"/>
            <rFont val="Tahoma"/>
            <family val="2"/>
          </rPr>
          <t>FAW:</t>
        </r>
        <r>
          <rPr>
            <sz val="8"/>
            <color indexed="81"/>
            <rFont val="Tahoma"/>
            <family val="2"/>
          </rPr>
          <t xml:space="preserve">
Wasser Ja=1/Nein=0
</t>
        </r>
      </text>
    </comment>
    <comment ref="S55" authorId="1" shapeId="0">
      <text>
        <r>
          <rPr>
            <b/>
            <sz val="8"/>
            <color indexed="81"/>
            <rFont val="Tahoma"/>
            <family val="2"/>
          </rPr>
          <t>P. Mouron:</t>
        </r>
        <r>
          <rPr>
            <sz val="8"/>
            <color indexed="81"/>
            <rFont val="Tahoma"/>
            <family val="2"/>
          </rPr>
          <t xml:space="preserve">
FAT-Ansätze für Miete minus 10 %</t>
        </r>
      </text>
    </comment>
    <comment ref="Z55" authorId="1" shapeId="0">
      <text>
        <r>
          <rPr>
            <b/>
            <sz val="8"/>
            <color indexed="81"/>
            <rFont val="Tahoma"/>
            <family val="2"/>
          </rPr>
          <t>P. Mouron:</t>
        </r>
        <r>
          <rPr>
            <sz val="8"/>
            <color indexed="81"/>
            <rFont val="Tahoma"/>
            <family val="2"/>
          </rPr>
          <t xml:space="preserve">
FAT-Ansätze für Miete minus 10 %</t>
        </r>
      </text>
    </comment>
    <comment ref="AG55" authorId="1" shapeId="0">
      <text>
        <r>
          <rPr>
            <b/>
            <sz val="8"/>
            <color indexed="81"/>
            <rFont val="Tahoma"/>
            <family val="2"/>
          </rPr>
          <t>P. Mouron:</t>
        </r>
        <r>
          <rPr>
            <sz val="8"/>
            <color indexed="81"/>
            <rFont val="Tahoma"/>
            <family val="2"/>
          </rPr>
          <t xml:space="preserve">
FAT-Ansätze für Miete minus 10 %</t>
        </r>
      </text>
    </comment>
    <comment ref="AN55" authorId="1" shapeId="0">
      <text>
        <r>
          <rPr>
            <b/>
            <sz val="8"/>
            <color indexed="81"/>
            <rFont val="Tahoma"/>
            <family val="2"/>
          </rPr>
          <t>P. Mouron:</t>
        </r>
        <r>
          <rPr>
            <sz val="8"/>
            <color indexed="81"/>
            <rFont val="Tahoma"/>
            <family val="2"/>
          </rPr>
          <t xml:space="preserve">
FAT-Ansätze für Miete minus 10 %</t>
        </r>
      </text>
    </comment>
    <comment ref="AU55" authorId="1" shapeId="0">
      <text>
        <r>
          <rPr>
            <b/>
            <sz val="8"/>
            <color indexed="81"/>
            <rFont val="Tahoma"/>
            <family val="2"/>
          </rPr>
          <t>P. Mouron:</t>
        </r>
        <r>
          <rPr>
            <sz val="8"/>
            <color indexed="81"/>
            <rFont val="Tahoma"/>
            <family val="2"/>
          </rPr>
          <t xml:space="preserve">
FAT-Ansätze für Miete minus 10 %</t>
        </r>
      </text>
    </comment>
    <comment ref="BB55" authorId="1" shapeId="0">
      <text>
        <r>
          <rPr>
            <b/>
            <sz val="8"/>
            <color indexed="81"/>
            <rFont val="Tahoma"/>
            <family val="2"/>
          </rPr>
          <t>P. Mouron:</t>
        </r>
        <r>
          <rPr>
            <sz val="8"/>
            <color indexed="81"/>
            <rFont val="Tahoma"/>
            <family val="2"/>
          </rPr>
          <t xml:space="preserve">
FAT-Ansätze für Miete minus 10 %</t>
        </r>
      </text>
    </comment>
    <comment ref="BI55" authorId="1" shapeId="0">
      <text>
        <r>
          <rPr>
            <b/>
            <sz val="8"/>
            <color indexed="81"/>
            <rFont val="Tahoma"/>
            <family val="2"/>
          </rPr>
          <t>P. Mouron:</t>
        </r>
        <r>
          <rPr>
            <sz val="8"/>
            <color indexed="81"/>
            <rFont val="Tahoma"/>
            <family val="2"/>
          </rPr>
          <t xml:space="preserve">
FAT-Ansätze für Miete minus 10 %</t>
        </r>
      </text>
    </comment>
    <comment ref="BP55" authorId="1" shapeId="0">
      <text>
        <r>
          <rPr>
            <b/>
            <sz val="8"/>
            <color indexed="81"/>
            <rFont val="Tahoma"/>
            <family val="2"/>
          </rPr>
          <t>P. Mouron:</t>
        </r>
        <r>
          <rPr>
            <sz val="8"/>
            <color indexed="81"/>
            <rFont val="Tahoma"/>
            <family val="2"/>
          </rPr>
          <t xml:space="preserve">
FAT-Ansätze für Miete minus 10 %</t>
        </r>
      </text>
    </comment>
    <comment ref="BW55" authorId="1" shapeId="0">
      <text>
        <r>
          <rPr>
            <b/>
            <sz val="8"/>
            <color indexed="81"/>
            <rFont val="Tahoma"/>
            <family val="2"/>
          </rPr>
          <t>P. Mouron:</t>
        </r>
        <r>
          <rPr>
            <sz val="8"/>
            <color indexed="81"/>
            <rFont val="Tahoma"/>
            <family val="2"/>
          </rPr>
          <t xml:space="preserve">
FAT-Ansätze für Miete minus 10 %</t>
        </r>
      </text>
    </comment>
    <comment ref="CD55" authorId="1" shapeId="0">
      <text>
        <r>
          <rPr>
            <b/>
            <sz val="8"/>
            <color indexed="81"/>
            <rFont val="Tahoma"/>
            <family val="2"/>
          </rPr>
          <t>P. Mouron:</t>
        </r>
        <r>
          <rPr>
            <sz val="8"/>
            <color indexed="81"/>
            <rFont val="Tahoma"/>
            <family val="2"/>
          </rPr>
          <t xml:space="preserve">
FAT-Ansätze für Miete minus 10 %</t>
        </r>
      </text>
    </comment>
    <comment ref="CK55" authorId="1" shapeId="0">
      <text>
        <r>
          <rPr>
            <b/>
            <sz val="8"/>
            <color indexed="81"/>
            <rFont val="Tahoma"/>
            <family val="2"/>
          </rPr>
          <t>P. Mouron:</t>
        </r>
        <r>
          <rPr>
            <sz val="8"/>
            <color indexed="81"/>
            <rFont val="Tahoma"/>
            <family val="2"/>
          </rPr>
          <t xml:space="preserve">
FAT-Ansätze für Miete minus 10 %</t>
        </r>
      </text>
    </comment>
    <comment ref="CR55" authorId="1" shapeId="0">
      <text>
        <r>
          <rPr>
            <b/>
            <sz val="8"/>
            <color indexed="81"/>
            <rFont val="Tahoma"/>
            <family val="2"/>
          </rPr>
          <t>P. Mouron:</t>
        </r>
        <r>
          <rPr>
            <sz val="8"/>
            <color indexed="81"/>
            <rFont val="Tahoma"/>
            <family val="2"/>
          </rPr>
          <t xml:space="preserve">
FAT-Ansätze für Miete minus 10 %</t>
        </r>
      </text>
    </comment>
    <comment ref="CY55" authorId="1" shapeId="0">
      <text>
        <r>
          <rPr>
            <b/>
            <sz val="8"/>
            <color indexed="81"/>
            <rFont val="Tahoma"/>
            <family val="2"/>
          </rPr>
          <t>P. Mouron:</t>
        </r>
        <r>
          <rPr>
            <sz val="8"/>
            <color indexed="81"/>
            <rFont val="Tahoma"/>
            <family val="2"/>
          </rPr>
          <t xml:space="preserve">
FAT-Ansätze für Miete minus 10 %</t>
        </r>
      </text>
    </comment>
    <comment ref="C60"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J60"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Q60"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X60"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AE60"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AL60"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AS60"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AZ60"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BG60"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BN60"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BU60"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CB60"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CI60"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CP60"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CW60" authorId="1"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D64" authorId="1" shapeId="0">
      <text>
        <r>
          <rPr>
            <sz val="10"/>
            <color indexed="81"/>
            <rFont val="Tahoma"/>
            <family val="2"/>
          </rPr>
          <t>Berechnung der Zugkraftstunden für Ernte:
Anzahl Fuder mal Erntezeit pro Fuder mal Auslastung der Zugkraft bei Ernte (0.25).</t>
        </r>
      </text>
    </comment>
    <comment ref="K64" authorId="1" shapeId="0">
      <text>
        <r>
          <rPr>
            <sz val="10"/>
            <color indexed="81"/>
            <rFont val="Tahoma"/>
            <family val="2"/>
          </rPr>
          <t>Berechnung der Zugkraftstunden für Ernte:
Anzahl Fuder mal Erntezeit pro Fuder mal Auslastung der Zugkraft bei Ernte (0.25).</t>
        </r>
      </text>
    </comment>
    <comment ref="R64" authorId="1" shapeId="0">
      <text>
        <r>
          <rPr>
            <sz val="10"/>
            <color indexed="81"/>
            <rFont val="Tahoma"/>
            <family val="2"/>
          </rPr>
          <t>Berechnung der Zugkraftstunden für Ernte:
Anzahl Fuder mal Erntezeit pro Fuder mal Auslastung der Zugkraft bei Ernte (0.25).</t>
        </r>
      </text>
    </comment>
    <comment ref="Y64" authorId="1" shapeId="0">
      <text>
        <r>
          <rPr>
            <sz val="10"/>
            <color indexed="81"/>
            <rFont val="Tahoma"/>
            <family val="2"/>
          </rPr>
          <t>Berechnung der Zugkraftstunden für Ernte:
Anzahl Fuder mal Erntezeit pro Fuder mal Auslastung der Zugkraft bei Ernte (0.25).</t>
        </r>
      </text>
    </comment>
    <comment ref="AF64" authorId="1" shapeId="0">
      <text>
        <r>
          <rPr>
            <sz val="10"/>
            <color indexed="81"/>
            <rFont val="Tahoma"/>
            <family val="2"/>
          </rPr>
          <t>Berechnung der Zugkraftstunden für Ernte:
Anzahl Fuder mal Erntezeit pro Fuder mal Auslastung der Zugkraft bei Ernte (0.25).</t>
        </r>
      </text>
    </comment>
    <comment ref="AM64" authorId="1" shapeId="0">
      <text>
        <r>
          <rPr>
            <sz val="10"/>
            <color indexed="81"/>
            <rFont val="Tahoma"/>
            <family val="2"/>
          </rPr>
          <t>Berechnung der Zugkraftstunden für Ernte:
Anzahl Fuder mal Erntezeit pro Fuder mal Auslastung der Zugkraft bei Ernte (0.25).</t>
        </r>
      </text>
    </comment>
    <comment ref="AS64" authorId="1" shapeId="0">
      <text>
        <r>
          <rPr>
            <sz val="10"/>
            <color indexed="81"/>
            <rFont val="Tahoma"/>
            <family val="2"/>
          </rPr>
          <t>Berechnung der Zugkraftstunden für Ernte:
Anzahl Fuder mal Erntezeit pro Fuder mal Auslastung der Zugkraft bei Ernte (0.25).</t>
        </r>
      </text>
    </comment>
    <comment ref="AT64" authorId="1" shapeId="0">
      <text>
        <r>
          <rPr>
            <sz val="10"/>
            <color indexed="81"/>
            <rFont val="Tahoma"/>
            <family val="2"/>
          </rPr>
          <t>Berechnung der Zugkraftstunden für Ernte:
Anzahl Fuder mal Erntezeit pro Fuder mal Auslastung der Zugkraft bei Ernte (0.25).</t>
        </r>
      </text>
    </comment>
    <comment ref="BA64" authorId="1" shapeId="0">
      <text>
        <r>
          <rPr>
            <sz val="10"/>
            <color indexed="81"/>
            <rFont val="Tahoma"/>
            <family val="2"/>
          </rPr>
          <t>Berechnung der Zugkraftstunden für Ernte:
Anzahl Fuder mal Erntezeit pro Fuder mal Auslastung der Zugkraft bei Ernte (0.25).</t>
        </r>
      </text>
    </comment>
    <comment ref="BH64" authorId="1" shapeId="0">
      <text>
        <r>
          <rPr>
            <sz val="10"/>
            <color indexed="81"/>
            <rFont val="Tahoma"/>
            <family val="2"/>
          </rPr>
          <t>Berechnung der Zugkraftstunden für Ernte:
Anzahl Fuder mal Erntezeit pro Fuder mal Auslastung der Zugkraft bei Ernte (0.25).</t>
        </r>
      </text>
    </comment>
    <comment ref="BO64" authorId="1" shapeId="0">
      <text>
        <r>
          <rPr>
            <sz val="10"/>
            <color indexed="81"/>
            <rFont val="Tahoma"/>
            <family val="2"/>
          </rPr>
          <t>Berechnung der Zugkraftstunden für Ernte:
Anzahl Fuder mal Erntezeit pro Fuder mal Auslastung der Zugkraft bei Ernte (0.25).</t>
        </r>
      </text>
    </comment>
    <comment ref="BV64" authorId="1" shapeId="0">
      <text>
        <r>
          <rPr>
            <sz val="10"/>
            <color indexed="81"/>
            <rFont val="Tahoma"/>
            <family val="2"/>
          </rPr>
          <t>Berechnung der Zugkraftstunden für Ernte:
Anzahl Fuder mal Erntezeit pro Fuder mal Auslastung der Zugkraft bei Ernte (0.25).</t>
        </r>
      </text>
    </comment>
    <comment ref="CC64" authorId="1" shapeId="0">
      <text>
        <r>
          <rPr>
            <sz val="10"/>
            <color indexed="81"/>
            <rFont val="Tahoma"/>
            <family val="2"/>
          </rPr>
          <t>Berechnung der Zugkraftstunden für Ernte:
Anzahl Fuder mal Erntezeit pro Fuder mal Auslastung der Zugkraft bei Ernte (0.25).</t>
        </r>
      </text>
    </comment>
    <comment ref="CJ64" authorId="1" shapeId="0">
      <text>
        <r>
          <rPr>
            <sz val="10"/>
            <color indexed="81"/>
            <rFont val="Tahoma"/>
            <family val="2"/>
          </rPr>
          <t>Berechnung der Zugkraftstunden für Ernte:
Anzahl Fuder mal Erntezeit pro Fuder mal Auslastung der Zugkraft bei Ernte (0.25).</t>
        </r>
      </text>
    </comment>
    <comment ref="CQ64" authorId="1" shapeId="0">
      <text>
        <r>
          <rPr>
            <sz val="10"/>
            <color indexed="81"/>
            <rFont val="Tahoma"/>
            <family val="2"/>
          </rPr>
          <t>Berechnung der Zugkraftstunden für Ernte:
Anzahl Fuder mal Erntezeit pro Fuder mal Auslastung der Zugkraft bei Ernte (0.25).</t>
        </r>
      </text>
    </comment>
    <comment ref="CX64" authorId="1" shapeId="0">
      <text>
        <r>
          <rPr>
            <sz val="10"/>
            <color indexed="81"/>
            <rFont val="Tahoma"/>
            <family val="2"/>
          </rPr>
          <t>Berechnung der Zugkraftstunden für Ernte:
Anzahl Fuder mal Erntezeit pro Fuder mal Auslastung der Zugkraft bei Ernte (0.25).</t>
        </r>
      </text>
    </comment>
    <comment ref="B79"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I79"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P79"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W79"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AD79"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AK79"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AR79"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AY79"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BF79"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BM79"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BT79"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CA79"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CH79"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CO79"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CV79"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CV98" authorId="1" shapeId="0">
      <text>
        <r>
          <rPr>
            <b/>
            <sz val="8"/>
            <color indexed="81"/>
            <rFont val="Tahoma"/>
            <family val="2"/>
          </rPr>
          <t>P. Mouron:</t>
        </r>
        <r>
          <rPr>
            <sz val="8"/>
            <color indexed="81"/>
            <rFont val="Tahoma"/>
            <family val="2"/>
          </rPr>
          <t xml:space="preserve">
Rodungskosten fallen im letzten Jahr an.
</t>
        </r>
      </text>
    </comment>
  </commentList>
</comments>
</file>

<file path=xl/comments7.xml><?xml version="1.0" encoding="utf-8"?>
<comments xmlns="http://schemas.openxmlformats.org/spreadsheetml/2006/main">
  <authors>
    <author>P. Mouron</author>
    <author>FAW</author>
    <author>zue</author>
    <author>Louw-Prevost Martina</author>
  </authors>
  <commentList>
    <comment ref="E8" authorId="0" shapeId="0">
      <text>
        <r>
          <rPr>
            <sz val="10"/>
            <color indexed="81"/>
            <rFont val="Tahoma"/>
            <family val="2"/>
          </rPr>
          <t>Kosten für Gebindebenutzung und Transport (vom Betrieb zur Genossenschaft) sind hier pauschal bereits abgezogen.</t>
        </r>
        <r>
          <rPr>
            <sz val="8"/>
            <color indexed="81"/>
            <rFont val="Tahoma"/>
            <family val="2"/>
          </rPr>
          <t xml:space="preserve">
</t>
        </r>
      </text>
    </comment>
    <comment ref="B11" authorId="0" shapeId="0">
      <text>
        <r>
          <rPr>
            <b/>
            <sz val="8"/>
            <color indexed="81"/>
            <rFont val="Tahoma"/>
            <family val="2"/>
          </rPr>
          <t xml:space="preserve">zue:
</t>
        </r>
        <r>
          <rPr>
            <sz val="12"/>
            <color indexed="81"/>
            <rFont val="Tahoma"/>
            <family val="2"/>
          </rPr>
          <t>Sortierabgang + ab Boden</t>
        </r>
      </text>
    </comment>
    <comment ref="D13" authorId="0" shapeId="0">
      <text>
        <r>
          <rPr>
            <b/>
            <sz val="8"/>
            <color indexed="81"/>
            <rFont val="Tahoma"/>
            <family val="2"/>
          </rPr>
          <t>Zue:</t>
        </r>
        <r>
          <rPr>
            <sz val="8"/>
            <color indexed="81"/>
            <rFont val="Tahoma"/>
            <family val="2"/>
          </rPr>
          <t xml:space="preserve">
durchschnittlich während Ertragsphase, inkl. Schäden durch Frost 
Hagelschäden nicht berücksichtigt, da Hagelnetz.</t>
        </r>
      </text>
    </comment>
    <comment ref="C19" authorId="1" shapeId="0">
      <text>
        <r>
          <rPr>
            <b/>
            <sz val="8"/>
            <color indexed="81"/>
            <rFont val="Tahoma"/>
            <family val="2"/>
          </rPr>
          <t>FAW:</t>
        </r>
        <r>
          <rPr>
            <sz val="8"/>
            <color indexed="81"/>
            <rFont val="Tahoma"/>
            <family val="2"/>
          </rPr>
          <t xml:space="preserve">
20'000 kg alle drei Jahre</t>
        </r>
      </text>
    </comment>
    <comment ref="F37" authorId="1" shapeId="0">
      <text>
        <r>
          <rPr>
            <b/>
            <sz val="8"/>
            <color indexed="81"/>
            <rFont val="Tahoma"/>
            <family val="2"/>
          </rPr>
          <t>FAW:</t>
        </r>
        <r>
          <rPr>
            <sz val="8"/>
            <color indexed="81"/>
            <rFont val="Tahoma"/>
            <family val="2"/>
          </rPr>
          <t xml:space="preserve">
Mit 10% Rabatt (x0.9)</t>
        </r>
      </text>
    </comment>
    <comment ref="C39" authorId="1" shapeId="0">
      <text>
        <r>
          <rPr>
            <b/>
            <sz val="8"/>
            <color indexed="81"/>
            <rFont val="Tahoma"/>
            <family val="2"/>
          </rPr>
          <t>FAW:</t>
        </r>
        <r>
          <rPr>
            <sz val="8"/>
            <color indexed="81"/>
            <rFont val="Tahoma"/>
            <family val="2"/>
          </rPr>
          <t xml:space="preserve">
Wasser Ja=1/Nein=0
</t>
        </r>
      </text>
    </comment>
    <comment ref="A40" authorId="1" shapeId="0">
      <text>
        <r>
          <rPr>
            <b/>
            <sz val="8"/>
            <color indexed="81"/>
            <rFont val="Tahoma"/>
            <family val="2"/>
          </rPr>
          <t>FAW:</t>
        </r>
        <r>
          <rPr>
            <sz val="8"/>
            <color indexed="81"/>
            <rFont val="Tahoma"/>
            <family val="2"/>
          </rPr>
          <t xml:space="preserve">
gemäss Abrechnung von Hubert Büchele (MABO)</t>
        </r>
      </text>
    </comment>
    <comment ref="B55" authorId="2" shapeId="0">
      <text>
        <r>
          <rPr>
            <b/>
            <sz val="10"/>
            <color indexed="81"/>
            <rFont val="Tahoma"/>
            <family val="2"/>
          </rPr>
          <t>zue:</t>
        </r>
        <r>
          <rPr>
            <sz val="10"/>
            <color indexed="81"/>
            <rFont val="Tahoma"/>
            <family val="2"/>
          </rPr>
          <t xml:space="preserve">
mit der Excel RMZ (Regelmässige Zahlung) Funktion berechnet. Liefert die konstante Zahlung einer Annuität pro Periode, wobei konstante Zahlungen und ein konstanter Zinssatz vorausgesetzt werden</t>
        </r>
      </text>
    </comment>
    <comment ref="E60" authorId="3" shapeId="0">
      <text>
        <r>
          <rPr>
            <b/>
            <sz val="9"/>
            <color indexed="81"/>
            <rFont val="Segoe UI"/>
            <family val="2"/>
          </rPr>
          <t>Louw-Prevost Martina:</t>
        </r>
        <r>
          <rPr>
            <sz val="9"/>
            <color indexed="81"/>
            <rFont val="Segoe UI"/>
            <family val="2"/>
          </rPr>
          <t xml:space="preserve">
Fr./ha (Maschinenkostenkatalog)</t>
        </r>
      </text>
    </comment>
    <comment ref="C65" authorId="0" shapeId="0">
      <text>
        <r>
          <rPr>
            <b/>
            <sz val="10"/>
            <color indexed="81"/>
            <rFont val="Tahoma"/>
            <family val="2"/>
          </rPr>
          <t>Berechnung der kg pro Fuder:</t>
        </r>
        <r>
          <rPr>
            <sz val="10"/>
            <color indexed="81"/>
            <rFont val="Tahoma"/>
            <family val="2"/>
          </rPr>
          <t xml:space="preserve">
Erntewagen für 4 Grosskisten (Zug):
4 Grosskosten à 300 kg = 1200 kg bei angenommer Auslastung 
von 80 % = 0.8*1200 = </t>
        </r>
        <r>
          <rPr>
            <b/>
            <sz val="10"/>
            <color indexed="81"/>
            <rFont val="Tahoma"/>
            <family val="2"/>
          </rPr>
          <t>960 kg pro Fuder</t>
        </r>
        <r>
          <rPr>
            <sz val="10"/>
            <color indexed="81"/>
            <rFont val="Tahoma"/>
            <family val="2"/>
          </rPr>
          <t xml:space="preserve">
</t>
        </r>
      </text>
    </comment>
    <comment ref="D69" authorId="0" shapeId="0">
      <text>
        <r>
          <rPr>
            <sz val="10"/>
            <color indexed="81"/>
            <rFont val="Tahoma"/>
            <family val="2"/>
          </rPr>
          <t>Berechnung der Zugkraftstunden für Ernte:
Anzahl Fuder mal Erntezeit pro Fuder mal Auslastung der Zugkraft bei Ernte (0.25).</t>
        </r>
      </text>
    </comment>
    <comment ref="B85" authorId="2" shapeId="0">
      <text>
        <r>
          <rPr>
            <b/>
            <sz val="10"/>
            <color indexed="81"/>
            <rFont val="Tahoma"/>
            <family val="2"/>
          </rPr>
          <t>zue:</t>
        </r>
        <r>
          <rPr>
            <sz val="10"/>
            <color indexed="81"/>
            <rFont val="Tahoma"/>
            <family val="2"/>
          </rPr>
          <t xml:space="preserve">
es wird davon ausgegangen, dass auch im 1.Jahr die Netze geöffnet und geschlossen werden</t>
        </r>
      </text>
    </comment>
    <comment ref="A124" authorId="0" shapeId="0">
      <text>
        <r>
          <rPr>
            <b/>
            <sz val="8"/>
            <color indexed="81"/>
            <rFont val="Tahoma"/>
            <family val="2"/>
          </rPr>
          <t>ZUE:</t>
        </r>
        <r>
          <rPr>
            <sz val="10"/>
            <color indexed="81"/>
            <rFont val="Tahoma"/>
            <family val="2"/>
          </rPr>
          <t xml:space="preserve">
Im Betriebsminimum (oder Produktionsschwelle) werden gerade noch die entstehenden variablen Kosten gedeckt, jedoch nicht die werden die fixen Kosten.Kann der Gesamterlös diesen Betrag nicht mehr decken ist es ökonomisch sinnvoller nicht merh zu produzieren und die Parzelle zu roden.</t>
        </r>
      </text>
    </comment>
    <comment ref="A135" authorId="0" shapeId="0">
      <text>
        <r>
          <rPr>
            <b/>
            <sz val="8"/>
            <color indexed="81"/>
            <rFont val="Tahoma"/>
            <family val="2"/>
          </rPr>
          <t>ZUE:</t>
        </r>
        <r>
          <rPr>
            <sz val="8"/>
            <color indexed="81"/>
            <rFont val="Tahoma"/>
            <family val="2"/>
          </rPr>
          <t xml:space="preserve">
</t>
        </r>
        <r>
          <rPr>
            <sz val="10"/>
            <color indexed="81"/>
            <rFont val="Tahoma"/>
            <family val="2"/>
          </rPr>
          <t>siehe: Betriebswirtschaftliche Begriffe im Agrarbereich, LMZ 2000, S.112</t>
        </r>
      </text>
    </comment>
    <comment ref="A137" authorId="0" shapeId="0">
      <text>
        <r>
          <rPr>
            <b/>
            <sz val="8"/>
            <color indexed="81"/>
            <rFont val="Tahoma"/>
            <family val="2"/>
          </rPr>
          <t>ZUE:</t>
        </r>
        <r>
          <rPr>
            <sz val="8"/>
            <color indexed="81"/>
            <rFont val="Tahoma"/>
            <family val="2"/>
          </rPr>
          <t xml:space="preserve">
</t>
        </r>
        <r>
          <rPr>
            <sz val="10"/>
            <color indexed="81"/>
            <rFont val="Tahoma"/>
            <family val="2"/>
          </rPr>
          <t>Summe aus Zinsanspruch für das Eigenkapital und bezahlten Schuld- und Pachtzinsen ((Betriebswirtschaftliche Begriffe im Agrarbereich, LMZ 2000, S.110)
Hier: Zins für Investitionen und Boden.</t>
        </r>
      </text>
    </comment>
    <comment ref="A138" authorId="0" shapeId="0">
      <text>
        <r>
          <rPr>
            <b/>
            <sz val="8"/>
            <color indexed="81"/>
            <rFont val="Tahoma"/>
            <family val="2"/>
          </rPr>
          <t>P</t>
        </r>
        <r>
          <rPr>
            <b/>
            <sz val="10"/>
            <color indexed="81"/>
            <rFont val="Tahoma"/>
            <family val="2"/>
          </rPr>
          <t>. Mouron:</t>
        </r>
        <r>
          <rPr>
            <sz val="10"/>
            <color indexed="81"/>
            <rFont val="Tahoma"/>
            <family val="2"/>
          </rPr>
          <t xml:space="preserve">
Kosten für die in der Produktion eingesetzten Produktionsmittel </t>
        </r>
        <r>
          <rPr>
            <b/>
            <i/>
            <sz val="10"/>
            <color indexed="81"/>
            <rFont val="Tahoma"/>
            <family val="2"/>
          </rPr>
          <t>einschliesslich der Abschreibungen</t>
        </r>
        <r>
          <rPr>
            <sz val="10"/>
            <color indexed="81"/>
            <rFont val="Tahoma"/>
            <family val="2"/>
          </rPr>
          <t>, aber ohne die Entschädigung für die Produktionsfaktoren Arbeit und Kapital. (Betriebswirtschaftliche Begriffe im Agrarbereich, LMZ 2000, S.149)</t>
        </r>
      </text>
    </comment>
  </commentList>
</comments>
</file>

<file path=xl/comments8.xml><?xml version="1.0" encoding="utf-8"?>
<comments xmlns="http://schemas.openxmlformats.org/spreadsheetml/2006/main">
  <authors>
    <author>P. Mouron</author>
    <author>FAW</author>
    <author>referent</author>
    <author>zue</author>
    <author>Adeline Kilchenmann</author>
    <author>Bravin Esther</author>
    <author>Patrik Mouron</author>
  </authors>
  <commentList>
    <comment ref="C21" authorId="0" shapeId="0">
      <text>
        <r>
          <rPr>
            <b/>
            <sz val="8"/>
            <color indexed="81"/>
            <rFont val="Tahoma"/>
            <family val="2"/>
          </rPr>
          <t>P. Mouron:</t>
        </r>
        <r>
          <rPr>
            <sz val="8"/>
            <color indexed="81"/>
            <rFont val="Tahoma"/>
            <family val="2"/>
          </rPr>
          <t xml:space="preserve">
Traktor mit Normalspur möglich</t>
        </r>
      </text>
    </comment>
    <comment ref="B24" authorId="1" shapeId="0">
      <text>
        <r>
          <rPr>
            <b/>
            <sz val="8"/>
            <color indexed="81"/>
            <rFont val="Tahoma"/>
            <family val="2"/>
          </rPr>
          <t>FAW:</t>
        </r>
        <r>
          <rPr>
            <sz val="8"/>
            <color indexed="81"/>
            <rFont val="Tahoma"/>
            <family val="2"/>
          </rPr>
          <t xml:space="preserve">
Bei einer Änderung der Bäume/ha auch Ertrag/Jahr korrigieren</t>
        </r>
      </text>
    </comment>
    <comment ref="C41" authorId="0" shapeId="0">
      <text>
        <r>
          <rPr>
            <sz val="10"/>
            <color indexed="81"/>
            <rFont val="Tahoma"/>
            <family val="2"/>
          </rPr>
          <t>ZUE
FAT Faktor bei 12 Jahren Abschreibungsdauer =  0.542</t>
        </r>
      </text>
    </comment>
    <comment ref="H46" authorId="1" shapeId="0">
      <text>
        <r>
          <rPr>
            <b/>
            <sz val="8"/>
            <color indexed="81"/>
            <rFont val="Tahoma"/>
            <family val="2"/>
          </rPr>
          <t>FAW:</t>
        </r>
        <r>
          <rPr>
            <sz val="8"/>
            <color indexed="81"/>
            <rFont val="Tahoma"/>
            <family val="2"/>
          </rPr>
          <t xml:space="preserve">
Vogt Bürsten 12 Fr./100 kg</t>
        </r>
      </text>
    </comment>
    <comment ref="H47" authorId="2" shapeId="0">
      <text>
        <r>
          <rPr>
            <b/>
            <sz val="8"/>
            <color indexed="81"/>
            <rFont val="Tahoma"/>
            <family val="2"/>
          </rPr>
          <t>referent:</t>
        </r>
        <r>
          <rPr>
            <sz val="8"/>
            <color indexed="81"/>
            <rFont val="Tahoma"/>
            <family val="2"/>
          </rPr>
          <t xml:space="preserve">
Info Vogt 28.10.2008</t>
        </r>
      </text>
    </comment>
    <comment ref="D51" authorId="1" shapeId="0">
      <text>
        <r>
          <rPr>
            <b/>
            <sz val="8"/>
            <color indexed="81"/>
            <rFont val="Tahoma"/>
            <family val="2"/>
          </rPr>
          <t>FAW:</t>
        </r>
        <r>
          <rPr>
            <sz val="8"/>
            <color indexed="81"/>
            <rFont val="Tahoma"/>
            <family val="2"/>
          </rPr>
          <t xml:space="preserve">
Mostäpfel, gewöhnliche Sorten</t>
        </r>
      </text>
    </comment>
    <comment ref="B94" authorId="0" shapeId="0">
      <text>
        <r>
          <rPr>
            <sz val="12"/>
            <color indexed="81"/>
            <rFont val="Tahoma"/>
            <family val="2"/>
          </rPr>
          <t>ohne Feuerbrandkontrolle</t>
        </r>
      </text>
    </comment>
    <comment ref="B103" authorId="1" shapeId="0">
      <text>
        <r>
          <rPr>
            <b/>
            <sz val="8"/>
            <color indexed="81"/>
            <rFont val="Tahoma"/>
            <family val="2"/>
          </rPr>
          <t>FAW:</t>
        </r>
        <r>
          <rPr>
            <sz val="8"/>
            <color indexed="81"/>
            <rFont val="Tahoma"/>
            <family val="2"/>
          </rPr>
          <t xml:space="preserve">
Landor N-Bio: N=10</t>
        </r>
      </text>
    </comment>
    <comment ref="C103" authorId="3" shapeId="0">
      <text/>
    </comment>
    <comment ref="D103" authorId="3" shapeId="0">
      <text>
        <r>
          <rPr>
            <b/>
            <sz val="10"/>
            <color indexed="81"/>
            <rFont val="Tahoma"/>
            <family val="2"/>
          </rPr>
          <t>zue:</t>
        </r>
        <r>
          <rPr>
            <sz val="10"/>
            <color indexed="81"/>
            <rFont val="Tahoma"/>
            <family val="2"/>
          </rPr>
          <t xml:space="preserve">
MIschdünger</t>
        </r>
      </text>
    </comment>
    <comment ref="C104" authorId="2" shapeId="0">
      <text>
        <r>
          <rPr>
            <b/>
            <sz val="8"/>
            <color indexed="81"/>
            <rFont val="Tahoma"/>
            <family val="2"/>
          </rPr>
          <t>referent:</t>
        </r>
        <r>
          <rPr>
            <sz val="8"/>
            <color indexed="81"/>
            <rFont val="Tahoma"/>
            <family val="2"/>
          </rPr>
          <t xml:space="preserve">
Transportkosten</t>
        </r>
      </text>
    </comment>
    <comment ref="B108" authorId="2" shapeId="0">
      <text>
        <r>
          <rPr>
            <b/>
            <sz val="8"/>
            <color indexed="81"/>
            <rFont val="Tahoma"/>
            <family val="2"/>
          </rPr>
          <t>referent:</t>
        </r>
        <r>
          <rPr>
            <sz val="8"/>
            <color indexed="81"/>
            <rFont val="Tahoma"/>
            <family val="2"/>
          </rPr>
          <t xml:space="preserve">
Landor Stickstoff</t>
        </r>
      </text>
    </comment>
    <comment ref="C114" authorId="1" shapeId="0">
      <text>
        <r>
          <rPr>
            <b/>
            <sz val="8"/>
            <color indexed="81"/>
            <rFont val="Tahoma"/>
            <family val="2"/>
          </rPr>
          <t>FAW:</t>
        </r>
        <r>
          <rPr>
            <sz val="8"/>
            <color indexed="81"/>
            <rFont val="Tahoma"/>
            <family val="2"/>
          </rPr>
          <t xml:space="preserve">
Alle drei Jahre</t>
        </r>
      </text>
    </comment>
    <comment ref="D118" authorId="3" shapeId="0">
      <text>
        <r>
          <rPr>
            <b/>
            <sz val="10"/>
            <color indexed="81"/>
            <rFont val="Tahoma"/>
            <family val="2"/>
          </rPr>
          <t>zue:</t>
        </r>
        <r>
          <rPr>
            <sz val="10"/>
            <color indexed="81"/>
            <rFont val="Tahoma"/>
            <family val="2"/>
          </rPr>
          <t xml:space="preserve">
zue:
gemäss Landi Katalog 2004 pro ha mit Baumvolumen von 10000m2</t>
        </r>
      </text>
    </comment>
    <comment ref="A171" authorId="3" shapeId="0">
      <text>
        <r>
          <rPr>
            <b/>
            <sz val="10"/>
            <color indexed="81"/>
            <rFont val="Tahoma"/>
            <family val="2"/>
          </rPr>
          <t>zue:</t>
        </r>
        <r>
          <rPr>
            <sz val="10"/>
            <color indexed="81"/>
            <rFont val="Tahoma"/>
            <family val="2"/>
          </rPr>
          <t xml:space="preserve">
Auslastung gemäss FAT im Durchschnitt eher zu hoch, d.h Ansätze eher zu klein</t>
        </r>
      </text>
    </comment>
    <comment ref="I174" authorId="0" shapeId="0">
      <text>
        <r>
          <rPr>
            <b/>
            <sz val="8"/>
            <color indexed="81"/>
            <rFont val="Tahoma"/>
            <family val="2"/>
          </rPr>
          <t>zue:</t>
        </r>
        <r>
          <rPr>
            <sz val="8"/>
            <color indexed="81"/>
            <rFont val="Tahoma"/>
            <family val="2"/>
          </rPr>
          <t xml:space="preserve">
</t>
        </r>
        <r>
          <rPr>
            <sz val="10"/>
            <color indexed="81"/>
            <rFont val="Tahoma"/>
            <family val="2"/>
          </rPr>
          <t>Annahme: Der  Motor läuft   nur  ¼  der Einsatzzeit während der Ernte.</t>
        </r>
      </text>
    </comment>
    <comment ref="B178" authorId="2" shapeId="0">
      <text>
        <r>
          <rPr>
            <b/>
            <sz val="8"/>
            <color indexed="81"/>
            <rFont val="Tahoma"/>
            <family val="2"/>
          </rPr>
          <t>referent:</t>
        </r>
        <r>
          <rPr>
            <sz val="8"/>
            <color indexed="81"/>
            <rFont val="Tahoma"/>
            <family val="2"/>
          </rPr>
          <t xml:space="preserve">
Quelle: SOA</t>
        </r>
      </text>
    </comment>
    <comment ref="G180" authorId="4" shapeId="0">
      <text>
        <r>
          <rPr>
            <b/>
            <sz val="9"/>
            <color indexed="81"/>
            <rFont val="Tahoma"/>
            <family val="2"/>
          </rPr>
          <t>Adeline Kilchenmann:</t>
        </r>
        <r>
          <rPr>
            <sz val="9"/>
            <color indexed="81"/>
            <rFont val="Tahoma"/>
            <family val="2"/>
          </rPr>
          <t xml:space="preserve">
Tonnen</t>
        </r>
      </text>
    </comment>
    <comment ref="E181" authorId="0" shapeId="0">
      <text>
        <r>
          <rPr>
            <b/>
            <sz val="10"/>
            <color indexed="81"/>
            <rFont val="Tahoma"/>
            <family val="2"/>
          </rPr>
          <t>zue:</t>
        </r>
        <r>
          <rPr>
            <sz val="10"/>
            <color indexed="81"/>
            <rFont val="Tahoma"/>
            <family val="2"/>
          </rPr>
          <t xml:space="preserve">
1
 Pers pro Grosskiste</t>
        </r>
      </text>
    </comment>
    <comment ref="F181" authorId="3" shapeId="0">
      <text>
        <r>
          <rPr>
            <b/>
            <sz val="10"/>
            <color indexed="81"/>
            <rFont val="Tahoma"/>
            <family val="2"/>
          </rPr>
          <t>zue:</t>
        </r>
        <r>
          <rPr>
            <sz val="10"/>
            <color indexed="81"/>
            <rFont val="Tahoma"/>
            <family val="2"/>
          </rPr>
          <t xml:space="preserve">
pro Fuder</t>
        </r>
      </text>
    </comment>
    <comment ref="D187" authorId="5" shapeId="0">
      <text>
        <r>
          <rPr>
            <b/>
            <sz val="9"/>
            <color indexed="81"/>
            <rFont val="Segoe UI"/>
            <family val="2"/>
          </rPr>
          <t>Bravin Esther:</t>
        </r>
        <r>
          <rPr>
            <sz val="9"/>
            <color indexed="81"/>
            <rFont val="Segoe UI"/>
            <family val="2"/>
          </rPr>
          <t xml:space="preserve">
Fr./h
</t>
        </r>
      </text>
    </comment>
    <comment ref="C192" authorId="6" shapeId="0">
      <text>
        <r>
          <rPr>
            <b/>
            <sz val="8"/>
            <color indexed="81"/>
            <rFont val="Tahoma"/>
            <family val="2"/>
          </rPr>
          <t>zue:</t>
        </r>
        <r>
          <rPr>
            <sz val="8"/>
            <color indexed="81"/>
            <rFont val="Tahoma"/>
            <family val="2"/>
          </rPr>
          <t xml:space="preserve">
Annahme gemäss LBL DB Katalog div. Jahre</t>
        </r>
      </text>
    </comment>
    <comment ref="C193" authorId="1" shapeId="0">
      <text>
        <r>
          <rPr>
            <sz val="8"/>
            <color indexed="81"/>
            <rFont val="Tahoma"/>
            <family val="2"/>
          </rPr>
          <t>gemäss Anbauempfehlung für die Obstregion NO-CH 2007</t>
        </r>
      </text>
    </comment>
    <comment ref="C194" authorId="6" shapeId="0">
      <text>
        <r>
          <rPr>
            <b/>
            <sz val="8"/>
            <color indexed="81"/>
            <rFont val="Tahoma"/>
            <family val="2"/>
          </rPr>
          <t>zue:</t>
        </r>
        <r>
          <rPr>
            <sz val="8"/>
            <color indexed="81"/>
            <rFont val="Tahoma"/>
            <family val="2"/>
          </rPr>
          <t xml:space="preserve">
Annahme gemäss LBL DB-Katalog </t>
        </r>
      </text>
    </comment>
    <comment ref="C200" authorId="0" shapeId="0">
      <text>
        <r>
          <rPr>
            <b/>
            <sz val="8"/>
            <color indexed="81"/>
            <rFont val="Tahoma"/>
            <family val="2"/>
          </rPr>
          <t>zue:
gilt für 1 ha Obstbau</t>
        </r>
      </text>
    </comment>
    <comment ref="D212" authorId="0" shapeId="0">
      <text>
        <r>
          <rPr>
            <sz val="10"/>
            <color indexed="81"/>
            <rFont val="Tahoma"/>
            <family val="2"/>
          </rPr>
          <t>Ursus Knotengitter schwer (Hortima)
Typ 11/120 (Abstände der Querdrähte 15cm)
Preis: 8.10 Fr. per lm
Ab 2000 Fr.  gibt es 15% Rabatt
Variante
Ursus Knotengitter leicht,Typ 23/160 
Preis: 7.45 Fr. per lm</t>
        </r>
      </text>
    </comment>
    <comment ref="B213" authorId="1" shapeId="0">
      <text>
        <r>
          <rPr>
            <sz val="9"/>
            <color indexed="81"/>
            <rFont val="Tahoma"/>
            <family val="2"/>
          </rPr>
          <t>200cm Länge, 7x7 cm Dimension; nur oben gefasst</t>
        </r>
      </text>
    </comment>
    <comment ref="D213" authorId="1" shapeId="0">
      <text>
        <r>
          <rPr>
            <sz val="9"/>
            <color indexed="81"/>
            <rFont val="Tahoma"/>
            <family val="2"/>
          </rPr>
          <t>ab 600 Fr. 6% Rabatt, urspr. Stückpreis war 10.20 Fr.</t>
        </r>
      </text>
    </comment>
    <comment ref="B214" authorId="1" shapeId="0">
      <text>
        <r>
          <rPr>
            <sz val="9"/>
            <color indexed="81"/>
            <rFont val="Tahoma"/>
            <family val="2"/>
          </rPr>
          <t>225 cm lang; 8x8cm Dimension, nur oben gefasst</t>
        </r>
      </text>
    </comment>
    <comment ref="D214" authorId="1" shapeId="0">
      <text>
        <r>
          <rPr>
            <sz val="9"/>
            <color indexed="81"/>
            <rFont val="Tahoma"/>
            <family val="2"/>
          </rPr>
          <t>es werden 21 Pfähle gekauft da es dann Rabatt von 3% gibt (ab 300 Fr.), urspr. Stückpreis 15.95</t>
        </r>
      </text>
    </comment>
    <comment ref="B215" authorId="1" shapeId="0">
      <text>
        <r>
          <rPr>
            <sz val="9"/>
            <color indexed="81"/>
            <rFont val="Tahoma"/>
            <family val="2"/>
          </rPr>
          <t>225 cm lang; 8x10cm Dimension, nur oben gefasst; für die Befestigung der Tore gebraucht</t>
        </r>
      </text>
    </comment>
    <comment ref="D216" authorId="1" shapeId="0">
      <text>
        <r>
          <rPr>
            <sz val="9"/>
            <color indexed="81"/>
            <rFont val="Tahoma"/>
            <family val="2"/>
          </rPr>
          <t>je nach Schiebetor etwas billiger/teurer.
Angaben von Durchschnittspreis von Roland Rot</t>
        </r>
      </text>
    </comment>
    <comment ref="B217" authorId="1" shapeId="0">
      <text>
        <r>
          <rPr>
            <sz val="9"/>
            <color indexed="81"/>
            <rFont val="Tahoma"/>
            <family val="2"/>
          </rPr>
          <t>Eisendraht stark verzinkt, 3mm Durchmesser, ca 18m per kg</t>
        </r>
      </text>
    </comment>
    <comment ref="B218" authorId="1" shapeId="0">
      <text>
        <r>
          <rPr>
            <sz val="10"/>
            <color indexed="81"/>
            <rFont val="Tahoma"/>
            <family val="2"/>
          </rPr>
          <t>verzinkt, 4.0/ 40mm , 150 Stk./kg
Pro Pfahl 4 x Agraffen=400</t>
        </r>
      </text>
    </comment>
    <comment ref="D219" authorId="3" shapeId="0">
      <text>
        <r>
          <rPr>
            <b/>
            <sz val="10"/>
            <color indexed="81"/>
            <rFont val="Tahoma"/>
            <family val="2"/>
          </rPr>
          <t>zue:</t>
        </r>
        <r>
          <rPr>
            <sz val="10"/>
            <color indexed="81"/>
            <rFont val="Tahoma"/>
            <family val="2"/>
          </rPr>
          <t xml:space="preserve">
gerundeter Erfahrungswert</t>
        </r>
      </text>
    </comment>
    <comment ref="B222" authorId="1" shapeId="0">
      <text>
        <r>
          <rPr>
            <b/>
            <sz val="8"/>
            <color indexed="81"/>
            <rFont val="Tahoma"/>
            <family val="2"/>
          </rPr>
          <t>FAW:</t>
        </r>
        <r>
          <rPr>
            <sz val="8"/>
            <color indexed="81"/>
            <rFont val="Tahoma"/>
            <family val="2"/>
          </rPr>
          <t xml:space="preserve">
Copyright: Topcat GmbH, L'Auberson, Dezember 2007</t>
        </r>
      </text>
    </comment>
    <comment ref="C228" authorId="1" shapeId="0">
      <text>
        <r>
          <rPr>
            <b/>
            <sz val="8"/>
            <color indexed="81"/>
            <rFont val="Tahoma"/>
            <family val="2"/>
          </rPr>
          <t>FAW:</t>
        </r>
        <r>
          <rPr>
            <sz val="8"/>
            <color indexed="81"/>
            <rFont val="Tahoma"/>
            <family val="2"/>
          </rPr>
          <t xml:space="preserve">
70 Stunden plus 10 Stunden für Mäuse einzeunung (ein Tag nach Topcat Gmbh, aufgerundet)</t>
        </r>
      </text>
    </comment>
    <comment ref="C242" authorId="1" shapeId="0">
      <text>
        <r>
          <rPr>
            <b/>
            <sz val="8"/>
            <color indexed="81"/>
            <rFont val="Tahoma"/>
            <family val="2"/>
          </rPr>
          <t>FAW:</t>
        </r>
        <r>
          <rPr>
            <sz val="8"/>
            <color indexed="81"/>
            <rFont val="Tahoma"/>
            <family val="2"/>
          </rPr>
          <t xml:space="preserve">
m^2</t>
        </r>
      </text>
    </comment>
    <comment ref="D242" authorId="1" shapeId="0">
      <text>
        <r>
          <rPr>
            <b/>
            <sz val="8"/>
            <color indexed="81"/>
            <rFont val="Tahoma"/>
            <family val="2"/>
          </rPr>
          <t>FAW:</t>
        </r>
        <r>
          <rPr>
            <sz val="8"/>
            <color indexed="81"/>
            <rFont val="Tahoma"/>
            <family val="2"/>
          </rPr>
          <t xml:space="preserve">
Fr/m^3</t>
        </r>
      </text>
    </comment>
    <comment ref="C245" authorId="1" shapeId="0">
      <text>
        <r>
          <rPr>
            <b/>
            <sz val="8"/>
            <color indexed="81"/>
            <rFont val="Tahoma"/>
            <family val="2"/>
          </rPr>
          <t>FAW:</t>
        </r>
        <r>
          <rPr>
            <sz val="8"/>
            <color indexed="81"/>
            <rFont val="Tahoma"/>
            <family val="2"/>
          </rPr>
          <t xml:space="preserve">
Wenn Hagelnetz = ja und Bewässerung = Ja --&gt; dann = 2</t>
        </r>
      </text>
    </comment>
  </commentList>
</comments>
</file>

<file path=xl/comments9.xml><?xml version="1.0" encoding="utf-8"?>
<comments xmlns="http://schemas.openxmlformats.org/spreadsheetml/2006/main">
  <authors>
    <author>zue</author>
  </authors>
  <commentList>
    <comment ref="C46" authorId="0" shapeId="0">
      <text>
        <r>
          <rPr>
            <b/>
            <sz val="10"/>
            <color indexed="81"/>
            <rFont val="Tahoma"/>
            <family val="2"/>
          </rPr>
          <t>zue:</t>
        </r>
        <r>
          <rPr>
            <sz val="10"/>
            <color indexed="81"/>
            <rFont val="Tahoma"/>
            <family val="2"/>
          </rPr>
          <t xml:space="preserve">
Annahme: Hagelnetz  steht zuerst, desshalb nur 50% der Zeit ohne Hagelnetz</t>
        </r>
      </text>
    </comment>
  </commentList>
</comments>
</file>

<file path=xl/sharedStrings.xml><?xml version="1.0" encoding="utf-8"?>
<sst xmlns="http://schemas.openxmlformats.org/spreadsheetml/2006/main" count="3786" uniqueCount="693">
  <si>
    <t>Länge</t>
  </si>
  <si>
    <t>Breite</t>
  </si>
  <si>
    <t>berechnet</t>
  </si>
  <si>
    <t>Spindel</t>
  </si>
  <si>
    <t>Gassenbreite</t>
  </si>
  <si>
    <t>Baumabstand</t>
  </si>
  <si>
    <t>Anzahl Reihen</t>
  </si>
  <si>
    <t>Bäume pro ha</t>
  </si>
  <si>
    <t>Pflanzgut</t>
  </si>
  <si>
    <t>Baumpreis</t>
  </si>
  <si>
    <t>Zinssatz</t>
  </si>
  <si>
    <t>Anzahl</t>
  </si>
  <si>
    <t>Stückpreis</t>
  </si>
  <si>
    <t>Kosten</t>
  </si>
  <si>
    <t>Einzäunung</t>
  </si>
  <si>
    <t>Tore</t>
  </si>
  <si>
    <t>Kant. Beitrag (Gemeinde, Jagdkasse)</t>
  </si>
  <si>
    <t>Verschiedenes</t>
  </si>
  <si>
    <t>Bodenanalyse</t>
  </si>
  <si>
    <t xml:space="preserve">Total direkte Kosten </t>
  </si>
  <si>
    <t>Zkh/ha</t>
  </si>
  <si>
    <t>Fr./h</t>
  </si>
  <si>
    <t>Fr./ha</t>
  </si>
  <si>
    <t>Maschinen</t>
  </si>
  <si>
    <t>Zugkraft</t>
  </si>
  <si>
    <t>Kleingeräte</t>
  </si>
  <si>
    <t>Total Maschinen und Zugkraftkosten</t>
  </si>
  <si>
    <t>Akh/ha</t>
  </si>
  <si>
    <t>Arbeit</t>
  </si>
  <si>
    <t>Düngung</t>
  </si>
  <si>
    <t>Bodenprobe</t>
  </si>
  <si>
    <t>Ausmessen</t>
  </si>
  <si>
    <t>Pflanzung inkl. Anbinden</t>
  </si>
  <si>
    <t>Einzäunung erstellen</t>
  </si>
  <si>
    <t>Einsaat</t>
  </si>
  <si>
    <t>Total Strukturkosten</t>
  </si>
  <si>
    <t>kg / ha</t>
  </si>
  <si>
    <t>kg / B.</t>
  </si>
  <si>
    <t>Anzahl Bäume pro ha</t>
  </si>
  <si>
    <t>1. Standjahr</t>
  </si>
  <si>
    <t>2. Standjahr</t>
  </si>
  <si>
    <t>3. Standjahr</t>
  </si>
  <si>
    <t>4. Standjahr</t>
  </si>
  <si>
    <t>5. Standjahr</t>
  </si>
  <si>
    <t>6. Standjahr</t>
  </si>
  <si>
    <t>7. Standjahr</t>
  </si>
  <si>
    <t>8. Standjahr</t>
  </si>
  <si>
    <t>9. Standjahr</t>
  </si>
  <si>
    <t>10. Standjahr</t>
  </si>
  <si>
    <t>11. Standjahr</t>
  </si>
  <si>
    <t>12. Standjahr</t>
  </si>
  <si>
    <t>13. Standjahr</t>
  </si>
  <si>
    <t>14. Standjahr</t>
  </si>
  <si>
    <t>15. Standjahr</t>
  </si>
  <si>
    <t>kg/B.</t>
  </si>
  <si>
    <t>kg/ha</t>
  </si>
  <si>
    <t>Preis pro Einh.</t>
  </si>
  <si>
    <t>%</t>
  </si>
  <si>
    <t>pro 100 kg</t>
  </si>
  <si>
    <t>Fläche</t>
  </si>
  <si>
    <t>Fr./h, Fr./ha</t>
  </si>
  <si>
    <t>Schnittholzhacker</t>
  </si>
  <si>
    <t>Arbeiten</t>
  </si>
  <si>
    <t>für Boden</t>
  </si>
  <si>
    <t>Zeitwert</t>
  </si>
  <si>
    <t>Spritzbalken für Herbizid</t>
  </si>
  <si>
    <t xml:space="preserve">Zins </t>
  </si>
  <si>
    <t>Produktionskosten ohne Arbeitskosten</t>
  </si>
  <si>
    <t>Anteil PK</t>
  </si>
  <si>
    <t>Standard</t>
  </si>
  <si>
    <t>kg/Baum</t>
  </si>
  <si>
    <t>Erstellungsjahr</t>
  </si>
  <si>
    <t>1. Sandjahr</t>
  </si>
  <si>
    <t>Aufbauphase</t>
  </si>
  <si>
    <t>Arbeitseinkommen / Akh</t>
  </si>
  <si>
    <t>Akh / ha</t>
  </si>
  <si>
    <t>h</t>
  </si>
  <si>
    <t>Total Standdauer</t>
  </si>
  <si>
    <t>Ertragsphase</t>
  </si>
  <si>
    <t>mit Direktzahlungen</t>
  </si>
  <si>
    <t>Gebindekosten</t>
  </si>
  <si>
    <t xml:space="preserve">Lohnkosten brutto    </t>
  </si>
  <si>
    <t>Total</t>
  </si>
  <si>
    <t>Arbeitseinkommen  intern pro Akh</t>
  </si>
  <si>
    <t xml:space="preserve">                                                        Akh extern total</t>
  </si>
  <si>
    <t>Erstellung</t>
  </si>
  <si>
    <t>Traktor 2-Rad 50 kW</t>
  </si>
  <si>
    <t>Sämaschine 3 m</t>
  </si>
  <si>
    <t>Düngerstreuer Einkasten 2.5 m</t>
  </si>
  <si>
    <t>Pneuwagen 2achsig, 3 t</t>
  </si>
  <si>
    <t>Bewirtschaftung Obstanlage</t>
  </si>
  <si>
    <t xml:space="preserve">Knotengitter </t>
  </si>
  <si>
    <t>Agraffen</t>
  </si>
  <si>
    <t>Total Zaunkosten</t>
  </si>
  <si>
    <t>Diverses Material und Kleingeräte</t>
  </si>
  <si>
    <t>Verwaltung + übrige Arbeiten</t>
  </si>
  <si>
    <t>Mulchen und Schnittholz hacken</t>
  </si>
  <si>
    <t>Speziell für Erstellung</t>
  </si>
  <si>
    <t>Maschinen und Geräte</t>
  </si>
  <si>
    <t>1. Stj.</t>
  </si>
  <si>
    <t>2. Stj.</t>
  </si>
  <si>
    <t>3. Stj.</t>
  </si>
  <si>
    <t>Pflanzenbehandlungsmittel</t>
  </si>
  <si>
    <t xml:space="preserve"> Fungizide</t>
  </si>
  <si>
    <t>Geräte</t>
  </si>
  <si>
    <t>Zkh/Durchgang</t>
  </si>
  <si>
    <t>Fr./Durchgang</t>
  </si>
  <si>
    <t>Total Gerätestunden</t>
  </si>
  <si>
    <t>Traktor für Ernte</t>
  </si>
  <si>
    <t xml:space="preserve">Variante </t>
  </si>
  <si>
    <t>intern (Familie)</t>
  </si>
  <si>
    <t>+/-</t>
  </si>
  <si>
    <t xml:space="preserve"> +/-</t>
  </si>
  <si>
    <t>Betriebsminimum</t>
  </si>
  <si>
    <t>Baumpreis inkl. Lizenz</t>
  </si>
  <si>
    <t>externe Arbeitskräfte</t>
  </si>
  <si>
    <t>Bäume / ha</t>
  </si>
  <si>
    <t>Systembeschreibung</t>
  </si>
  <si>
    <r>
      <t>Rodekosten</t>
    </r>
    <r>
      <rPr>
        <sz val="10"/>
        <rFont val="Arial"/>
        <family val="2"/>
      </rPr>
      <t xml:space="preserve"> (Arbeit + Maschinen)</t>
    </r>
  </si>
  <si>
    <t>Obstart</t>
  </si>
  <si>
    <t>Produktionsweise</t>
  </si>
  <si>
    <t>Erziehungsform</t>
  </si>
  <si>
    <t>Geometrische Daten</t>
  </si>
  <si>
    <t>Pflanzenschutzkontrolle</t>
  </si>
  <si>
    <t>Mausen</t>
  </si>
  <si>
    <t>Akh</t>
  </si>
  <si>
    <t>Verwaltung</t>
  </si>
  <si>
    <t>übrige Arbeiten</t>
  </si>
  <si>
    <t xml:space="preserve">2. Stj. </t>
  </si>
  <si>
    <t>wie Ertragsphase</t>
  </si>
  <si>
    <t>Rodungskosten</t>
  </si>
  <si>
    <t>Rodekostenanteil abgezinst</t>
  </si>
  <si>
    <t>Arbeitsproduktivität</t>
  </si>
  <si>
    <t>Rentabilität</t>
  </si>
  <si>
    <t>Qualität und Ernteleistung</t>
  </si>
  <si>
    <t>Standjahr</t>
  </si>
  <si>
    <t>pro ha</t>
  </si>
  <si>
    <t>l,kg pro ha</t>
  </si>
  <si>
    <t>Akarizide</t>
  </si>
  <si>
    <t>ab 3. Standjahr wie Ertragsphase</t>
  </si>
  <si>
    <t>Anzahl Tankmischungen (ohne Herbizide)</t>
  </si>
  <si>
    <t>Anzahl Tankmischungen</t>
  </si>
  <si>
    <t>Anzahl Fahrten</t>
  </si>
  <si>
    <t>Zins für Boden</t>
  </si>
  <si>
    <t>Baumgerüst</t>
  </si>
  <si>
    <t>Diverses (z.B. Telefon, Transport, Bindematerial)</t>
  </si>
  <si>
    <t>Baumpfahl stellen</t>
  </si>
  <si>
    <t>Erwirtschaftetes Kapital nach 16 Jahren</t>
  </si>
  <si>
    <t xml:space="preserve"> Akh gesamt pro ha </t>
  </si>
  <si>
    <t xml:space="preserve"> Akh  intern</t>
  </si>
  <si>
    <t>Faktor für mittleren Zins</t>
  </si>
  <si>
    <t>Pflanzenschutz inkl. Kontrolle und Mausen</t>
  </si>
  <si>
    <t>3. Stj. und folgende</t>
  </si>
  <si>
    <t>Annahme: alles eigene Maschinen: fixe Kosten + var. Kosten = Mietansätze - 10 %</t>
  </si>
  <si>
    <t>für aktuelle Investition</t>
  </si>
  <si>
    <t>Definition Standard:</t>
  </si>
  <si>
    <t>Fr./kg</t>
  </si>
  <si>
    <t>Brutto</t>
  </si>
  <si>
    <t>Netto</t>
  </si>
  <si>
    <t>Wendezone</t>
  </si>
  <si>
    <t>Sorte und Unterlage</t>
  </si>
  <si>
    <t>1j.V., Anbauvertrag</t>
  </si>
  <si>
    <t>Telleranker</t>
  </si>
  <si>
    <t xml:space="preserve">Spanndraht 3 mm </t>
  </si>
  <si>
    <t xml:space="preserve">Agraffen </t>
  </si>
  <si>
    <t>Klemmfix</t>
  </si>
  <si>
    <t>Pflug 2scharig</t>
  </si>
  <si>
    <t>Pflügen</t>
  </si>
  <si>
    <t>Eggen</t>
  </si>
  <si>
    <t>Sortierkategorien</t>
  </si>
  <si>
    <t>Behangsregulierung (von Hand)</t>
  </si>
  <si>
    <t>Deckungsgrad</t>
  </si>
  <si>
    <t>Fr./Jahr</t>
  </si>
  <si>
    <t>Ersatzmaterial</t>
  </si>
  <si>
    <t>Büromaterial</t>
  </si>
  <si>
    <t>Diverse Kosten</t>
  </si>
  <si>
    <t>Anteil externe Akh für Ernte und Ausdünnen</t>
  </si>
  <si>
    <t>kg Tafelfrüchte pro Arbeitskraftstunde</t>
  </si>
  <si>
    <t>Lieferort:</t>
  </si>
  <si>
    <t>Genossenschaft, Grosshandel</t>
  </si>
  <si>
    <t>Abschreibungsdauer</t>
  </si>
  <si>
    <t>Gebäude</t>
  </si>
  <si>
    <t>Sortierraum</t>
  </si>
  <si>
    <t>Fr./m²</t>
  </si>
  <si>
    <t>m2 / Jahr</t>
  </si>
  <si>
    <t>Materiallager (für PBM, Dünger, Gebinde, Ersatzmaterial, usw.)</t>
  </si>
  <si>
    <t>Gliederung nach Kostenarten</t>
  </si>
  <si>
    <t>Sachkosten</t>
  </si>
  <si>
    <t>Arbeitskosten</t>
  </si>
  <si>
    <t>Kapitalkosten</t>
  </si>
  <si>
    <t>Anteil an PK</t>
  </si>
  <si>
    <t>Gliederung nach buchhalterischer Konvention</t>
  </si>
  <si>
    <t>Kostengliederung</t>
  </si>
  <si>
    <t xml:space="preserve">für Investition Obstanlage </t>
  </si>
  <si>
    <t xml:space="preserve">Abschreibung Obstanlage </t>
  </si>
  <si>
    <t>Gliederung nach Sachkosten</t>
  </si>
  <si>
    <t>Summe Aufbauphase</t>
  </si>
  <si>
    <t>Summe ganze Standdauer</t>
  </si>
  <si>
    <t>Durchschnitt Ertragsphase</t>
  </si>
  <si>
    <t>Durchschnitt ganze Standdauer</t>
  </si>
  <si>
    <t>Erntewagen 4 Grosskisten</t>
  </si>
  <si>
    <t>Auslastung bei Ernte</t>
  </si>
  <si>
    <t>plus chemisch</t>
  </si>
  <si>
    <t>Sortierkosten</t>
  </si>
  <si>
    <t>Fixe Installationen</t>
  </si>
  <si>
    <t>Theoretische SOLL Fläche</t>
  </si>
  <si>
    <t>Variante</t>
  </si>
  <si>
    <t>Abgang</t>
  </si>
  <si>
    <t>Ernte ab Baum</t>
  </si>
  <si>
    <t>Zeitgemässe Tafelapfelanlage auf schwachwachsender Unterlage. Werte sind ausgelegt auf gemischtwirtschaftliche Betriebe mit 2 - 5 ha Obstfläche, an geeigneten Standort in einem der Hauptproduktionsgebiete der Schweiz.</t>
  </si>
  <si>
    <t xml:space="preserve">Eigenkapitalsrente (kalk. Gewinn + Zinsanspruch) pro investiertem Kapital </t>
  </si>
  <si>
    <t>Vergleichbarer Deckungsbeitrag</t>
  </si>
  <si>
    <t>ohne Direktzahlungen</t>
  </si>
  <si>
    <t xml:space="preserve">Total Direktkosten </t>
  </si>
  <si>
    <t>Total Direktkosten</t>
  </si>
  <si>
    <t>Leistung</t>
  </si>
  <si>
    <t>Arbeitseinkommen (Leistung - Prod.ko ohne Arbeitskosten)</t>
  </si>
  <si>
    <t>Leistung pro Akh</t>
  </si>
  <si>
    <t>Produktionskosten</t>
  </si>
  <si>
    <t>Produktionskosten pro ha</t>
  </si>
  <si>
    <t>Arbeitseinkommen durchschnittlich pro Akh</t>
  </si>
  <si>
    <t>Cashflow</t>
  </si>
  <si>
    <t>Gesamt-Cashflow nach 1. Stj.</t>
  </si>
  <si>
    <t>Gesamt-Cashflow nach 2. Stj.</t>
  </si>
  <si>
    <t>Gesamt-Cashflow nach 3. Stj.</t>
  </si>
  <si>
    <t>Gesamt-Cashflow nach 4. Stj.</t>
  </si>
  <si>
    <t>Gesamt-Cashflow nach 5. Stj.</t>
  </si>
  <si>
    <t>Gesamt-Cashflow nach 6. Stj.</t>
  </si>
  <si>
    <t>Gesamt-Cashflow nach 7. Stj.</t>
  </si>
  <si>
    <t>Gesamt-Cashflow nach 8. Stj.</t>
  </si>
  <si>
    <t>Gesamt-Cashflow nach 9. Stj.</t>
  </si>
  <si>
    <t>Gesamt-Cashflow nach 10. Stj.</t>
  </si>
  <si>
    <t>Gesamt-Cashflow nach 11. Stj.</t>
  </si>
  <si>
    <t>Gesamt-Cashflow nach 12. Stj.</t>
  </si>
  <si>
    <t>Gesamt-Cashflow nach 13. Stj.</t>
  </si>
  <si>
    <t>Gesamt-Cashflow nach 14. Stj.</t>
  </si>
  <si>
    <t>Gesamt-Cashflow nach 15. Stj.</t>
  </si>
  <si>
    <t>Produktionskosten ohne Abschreibung 2. Stj.</t>
  </si>
  <si>
    <t>Produktionskosten ohne Abschreibung 3. Stj.</t>
  </si>
  <si>
    <t>Produktionskosten ohne Abschreibung 4. Stj.</t>
  </si>
  <si>
    <t>Produktionskosten ohne Abschreibung 5. Stj.</t>
  </si>
  <si>
    <t>Produktionskosten ohne Abschreibung 6. Stj.</t>
  </si>
  <si>
    <t>Produktionskosten ohne Abschreibung 7. Stj.</t>
  </si>
  <si>
    <t>Produktionskosten ohne Abschreibung 8. Stj.</t>
  </si>
  <si>
    <t>Produktionskosten ohne Abschreibung 9. Stj.</t>
  </si>
  <si>
    <t>Produktionskosten ohne Abschreibung 10. Stj.</t>
  </si>
  <si>
    <t>Produktionskosten ohne Abschreibung 11. Stj.</t>
  </si>
  <si>
    <t>Produktionskosten ohne Abschreibung 12. Stj.</t>
  </si>
  <si>
    <t>Produktionskosten ohne Abschreibung 13. Stj.</t>
  </si>
  <si>
    <t>Produktionskosten ohne Abschreibung 14. Stj.</t>
  </si>
  <si>
    <t>Produktionskosten ohne Abschreibung 15. Stj.</t>
  </si>
  <si>
    <t>Produktionskosten ohne Abschreibung 1. Stj.</t>
  </si>
  <si>
    <t>Erlös Kl. I</t>
  </si>
  <si>
    <t>Erlös Mostobst</t>
  </si>
  <si>
    <t>Direktzahlungen</t>
  </si>
  <si>
    <t>Produktionskosten      Klasse I</t>
  </si>
  <si>
    <t>Abschreibung Obstanlage</t>
  </si>
  <si>
    <t>Zinsanspruch pro Jahr</t>
  </si>
  <si>
    <t>Kalkulat. Gewinn</t>
  </si>
  <si>
    <t>Direktkosten</t>
  </si>
  <si>
    <t>Strukturkosten</t>
  </si>
  <si>
    <t>Lohnkosten extern</t>
  </si>
  <si>
    <t xml:space="preserve"> Akh gesamt nur Ernte</t>
  </si>
  <si>
    <t xml:space="preserve"> Anteil Akh gesamt für Ernte</t>
  </si>
  <si>
    <t>Akh externe Arbeitskräfte</t>
  </si>
  <si>
    <t xml:space="preserve">Arbeitseinkommen pro Akh          </t>
  </si>
  <si>
    <t>Anteil externe Akh für Ernte und Handausdünnen</t>
  </si>
  <si>
    <t>Arbeitseinkommen   intern</t>
  </si>
  <si>
    <t xml:space="preserve">Maschinenkosten  </t>
  </si>
  <si>
    <t>Düngerkosten</t>
  </si>
  <si>
    <r>
      <t xml:space="preserve">Gesamtinvestition </t>
    </r>
    <r>
      <rPr>
        <sz val="12"/>
        <rFont val="Arial"/>
        <family val="2"/>
      </rPr>
      <t>(GesamtCashflow am Ende der Aufbauphase = Basis für die Abschreibung)</t>
    </r>
  </si>
  <si>
    <r>
      <t>Erstellungskosten</t>
    </r>
    <r>
      <rPr>
        <sz val="12"/>
        <rFont val="Arial"/>
        <family val="2"/>
      </rPr>
      <t xml:space="preserve"> </t>
    </r>
  </si>
  <si>
    <t>Produktionskosten-  / Leistungsvergleich</t>
  </si>
  <si>
    <t>Tafelapfel</t>
  </si>
  <si>
    <t>als Leistung / Akh gesamt</t>
  </si>
  <si>
    <t>Gliederung Kapitalkosten</t>
  </si>
  <si>
    <t>Material</t>
  </si>
  <si>
    <t>Zusammenfassung</t>
  </si>
  <si>
    <t>übrige Produktionskosten</t>
  </si>
  <si>
    <t>Kapitalkosten (Zinsanspruch)</t>
  </si>
  <si>
    <t>Baumgerüst erstellen</t>
  </si>
  <si>
    <t>Was kostet die Ernte?</t>
  </si>
  <si>
    <t>Was kostet der Pflanzenschutz?</t>
  </si>
  <si>
    <t>Total Pflanzenschutz</t>
  </si>
  <si>
    <t>Total Ernte</t>
  </si>
  <si>
    <t>Baumerziehung</t>
  </si>
  <si>
    <t>Behangsregulierung</t>
  </si>
  <si>
    <t>übrige Kosten</t>
  </si>
  <si>
    <r>
      <t xml:space="preserve">Pflanzenschutz </t>
    </r>
    <r>
      <rPr>
        <sz val="10"/>
        <rFont val="Arial"/>
        <family val="2"/>
      </rPr>
      <t>(Material, Maschinen, Arbeit&gt;)</t>
    </r>
  </si>
  <si>
    <t xml:space="preserve"> </t>
  </si>
  <si>
    <t>Behangsregulierung von Hand</t>
  </si>
  <si>
    <t xml:space="preserve">Produktionskosten durchschnitt.  </t>
  </si>
  <si>
    <t>Anteil Sachkosten</t>
  </si>
  <si>
    <t>Produktionskosten     pro ha</t>
  </si>
  <si>
    <t>Anteil an Ernte</t>
  </si>
  <si>
    <t>Produktionskosten pro kg (leistungsgewichtet)</t>
  </si>
  <si>
    <t>Anzahl Durchfahrten</t>
  </si>
  <si>
    <t>Anzahl Mittel</t>
  </si>
  <si>
    <t>Fungizide</t>
  </si>
  <si>
    <t>Insektizide</t>
  </si>
  <si>
    <t>Herbizide</t>
  </si>
  <si>
    <t>Arbeitseinkommen   durchschnitt.</t>
  </si>
  <si>
    <t>Geldflussrechnung</t>
  </si>
  <si>
    <t>Anteil Arbeitskosten</t>
  </si>
  <si>
    <t>Basis: Gesamtcashflow Ende    3. Standjahr</t>
  </si>
  <si>
    <t>Gesamt-Cashflow (Kapitalfluss)</t>
  </si>
  <si>
    <t>Stützpfahl je B.</t>
  </si>
  <si>
    <t>Notizen:</t>
  </si>
  <si>
    <t xml:space="preserve">Standard Vorgaben </t>
  </si>
  <si>
    <t xml:space="preserve">PS-mittel: Fast alle Werte aktualisiert und mit Quelle bezeichnet: Aktualiserte Werte mit ...2000 bezeichnet  </t>
  </si>
  <si>
    <t>Bei den Erntewagen Ansätze pro Fuder verwendet.</t>
  </si>
  <si>
    <t>Maschinen: fast alle Maschinen mit den FAT-Ansätzen 2001 aktualisiert</t>
  </si>
  <si>
    <t xml:space="preserve">Noch zu erledigen: </t>
  </si>
  <si>
    <t>Hubstapler ist in Ertragsphase nicht berechnet (eine neuen Zeile einsetzen in ertrags und Standjahreblatt)</t>
  </si>
  <si>
    <t>Alle Werte mit der Rundungsfunktion ergänzt ausser fixe und variable Kosten der Maschinen</t>
  </si>
  <si>
    <t xml:space="preserve">Variante Vorgaben </t>
  </si>
  <si>
    <t>Erstellungskostenfelder mit den Standard Vorgaben verbunden</t>
  </si>
  <si>
    <t>Erstellungskostenfelder mit den Varianten Vorgaben verbunden</t>
  </si>
  <si>
    <t>alle Felder mit den Standard Vorgaben verknüpft</t>
  </si>
  <si>
    <t>Dünger: Ammonsalpeter- und Arbellinpreise aktualisiert LBL 2000</t>
  </si>
  <si>
    <t xml:space="preserve">2x Feld bei Düngerstreuer </t>
  </si>
  <si>
    <t>Schnittholzhackerfeld</t>
  </si>
  <si>
    <t>Erstellungskosten:</t>
  </si>
  <si>
    <t>Standardwerte</t>
  </si>
  <si>
    <t>PSM - Kosten</t>
  </si>
  <si>
    <r>
      <t xml:space="preserve">Kennzahlenübersicht   </t>
    </r>
    <r>
      <rPr>
        <sz val="18"/>
        <rFont val="Arial"/>
        <family val="2"/>
      </rPr>
      <t>pro Ertragsjahr</t>
    </r>
  </si>
  <si>
    <r>
      <t>Leistung</t>
    </r>
    <r>
      <rPr>
        <sz val="14"/>
        <rFont val="Arial"/>
        <family val="2"/>
      </rPr>
      <t xml:space="preserve"> (Gesamterlös)</t>
    </r>
  </si>
  <si>
    <r>
      <t>Vergleichbarer Deckungsbeitrag</t>
    </r>
    <r>
      <rPr>
        <sz val="10"/>
        <rFont val="Arial"/>
        <family val="2"/>
      </rPr>
      <t xml:space="preserve">       (früher DfE)</t>
    </r>
  </si>
  <si>
    <r>
      <t>Arbeitseinkommen</t>
    </r>
    <r>
      <rPr>
        <sz val="12"/>
        <rFont val="Arial"/>
        <family val="2"/>
      </rPr>
      <t xml:space="preserve"> = Leistung - Produktionskosten ohne Arbeit</t>
    </r>
  </si>
  <si>
    <r>
      <t>Arbeitseinkommen</t>
    </r>
    <r>
      <rPr>
        <sz val="12"/>
        <rFont val="Arial"/>
        <family val="2"/>
      </rPr>
      <t xml:space="preserve"> </t>
    </r>
    <r>
      <rPr>
        <b/>
        <sz val="12"/>
        <rFont val="Arial"/>
        <family val="2"/>
      </rPr>
      <t xml:space="preserve">intern </t>
    </r>
    <r>
      <rPr>
        <sz val="12"/>
        <rFont val="Arial"/>
        <family val="2"/>
      </rPr>
      <t>= Arbeitseinkommen - Lohnkosten extern</t>
    </r>
  </si>
  <si>
    <r>
      <t>Betriebsminimum</t>
    </r>
    <r>
      <rPr>
        <b/>
        <sz val="10"/>
        <rFont val="Arial"/>
        <family val="2"/>
      </rPr>
      <t xml:space="preserve"> </t>
    </r>
    <r>
      <rPr>
        <sz val="10"/>
        <rFont val="Arial"/>
        <family val="2"/>
      </rPr>
      <t>= laufende Kosten (Dünger + PBM + Hagelversicherung + Abzüge + var.Maschinenkosten + Lohnkosten)</t>
    </r>
  </si>
  <si>
    <r>
      <t>Rentabilität</t>
    </r>
    <r>
      <rPr>
        <sz val="10"/>
        <rFont val="Arial"/>
        <family val="2"/>
      </rPr>
      <t xml:space="preserve"> = Eigenkapitalsrente (kalk. Gewinn + Zinsanspruch) pro investiertem Kapital </t>
    </r>
  </si>
  <si>
    <r>
      <t>Cashflow</t>
    </r>
    <r>
      <rPr>
        <b/>
        <sz val="10"/>
        <rFont val="Arial"/>
        <family val="2"/>
      </rPr>
      <t xml:space="preserve"> </t>
    </r>
    <r>
      <rPr>
        <sz val="10"/>
        <rFont val="Arial"/>
        <family val="2"/>
      </rPr>
      <t>(kalk. Gewinn plus Abschreibung Obstanlage)</t>
    </r>
  </si>
  <si>
    <r>
      <t>Erwirtschaftetes Kapital</t>
    </r>
    <r>
      <rPr>
        <sz val="10"/>
        <rFont val="Arial"/>
        <family val="2"/>
      </rPr>
      <t xml:space="preserve"> am Ende der Ertragsphase</t>
    </r>
  </si>
  <si>
    <r>
      <t>Arbeitsproduktivität</t>
    </r>
    <r>
      <rPr>
        <sz val="12"/>
        <rFont val="Arial"/>
        <family val="2"/>
      </rPr>
      <t xml:space="preserve">  als kg Tafelfrüchte / Akh gesamt</t>
    </r>
  </si>
  <si>
    <r>
      <t xml:space="preserve">  </t>
    </r>
    <r>
      <rPr>
        <b/>
        <sz val="12"/>
        <rFont val="Arial"/>
        <family val="2"/>
      </rPr>
      <t xml:space="preserve"> Deckungsgrad</t>
    </r>
    <r>
      <rPr>
        <b/>
        <sz val="10"/>
        <rFont val="Arial"/>
        <family val="2"/>
      </rPr>
      <t xml:space="preserve"> = </t>
    </r>
    <r>
      <rPr>
        <sz val="10"/>
        <rFont val="Arial"/>
        <family val="2"/>
      </rPr>
      <t>Leistung / Produktionskosten</t>
    </r>
  </si>
  <si>
    <r>
      <t>Produktionskosten pro ha</t>
    </r>
    <r>
      <rPr>
        <b/>
        <sz val="12"/>
        <rFont val="Arial"/>
        <family val="2"/>
      </rPr>
      <t xml:space="preserve">   </t>
    </r>
  </si>
  <si>
    <t>Arbeitseinkommen pro Akh  intern</t>
  </si>
  <si>
    <t>Klasse I, II, Mostobst (Sortierabgang und Boden)</t>
  </si>
  <si>
    <t>Hagelnetz</t>
  </si>
  <si>
    <t>Sortierabgang</t>
  </si>
  <si>
    <t>Boden</t>
  </si>
  <si>
    <t>Mostobst</t>
  </si>
  <si>
    <t>Ernteleistung</t>
  </si>
  <si>
    <t>baumfallend</t>
  </si>
  <si>
    <t>Baumerziehung 
(Sommer+Winter)</t>
  </si>
  <si>
    <r>
      <t>Arbeiten</t>
    </r>
    <r>
      <rPr>
        <sz val="20"/>
        <rFont val="Arial"/>
        <family val="2"/>
      </rPr>
      <t xml:space="preserve"> ohne Maschinen</t>
    </r>
  </si>
  <si>
    <t>Pflanzenschutzmittel</t>
  </si>
  <si>
    <t>FK (Fr./ha)</t>
  </si>
  <si>
    <t>VK (Fr./ha)</t>
  </si>
  <si>
    <t>Total (Fr./ha)</t>
  </si>
  <si>
    <t>FK (Fr. / h)</t>
  </si>
  <si>
    <t>VK (Fr./h)</t>
  </si>
  <si>
    <t>Firstplaketten</t>
  </si>
  <si>
    <t>Traufenplaketten FRUSTAR 1</t>
  </si>
  <si>
    <t>Firstdraht</t>
  </si>
  <si>
    <t>Netzschnur</t>
  </si>
  <si>
    <t>Drahtspanner</t>
  </si>
  <si>
    <t>Kleinmaterial</t>
  </si>
  <si>
    <t>Mostobst Sortierabgang</t>
  </si>
  <si>
    <t>Mostobst ab Boden</t>
  </si>
  <si>
    <t>Ertrag</t>
  </si>
  <si>
    <t>Preisannahmen</t>
  </si>
  <si>
    <t>Erlös</t>
  </si>
  <si>
    <t>%uale 
Verteilung</t>
  </si>
  <si>
    <r>
      <t>Leistung</t>
    </r>
    <r>
      <rPr>
        <sz val="18"/>
        <color indexed="9"/>
        <rFont val="Arial"/>
        <family val="2"/>
      </rPr>
      <t xml:space="preserve"> </t>
    </r>
    <r>
      <rPr>
        <sz val="12"/>
        <color indexed="9"/>
        <rFont val="Arial"/>
        <family val="2"/>
      </rPr>
      <t>(Gesamterlös)</t>
    </r>
  </si>
  <si>
    <t xml:space="preserve">Abzüge   </t>
  </si>
  <si>
    <t>Ersatz- und Büromaterial</t>
  </si>
  <si>
    <t>Anker</t>
  </si>
  <si>
    <t>Pfahlhüte</t>
  </si>
  <si>
    <t>Hilfsgerüst für Hagelnetz</t>
  </si>
  <si>
    <t>Hilfsgerüst</t>
  </si>
  <si>
    <t>totale Zugkraftkosten</t>
  </si>
  <si>
    <t>Kleinbagger</t>
  </si>
  <si>
    <t>Stapler</t>
  </si>
  <si>
    <t>Ausstecken</t>
  </si>
  <si>
    <t>Pfahlen</t>
  </si>
  <si>
    <t>Netzmontage</t>
  </si>
  <si>
    <t>Verlustzeiten (10%)</t>
  </si>
  <si>
    <t>Arbeit Hagelnetzerstellung</t>
  </si>
  <si>
    <t>Arbeit Bäume und Gerüst</t>
  </si>
  <si>
    <t>3-fädige Standardbreite m2</t>
  </si>
  <si>
    <t>Anteil an den totalen
Erstellungskosten</t>
  </si>
  <si>
    <t>Mietansatz</t>
  </si>
  <si>
    <t>Pneuwagen 2achsig, 5 t</t>
  </si>
  <si>
    <t>Maschinen (separat für Hagel
netzerstellung)</t>
  </si>
  <si>
    <t>Total Zugkraft</t>
  </si>
  <si>
    <t>Traktor für Netzmontage</t>
  </si>
  <si>
    <t>Verlustzeiten</t>
  </si>
  <si>
    <t>Ausstecken Hagelnetz</t>
  </si>
  <si>
    <t>Pfahlen Hagelnetz</t>
  </si>
  <si>
    <t>Verwaltung, Logistik, etc.</t>
  </si>
  <si>
    <r>
      <t>Total Erstellungskosten</t>
    </r>
    <r>
      <rPr>
        <sz val="16"/>
        <color indexed="9"/>
        <rFont val="Arial"/>
        <family val="2"/>
      </rPr>
      <t xml:space="preserve"> inkl. Hagelnetz, ohne Zaun</t>
    </r>
  </si>
  <si>
    <t>Bsp. TG</t>
  </si>
  <si>
    <t>Beitrag Jagdverwaltung</t>
  </si>
  <si>
    <t>Bsp. ZH</t>
  </si>
  <si>
    <t>Kant. Beitrag (Gemeinde, Jagdkasse) Bsp. Kt.TG</t>
  </si>
  <si>
    <t xml:space="preserve">totale Zaunkosten bei kantonaler Übernahme der Zaunmaterialkosten </t>
  </si>
  <si>
    <t>Totale Erstellungskosten nur Hagelnetz</t>
  </si>
  <si>
    <t>Totale Kosten nur Hagelnetz</t>
  </si>
  <si>
    <t>Gerüst und Material</t>
  </si>
  <si>
    <t>Preisannahme</t>
  </si>
  <si>
    <r>
      <t xml:space="preserve">             </t>
    </r>
    <r>
      <rPr>
        <sz val="10"/>
        <rFont val="Arial"/>
        <family val="2"/>
      </rPr>
      <t xml:space="preserve"> Fungizide</t>
    </r>
  </si>
  <si>
    <t>Büro- und Ersatzmaterial</t>
  </si>
  <si>
    <r>
      <t xml:space="preserve">Abzüge     </t>
    </r>
    <r>
      <rPr>
        <i/>
        <sz val="10"/>
        <rFont val="Arial"/>
        <family val="2"/>
      </rPr>
      <t xml:space="preserve">     </t>
    </r>
  </si>
  <si>
    <r>
      <t xml:space="preserve">Cashflow nach der Erstellung </t>
    </r>
    <r>
      <rPr>
        <sz val="14"/>
        <rFont val="Arial"/>
        <family val="2"/>
      </rPr>
      <t>(inkl. Zaun)</t>
    </r>
  </si>
  <si>
    <t xml:space="preserve">Hagelnetze öffnen und schliessen </t>
  </si>
  <si>
    <t>Hagelnetze öffnen</t>
  </si>
  <si>
    <t>Hagelnetze schliessen</t>
  </si>
  <si>
    <t>%ualer Anteil
an den PK</t>
  </si>
  <si>
    <t>Einsparung an Gerüstkosten durch Hagelnetzerstellung</t>
  </si>
  <si>
    <t>Endpfähle</t>
  </si>
  <si>
    <t>Zwischenpfähle</t>
  </si>
  <si>
    <t>Einsparung</t>
  </si>
  <si>
    <t>VK pro ha und Durchgang</t>
  </si>
  <si>
    <t>Gewinn</t>
  </si>
  <si>
    <t>Gewinn / Verlustrechnung pro ha und Jahr (kalkulatorisch)</t>
  </si>
  <si>
    <r>
      <t xml:space="preserve">Deckungsgrad </t>
    </r>
    <r>
      <rPr>
        <sz val="12"/>
        <rFont val="Arial"/>
        <family val="2"/>
      </rPr>
      <t>(Leistung / Produktionskosten)</t>
    </r>
  </si>
  <si>
    <r>
      <t>Cashflow</t>
    </r>
    <r>
      <rPr>
        <b/>
        <sz val="12"/>
        <rFont val="Arial"/>
        <family val="2"/>
      </rPr>
      <t xml:space="preserve"> </t>
    </r>
    <r>
      <rPr>
        <sz val="12"/>
        <rFont val="Arial"/>
        <family val="2"/>
      </rPr>
      <t>(kalk. Gewinn plus Abschreibung Obstanlage)</t>
    </r>
  </si>
  <si>
    <t>Produktionskosten pro kg (durchschnittlich)</t>
  </si>
  <si>
    <t>Anteil an der
Leistung</t>
  </si>
  <si>
    <t>Dünger + PBM +Abzüge+var.Maschinenkosten + Lohnkosten</t>
  </si>
  <si>
    <t>Gliederung Arbeitskosten</t>
  </si>
  <si>
    <t xml:space="preserve">Hagelnetze schliessen </t>
  </si>
  <si>
    <r>
      <t xml:space="preserve">Was kostet die Ernte? </t>
    </r>
    <r>
      <rPr>
        <i/>
        <sz val="16"/>
        <rFont val="Arial"/>
        <family val="2"/>
      </rPr>
      <t>(ohne Gebindekosten)</t>
    </r>
  </si>
  <si>
    <t>Was kostet der direkte Pflanzenschutz? (pro Jahr und Hektare)</t>
  </si>
  <si>
    <t>Anteil an totalen PSM - Kosten</t>
  </si>
  <si>
    <t>Verwaltung und übrige Arbeiten</t>
  </si>
  <si>
    <t xml:space="preserve">Standard Erstellungskosten 1 ha Apfelanlage mit Hagelnetz </t>
  </si>
  <si>
    <t>Standard Ertragsphase : Vollkosten für ein durchschnittliches Ertragsjahr</t>
  </si>
  <si>
    <t>Variante Erstellungskosten 1 ha Apfelanlage mit Hagelnetz</t>
  </si>
  <si>
    <t>Variante Ertragsphase : Vollkosten für ein durchschnittliches Ertragsjahr</t>
  </si>
  <si>
    <t>Ernte baumfallend und auflesen</t>
  </si>
  <si>
    <t>übrige Kosten (inkl. PSM u. Düngung)</t>
  </si>
  <si>
    <t>Betriebsleiter</t>
  </si>
  <si>
    <t>Lohnkosten Betriebsleiter</t>
  </si>
  <si>
    <t xml:space="preserve">Pflanzenschutzmittel </t>
  </si>
  <si>
    <t>Annahme: Alle diese Mittel werden in einem durchschnittlichen Jahr verwendet, dazu ist der notierte Preis richtgebend</t>
  </si>
  <si>
    <t>Niederstammanlage mit Drahtgerüst und Zaun (mit Hagelnetz, ohne Bewässerung)</t>
  </si>
  <si>
    <t>Geometrische Daten (wie in CH)</t>
  </si>
  <si>
    <t>Quelle</t>
  </si>
  <si>
    <t>Durchschnitt (berechnet) über alle</t>
  </si>
  <si>
    <t>Durchschnitt (berechnet) intern u. Leiter</t>
  </si>
  <si>
    <r>
      <t>Akazienpfähle 200cm; D</t>
    </r>
    <r>
      <rPr>
        <sz val="9"/>
        <rFont val="Arial"/>
        <family val="2"/>
      </rPr>
      <t>istanz 4m</t>
    </r>
  </si>
  <si>
    <r>
      <t>Akazienpfähle 225cm; D</t>
    </r>
    <r>
      <rPr>
        <sz val="9"/>
        <rFont val="Arial"/>
        <family val="2"/>
      </rPr>
      <t>istanz 4m</t>
    </r>
  </si>
  <si>
    <t>Spanndraht 3mm</t>
  </si>
  <si>
    <r>
      <t>Ertrag / Jahr</t>
    </r>
    <r>
      <rPr>
        <sz val="10"/>
        <rFont val="Arial"/>
        <family val="2"/>
      </rPr>
      <t xml:space="preserve">          Durchschn. Ertragsphase</t>
    </r>
  </si>
  <si>
    <r>
      <t xml:space="preserve">Ernteleistung  </t>
    </r>
    <r>
      <rPr>
        <sz val="10"/>
        <rFont val="Arial"/>
        <family val="2"/>
      </rPr>
      <t xml:space="preserve">baumfallend      </t>
    </r>
    <r>
      <rPr>
        <b/>
        <sz val="10"/>
        <rFont val="Arial"/>
        <family val="2"/>
      </rPr>
      <t xml:space="preserve">  </t>
    </r>
  </si>
  <si>
    <r>
      <t xml:space="preserve">Lohnkosten </t>
    </r>
    <r>
      <rPr>
        <b/>
        <i/>
        <sz val="10"/>
        <rFont val="Arial"/>
        <family val="2"/>
      </rPr>
      <t>intern</t>
    </r>
    <r>
      <rPr>
        <sz val="10"/>
        <rFont val="Arial"/>
        <family val="2"/>
      </rPr>
      <t xml:space="preserve"> (Familie)</t>
    </r>
  </si>
  <si>
    <r>
      <t xml:space="preserve">Lohnkosten </t>
    </r>
    <r>
      <rPr>
        <b/>
        <i/>
        <sz val="10"/>
        <rFont val="Arial"/>
        <family val="2"/>
      </rPr>
      <t>extern</t>
    </r>
  </si>
  <si>
    <r>
      <t xml:space="preserve">Pflanzdichte </t>
    </r>
    <r>
      <rPr>
        <sz val="10"/>
        <rFont val="Arial"/>
        <family val="2"/>
      </rPr>
      <t>Bäume/ha</t>
    </r>
  </si>
  <si>
    <t>hier gewählt</t>
  </si>
  <si>
    <t>Obstbautraktor 4-Rad</t>
  </si>
  <si>
    <t>Total (Fr. / h)</t>
  </si>
  <si>
    <t>Cashflowkurve  (Kapitalfluss)</t>
  </si>
  <si>
    <t>Variante 1ha</t>
  </si>
  <si>
    <t>Plaketten Standart inkl. S-Hacken</t>
  </si>
  <si>
    <t xml:space="preserve">Stirnseil 9.5 mm </t>
  </si>
  <si>
    <t>Ankerseil 9.5 mm</t>
  </si>
  <si>
    <t>Querseil 9mm</t>
  </si>
  <si>
    <t>Reihenpfähle 4 m 8/10 10m Abstand</t>
  </si>
  <si>
    <t>Endpfähle 4.20 m 10/1210</t>
  </si>
  <si>
    <t>Eckpfähle 4.50 m 13/15</t>
  </si>
  <si>
    <t>Einsparung an Arbeits-u. Maschinenkosten</t>
  </si>
  <si>
    <t>Pfählen</t>
  </si>
  <si>
    <t>Zugkraftkosten</t>
  </si>
  <si>
    <t>Pneuwagen</t>
  </si>
  <si>
    <t>durchschnittliche Produktions-kosten pro kg</t>
  </si>
  <si>
    <t>Standard 1 ha</t>
  </si>
  <si>
    <t>Variante 1 ha</t>
  </si>
  <si>
    <t>Definition Variante:</t>
  </si>
  <si>
    <t>(1 Standardarbeitskraft = 2700 Akh/Jahr; S. 153 BW-Begriffe, LMZ 2000)</t>
  </si>
  <si>
    <t>(1 Variantearbeitskraft = 2700 Akh/Jahr; S. 153 BW-Begriffe, LMZ 2000)</t>
  </si>
  <si>
    <t>Indikatoren der Wirtschaftlichkeit</t>
  </si>
  <si>
    <t xml:space="preserve">Bewässerungsanlage: Mikrosprinkler </t>
  </si>
  <si>
    <t>Quelle: Anbauempfehlung Obstregion NW-CH 2007</t>
  </si>
  <si>
    <t>Materialkosten</t>
  </si>
  <si>
    <t>Tropfanlage</t>
  </si>
  <si>
    <t>Verteilanlage</t>
  </si>
  <si>
    <t>Kopfstation</t>
  </si>
  <si>
    <t>Kopfstation einrichten</t>
  </si>
  <si>
    <t>Jährliche Arbeiten</t>
  </si>
  <si>
    <t>Kontrolle</t>
  </si>
  <si>
    <t>Totale Erstellungskosten Bewässerung</t>
  </si>
  <si>
    <t>Kontrolle Bewässerung</t>
  </si>
  <si>
    <t>Spühlung Bewässerung</t>
  </si>
  <si>
    <t>Wasser</t>
  </si>
  <si>
    <t>Tropfschlauch mit integr-</t>
  </si>
  <si>
    <t>(Netafim)</t>
  </si>
  <si>
    <t>ierten Tropfern, druckko-</t>
  </si>
  <si>
    <t xml:space="preserve">mpensiert, 20 mm, 2.3 l/h, </t>
  </si>
  <si>
    <t xml:space="preserve">50 cm Tropfenabstand Ram </t>
  </si>
  <si>
    <t>Tropfreihen An-/Abschlüsse</t>
  </si>
  <si>
    <t>Kugelventile PVC 20x20</t>
  </si>
  <si>
    <t>Tropfschlauchaufhänger 20mm</t>
  </si>
  <si>
    <t>Total Tropfanlage</t>
  </si>
  <si>
    <t>PE-Wasserdruckrohr, 50</t>
  </si>
  <si>
    <t>mm, PN 8 (Hauptleitung)</t>
  </si>
  <si>
    <t>Kugelhahn 2"</t>
  </si>
  <si>
    <t>Diverses Kleinmaterial</t>
  </si>
  <si>
    <t>Total Verteilanlage</t>
  </si>
  <si>
    <t>Filter Arkal 2" 120 masch</t>
  </si>
  <si>
    <t>Kopfstation 2"</t>
  </si>
  <si>
    <t>Druckreduzierventil</t>
  </si>
  <si>
    <t xml:space="preserve">Rückschlagventil </t>
  </si>
  <si>
    <t>Magnetventile 1 1/2"</t>
  </si>
  <si>
    <t>Bewässerungscomputer</t>
  </si>
  <si>
    <t>Total Kopfstation</t>
  </si>
  <si>
    <t>Optionen</t>
  </si>
  <si>
    <t>Fertigationspumpe</t>
  </si>
  <si>
    <t>Pumpe, wenn ab Tank</t>
  </si>
  <si>
    <t>Arbeits- und Maschinenkosten</t>
  </si>
  <si>
    <t>AKh/ha</t>
  </si>
  <si>
    <t>ZKh/ha</t>
  </si>
  <si>
    <t>Montage</t>
  </si>
  <si>
    <t>Hauptleitung graben und verlegen</t>
  </si>
  <si>
    <t>Grabenfräse</t>
  </si>
  <si>
    <t xml:space="preserve">Tropfschlauch auslegen </t>
  </si>
  <si>
    <t>Tropfschlauch montieren</t>
  </si>
  <si>
    <t>Abmessen</t>
  </si>
  <si>
    <t>der aufgel. AKh und ZKh</t>
  </si>
  <si>
    <t>Total Arbeits- u. Maschinenkosten</t>
  </si>
  <si>
    <t>Kostenzusammenstellung</t>
  </si>
  <si>
    <t xml:space="preserve">Maschinen- u. </t>
  </si>
  <si>
    <t>Zugkraftkst.</t>
  </si>
  <si>
    <t>Traktor 2-Rad</t>
  </si>
  <si>
    <t>à</t>
  </si>
  <si>
    <t>Handarbeitskosten</t>
  </si>
  <si>
    <t>Betriebsleitung</t>
  </si>
  <si>
    <r>
      <t xml:space="preserve">Total Erstellungskosten / ha       </t>
    </r>
    <r>
      <rPr>
        <b/>
        <sz val="12"/>
        <rFont val="Arial"/>
        <family val="2"/>
      </rPr>
      <t xml:space="preserve"> mit</t>
    </r>
    <r>
      <rPr>
        <b/>
        <sz val="11"/>
        <rFont val="Arial"/>
        <family val="2"/>
      </rPr>
      <t xml:space="preserve"> Fertigation</t>
    </r>
  </si>
  <si>
    <t xml:space="preserve">Betriebskosten </t>
  </si>
  <si>
    <t>Strom</t>
  </si>
  <si>
    <t xml:space="preserve"> jährlich</t>
  </si>
  <si>
    <t>Spülung</t>
  </si>
  <si>
    <t>Fertigationsdünger</t>
  </si>
  <si>
    <r>
      <t xml:space="preserve">Jahreskosten  einer Tröpfchenbewässerung   </t>
    </r>
    <r>
      <rPr>
        <b/>
        <sz val="11"/>
        <rFont val="Arial"/>
        <family val="2"/>
      </rPr>
      <t xml:space="preserve">mit Fertigation </t>
    </r>
  </si>
  <si>
    <t>Zukauf des Wassers. Für die Installation der Wasserzufuhr bis zur Anlage muss mit Kosten von</t>
  </si>
  <si>
    <t xml:space="preserve"> ca. Fr. 1'000.- je 100 Laufmeter gerechnet werden. Bei Hauswasseranschluss keine Pumpe nötig.</t>
  </si>
  <si>
    <t xml:space="preserve">Total Materialkosten </t>
  </si>
  <si>
    <t>Maschinen und Zugkraftkosten</t>
  </si>
  <si>
    <t>Handarbeitkosten</t>
  </si>
  <si>
    <t>Tarif</t>
  </si>
  <si>
    <t>Jahr</t>
  </si>
  <si>
    <t>% der Bruttomarge</t>
  </si>
  <si>
    <t>Schätzung</t>
  </si>
  <si>
    <t>Mittelwert 4.-15. Jahr</t>
  </si>
  <si>
    <t>Total 4.-15. Jahr</t>
  </si>
  <si>
    <t>Variante Hagel</t>
  </si>
  <si>
    <t>Hagelnetz  (ja=1, nein =0)</t>
  </si>
  <si>
    <t>Hagelversicherung (ja =1, nein =0)</t>
  </si>
  <si>
    <r>
      <t>Wasserpreis (Fr/m</t>
    </r>
    <r>
      <rPr>
        <b/>
        <vertAlign val="superscript"/>
        <sz val="10"/>
        <rFont val="Arial"/>
        <family val="2"/>
      </rPr>
      <t>3</t>
    </r>
    <r>
      <rPr>
        <b/>
        <sz val="10"/>
        <rFont val="Arial"/>
        <family val="2"/>
      </rPr>
      <t>)</t>
    </r>
  </si>
  <si>
    <t>Bewässerung mit Tropfenbewässerung (ja=1, nein =0)</t>
  </si>
  <si>
    <t>Hagelversicherung</t>
  </si>
  <si>
    <t>Bewässerung</t>
  </si>
  <si>
    <t>Topaz</t>
  </si>
  <si>
    <t>Bio</t>
  </si>
  <si>
    <t xml:space="preserve">Niederstammanlage mit Drahtgerüst und Zaun </t>
  </si>
  <si>
    <t>Direktzahlungen BIO</t>
  </si>
  <si>
    <t>Kontrollen</t>
  </si>
  <si>
    <t>Biokontrollen</t>
  </si>
  <si>
    <t>Organisches Dünger (Kompost) Trockensubstanz</t>
  </si>
  <si>
    <t>Hackgerät Ladurner</t>
  </si>
  <si>
    <t xml:space="preserve">Kleingeräte </t>
  </si>
  <si>
    <t>Diverse Kleingeräte + Mäusevergaser</t>
  </si>
  <si>
    <t>Biobeiträge I</t>
  </si>
  <si>
    <t>Biobeiträge II</t>
  </si>
  <si>
    <t>Magnesiumkalk Dolomit (18%)</t>
  </si>
  <si>
    <t>Pfostchen (Mäuseprevention)</t>
  </si>
  <si>
    <t>Dtrahtgitter (Mäuseprevention)</t>
  </si>
  <si>
    <t>Bindematerial</t>
  </si>
  <si>
    <t>Verlege Gerät</t>
  </si>
  <si>
    <t>Fallen: Ankauf</t>
  </si>
  <si>
    <t>Fr</t>
  </si>
  <si>
    <t>Mäusezaun</t>
  </si>
  <si>
    <t>Traktor für Mäusezaun</t>
  </si>
  <si>
    <t>Material Mäusezaun</t>
  </si>
  <si>
    <r>
      <t xml:space="preserve"> Erstellungs- und Jahreskosten </t>
    </r>
    <r>
      <rPr>
        <sz val="14"/>
        <color indexed="9"/>
        <rFont val="Arial Black"/>
        <family val="2"/>
      </rPr>
      <t/>
    </r>
  </si>
  <si>
    <t>Tropfschlauch Pn4 25 mm</t>
  </si>
  <si>
    <t>Microsprinkler Spinet 70L/h</t>
  </si>
  <si>
    <t>1 Sprinkler je 2 Bäume</t>
  </si>
  <si>
    <t>Kugelventile PVC 25x25</t>
  </si>
  <si>
    <t xml:space="preserve">Tropfschlauchaufhänger </t>
  </si>
  <si>
    <t>Maschinenkst.</t>
  </si>
  <si>
    <t>Sprinkler montieren</t>
  </si>
  <si>
    <t>Zinsanspruch</t>
  </si>
  <si>
    <t>Materialkst.</t>
  </si>
  <si>
    <t>davon</t>
  </si>
  <si>
    <t>Fremdkst.</t>
  </si>
  <si>
    <t>Abschreibung</t>
  </si>
  <si>
    <t>geteilt durch 15 Nutzungsjahre</t>
  </si>
  <si>
    <r>
      <t xml:space="preserve">Grundstück 124 x 81 m     =   Netto 75 x </t>
    </r>
    <r>
      <rPr>
        <b/>
        <sz val="10"/>
        <rFont val="Arial"/>
        <family val="2"/>
      </rPr>
      <t xml:space="preserve"> </t>
    </r>
  </si>
  <si>
    <r>
      <t xml:space="preserve">Druckreduzierventil </t>
    </r>
    <r>
      <rPr>
        <sz val="8"/>
        <rFont val="Arial"/>
        <family val="2"/>
      </rPr>
      <t>2" 4-fach</t>
    </r>
  </si>
  <si>
    <r>
      <t xml:space="preserve">Total Materialkosten  </t>
    </r>
    <r>
      <rPr>
        <b/>
        <sz val="8"/>
        <rFont val="Arial"/>
        <family val="2"/>
      </rPr>
      <t>inkl. MwSt</t>
    </r>
  </si>
  <si>
    <r>
      <t xml:space="preserve">Total Erstellungskosten / ha       </t>
    </r>
    <r>
      <rPr>
        <b/>
        <sz val="12"/>
        <rFont val="Arial"/>
        <family val="2"/>
      </rPr>
      <t xml:space="preserve"> </t>
    </r>
    <r>
      <rPr>
        <b/>
        <sz val="11"/>
        <rFont val="Arial"/>
        <family val="2"/>
      </rPr>
      <t>ohne Fertigation</t>
    </r>
  </si>
  <si>
    <r>
      <t xml:space="preserve">Jahreskosten     </t>
    </r>
    <r>
      <rPr>
        <sz val="11"/>
        <rFont val="Arial"/>
        <family val="2"/>
      </rPr>
      <t xml:space="preserve"> </t>
    </r>
    <r>
      <rPr>
        <sz val="10"/>
        <rFont val="Arial"/>
        <family val="2"/>
      </rPr>
      <t>(Wasser wird zugekauft)</t>
    </r>
  </si>
  <si>
    <r>
      <t xml:space="preserve">Jahreskosten  einer Tröpfchenbewässerung   </t>
    </r>
    <r>
      <rPr>
        <b/>
        <sz val="10"/>
        <rFont val="Arial"/>
        <family val="2"/>
      </rPr>
      <t xml:space="preserve">ohne Fertigation </t>
    </r>
  </si>
  <si>
    <t xml:space="preserve"> Erstellungs-&amp; Jahreskosten     Mikrosprinkler   Kernobst  Quelle: Anbauempfehlung für die Obstregion NO-CH 2006       </t>
  </si>
  <si>
    <t xml:space="preserve">Tafelobst </t>
  </si>
  <si>
    <t>Bewässerungsanlage: Tropfenbewässerung</t>
  </si>
  <si>
    <r>
      <t xml:space="preserve">Bewässerungsanlage: Mikrosprinkler Kernobst  </t>
    </r>
    <r>
      <rPr>
        <sz val="12"/>
        <rFont val="Arial"/>
        <family val="2"/>
      </rPr>
      <t xml:space="preserve">Quelle: Anbauempfehlung für die Obstregion NO-CH 2006       </t>
    </r>
  </si>
  <si>
    <t>Erstellung und Jahreskosten</t>
  </si>
  <si>
    <t>Tafeläpfel</t>
  </si>
  <si>
    <t>SGA + Bio (Flächebeiträge)</t>
  </si>
  <si>
    <t>Bio (Mengenbeiträge)</t>
  </si>
  <si>
    <t>Total bewässerung (ja oder nein)</t>
  </si>
  <si>
    <t>Total Bewässerung</t>
  </si>
  <si>
    <t xml:space="preserve">Bewässerungsanlage: Tropfenbewässerung </t>
  </si>
  <si>
    <t>Total Erstellungskosten ohne Hagelnetz ohne Zaun</t>
  </si>
  <si>
    <t>Total Erstellungskosten inkl. Hagelnetz, ohne Zaun</t>
  </si>
  <si>
    <t>Total Erstellungkosten mit Hagelnetz und Bewässerung und mit Zaun</t>
  </si>
  <si>
    <t>Total Erstellungskosten</t>
  </si>
  <si>
    <t>Niederstammanlage mit Drahtgerüst und Zaun, Aufbauphase 3 Jahre, Ertragsphase 12 Jahre</t>
  </si>
  <si>
    <t>Erlös Küchen- &amp; Industrieobst</t>
  </si>
  <si>
    <t>SGA + Bio (Flächebeiträge)+ BioKontrolle</t>
  </si>
  <si>
    <r>
      <t xml:space="preserve"> Erstellungs- &amp; Jahreskosten </t>
    </r>
    <r>
      <rPr>
        <sz val="14"/>
        <color indexed="9"/>
        <rFont val="Arial"/>
        <family val="2"/>
      </rPr>
      <t xml:space="preserve">Tropfenbewässerung </t>
    </r>
    <r>
      <rPr>
        <sz val="11"/>
        <color indexed="9"/>
        <rFont val="Arial"/>
        <family val="2"/>
      </rPr>
      <t xml:space="preserve">Kernobst </t>
    </r>
    <r>
      <rPr>
        <sz val="8"/>
        <color indexed="9"/>
        <rFont val="Arial"/>
        <family val="2"/>
      </rPr>
      <t xml:space="preserve">      </t>
    </r>
    <r>
      <rPr>
        <sz val="7"/>
        <color indexed="9"/>
        <rFont val="Arial"/>
        <family val="2"/>
      </rPr>
      <t xml:space="preserve"> </t>
    </r>
  </si>
  <si>
    <t>Total Erstellungkosten ohne Hagelnetz und ohne Bewässerung mit Zaun</t>
  </si>
  <si>
    <t>Total Erstellungkosten mit Hagelnetz mit Zaun, ohne Bewässerung</t>
  </si>
  <si>
    <t>Total Erstellungskosten ohne Hagelnetz mit Bewässerung und mit Zaun</t>
  </si>
  <si>
    <t>Hagelnetz und Bewässerung</t>
  </si>
  <si>
    <t>Hagelnetz und Bewässerung (ja=2)</t>
  </si>
  <si>
    <t>Direktzahlungen ÖLN + BIO</t>
  </si>
  <si>
    <t>Heisswassertauchen</t>
  </si>
  <si>
    <t>Bürsten</t>
  </si>
  <si>
    <t>Pflanzenschutzkontrolle und Pflege der Ökoelemente</t>
  </si>
  <si>
    <t>Feuerbrandmittel</t>
  </si>
  <si>
    <t>Mäusezaun erstellen</t>
  </si>
  <si>
    <t>Tafelobst</t>
  </si>
  <si>
    <t>Mäusezaunerstellen</t>
  </si>
  <si>
    <t>Tafeläpfel BIO</t>
  </si>
  <si>
    <t>Kochobst BIO</t>
  </si>
  <si>
    <t>Mostobst BIO</t>
  </si>
  <si>
    <t>Branchenbeiträge</t>
  </si>
  <si>
    <t>Verwirrung</t>
  </si>
  <si>
    <t>Ernte baumfallend</t>
  </si>
  <si>
    <t>Pyrethrum</t>
  </si>
  <si>
    <t xml:space="preserve">                  Branchenbeiträge und Biobeiträge</t>
  </si>
  <si>
    <t>Durchschnitt (berechnet)  extern + interne</t>
  </si>
  <si>
    <t>Kreiselegge mit Packerwalze 3m</t>
  </si>
  <si>
    <t>Anbaugebläsepritze 1000 l</t>
  </si>
  <si>
    <t>Obstbautraktor 4-Rad (45-54 kW, 61-73 PS)</t>
  </si>
  <si>
    <r>
      <t xml:space="preserve">Variante Vorgaben                     </t>
    </r>
    <r>
      <rPr>
        <b/>
        <sz val="18"/>
        <color indexed="9"/>
        <rFont val="Arial"/>
        <family val="2"/>
      </rPr>
      <t xml:space="preserve"> </t>
    </r>
    <r>
      <rPr>
        <b/>
        <sz val="12"/>
        <color indexed="9"/>
        <rFont val="Arial"/>
        <family val="2"/>
      </rPr>
      <t xml:space="preserve">   </t>
    </r>
    <r>
      <rPr>
        <sz val="12"/>
        <color indexed="9"/>
        <rFont val="Arial"/>
        <family val="2"/>
      </rPr>
      <t>(Quelle:</t>
    </r>
    <r>
      <rPr>
        <b/>
        <sz val="12"/>
        <color indexed="9"/>
        <rFont val="Arial"/>
        <family val="2"/>
      </rPr>
      <t xml:space="preserve"> </t>
    </r>
    <r>
      <rPr>
        <sz val="12"/>
        <color indexed="9"/>
        <rFont val="Arial"/>
        <family val="2"/>
      </rPr>
      <t>Expertenschätzung von Produzenten, kantonalen Fachstellen und Agroscope</t>
    </r>
    <r>
      <rPr>
        <b/>
        <sz val="12"/>
        <color indexed="9"/>
        <rFont val="Arial"/>
        <family val="2"/>
      </rPr>
      <t>)</t>
    </r>
  </si>
  <si>
    <r>
      <t xml:space="preserve">Pflanzenschutzmittel                                                                           </t>
    </r>
    <r>
      <rPr>
        <sz val="20"/>
        <rFont val="Arial"/>
        <family val="2"/>
      </rPr>
      <t xml:space="preserve"> </t>
    </r>
  </si>
  <si>
    <t xml:space="preserve">Dünger                                                                                                         </t>
  </si>
  <si>
    <t xml:space="preserve">Preise und Erträge                                                                                    </t>
  </si>
  <si>
    <t xml:space="preserve">Maschinen                                                                                                </t>
  </si>
  <si>
    <r>
      <t xml:space="preserve">Einzäunung                                                                                         </t>
    </r>
    <r>
      <rPr>
        <sz val="12"/>
        <rFont val="Arial"/>
        <family val="2"/>
      </rPr>
      <t xml:space="preserve"> </t>
    </r>
  </si>
  <si>
    <r>
      <t xml:space="preserve">Erstellung inkl. Hagelnetz  </t>
    </r>
    <r>
      <rPr>
        <sz val="10"/>
        <rFont val="Arial"/>
        <family val="2"/>
      </rPr>
      <t xml:space="preserve">Quelle: Anbauempfehlung für die Obstregion Nw-CH </t>
    </r>
  </si>
  <si>
    <r>
      <t xml:space="preserve">Bewässerungsanlage: Tropfenbewässerung  </t>
    </r>
    <r>
      <rPr>
        <sz val="10"/>
        <rFont val="Arial"/>
        <family val="2"/>
      </rPr>
      <t>Quelle: Anbauempfehlung für die Obstregion NO-CH</t>
    </r>
  </si>
  <si>
    <r>
      <t>Standard Vorgaben</t>
    </r>
    <r>
      <rPr>
        <b/>
        <sz val="12"/>
        <color indexed="9"/>
        <rFont val="Arial"/>
        <family val="2"/>
      </rPr>
      <t xml:space="preserve">                                           </t>
    </r>
    <r>
      <rPr>
        <sz val="12"/>
        <color indexed="9"/>
        <rFont val="Arial"/>
        <family val="2"/>
      </rPr>
      <t xml:space="preserve"> (Quelle: Expertenschätzung von Produzenten, kantonalen Fachstellen und Agroscope)</t>
    </r>
  </si>
  <si>
    <t xml:space="preserve">Preise und Erträge                                                                                       </t>
  </si>
  <si>
    <t xml:space="preserve">Qualität und Ernteleistung                                                                           </t>
  </si>
  <si>
    <t xml:space="preserve">Dünger                                                                                                  </t>
  </si>
  <si>
    <t xml:space="preserve">Pflanzenschutzmittel                                                                           </t>
  </si>
  <si>
    <r>
      <t xml:space="preserve">Maschinen                                                                                                 </t>
    </r>
    <r>
      <rPr>
        <sz val="20"/>
        <rFont val="Arial"/>
        <family val="2"/>
      </rPr>
      <t/>
    </r>
  </si>
  <si>
    <r>
      <t xml:space="preserve">Erstellung inkl. Hagelnetz              </t>
    </r>
    <r>
      <rPr>
        <sz val="10"/>
        <rFont val="Arial"/>
        <family val="2"/>
      </rPr>
      <t xml:space="preserve">Quelle: Anbauempfehlung für die Obstregion NO-CH </t>
    </r>
  </si>
  <si>
    <r>
      <t>Standard Hagel</t>
    </r>
    <r>
      <rPr>
        <b/>
        <sz val="12"/>
        <color indexed="9"/>
        <rFont val="Arial"/>
        <family val="2"/>
      </rPr>
      <t xml:space="preserve">  </t>
    </r>
    <r>
      <rPr>
        <sz val="12"/>
        <color indexed="9"/>
        <rFont val="Arial"/>
        <family val="2"/>
      </rPr>
      <t>(Quelle: Expertenschätzung von Produzenten, kantonalen Fachstellen und Agroscope)</t>
    </r>
  </si>
  <si>
    <t>BIO- Tafelapfel, Gala auf M9, 3000 Bäume /ha</t>
  </si>
  <si>
    <t>Sortierabgang faul</t>
  </si>
  <si>
    <t>BIORGA N (12%)</t>
  </si>
  <si>
    <t>Granulosevirus (Madex Top)</t>
  </si>
  <si>
    <t>Preis pro kg, l oder Stuck</t>
  </si>
  <si>
    <t>Tonerde (Myko Sin)</t>
  </si>
  <si>
    <t xml:space="preserve">Netzschwefel (Stullin) </t>
  </si>
  <si>
    <t>Kaliumbicarbonat (Armicarb)</t>
  </si>
  <si>
    <t>Kupfer (Airone WG)</t>
  </si>
  <si>
    <t>Schwefelkalk (Curatio)</t>
  </si>
  <si>
    <t>Laminarin (Vacciplant)</t>
  </si>
  <si>
    <t>Neem (NeemAzal T/S)</t>
  </si>
  <si>
    <t>Schmierseife (Natural)</t>
  </si>
  <si>
    <t>Quassiaextrakt (Quassan)</t>
  </si>
  <si>
    <t>Weissöl (Weissöl Omya)</t>
  </si>
  <si>
    <t>Insektenlockstoff (Isomate CLR Max Andermatt)</t>
  </si>
  <si>
    <t>Hefepräparat (Blossom protect)</t>
  </si>
  <si>
    <t>Sichelmulchgerät mit beids. Schwenkarm</t>
  </si>
  <si>
    <t>Fadengerät Behangsregulierung</t>
  </si>
  <si>
    <t>Fadengerät Beikrautregulierung zweiseitg</t>
  </si>
  <si>
    <t xml:space="preserve"> Insektizide</t>
  </si>
  <si>
    <t>Hebebühne schwer, selbstfahrend, elektrisch Ernte</t>
  </si>
  <si>
    <t>Hebebühne für Hagelnetz öffnen und schliessen</t>
  </si>
  <si>
    <t>Hebebühne Baumerziehung</t>
  </si>
  <si>
    <t>Bürstenkosten  (ja=1, nein =0)</t>
  </si>
  <si>
    <t>Heisswassertauchen (ja=1, nein =0)</t>
  </si>
  <si>
    <t>Bürsten, Heisswasser aktiv ja=1, nein = 0</t>
  </si>
  <si>
    <t>Kompoststreuer für Obstanlagen, um 3m³</t>
  </si>
  <si>
    <t>Beikrautregulierung mechanisch</t>
  </si>
  <si>
    <t>Bewässerung mit Mikrojet              (ja=1, nein=0)</t>
  </si>
  <si>
    <t>Gala</t>
  </si>
  <si>
    <t>Insktizide</t>
  </si>
  <si>
    <t>@copyright: Weitergabe der Kalkulationen nur mit Genemigung von Agroscope. Alle Angaben ohne Gewähr</t>
  </si>
  <si>
    <t>Sortierungsabgang faul</t>
  </si>
  <si>
    <t>Arbokost 2023</t>
  </si>
  <si>
    <t>Zitierungshinweis: Bravin E., Suard T., Carint D., Zürcher M., Mouron P., Arbokost 2023, Agroscope, arbokost.agroscope.ch</t>
  </si>
  <si>
    <t>Teuerung 2015-2023 (Baumaterialien gemäss Bundesamt für Statistik)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</si>
</sst>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1">
    <numFmt numFmtId="43" formatCode="_ * #,##0.00_ ;_ * \-#,##0.00_ ;_ * &quot;-&quot;??_ ;_ @_ "/>
    <numFmt numFmtId="164" formatCode="&quot;Fr.&quot;\ #,##0;&quot;Fr.&quot;\ \-#,##0"/>
    <numFmt numFmtId="165" formatCode="0.0"/>
    <numFmt numFmtId="166" formatCode="0.00\ &quot;Fr.&quot;"/>
    <numFmt numFmtId="167" formatCode="\ #,##0\ &quot;Fr.&quot;"/>
    <numFmt numFmtId="168" formatCode="\ #,##0\ \k\g"/>
    <numFmt numFmtId="169" formatCode="0.0\ \k\g"/>
    <numFmt numFmtId="170" formatCode="0.0\ \l"/>
    <numFmt numFmtId="171" formatCode="0\ \J"/>
    <numFmt numFmtId="172" formatCode="0.0%"/>
    <numFmt numFmtId="173" formatCode="#,##0.0"/>
    <numFmt numFmtId="174" formatCode="0.00\ \k\g"/>
    <numFmt numFmtId="175" formatCode="0.0\ &quot;ha&quot;"/>
    <numFmt numFmtId="176" formatCode="0.00\ &quot;Fr./kg&quot;"/>
    <numFmt numFmtId="177" formatCode="#,##0\ &quot;kg / ha&quot;"/>
    <numFmt numFmtId="178" formatCode="0.00\ &quot;Fr./ h&quot;"/>
    <numFmt numFmtId="179" formatCode="0.00\ &quot;Fr./ kg&quot;"/>
    <numFmt numFmtId="180" formatCode="0\ &quot;Akh&quot;"/>
    <numFmt numFmtId="181" formatCode="0.00\ &quot;Fr./ ha&quot;"/>
    <numFmt numFmtId="182" formatCode="0\ &quot;h / ha&quot;"/>
    <numFmt numFmtId="183" formatCode="0\ &quot;m&quot;"/>
    <numFmt numFmtId="184" formatCode="&quot;Faktor&quot;\ 0.0"/>
    <numFmt numFmtId="185" formatCode="0\ &quot;Fuder&quot;"/>
    <numFmt numFmtId="186" formatCode="0\ &quot;h&quot;"/>
    <numFmt numFmtId="187" formatCode="0\ &quot;m2&quot;"/>
    <numFmt numFmtId="188" formatCode="#,##0\ &quot;m&quot;"/>
    <numFmt numFmtId="189" formatCode="0\ &quot;kg / Fuder&quot;"/>
    <numFmt numFmtId="190" formatCode="#,##0\ &quot;Bäume/ha&quot;"/>
    <numFmt numFmtId="191" formatCode="#,##0\ &quot;Fr.&quot;"/>
    <numFmt numFmtId="192" formatCode="0.00\ &quot;Fr./Fu&quot;"/>
    <numFmt numFmtId="193" formatCode="0.0\ &quot;h/Fuder&quot;"/>
    <numFmt numFmtId="194" formatCode="\ #,##0\ &quot;h&quot;"/>
    <numFmt numFmtId="195" formatCode="\ #,###.00\ &quot;Fr.&quot;\ "/>
    <numFmt numFmtId="196" formatCode="\ #,###\ &quot;Fr.&quot;\ "/>
    <numFmt numFmtId="197" formatCode="0\ &quot;Jahre&quot;"/>
    <numFmt numFmtId="198" formatCode="0.0\ &quot;m&quot;"/>
    <numFmt numFmtId="199" formatCode="0\ &quot;x&quot;"/>
    <numFmt numFmtId="200" formatCode="#,##0.00\ &quot;Fr.&quot;"/>
    <numFmt numFmtId="201" formatCode="0.00\ &quot;Fr./h&quot;"/>
    <numFmt numFmtId="202" formatCode="#,##0\ &quot;Fr./J.&quot;"/>
    <numFmt numFmtId="203" formatCode="#,##0\ &quot;Akh&quot;"/>
    <numFmt numFmtId="204" formatCode="0.00\ &quot;von Akh&quot;"/>
    <numFmt numFmtId="205" formatCode="0.00\ &quot;Fr./100kg&quot;"/>
    <numFmt numFmtId="206" formatCode="#,##0\ &quot;m2&quot;"/>
    <numFmt numFmtId="207" formatCode="#,##0\ &quot;h&quot;"/>
    <numFmt numFmtId="208" formatCode="#,##0.0\ &quot;kg / h&quot;"/>
    <numFmt numFmtId="209" formatCode="0\ &quot;Bäume/ha&quot;"/>
    <numFmt numFmtId="210" formatCode="0\ &quot;Fr./ ha&quot;"/>
    <numFmt numFmtId="211" formatCode="#,##0\ &quot;gerundet&quot;"/>
    <numFmt numFmtId="212" formatCode="#,##0&quot;.- Versicherungssumme&quot;"/>
    <numFmt numFmtId="213" formatCode="\ #,##0.00\ &quot;Fr.&quot;"/>
    <numFmt numFmtId="214" formatCode="0.00\ &quot;Fr&quot;"/>
    <numFmt numFmtId="215" formatCode="#,##0&quot;.- Ersatz- u. Büromaterial&quot;"/>
    <numFmt numFmtId="216" formatCode="0\ &quot;kg/h&quot;"/>
    <numFmt numFmtId="217" formatCode="0\ &quot;Personen&quot;"/>
    <numFmt numFmtId="218" formatCode="0\ &quot;kg/Fuder&quot;"/>
    <numFmt numFmtId="219" formatCode="0.00\ &quot;Fr. / h&quot;"/>
    <numFmt numFmtId="220" formatCode="#,##0.00\ &quot;Fr./h&quot;"/>
    <numFmt numFmtId="221" formatCode="#,##0\ &quot;Fr./ha&quot;"/>
    <numFmt numFmtId="222" formatCode="\ #,###\ &quot;Fr./ha&quot;"/>
    <numFmt numFmtId="223" formatCode="#,##0\ &quot;Fahrten&quot;"/>
    <numFmt numFmtId="224" formatCode="0.00\ \l"/>
    <numFmt numFmtId="225" formatCode="0\ &quot;kg&quot;"/>
    <numFmt numFmtId="226" formatCode="&quot;Netto&quot;\ 0\ \ &quot;x&quot;"/>
    <numFmt numFmtId="227" formatCode="\ 0\ \ &quot;Reihen&quot;"/>
    <numFmt numFmtId="228" formatCode="0.0\ \ &quot;x&quot;"/>
    <numFmt numFmtId="229" formatCode="#,##0\ \ &quot;Fr.&quot;"/>
    <numFmt numFmtId="230" formatCode="0\ &quot;lfm&quot;"/>
    <numFmt numFmtId="231" formatCode="0\ &quot;Stück&quot;"/>
    <numFmt numFmtId="232" formatCode="0.00\ &quot;dt&quot;"/>
    <numFmt numFmtId="233" formatCode="0.00\ &quot;kg&quot;"/>
    <numFmt numFmtId="234" formatCode="0.0\ &quot;Fr./lfm&quot;"/>
    <numFmt numFmtId="235" formatCode="0\ &quot;AK&quot;"/>
    <numFmt numFmtId="236" formatCode="0\ &quot;Wg&quot;"/>
    <numFmt numFmtId="237" formatCode="0.0\ &quot;h&quot;"/>
    <numFmt numFmtId="238" formatCode="0.0\ &quot;x&quot;"/>
    <numFmt numFmtId="239" formatCode="0.00\ &quot;Fr./m3&quot;"/>
    <numFmt numFmtId="240" formatCode="\ #,##0.00\ &quot;Fr./L&quot;"/>
    <numFmt numFmtId="241" formatCode="\ ##,##0.00\ &quot;Fr./m2&quot;\ "/>
    <numFmt numFmtId="242" formatCode="\ ##,##0.00\ &quot;Fr./m&quot;\ "/>
    <numFmt numFmtId="243" formatCode="0.00\ \ &quot;m&quot;"/>
    <numFmt numFmtId="244" formatCode="\ #,##0\ \ &quot;Fr.&quot;"/>
    <numFmt numFmtId="245" formatCode="0.\ &quot;%&quot;"/>
    <numFmt numFmtId="246" formatCode="0.00\ &quot;m3&quot;"/>
    <numFmt numFmtId="247" formatCode="0\ &quot;m3&quot;"/>
    <numFmt numFmtId="248" formatCode="0.00\ &quot;Fr/m3&quot;"/>
    <numFmt numFmtId="249" formatCode="\ #,##0.00\ &quot;Fr./kg&quot;"/>
    <numFmt numFmtId="250" formatCode="\ #,##0.00\ &quot;Fr./l&quot;"/>
    <numFmt numFmtId="251" formatCode="0.00\ &quot;Fr./l&quot;"/>
    <numFmt numFmtId="252" formatCode="0.00\ &quot;l&quot;"/>
    <numFmt numFmtId="253" formatCode="0.00\ &quot;Fr/h&quot;"/>
  </numFmts>
  <fonts count="84" x14ac:knownFonts="1">
    <font>
      <sz val="10"/>
      <name val="Arial"/>
    </font>
    <font>
      <b/>
      <sz val="10"/>
      <name val="Arial"/>
      <family val="2"/>
    </font>
    <font>
      <i/>
      <sz val="10"/>
      <name val="Arial"/>
      <family val="2"/>
    </font>
    <font>
      <sz val="10"/>
      <name val="Arial"/>
      <family val="2"/>
    </font>
    <font>
      <b/>
      <sz val="20"/>
      <name val="Arial"/>
      <family val="2"/>
    </font>
    <font>
      <b/>
      <sz val="12"/>
      <name val="Arial"/>
      <family val="2"/>
    </font>
    <font>
      <sz val="8"/>
      <name val="Arial"/>
      <family val="2"/>
    </font>
    <font>
      <b/>
      <sz val="14"/>
      <name val="Arial"/>
      <family val="2"/>
    </font>
    <font>
      <sz val="12"/>
      <name val="Arial"/>
      <family val="2"/>
    </font>
    <font>
      <sz val="14"/>
      <name val="Arial"/>
      <family val="2"/>
    </font>
    <font>
      <b/>
      <i/>
      <sz val="14"/>
      <name val="Arial"/>
      <family val="2"/>
    </font>
    <font>
      <b/>
      <sz val="10"/>
      <name val="Arial"/>
      <family val="2"/>
    </font>
    <font>
      <sz val="10"/>
      <name val="Arial"/>
      <family val="2"/>
    </font>
    <font>
      <b/>
      <sz val="10"/>
      <color indexed="9"/>
      <name val="Arial"/>
      <family val="2"/>
    </font>
    <font>
      <b/>
      <sz val="16"/>
      <name val="Arial"/>
      <family val="2"/>
    </font>
    <font>
      <b/>
      <sz val="16"/>
      <color indexed="9"/>
      <name val="Arial"/>
      <family val="2"/>
    </font>
    <font>
      <b/>
      <i/>
      <sz val="16"/>
      <name val="Arial"/>
      <family val="2"/>
    </font>
    <font>
      <sz val="10"/>
      <color indexed="9"/>
      <name val="Arial"/>
      <family val="2"/>
    </font>
    <font>
      <sz val="16"/>
      <color indexed="9"/>
      <name val="Arial"/>
      <family val="2"/>
    </font>
    <font>
      <sz val="10"/>
      <color indexed="8"/>
      <name val="Arial"/>
      <family val="2"/>
    </font>
    <font>
      <b/>
      <sz val="10"/>
      <color indexed="8"/>
      <name val="Arial"/>
      <family val="2"/>
    </font>
    <font>
      <sz val="11"/>
      <color indexed="8"/>
      <name val="Arial"/>
      <family val="2"/>
    </font>
    <font>
      <b/>
      <sz val="12"/>
      <color indexed="9"/>
      <name val="Arial"/>
      <family val="2"/>
    </font>
    <font>
      <sz val="8"/>
      <name val="Arial"/>
      <family val="2"/>
    </font>
    <font>
      <sz val="12"/>
      <color indexed="9"/>
      <name val="Arial"/>
      <family val="2"/>
    </font>
    <font>
      <sz val="10"/>
      <color indexed="10"/>
      <name val="Arial"/>
      <family val="2"/>
    </font>
    <font>
      <sz val="8"/>
      <color indexed="81"/>
      <name val="Tahoma"/>
      <family val="2"/>
    </font>
    <font>
      <b/>
      <sz val="8"/>
      <color indexed="81"/>
      <name val="Tahoma"/>
      <family val="2"/>
    </font>
    <font>
      <b/>
      <i/>
      <sz val="10"/>
      <name val="Arial"/>
      <family val="2"/>
    </font>
    <font>
      <b/>
      <sz val="20"/>
      <color indexed="9"/>
      <name val="Arial"/>
      <family val="2"/>
    </font>
    <font>
      <b/>
      <sz val="16"/>
      <color indexed="9"/>
      <name val="Arial"/>
      <family val="2"/>
    </font>
    <font>
      <b/>
      <sz val="14"/>
      <color indexed="9"/>
      <name val="Arial"/>
      <family val="2"/>
    </font>
    <font>
      <sz val="14"/>
      <color indexed="9"/>
      <name val="Arial"/>
      <family val="2"/>
    </font>
    <font>
      <sz val="9"/>
      <name val="Arial"/>
      <family val="2"/>
    </font>
    <font>
      <sz val="10"/>
      <color indexed="81"/>
      <name val="Tahoma"/>
      <family val="2"/>
    </font>
    <font>
      <b/>
      <i/>
      <sz val="12"/>
      <name val="Arial"/>
      <family val="2"/>
    </font>
    <font>
      <b/>
      <sz val="18"/>
      <color indexed="9"/>
      <name val="Arial"/>
      <family val="2"/>
    </font>
    <font>
      <b/>
      <sz val="10"/>
      <color indexed="10"/>
      <name val="Arial"/>
      <family val="2"/>
    </font>
    <font>
      <i/>
      <sz val="10"/>
      <name val="Arial"/>
      <family val="2"/>
    </font>
    <font>
      <b/>
      <i/>
      <sz val="10"/>
      <color indexed="9"/>
      <name val="Arial"/>
      <family val="2"/>
    </font>
    <font>
      <b/>
      <sz val="18"/>
      <name val="Arial"/>
      <family val="2"/>
    </font>
    <font>
      <b/>
      <sz val="20"/>
      <name val="Comic Sans MS"/>
      <family val="4"/>
    </font>
    <font>
      <b/>
      <sz val="24"/>
      <color indexed="9"/>
      <name val="Arial"/>
      <family val="2"/>
    </font>
    <font>
      <sz val="26"/>
      <color indexed="9"/>
      <name val="Arial"/>
      <family val="2"/>
    </font>
    <font>
      <b/>
      <sz val="10"/>
      <color indexed="81"/>
      <name val="Tahoma"/>
      <family val="2"/>
    </font>
    <font>
      <b/>
      <i/>
      <sz val="10"/>
      <color indexed="81"/>
      <name val="Tahoma"/>
      <family val="2"/>
    </font>
    <font>
      <sz val="12"/>
      <color indexed="81"/>
      <name val="Tahoma"/>
      <family val="2"/>
    </font>
    <font>
      <sz val="11"/>
      <name val="Arial"/>
      <family val="2"/>
    </font>
    <font>
      <sz val="18"/>
      <name val="Arial"/>
      <family val="2"/>
    </font>
    <font>
      <b/>
      <sz val="20"/>
      <color indexed="9"/>
      <name val="Comic Sans MS"/>
      <family val="4"/>
    </font>
    <font>
      <sz val="20"/>
      <name val="Arial"/>
      <family val="2"/>
    </font>
    <font>
      <sz val="18"/>
      <color indexed="9"/>
      <name val="Arial"/>
      <family val="2"/>
    </font>
    <font>
      <sz val="16"/>
      <name val="Arial"/>
      <family val="2"/>
    </font>
    <font>
      <b/>
      <sz val="11"/>
      <name val="Arial"/>
      <family val="2"/>
    </font>
    <font>
      <sz val="18"/>
      <color indexed="8"/>
      <name val="Arial"/>
      <family val="2"/>
    </font>
    <font>
      <sz val="14"/>
      <color indexed="8"/>
      <name val="Arial"/>
      <family val="2"/>
    </font>
    <font>
      <b/>
      <i/>
      <sz val="11"/>
      <name val="Arial"/>
      <family val="2"/>
    </font>
    <font>
      <i/>
      <sz val="16"/>
      <name val="Arial"/>
      <family val="2"/>
    </font>
    <font>
      <sz val="10"/>
      <color indexed="10"/>
      <name val="Arial"/>
      <family val="2"/>
    </font>
    <font>
      <sz val="9"/>
      <color indexed="81"/>
      <name val="Tahoma"/>
      <family val="2"/>
    </font>
    <font>
      <b/>
      <sz val="9"/>
      <color indexed="81"/>
      <name val="Tahoma"/>
      <family val="2"/>
    </font>
    <font>
      <sz val="12"/>
      <name val="Arial"/>
      <family val="2"/>
    </font>
    <font>
      <b/>
      <i/>
      <sz val="12"/>
      <color indexed="10"/>
      <name val="Arial"/>
      <family val="2"/>
    </font>
    <font>
      <b/>
      <sz val="8"/>
      <name val="Arial"/>
      <family val="2"/>
    </font>
    <font>
      <b/>
      <sz val="8"/>
      <name val="Arial"/>
      <family val="2"/>
    </font>
    <font>
      <u/>
      <sz val="10"/>
      <name val="Arial"/>
      <family val="2"/>
    </font>
    <font>
      <sz val="10"/>
      <color indexed="9"/>
      <name val="Arial"/>
      <family val="2"/>
    </font>
    <font>
      <i/>
      <sz val="8"/>
      <name val="Arial"/>
      <family val="2"/>
    </font>
    <font>
      <sz val="10"/>
      <color indexed="8"/>
      <name val="Arial"/>
      <family val="2"/>
    </font>
    <font>
      <sz val="9"/>
      <name val="Arial"/>
      <family val="2"/>
    </font>
    <font>
      <b/>
      <vertAlign val="superscript"/>
      <sz val="10"/>
      <name val="Arial"/>
      <family val="2"/>
    </font>
    <font>
      <b/>
      <sz val="10"/>
      <color indexed="56"/>
      <name val="Arial"/>
      <family val="2"/>
    </font>
    <font>
      <sz val="10"/>
      <color indexed="56"/>
      <name val="Arial"/>
      <family val="2"/>
    </font>
    <font>
      <sz val="14"/>
      <color indexed="9"/>
      <name val="Arial Black"/>
      <family val="2"/>
    </font>
    <font>
      <sz val="7"/>
      <name val="Arial"/>
      <family val="2"/>
    </font>
    <font>
      <sz val="6"/>
      <name val="Arial"/>
      <family val="2"/>
    </font>
    <font>
      <b/>
      <sz val="9"/>
      <name val="Arial"/>
      <family val="2"/>
    </font>
    <font>
      <b/>
      <sz val="6"/>
      <name val="Arial"/>
      <family val="2"/>
    </font>
    <font>
      <b/>
      <sz val="22"/>
      <name val="Arial"/>
      <family val="2"/>
    </font>
    <font>
      <sz val="8"/>
      <color indexed="9"/>
      <name val="Arial"/>
      <family val="2"/>
    </font>
    <font>
      <sz val="7"/>
      <color indexed="9"/>
      <name val="Arial"/>
      <family val="2"/>
    </font>
    <font>
      <sz val="11"/>
      <color indexed="9"/>
      <name val="Arial"/>
      <family val="2"/>
    </font>
    <font>
      <sz val="9"/>
      <color indexed="81"/>
      <name val="Segoe UI"/>
      <family val="2"/>
    </font>
    <font>
      <b/>
      <sz val="9"/>
      <color indexed="81"/>
      <name val="Segoe UI"/>
      <family val="2"/>
    </font>
  </fonts>
  <fills count="14">
    <fill>
      <patternFill patternType="none"/>
    </fill>
    <fill>
      <patternFill patternType="gray125"/>
    </fill>
    <fill>
      <patternFill patternType="solid">
        <fgColor indexed="22"/>
        <bgColor indexed="64"/>
      </patternFill>
    </fill>
    <fill>
      <patternFill patternType="solid">
        <fgColor indexed="18"/>
        <bgColor indexed="64"/>
      </patternFill>
    </fill>
    <fill>
      <patternFill patternType="solid">
        <fgColor indexed="50"/>
        <bgColor indexed="64"/>
      </patternFill>
    </fill>
    <fill>
      <patternFill patternType="solid">
        <fgColor indexed="29"/>
        <bgColor indexed="64"/>
      </patternFill>
    </fill>
    <fill>
      <patternFill patternType="solid">
        <fgColor indexed="13"/>
        <bgColor indexed="64"/>
      </patternFill>
    </fill>
    <fill>
      <patternFill patternType="solid">
        <fgColor indexed="8"/>
        <bgColor indexed="64"/>
      </patternFill>
    </fill>
    <fill>
      <patternFill patternType="solid">
        <fgColor indexed="9"/>
        <bgColor indexed="64"/>
      </patternFill>
    </fill>
    <fill>
      <patternFill patternType="solid">
        <fgColor indexed="43"/>
        <bgColor indexed="64"/>
      </patternFill>
    </fill>
    <fill>
      <patternFill patternType="solid">
        <fgColor indexed="47"/>
        <bgColor indexed="64"/>
      </patternFill>
    </fill>
    <fill>
      <patternFill patternType="solid">
        <fgColor indexed="17"/>
        <bgColor indexed="64"/>
      </patternFill>
    </fill>
    <fill>
      <patternFill patternType="solid">
        <fgColor rgb="FFFFFF00"/>
        <bgColor indexed="64"/>
      </patternFill>
    </fill>
    <fill>
      <patternFill patternType="solid">
        <fgColor theme="5"/>
        <bgColor indexed="64"/>
      </patternFill>
    </fill>
  </fills>
  <borders count="31">
    <border>
      <left/>
      <right/>
      <top/>
      <bottom/>
      <diagonal/>
    </border>
    <border>
      <left/>
      <right/>
      <top/>
      <bottom style="thin">
        <color indexed="64"/>
      </bottom>
      <diagonal/>
    </border>
    <border>
      <left/>
      <right style="thin">
        <color indexed="64"/>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1460">
    <xf numFmtId="0" fontId="0" fillId="0" borderId="0" xfId="0"/>
    <xf numFmtId="0" fontId="0" fillId="0" borderId="0" xfId="0" applyFill="1"/>
    <xf numFmtId="0" fontId="5" fillId="0" borderId="0" xfId="0" applyFont="1" applyFill="1"/>
    <xf numFmtId="0" fontId="1" fillId="0" borderId="0" xfId="0" applyFont="1" applyFill="1"/>
    <xf numFmtId="0" fontId="3" fillId="0" borderId="0" xfId="0" applyFont="1" applyFill="1"/>
    <xf numFmtId="165" fontId="0" fillId="0" borderId="0" xfId="0" applyNumberFormat="1" applyFill="1"/>
    <xf numFmtId="1" fontId="0" fillId="0" borderId="0" xfId="0" applyNumberFormat="1" applyFill="1"/>
    <xf numFmtId="166" fontId="0" fillId="0" borderId="0" xfId="0" applyNumberFormat="1" applyFill="1"/>
    <xf numFmtId="167" fontId="0" fillId="0" borderId="0" xfId="0" applyNumberFormat="1" applyFill="1"/>
    <xf numFmtId="166" fontId="0" fillId="0" borderId="0" xfId="0" applyNumberFormat="1"/>
    <xf numFmtId="0" fontId="0" fillId="0" borderId="0" xfId="0" applyAlignment="1">
      <alignment horizontal="center"/>
    </xf>
    <xf numFmtId="0" fontId="0" fillId="0" borderId="0" xfId="0" applyBorder="1" applyAlignment="1">
      <alignment horizontal="center"/>
    </xf>
    <xf numFmtId="0" fontId="1" fillId="0" borderId="0" xfId="0" applyFont="1"/>
    <xf numFmtId="0" fontId="0" fillId="0" borderId="0" xfId="0" applyBorder="1"/>
    <xf numFmtId="3" fontId="0" fillId="0" borderId="0" xfId="0" applyNumberFormat="1" applyAlignment="1">
      <alignment horizontal="center"/>
    </xf>
    <xf numFmtId="0" fontId="3" fillId="0" borderId="0" xfId="0" applyFont="1"/>
    <xf numFmtId="0" fontId="8" fillId="0" borderId="0" xfId="0" applyFont="1"/>
    <xf numFmtId="0" fontId="1" fillId="0" borderId="0" xfId="0" applyFont="1" applyBorder="1"/>
    <xf numFmtId="165" fontId="1" fillId="2" borderId="0" xfId="0" applyNumberFormat="1" applyFont="1" applyFill="1"/>
    <xf numFmtId="0" fontId="0" fillId="0" borderId="0" xfId="0" applyFill="1" applyBorder="1"/>
    <xf numFmtId="0" fontId="8" fillId="0" borderId="0" xfId="0" applyFont="1" applyFill="1"/>
    <xf numFmtId="165" fontId="8" fillId="0" borderId="0" xfId="0" applyNumberFormat="1" applyFont="1" applyFill="1"/>
    <xf numFmtId="165" fontId="9" fillId="0" borderId="0" xfId="0" applyNumberFormat="1" applyFont="1" applyFill="1"/>
    <xf numFmtId="0" fontId="9" fillId="0" borderId="0" xfId="0" applyFont="1"/>
    <xf numFmtId="166" fontId="0" fillId="0" borderId="0" xfId="0" applyNumberFormat="1" applyAlignment="1">
      <alignment horizontal="center"/>
    </xf>
    <xf numFmtId="167" fontId="0" fillId="0" borderId="0" xfId="0" applyNumberFormat="1" applyAlignment="1">
      <alignment horizontal="center"/>
    </xf>
    <xf numFmtId="165" fontId="0" fillId="0" borderId="0" xfId="0" applyNumberFormat="1" applyAlignment="1">
      <alignment horizontal="center"/>
    </xf>
    <xf numFmtId="0" fontId="3" fillId="2" borderId="0" xfId="0" applyFont="1" applyFill="1" applyAlignment="1">
      <alignment horizontal="center"/>
    </xf>
    <xf numFmtId="166" fontId="3" fillId="2" borderId="0" xfId="0" applyNumberFormat="1" applyFont="1" applyFill="1" applyAlignment="1">
      <alignment horizontal="center"/>
    </xf>
    <xf numFmtId="0" fontId="3" fillId="0" borderId="0" xfId="0" applyFont="1" applyBorder="1"/>
    <xf numFmtId="167" fontId="0" fillId="0" borderId="0" xfId="0" applyNumberFormat="1" applyBorder="1" applyAlignment="1">
      <alignment horizontal="center"/>
    </xf>
    <xf numFmtId="0" fontId="0" fillId="0" borderId="1" xfId="0" applyBorder="1" applyAlignment="1">
      <alignment horizontal="center"/>
    </xf>
    <xf numFmtId="0" fontId="0" fillId="0" borderId="1" xfId="0" applyBorder="1"/>
    <xf numFmtId="167" fontId="3" fillId="2" borderId="0" xfId="0" applyNumberFormat="1" applyFont="1" applyFill="1" applyAlignment="1">
      <alignment horizontal="center"/>
    </xf>
    <xf numFmtId="167" fontId="0" fillId="0" borderId="0" xfId="0" applyNumberFormat="1" applyFill="1" applyAlignment="1">
      <alignment horizontal="center"/>
    </xf>
    <xf numFmtId="0" fontId="0" fillId="0" borderId="0" xfId="0" applyFill="1" applyAlignment="1">
      <alignment horizontal="center"/>
    </xf>
    <xf numFmtId="165" fontId="0" fillId="0" borderId="0" xfId="0" applyNumberFormat="1" applyFill="1" applyAlignment="1">
      <alignment horizontal="center"/>
    </xf>
    <xf numFmtId="167" fontId="0" fillId="0" borderId="0" xfId="0" applyNumberFormat="1"/>
    <xf numFmtId="0" fontId="0" fillId="2" borderId="0" xfId="0" applyFill="1" applyAlignment="1">
      <alignment horizontal="center"/>
    </xf>
    <xf numFmtId="0" fontId="0" fillId="0" borderId="2" xfId="0" applyBorder="1" applyAlignment="1">
      <alignment horizontal="center"/>
    </xf>
    <xf numFmtId="165" fontId="0" fillId="0" borderId="0" xfId="0" applyNumberFormat="1" applyFill="1" applyBorder="1" applyAlignment="1">
      <alignment horizontal="center"/>
    </xf>
    <xf numFmtId="0" fontId="1" fillId="0" borderId="0" xfId="0" applyFont="1" applyFill="1" applyBorder="1"/>
    <xf numFmtId="0" fontId="3" fillId="0" borderId="0" xfId="0" applyFont="1" applyFill="1" applyBorder="1"/>
    <xf numFmtId="0" fontId="3" fillId="0" borderId="0" xfId="0" applyFont="1" applyFill="1" applyBorder="1" applyAlignment="1">
      <alignment horizontal="center"/>
    </xf>
    <xf numFmtId="0" fontId="0" fillId="0" borderId="0" xfId="0" applyFill="1" applyBorder="1" applyAlignment="1">
      <alignment horizontal="center"/>
    </xf>
    <xf numFmtId="166" fontId="0" fillId="0" borderId="0" xfId="0" applyNumberFormat="1" applyFill="1" applyBorder="1" applyAlignment="1">
      <alignment horizontal="center"/>
    </xf>
    <xf numFmtId="167" fontId="0" fillId="0" borderId="0" xfId="0" applyNumberFormat="1" applyFill="1" applyBorder="1" applyAlignment="1">
      <alignment horizontal="center"/>
    </xf>
    <xf numFmtId="1" fontId="0" fillId="0" borderId="0" xfId="0" applyNumberFormat="1" applyFill="1" applyBorder="1" applyAlignment="1">
      <alignment horizontal="center"/>
    </xf>
    <xf numFmtId="166" fontId="0" fillId="0" borderId="0" xfId="0" applyNumberFormat="1" applyFill="1" applyAlignment="1">
      <alignment horizontal="center"/>
    </xf>
    <xf numFmtId="0" fontId="11" fillId="0" borderId="0" xfId="0" applyFont="1"/>
    <xf numFmtId="0" fontId="0" fillId="0" borderId="0" xfId="0" applyAlignment="1">
      <alignment horizontal="right"/>
    </xf>
    <xf numFmtId="0" fontId="18" fillId="0" borderId="0" xfId="0" applyFont="1" applyFill="1"/>
    <xf numFmtId="0" fontId="0" fillId="0" borderId="2" xfId="0" applyBorder="1"/>
    <xf numFmtId="0" fontId="19" fillId="0" borderId="0" xfId="0" applyFont="1" applyFill="1"/>
    <xf numFmtId="0" fontId="20" fillId="0" borderId="0" xfId="0" applyFont="1" applyFill="1"/>
    <xf numFmtId="167" fontId="1" fillId="0" borderId="0" xfId="0" applyNumberFormat="1" applyFont="1" applyFill="1" applyAlignment="1">
      <alignment horizontal="center"/>
    </xf>
    <xf numFmtId="0" fontId="9" fillId="0" borderId="0" xfId="0" applyFont="1" applyBorder="1"/>
    <xf numFmtId="0" fontId="12" fillId="0" borderId="0" xfId="0" applyFont="1"/>
    <xf numFmtId="169" fontId="1" fillId="0" borderId="0" xfId="0" applyNumberFormat="1" applyFont="1" applyFill="1" applyBorder="1" applyAlignment="1">
      <alignment horizontal="center"/>
    </xf>
    <xf numFmtId="168" fontId="1" fillId="0" borderId="0" xfId="0" applyNumberFormat="1" applyFont="1" applyFill="1" applyBorder="1" applyAlignment="1">
      <alignment horizontal="center"/>
    </xf>
    <xf numFmtId="166" fontId="1" fillId="0" borderId="0" xfId="0" applyNumberFormat="1" applyFont="1" applyFill="1" applyBorder="1" applyAlignment="1">
      <alignment horizontal="center"/>
    </xf>
    <xf numFmtId="9" fontId="3" fillId="0" borderId="0" xfId="2" applyFont="1" applyFill="1" applyBorder="1" applyAlignment="1">
      <alignment horizontal="center"/>
    </xf>
    <xf numFmtId="169" fontId="0" fillId="0" borderId="0" xfId="0" applyNumberFormat="1" applyFill="1" applyAlignment="1">
      <alignment horizontal="center"/>
    </xf>
    <xf numFmtId="9" fontId="0" fillId="0" borderId="0" xfId="2" applyFont="1" applyFill="1" applyBorder="1" applyAlignment="1">
      <alignment horizontal="center"/>
    </xf>
    <xf numFmtId="3" fontId="1" fillId="0" borderId="0" xfId="0" applyNumberFormat="1" applyFont="1" applyFill="1" applyAlignment="1">
      <alignment horizontal="center"/>
    </xf>
    <xf numFmtId="0" fontId="19" fillId="0" borderId="0" xfId="0" applyFont="1"/>
    <xf numFmtId="3" fontId="21" fillId="0" borderId="0" xfId="0" applyNumberFormat="1" applyFont="1" applyFill="1"/>
    <xf numFmtId="3" fontId="19" fillId="0" borderId="0" xfId="0" applyNumberFormat="1" applyFont="1" applyFill="1"/>
    <xf numFmtId="0" fontId="0" fillId="0" borderId="1" xfId="0" applyFill="1" applyBorder="1" applyAlignment="1">
      <alignment horizontal="center"/>
    </xf>
    <xf numFmtId="0" fontId="12" fillId="0" borderId="0" xfId="0" applyFont="1" applyFill="1"/>
    <xf numFmtId="0" fontId="8" fillId="0" borderId="0" xfId="0" applyFont="1" applyBorder="1"/>
    <xf numFmtId="0" fontId="12" fillId="0" borderId="0" xfId="0" applyFont="1" applyBorder="1"/>
    <xf numFmtId="0" fontId="11" fillId="0" borderId="0" xfId="0" applyFont="1" applyBorder="1"/>
    <xf numFmtId="0" fontId="17" fillId="0" borderId="0" xfId="0" applyFont="1" applyFill="1"/>
    <xf numFmtId="166" fontId="17" fillId="0" borderId="0" xfId="0" applyNumberFormat="1" applyFont="1" applyFill="1" applyAlignment="1">
      <alignment horizontal="center"/>
    </xf>
    <xf numFmtId="0" fontId="11" fillId="0" borderId="0" xfId="0" applyFont="1" applyFill="1"/>
    <xf numFmtId="9" fontId="0" fillId="0" borderId="0" xfId="2" applyFont="1" applyFill="1" applyAlignment="1">
      <alignment horizontal="center"/>
    </xf>
    <xf numFmtId="0" fontId="28" fillId="0" borderId="0" xfId="0" applyFont="1"/>
    <xf numFmtId="166" fontId="1" fillId="0" borderId="0" xfId="0" applyNumberFormat="1" applyFont="1" applyFill="1" applyAlignment="1">
      <alignment horizontal="center"/>
    </xf>
    <xf numFmtId="173" fontId="1" fillId="0" borderId="0" xfId="0" applyNumberFormat="1" applyFont="1" applyFill="1" applyAlignment="1">
      <alignment horizontal="center"/>
    </xf>
    <xf numFmtId="0" fontId="11" fillId="2" borderId="0" xfId="0" applyFont="1" applyFill="1" applyAlignment="1">
      <alignment horizontal="center"/>
    </xf>
    <xf numFmtId="165" fontId="0" fillId="0" borderId="0" xfId="0" applyNumberFormat="1" applyFill="1" applyBorder="1"/>
    <xf numFmtId="2" fontId="0" fillId="0" borderId="0" xfId="0" applyNumberFormat="1" applyFill="1" applyBorder="1" applyAlignment="1">
      <alignment horizontal="center"/>
    </xf>
    <xf numFmtId="167" fontId="1" fillId="0" borderId="0" xfId="0" applyNumberFormat="1" applyFont="1" applyFill="1" applyBorder="1" applyAlignment="1">
      <alignment horizontal="center"/>
    </xf>
    <xf numFmtId="167" fontId="12" fillId="0" borderId="0" xfId="0" applyNumberFormat="1" applyFont="1" applyFill="1" applyAlignment="1">
      <alignment horizontal="center"/>
    </xf>
    <xf numFmtId="167" fontId="11" fillId="0" borderId="0" xfId="0" applyNumberFormat="1" applyFont="1" applyFill="1" applyBorder="1" applyAlignment="1">
      <alignment horizontal="center"/>
    </xf>
    <xf numFmtId="0" fontId="12" fillId="2" borderId="0" xfId="0" applyFont="1" applyFill="1" applyBorder="1" applyAlignment="1">
      <alignment horizontal="center"/>
    </xf>
    <xf numFmtId="0" fontId="11" fillId="0" borderId="0" xfId="0" applyFont="1" applyFill="1" applyBorder="1"/>
    <xf numFmtId="0" fontId="0" fillId="0" borderId="2" xfId="0" applyFill="1" applyBorder="1"/>
    <xf numFmtId="165" fontId="1" fillId="2" borderId="0" xfId="0" applyNumberFormat="1" applyFont="1" applyFill="1" applyAlignment="1">
      <alignment horizontal="center"/>
    </xf>
    <xf numFmtId="9" fontId="1" fillId="0" borderId="0" xfId="2" applyFont="1" applyFill="1" applyAlignment="1">
      <alignment horizontal="center"/>
    </xf>
    <xf numFmtId="9" fontId="3" fillId="0" borderId="0" xfId="2" applyFill="1" applyAlignment="1">
      <alignment horizontal="center"/>
    </xf>
    <xf numFmtId="178" fontId="0" fillId="0" borderId="0" xfId="0" applyNumberFormat="1" applyBorder="1" applyAlignment="1">
      <alignment horizontal="center"/>
    </xf>
    <xf numFmtId="178" fontId="0" fillId="0" borderId="0" xfId="0" applyNumberFormat="1" applyAlignment="1">
      <alignment horizontal="center"/>
    </xf>
    <xf numFmtId="0" fontId="0" fillId="2" borderId="0" xfId="0" applyFill="1" applyBorder="1" applyAlignment="1">
      <alignment horizontal="center"/>
    </xf>
    <xf numFmtId="178" fontId="0" fillId="0" borderId="0" xfId="0" applyNumberFormat="1" applyFill="1" applyAlignment="1">
      <alignment horizontal="center"/>
    </xf>
    <xf numFmtId="1" fontId="0" fillId="0" borderId="0" xfId="0" applyNumberFormat="1" applyFill="1" applyAlignment="1">
      <alignment horizontal="center"/>
    </xf>
    <xf numFmtId="178" fontId="0" fillId="0" borderId="0" xfId="0" applyNumberFormat="1" applyFill="1" applyBorder="1" applyAlignment="1">
      <alignment horizontal="center"/>
    </xf>
    <xf numFmtId="0" fontId="31" fillId="0" borderId="0" xfId="0" applyFont="1" applyFill="1"/>
    <xf numFmtId="0" fontId="32" fillId="0" borderId="0" xfId="0" applyFont="1" applyFill="1"/>
    <xf numFmtId="165" fontId="32" fillId="0" borderId="0" xfId="0" applyNumberFormat="1" applyFont="1" applyFill="1" applyAlignment="1">
      <alignment horizontal="center"/>
    </xf>
    <xf numFmtId="166" fontId="32" fillId="0" borderId="0" xfId="0" applyNumberFormat="1" applyFont="1" applyFill="1" applyAlignment="1">
      <alignment horizontal="center"/>
    </xf>
    <xf numFmtId="167" fontId="31" fillId="0" borderId="0" xfId="0" applyNumberFormat="1" applyFont="1" applyFill="1" applyBorder="1" applyAlignment="1">
      <alignment horizontal="center"/>
    </xf>
    <xf numFmtId="0" fontId="9" fillId="0" borderId="0" xfId="0" applyFont="1" applyFill="1" applyBorder="1"/>
    <xf numFmtId="0" fontId="9" fillId="0" borderId="0" xfId="0" applyFont="1" applyFill="1"/>
    <xf numFmtId="0" fontId="0" fillId="0" borderId="0" xfId="0" applyAlignment="1">
      <alignment horizontal="left"/>
    </xf>
    <xf numFmtId="3" fontId="0" fillId="0" borderId="0" xfId="0" applyNumberFormat="1" applyBorder="1" applyAlignment="1">
      <alignment horizontal="center"/>
    </xf>
    <xf numFmtId="166" fontId="0" fillId="0" borderId="0" xfId="0" applyNumberFormat="1" applyBorder="1" applyAlignment="1">
      <alignment horizontal="center"/>
    </xf>
    <xf numFmtId="0" fontId="3" fillId="0" borderId="0" xfId="0" applyFont="1" applyBorder="1" applyAlignment="1">
      <alignment horizontal="center"/>
    </xf>
    <xf numFmtId="0" fontId="0" fillId="0" borderId="0" xfId="0" applyBorder="1" applyAlignment="1">
      <alignment horizontal="left"/>
    </xf>
    <xf numFmtId="0" fontId="30" fillId="0" borderId="0" xfId="0" applyFont="1" applyFill="1" applyBorder="1"/>
    <xf numFmtId="0" fontId="12" fillId="0" borderId="0" xfId="0" applyFont="1" applyFill="1" applyAlignment="1">
      <alignment horizontal="right"/>
    </xf>
    <xf numFmtId="167" fontId="1" fillId="0" borderId="0" xfId="0" applyNumberFormat="1" applyFont="1" applyBorder="1" applyAlignment="1">
      <alignment horizontal="center"/>
    </xf>
    <xf numFmtId="0" fontId="8" fillId="0" borderId="0" xfId="0" applyFont="1" applyFill="1" applyBorder="1"/>
    <xf numFmtId="0" fontId="11" fillId="0" borderId="0" xfId="0" applyFont="1" applyBorder="1" applyAlignment="1">
      <alignment horizontal="center"/>
    </xf>
    <xf numFmtId="191" fontId="0" fillId="0" borderId="0" xfId="0" applyNumberFormat="1" applyAlignment="1">
      <alignment horizontal="center"/>
    </xf>
    <xf numFmtId="191" fontId="0" fillId="0" borderId="0" xfId="0" applyNumberFormat="1" applyFill="1" applyAlignment="1">
      <alignment horizontal="center"/>
    </xf>
    <xf numFmtId="0" fontId="17" fillId="0" borderId="0" xfId="0" applyFont="1" applyFill="1" applyBorder="1"/>
    <xf numFmtId="49" fontId="5" fillId="0" borderId="0" xfId="0" applyNumberFormat="1" applyFont="1" applyBorder="1" applyAlignment="1">
      <alignment horizontal="center"/>
    </xf>
    <xf numFmtId="4" fontId="0" fillId="0" borderId="0" xfId="0" applyNumberFormat="1" applyAlignment="1">
      <alignment horizontal="center"/>
    </xf>
    <xf numFmtId="165" fontId="0" fillId="2" borderId="0" xfId="0" applyNumberFormat="1" applyFill="1" applyBorder="1" applyAlignment="1">
      <alignment horizontal="center"/>
    </xf>
    <xf numFmtId="0" fontId="19" fillId="0" borderId="0" xfId="0" applyFont="1" applyFill="1" applyAlignment="1">
      <alignment horizontal="center"/>
    </xf>
    <xf numFmtId="0" fontId="18" fillId="0" borderId="0" xfId="0" applyFont="1" applyFill="1" applyAlignment="1">
      <alignment horizontal="center"/>
    </xf>
    <xf numFmtId="0" fontId="8" fillId="0" borderId="0" xfId="0" applyFont="1" applyAlignment="1">
      <alignment horizontal="center"/>
    </xf>
    <xf numFmtId="3" fontId="0" fillId="0" borderId="0" xfId="0" applyNumberFormat="1" applyFill="1" applyAlignment="1">
      <alignment horizontal="center"/>
    </xf>
    <xf numFmtId="3" fontId="19" fillId="0" borderId="0" xfId="0" applyNumberFormat="1" applyFont="1" applyFill="1" applyAlignment="1">
      <alignment horizontal="center"/>
    </xf>
    <xf numFmtId="3" fontId="18" fillId="0" borderId="0" xfId="0" applyNumberFormat="1" applyFont="1" applyFill="1" applyAlignment="1">
      <alignment horizontal="center"/>
    </xf>
    <xf numFmtId="3" fontId="8" fillId="0" borderId="0" xfId="0" applyNumberFormat="1" applyFont="1" applyAlignment="1">
      <alignment horizontal="center"/>
    </xf>
    <xf numFmtId="4" fontId="0" fillId="0" borderId="0" xfId="0" applyNumberFormat="1" applyBorder="1" applyAlignment="1">
      <alignment horizontal="center"/>
    </xf>
    <xf numFmtId="0" fontId="0" fillId="0" borderId="0" xfId="0" applyFill="1" applyAlignment="1">
      <alignment horizontal="left"/>
    </xf>
    <xf numFmtId="0" fontId="0" fillId="0" borderId="0" xfId="0" applyFill="1" applyBorder="1" applyAlignment="1">
      <alignment horizontal="right"/>
    </xf>
    <xf numFmtId="3" fontId="0" fillId="0" borderId="0" xfId="0" applyNumberFormat="1" applyFill="1" applyBorder="1" applyAlignment="1">
      <alignment horizontal="center"/>
    </xf>
    <xf numFmtId="9" fontId="0" fillId="0" borderId="0" xfId="0" applyNumberFormat="1" applyFill="1" applyBorder="1" applyAlignment="1">
      <alignment horizontal="center"/>
    </xf>
    <xf numFmtId="1" fontId="1" fillId="0" borderId="0" xfId="0" applyNumberFormat="1" applyFont="1" applyFill="1" applyBorder="1" applyAlignment="1">
      <alignment horizontal="center"/>
    </xf>
    <xf numFmtId="167" fontId="11" fillId="0" borderId="0" xfId="0" applyNumberFormat="1" applyFont="1" applyFill="1" applyAlignment="1">
      <alignment horizontal="center"/>
    </xf>
    <xf numFmtId="9" fontId="3" fillId="0" borderId="0" xfId="2" applyFill="1" applyBorder="1" applyAlignment="1">
      <alignment horizontal="center"/>
    </xf>
    <xf numFmtId="0" fontId="0" fillId="0" borderId="3" xfId="0" applyFill="1" applyBorder="1"/>
    <xf numFmtId="0" fontId="0" fillId="0" borderId="4" xfId="0" applyFill="1" applyBorder="1"/>
    <xf numFmtId="0" fontId="0" fillId="0" borderId="3" xfId="0" applyBorder="1" applyAlignment="1">
      <alignment horizontal="center"/>
    </xf>
    <xf numFmtId="0" fontId="8" fillId="0" borderId="5" xfId="0" applyFont="1" applyBorder="1"/>
    <xf numFmtId="1" fontId="1" fillId="0" borderId="0" xfId="0" applyNumberFormat="1" applyFont="1" applyFill="1" applyAlignment="1">
      <alignment horizontal="center"/>
    </xf>
    <xf numFmtId="166" fontId="12" fillId="0" borderId="0" xfId="0" applyNumberFormat="1" applyFont="1" applyFill="1" applyAlignment="1">
      <alignment horizontal="center"/>
    </xf>
    <xf numFmtId="0" fontId="0" fillId="0" borderId="6" xfId="0" applyFill="1" applyBorder="1" applyAlignment="1">
      <alignment horizontal="center"/>
    </xf>
    <xf numFmtId="0" fontId="11" fillId="0" borderId="0" xfId="0" applyFont="1" applyFill="1" applyAlignment="1">
      <alignment horizontal="center"/>
    </xf>
    <xf numFmtId="3" fontId="11" fillId="0" borderId="0" xfId="0" applyNumberFormat="1" applyFont="1" applyFill="1" applyAlignment="1">
      <alignment horizontal="center"/>
    </xf>
    <xf numFmtId="0" fontId="12" fillId="0" borderId="0" xfId="0" applyFont="1" applyFill="1" applyBorder="1"/>
    <xf numFmtId="191" fontId="25" fillId="0" borderId="0" xfId="0" applyNumberFormat="1" applyFont="1" applyAlignment="1">
      <alignment horizontal="center"/>
    </xf>
    <xf numFmtId="9" fontId="11" fillId="0" borderId="0" xfId="2" applyFont="1" applyFill="1" applyAlignment="1">
      <alignment horizontal="left"/>
    </xf>
    <xf numFmtId="9" fontId="12" fillId="0" borderId="0" xfId="2" applyFont="1" applyFill="1" applyAlignment="1">
      <alignment horizontal="center"/>
    </xf>
    <xf numFmtId="167" fontId="12" fillId="0" borderId="0" xfId="0" applyNumberFormat="1" applyFont="1" applyFill="1" applyBorder="1" applyAlignment="1">
      <alignment horizontal="center"/>
    </xf>
    <xf numFmtId="0" fontId="0" fillId="0" borderId="0" xfId="0" applyFill="1" applyBorder="1" applyAlignment="1">
      <alignment horizontal="left"/>
    </xf>
    <xf numFmtId="0" fontId="0" fillId="0" borderId="0" xfId="0" applyFill="1" applyAlignment="1">
      <alignment horizontal="center" vertical="center"/>
    </xf>
    <xf numFmtId="0" fontId="31" fillId="3" borderId="0" xfId="0" applyFont="1" applyFill="1" applyBorder="1" applyAlignment="1">
      <alignment horizontal="left" vertical="center"/>
    </xf>
    <xf numFmtId="0" fontId="5" fillId="0" borderId="0" xfId="0" applyFont="1" applyFill="1" applyBorder="1"/>
    <xf numFmtId="0" fontId="0" fillId="0" borderId="7" xfId="0" applyFill="1" applyBorder="1" applyAlignment="1">
      <alignment horizontal="center"/>
    </xf>
    <xf numFmtId="0" fontId="1" fillId="0" borderId="3" xfId="0" applyFont="1" applyFill="1" applyBorder="1"/>
    <xf numFmtId="191" fontId="12" fillId="0" borderId="0" xfId="0" applyNumberFormat="1" applyFont="1" applyFill="1" applyAlignment="1">
      <alignment horizontal="center"/>
    </xf>
    <xf numFmtId="0" fontId="43" fillId="0" borderId="0" xfId="0" applyFont="1" applyFill="1" applyBorder="1" applyAlignment="1">
      <alignment horizontal="left"/>
    </xf>
    <xf numFmtId="49" fontId="3" fillId="0" borderId="0" xfId="0" applyNumberFormat="1" applyFont="1" applyFill="1" applyAlignment="1">
      <alignment vertical="center" wrapText="1"/>
    </xf>
    <xf numFmtId="0" fontId="0" fillId="0" borderId="8" xfId="0" applyFill="1" applyBorder="1" applyAlignment="1">
      <alignment horizontal="center"/>
    </xf>
    <xf numFmtId="0" fontId="0" fillId="0" borderId="9" xfId="0" applyBorder="1"/>
    <xf numFmtId="0" fontId="0" fillId="0" borderId="10" xfId="0" applyBorder="1" applyAlignment="1">
      <alignment horizontal="right"/>
    </xf>
    <xf numFmtId="0" fontId="0" fillId="0" borderId="11" xfId="0" applyFill="1" applyBorder="1" applyAlignment="1">
      <alignment horizontal="right"/>
    </xf>
    <xf numFmtId="0" fontId="1" fillId="0" borderId="10" xfId="0" applyFont="1" applyFill="1" applyBorder="1"/>
    <xf numFmtId="0" fontId="11" fillId="0" borderId="11" xfId="0" applyFont="1" applyBorder="1"/>
    <xf numFmtId="178" fontId="0" fillId="2" borderId="0" xfId="0" applyNumberFormat="1" applyFill="1" applyAlignment="1">
      <alignment horizontal="center"/>
    </xf>
    <xf numFmtId="49" fontId="0" fillId="0" borderId="0" xfId="0" applyNumberFormat="1" applyAlignment="1">
      <alignment wrapText="1"/>
    </xf>
    <xf numFmtId="167" fontId="12" fillId="0" borderId="0" xfId="0" applyNumberFormat="1" applyFont="1" applyFill="1" applyAlignment="1">
      <alignment horizontal="center" vertical="center"/>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0" fontId="0" fillId="0" borderId="0" xfId="0" applyFill="1" applyAlignment="1">
      <alignment vertical="center"/>
    </xf>
    <xf numFmtId="0" fontId="11" fillId="0" borderId="0" xfId="0" applyFont="1" applyFill="1" applyAlignment="1">
      <alignment horizontal="right"/>
    </xf>
    <xf numFmtId="9" fontId="0" fillId="0" borderId="0" xfId="0" applyNumberFormat="1" applyFill="1" applyAlignment="1">
      <alignment horizontal="center"/>
    </xf>
    <xf numFmtId="167" fontId="11" fillId="0" borderId="0" xfId="0" applyNumberFormat="1" applyFont="1" applyFill="1" applyAlignment="1">
      <alignment horizontal="center" vertical="center"/>
    </xf>
    <xf numFmtId="167" fontId="20" fillId="0" borderId="0" xfId="0" applyNumberFormat="1" applyFont="1" applyFill="1" applyAlignment="1">
      <alignment horizontal="center"/>
    </xf>
    <xf numFmtId="178" fontId="12" fillId="2" borderId="0" xfId="0" applyNumberFormat="1" applyFont="1" applyFill="1" applyAlignment="1">
      <alignment horizontal="center"/>
    </xf>
    <xf numFmtId="0" fontId="11" fillId="0" borderId="0" xfId="0" applyFont="1" applyAlignment="1"/>
    <xf numFmtId="166" fontId="12" fillId="0" borderId="0" xfId="0" applyNumberFormat="1" applyFont="1"/>
    <xf numFmtId="166" fontId="12" fillId="0" borderId="0" xfId="0" applyNumberFormat="1" applyFont="1" applyFill="1"/>
    <xf numFmtId="166" fontId="11" fillId="0" borderId="0" xfId="0" applyNumberFormat="1" applyFont="1"/>
    <xf numFmtId="166" fontId="11" fillId="0" borderId="0" xfId="0" applyNumberFormat="1" applyFont="1" applyFill="1"/>
    <xf numFmtId="4" fontId="0" fillId="0" borderId="0" xfId="0" applyNumberFormat="1"/>
    <xf numFmtId="167" fontId="0" fillId="0" borderId="0" xfId="2" applyNumberFormat="1" applyFont="1" applyFill="1"/>
    <xf numFmtId="0" fontId="3" fillId="2" borderId="0" xfId="0" applyFont="1" applyFill="1" applyBorder="1" applyAlignment="1">
      <alignment horizontal="center"/>
    </xf>
    <xf numFmtId="172" fontId="12" fillId="0" borderId="0" xfId="2" applyNumberFormat="1" applyFont="1" applyFill="1" applyBorder="1" applyAlignment="1" applyProtection="1">
      <alignment horizontal="center" vertical="center"/>
    </xf>
    <xf numFmtId="172" fontId="11" fillId="0" borderId="0" xfId="2" applyNumberFormat="1" applyFont="1" applyFill="1" applyBorder="1" applyAlignment="1" applyProtection="1">
      <alignment horizontal="center" vertical="center"/>
    </xf>
    <xf numFmtId="0" fontId="22" fillId="0" borderId="0" xfId="0" applyFont="1" applyFill="1" applyBorder="1" applyAlignment="1">
      <alignment horizontal="center"/>
    </xf>
    <xf numFmtId="49" fontId="7" fillId="0" borderId="0" xfId="0" applyNumberFormat="1" applyFont="1" applyFill="1" applyBorder="1" applyAlignment="1">
      <alignment horizontal="center" vertical="center"/>
    </xf>
    <xf numFmtId="49" fontId="22" fillId="4" borderId="0" xfId="0" applyNumberFormat="1" applyFont="1" applyFill="1" applyBorder="1" applyAlignment="1">
      <alignment horizontal="center" vertical="center"/>
    </xf>
    <xf numFmtId="196" fontId="8" fillId="0" borderId="0" xfId="0" applyNumberFormat="1" applyFont="1" applyFill="1" applyBorder="1" applyAlignment="1">
      <alignment horizontal="center" vertical="center"/>
    </xf>
    <xf numFmtId="9" fontId="0" fillId="0" borderId="0" xfId="2" applyFont="1" applyAlignment="1">
      <alignment horizontal="center"/>
    </xf>
    <xf numFmtId="172" fontId="12" fillId="0" borderId="0" xfId="2" applyNumberFormat="1" applyFont="1" applyFill="1" applyBorder="1" applyAlignment="1" applyProtection="1">
      <alignment horizontal="center" vertical="center" wrapText="1"/>
    </xf>
    <xf numFmtId="191" fontId="11" fillId="0" borderId="6" xfId="0" applyNumberFormat="1" applyFont="1" applyFill="1" applyBorder="1" applyAlignment="1">
      <alignment horizontal="center" vertical="center" wrapText="1"/>
    </xf>
    <xf numFmtId="9" fontId="17" fillId="0" borderId="0" xfId="2" applyFont="1" applyFill="1" applyBorder="1" applyAlignment="1" applyProtection="1">
      <alignment horizontal="center" vertical="center" wrapText="1"/>
    </xf>
    <xf numFmtId="0" fontId="12" fillId="0" borderId="0" xfId="0" applyFont="1" applyFill="1" applyAlignment="1">
      <alignment vertical="center"/>
    </xf>
    <xf numFmtId="0" fontId="12" fillId="0" borderId="0" xfId="0" applyFont="1" applyFill="1" applyBorder="1" applyAlignment="1">
      <alignment vertical="center"/>
    </xf>
    <xf numFmtId="9" fontId="0" fillId="0" borderId="0" xfId="0" applyNumberFormat="1" applyAlignment="1">
      <alignment horizontal="center"/>
    </xf>
    <xf numFmtId="191" fontId="11" fillId="0" borderId="0" xfId="0" applyNumberFormat="1" applyFont="1" applyFill="1" applyBorder="1" applyAlignment="1">
      <alignment horizontal="center" vertical="center" wrapText="1"/>
    </xf>
    <xf numFmtId="191" fontId="11" fillId="0" borderId="6" xfId="0" applyNumberFormat="1" applyFont="1" applyBorder="1" applyAlignment="1">
      <alignment horizontal="center"/>
    </xf>
    <xf numFmtId="191" fontId="11" fillId="0" borderId="0" xfId="0" applyNumberFormat="1" applyFont="1" applyBorder="1" applyAlignment="1">
      <alignment horizontal="center"/>
    </xf>
    <xf numFmtId="172" fontId="17" fillId="0" borderId="0" xfId="2" applyNumberFormat="1" applyFont="1" applyFill="1" applyBorder="1" applyAlignment="1" applyProtection="1">
      <alignment horizontal="center" vertical="center" wrapText="1"/>
    </xf>
    <xf numFmtId="191" fontId="11" fillId="0" borderId="6" xfId="0" applyNumberFormat="1" applyFont="1" applyBorder="1" applyAlignment="1">
      <alignment horizontal="center" vertical="center"/>
    </xf>
    <xf numFmtId="167" fontId="12" fillId="0" borderId="0" xfId="2" applyNumberFormat="1" applyFont="1" applyBorder="1" applyAlignment="1">
      <alignment horizontal="center" vertical="center"/>
    </xf>
    <xf numFmtId="191" fontId="12" fillId="0" borderId="6" xfId="0" applyNumberFormat="1" applyFont="1" applyBorder="1" applyAlignment="1">
      <alignment horizontal="center" vertical="center"/>
    </xf>
    <xf numFmtId="191" fontId="12" fillId="0" borderId="0" xfId="0" applyNumberFormat="1" applyFont="1" applyBorder="1" applyAlignment="1">
      <alignment horizontal="center" vertical="center"/>
    </xf>
    <xf numFmtId="191" fontId="0" fillId="0" borderId="0" xfId="0" applyNumberFormat="1" applyAlignment="1">
      <alignment horizontal="center" vertical="center"/>
    </xf>
    <xf numFmtId="0" fontId="0" fillId="0" borderId="12" xfId="0" applyBorder="1"/>
    <xf numFmtId="0" fontId="0" fillId="0" borderId="13" xfId="0" applyBorder="1"/>
    <xf numFmtId="223" fontId="0" fillId="0" borderId="0" xfId="0" applyNumberFormat="1" applyBorder="1" applyAlignment="1">
      <alignment horizontal="center"/>
    </xf>
    <xf numFmtId="223" fontId="0" fillId="0" borderId="2" xfId="0" applyNumberFormat="1" applyBorder="1" applyAlignment="1">
      <alignment horizontal="center"/>
    </xf>
    <xf numFmtId="0" fontId="0" fillId="0" borderId="14" xfId="0" applyBorder="1"/>
    <xf numFmtId="1" fontId="0" fillId="0" borderId="0" xfId="0" applyNumberFormat="1" applyBorder="1" applyAlignment="1">
      <alignment horizontal="center"/>
    </xf>
    <xf numFmtId="1" fontId="0" fillId="0" borderId="2" xfId="0" applyNumberFormat="1" applyBorder="1" applyAlignment="1">
      <alignment horizontal="center"/>
    </xf>
    <xf numFmtId="0" fontId="0" fillId="0" borderId="15" xfId="0" applyBorder="1" applyAlignment="1">
      <alignment horizontal="center"/>
    </xf>
    <xf numFmtId="1" fontId="11" fillId="0" borderId="0" xfId="0" applyNumberFormat="1" applyFont="1" applyBorder="1" applyAlignment="1">
      <alignment horizontal="center"/>
    </xf>
    <xf numFmtId="1" fontId="11" fillId="0" borderId="2" xfId="0" applyNumberFormat="1" applyFont="1" applyBorder="1" applyAlignment="1">
      <alignment horizontal="center"/>
    </xf>
    <xf numFmtId="1" fontId="0" fillId="0" borderId="1" xfId="0" applyNumberFormat="1" applyBorder="1" applyAlignment="1">
      <alignment horizontal="center"/>
    </xf>
    <xf numFmtId="166" fontId="12" fillId="0" borderId="0" xfId="0" applyNumberFormat="1" applyFont="1" applyFill="1" applyBorder="1" applyAlignment="1">
      <alignment horizontal="center"/>
    </xf>
    <xf numFmtId="9" fontId="12" fillId="0" borderId="0" xfId="2" applyFont="1" applyFill="1" applyBorder="1" applyAlignment="1">
      <alignment horizontal="center"/>
    </xf>
    <xf numFmtId="0" fontId="12" fillId="0" borderId="0" xfId="0" applyFont="1" applyFill="1" applyBorder="1" applyAlignment="1">
      <alignment horizontal="center"/>
    </xf>
    <xf numFmtId="3" fontId="12" fillId="0" borderId="0" xfId="0" applyNumberFormat="1" applyFont="1" applyFill="1" applyBorder="1" applyAlignment="1">
      <alignment horizontal="center"/>
    </xf>
    <xf numFmtId="191" fontId="12" fillId="0" borderId="0" xfId="0" applyNumberFormat="1" applyFont="1" applyFill="1" applyBorder="1" applyAlignment="1">
      <alignment horizontal="center"/>
    </xf>
    <xf numFmtId="0" fontId="1" fillId="0" borderId="14" xfId="0" applyFont="1" applyBorder="1"/>
    <xf numFmtId="166" fontId="3" fillId="2" borderId="0" xfId="0" applyNumberFormat="1" applyFont="1" applyFill="1" applyBorder="1" applyAlignment="1">
      <alignment horizontal="center"/>
    </xf>
    <xf numFmtId="9" fontId="17" fillId="0" borderId="0" xfId="2" applyFont="1" applyFill="1" applyAlignment="1">
      <alignment horizontal="left"/>
    </xf>
    <xf numFmtId="0" fontId="17" fillId="0" borderId="0" xfId="0" applyFont="1" applyFill="1" applyAlignment="1">
      <alignment horizontal="right"/>
    </xf>
    <xf numFmtId="191" fontId="17" fillId="0" borderId="0" xfId="2" applyNumberFormat="1" applyFont="1" applyFill="1" applyAlignment="1">
      <alignment horizontal="center"/>
    </xf>
    <xf numFmtId="0" fontId="47" fillId="0" borderId="0" xfId="0" applyFont="1"/>
    <xf numFmtId="214" fontId="0" fillId="0" borderId="0" xfId="0" applyNumberFormat="1" applyFill="1" applyAlignment="1">
      <alignment horizontal="center"/>
    </xf>
    <xf numFmtId="0" fontId="29" fillId="0" borderId="0" xfId="0" applyFont="1" applyFill="1"/>
    <xf numFmtId="168" fontId="0" fillId="0" borderId="0" xfId="0" applyNumberFormat="1" applyFill="1" applyAlignment="1">
      <alignment horizontal="center"/>
    </xf>
    <xf numFmtId="164" fontId="0" fillId="0" borderId="0" xfId="0" applyNumberFormat="1" applyFill="1" applyAlignment="1">
      <alignment horizontal="center"/>
    </xf>
    <xf numFmtId="0" fontId="11" fillId="0" borderId="0" xfId="0" applyFont="1" applyFill="1" applyBorder="1" applyAlignment="1">
      <alignment horizontal="left"/>
    </xf>
    <xf numFmtId="0" fontId="31" fillId="3" borderId="6" xfId="0" applyFont="1" applyFill="1" applyBorder="1" applyAlignment="1">
      <alignment horizontal="center" vertical="center"/>
    </xf>
    <xf numFmtId="172" fontId="12" fillId="0" borderId="0" xfId="2" applyNumberFormat="1" applyFont="1" applyFill="1" applyAlignment="1">
      <alignment horizontal="center" vertical="center"/>
    </xf>
    <xf numFmtId="0" fontId="12" fillId="0" borderId="0" xfId="0" applyFont="1" applyFill="1" applyAlignment="1">
      <alignment horizontal="center" vertical="center"/>
    </xf>
    <xf numFmtId="0" fontId="11" fillId="0" borderId="0" xfId="0" applyFont="1" applyAlignment="1">
      <alignment horizontal="center" vertical="center" wrapText="1"/>
    </xf>
    <xf numFmtId="0" fontId="40" fillId="0" borderId="0" xfId="0" applyFont="1" applyFill="1" applyBorder="1" applyAlignment="1">
      <alignment horizontal="center" vertical="center" wrapText="1"/>
    </xf>
    <xf numFmtId="0" fontId="0" fillId="0" borderId="14" xfId="0" applyFill="1" applyBorder="1"/>
    <xf numFmtId="9" fontId="12" fillId="0" borderId="0" xfId="2" applyFont="1" applyFill="1" applyBorder="1" applyAlignment="1" applyProtection="1">
      <alignment horizontal="center" vertical="center" wrapText="1"/>
    </xf>
    <xf numFmtId="9" fontId="12" fillId="0" borderId="6" xfId="2" applyFont="1" applyFill="1" applyBorder="1" applyAlignment="1" applyProtection="1">
      <alignment horizontal="center" vertical="center" wrapText="1"/>
    </xf>
    <xf numFmtId="9" fontId="12" fillId="0" borderId="16" xfId="2" applyFont="1" applyFill="1" applyBorder="1" applyAlignment="1" applyProtection="1">
      <alignment horizontal="center" vertical="center" wrapText="1"/>
    </xf>
    <xf numFmtId="172" fontId="12" fillId="0" borderId="6" xfId="2" applyNumberFormat="1" applyFont="1" applyFill="1" applyBorder="1" applyAlignment="1" applyProtection="1">
      <alignment horizontal="center" vertical="center" wrapText="1"/>
    </xf>
    <xf numFmtId="172" fontId="11" fillId="0" borderId="0" xfId="2" applyNumberFormat="1" applyFont="1" applyFill="1" applyBorder="1" applyAlignment="1" applyProtection="1">
      <alignment horizontal="center" vertical="center" wrapText="1"/>
    </xf>
    <xf numFmtId="0" fontId="5" fillId="0" borderId="0" xfId="0" applyFont="1" applyFill="1" applyAlignment="1">
      <alignment horizontal="left"/>
    </xf>
    <xf numFmtId="3" fontId="5" fillId="0" borderId="0" xfId="0" applyNumberFormat="1" applyFont="1" applyFill="1" applyAlignment="1">
      <alignment horizontal="left"/>
    </xf>
    <xf numFmtId="181" fontId="11" fillId="0" borderId="0" xfId="0" applyNumberFormat="1" applyFont="1" applyFill="1" applyAlignment="1">
      <alignment horizontal="center"/>
    </xf>
    <xf numFmtId="0" fontId="11" fillId="0" borderId="17" xfId="0" applyFont="1" applyFill="1" applyBorder="1"/>
    <xf numFmtId="0" fontId="1" fillId="0" borderId="14" xfId="0" applyFont="1" applyFill="1" applyBorder="1"/>
    <xf numFmtId="178" fontId="0" fillId="0" borderId="0" xfId="0" applyNumberFormat="1" applyFill="1" applyBorder="1"/>
    <xf numFmtId="178" fontId="0" fillId="0" borderId="0" xfId="0" applyNumberFormat="1" applyFill="1" applyBorder="1" applyAlignment="1">
      <alignment horizontal="left"/>
    </xf>
    <xf numFmtId="178" fontId="11" fillId="0" borderId="0" xfId="0" applyNumberFormat="1" applyFont="1" applyFill="1" applyBorder="1" applyAlignment="1">
      <alignment horizontal="center"/>
    </xf>
    <xf numFmtId="208" fontId="0" fillId="0" borderId="0" xfId="0" applyNumberFormat="1" applyFill="1" applyBorder="1" applyAlignment="1">
      <alignment horizontal="center"/>
    </xf>
    <xf numFmtId="0" fontId="11" fillId="0" borderId="14" xfId="0" applyFont="1" applyBorder="1" applyAlignment="1">
      <alignment horizontal="right"/>
    </xf>
    <xf numFmtId="0" fontId="11" fillId="0" borderId="14" xfId="0" applyFont="1" applyBorder="1"/>
    <xf numFmtId="0" fontId="0" fillId="0" borderId="14" xfId="0" applyBorder="1" applyAlignment="1">
      <alignment horizontal="right"/>
    </xf>
    <xf numFmtId="0" fontId="0" fillId="0" borderId="18" xfId="0" applyBorder="1" applyAlignment="1">
      <alignment horizontal="right"/>
    </xf>
    <xf numFmtId="173" fontId="12" fillId="0" borderId="0" xfId="0" applyNumberFormat="1" applyFont="1" applyFill="1" applyBorder="1" applyAlignment="1">
      <alignment horizontal="center"/>
    </xf>
    <xf numFmtId="0" fontId="9" fillId="0" borderId="0" xfId="0" applyFont="1" applyFill="1" applyAlignment="1">
      <alignment horizontal="center"/>
    </xf>
    <xf numFmtId="169" fontId="0" fillId="0" borderId="0" xfId="0" applyNumberFormat="1" applyFill="1" applyBorder="1" applyAlignment="1">
      <alignment horizontal="center"/>
    </xf>
    <xf numFmtId="1" fontId="0" fillId="0" borderId="6" xfId="0" applyNumberFormat="1" applyFill="1" applyBorder="1" applyAlignment="1">
      <alignment horizontal="center"/>
    </xf>
    <xf numFmtId="165" fontId="0" fillId="0" borderId="0" xfId="0" applyNumberFormat="1" applyBorder="1" applyAlignment="1">
      <alignment horizontal="center"/>
    </xf>
    <xf numFmtId="4" fontId="0" fillId="0" borderId="0" xfId="0" applyNumberFormat="1" applyFill="1" applyBorder="1" applyAlignment="1">
      <alignment horizontal="center"/>
    </xf>
    <xf numFmtId="0" fontId="0" fillId="0" borderId="0" xfId="0" applyFill="1" applyBorder="1" applyAlignment="1">
      <alignment horizontal="left" wrapText="1"/>
    </xf>
    <xf numFmtId="217" fontId="0" fillId="0" borderId="0" xfId="0" applyNumberFormat="1" applyFill="1" applyBorder="1" applyAlignment="1">
      <alignment horizontal="center"/>
    </xf>
    <xf numFmtId="204" fontId="0" fillId="0" borderId="0" xfId="0" applyNumberFormat="1" applyBorder="1" applyAlignment="1">
      <alignment horizontal="center"/>
    </xf>
    <xf numFmtId="1" fontId="12" fillId="0" borderId="0" xfId="0" applyNumberFormat="1" applyFont="1" applyFill="1" applyAlignment="1">
      <alignment horizontal="center"/>
    </xf>
    <xf numFmtId="0" fontId="12" fillId="0" borderId="0" xfId="0" applyFont="1" applyFill="1" applyAlignment="1">
      <alignment horizontal="center"/>
    </xf>
    <xf numFmtId="166" fontId="13" fillId="0" borderId="0" xfId="0" applyNumberFormat="1" applyFont="1" applyFill="1" applyBorder="1" applyAlignment="1">
      <alignment horizontal="center"/>
    </xf>
    <xf numFmtId="173" fontId="13" fillId="0" borderId="0" xfId="0" applyNumberFormat="1" applyFont="1" applyFill="1" applyBorder="1" applyAlignment="1">
      <alignment horizontal="center"/>
    </xf>
    <xf numFmtId="168" fontId="0" fillId="0" borderId="0" xfId="0" applyNumberFormat="1" applyFill="1" applyBorder="1" applyAlignment="1">
      <alignment horizontal="center"/>
    </xf>
    <xf numFmtId="1" fontId="0" fillId="0" borderId="0" xfId="0" applyNumberFormat="1" applyFill="1" applyBorder="1"/>
    <xf numFmtId="172" fontId="7" fillId="0" borderId="0" xfId="2" applyNumberFormat="1" applyFont="1" applyFill="1" applyBorder="1" applyAlignment="1" applyProtection="1">
      <alignment horizontal="center" vertical="center"/>
    </xf>
    <xf numFmtId="0" fontId="30" fillId="0" borderId="0" xfId="0" applyFont="1" applyFill="1"/>
    <xf numFmtId="0" fontId="39" fillId="0" borderId="0" xfId="0" applyFont="1" applyFill="1" applyAlignment="1">
      <alignment horizontal="right"/>
    </xf>
    <xf numFmtId="0" fontId="39" fillId="0" borderId="0" xfId="0" applyFont="1" applyFill="1"/>
    <xf numFmtId="0" fontId="11" fillId="0" borderId="0" xfId="0" applyFont="1" applyFill="1" applyAlignment="1">
      <alignment horizontal="left"/>
    </xf>
    <xf numFmtId="49" fontId="5" fillId="0" borderId="0" xfId="0" applyNumberFormat="1" applyFont="1" applyFill="1" applyAlignment="1">
      <alignment horizontal="left" vertical="center" wrapText="1"/>
    </xf>
    <xf numFmtId="214" fontId="0" fillId="0" borderId="0" xfId="0" applyNumberFormat="1" applyAlignment="1">
      <alignment horizontal="center"/>
    </xf>
    <xf numFmtId="9" fontId="12" fillId="0" borderId="0" xfId="2" applyFont="1" applyFill="1" applyAlignment="1">
      <alignment horizontal="left"/>
    </xf>
    <xf numFmtId="191" fontId="12" fillId="0" borderId="0" xfId="2" applyNumberFormat="1" applyFont="1" applyFill="1" applyAlignment="1">
      <alignment horizontal="center"/>
    </xf>
    <xf numFmtId="166" fontId="11" fillId="0" borderId="0" xfId="0" applyNumberFormat="1" applyFont="1" applyFill="1" applyAlignment="1">
      <alignment horizontal="left"/>
    </xf>
    <xf numFmtId="165" fontId="6" fillId="2" borderId="0" xfId="0" applyNumberFormat="1" applyFont="1" applyFill="1" applyAlignment="1">
      <alignment horizontal="center" wrapText="1"/>
    </xf>
    <xf numFmtId="0" fontId="12" fillId="0" borderId="0" xfId="0" applyFont="1" applyFill="1" applyBorder="1" applyAlignment="1">
      <alignment wrapText="1"/>
    </xf>
    <xf numFmtId="165" fontId="1" fillId="0" borderId="0" xfId="0" applyNumberFormat="1" applyFont="1" applyFill="1"/>
    <xf numFmtId="167" fontId="5" fillId="0" borderId="0" xfId="0" applyNumberFormat="1" applyFont="1" applyFill="1" applyBorder="1" applyAlignment="1">
      <alignment horizontal="center"/>
    </xf>
    <xf numFmtId="165" fontId="11" fillId="2" borderId="0" xfId="0" applyNumberFormat="1" applyFont="1" applyFill="1" applyBorder="1" applyAlignment="1">
      <alignment horizontal="center"/>
    </xf>
    <xf numFmtId="166" fontId="11" fillId="2" borderId="0" xfId="0" applyNumberFormat="1" applyFont="1" applyFill="1" applyBorder="1" applyAlignment="1">
      <alignment horizontal="center"/>
    </xf>
    <xf numFmtId="167" fontId="11" fillId="2" borderId="0" xfId="0" applyNumberFormat="1" applyFont="1" applyFill="1" applyBorder="1" applyAlignment="1">
      <alignment horizontal="center"/>
    </xf>
    <xf numFmtId="0" fontId="7" fillId="0" borderId="0" xfId="0" applyFont="1" applyFill="1"/>
    <xf numFmtId="167" fontId="7" fillId="0" borderId="0" xfId="0" applyNumberFormat="1" applyFont="1" applyFill="1" applyBorder="1" applyAlignment="1">
      <alignment horizontal="center"/>
    </xf>
    <xf numFmtId="0" fontId="38" fillId="0" borderId="0" xfId="0" applyFont="1" applyBorder="1"/>
    <xf numFmtId="166" fontId="11" fillId="0" borderId="0" xfId="0" applyNumberFormat="1" applyFont="1" applyFill="1" applyBorder="1" applyAlignment="1">
      <alignment horizontal="center"/>
    </xf>
    <xf numFmtId="167" fontId="2" fillId="0" borderId="0" xfId="0" applyNumberFormat="1" applyFont="1" applyFill="1" applyBorder="1" applyAlignment="1">
      <alignment horizontal="center"/>
    </xf>
    <xf numFmtId="169" fontId="0" fillId="0" borderId="0" xfId="0" applyNumberFormat="1" applyBorder="1" applyAlignment="1">
      <alignment horizontal="center"/>
    </xf>
    <xf numFmtId="187" fontId="0" fillId="0" borderId="0" xfId="0" applyNumberFormat="1" applyFill="1" applyAlignment="1">
      <alignment horizontal="center"/>
    </xf>
    <xf numFmtId="185" fontId="12" fillId="0" borderId="0" xfId="0" applyNumberFormat="1" applyFont="1" applyFill="1" applyBorder="1" applyAlignment="1">
      <alignment horizontal="right"/>
    </xf>
    <xf numFmtId="49" fontId="3" fillId="0" borderId="0" xfId="0" applyNumberFormat="1" applyFont="1" applyFill="1"/>
    <xf numFmtId="180" fontId="3" fillId="0" borderId="0" xfId="0" applyNumberFormat="1" applyFont="1" applyFill="1" applyAlignment="1">
      <alignment horizontal="left"/>
    </xf>
    <xf numFmtId="180" fontId="11" fillId="0" borderId="0" xfId="0" applyNumberFormat="1" applyFont="1" applyFill="1" applyAlignment="1">
      <alignment horizontal="center"/>
    </xf>
    <xf numFmtId="9" fontId="3" fillId="0" borderId="0" xfId="2" applyBorder="1" applyAlignment="1">
      <alignment horizontal="center"/>
    </xf>
    <xf numFmtId="1" fontId="3" fillId="0" borderId="0" xfId="0" applyNumberFormat="1" applyFont="1" applyFill="1" applyBorder="1" applyAlignment="1">
      <alignment horizontal="left"/>
    </xf>
    <xf numFmtId="166" fontId="0" fillId="2" borderId="0" xfId="0" applyNumberFormat="1" applyFill="1" applyBorder="1"/>
    <xf numFmtId="167" fontId="0" fillId="2" borderId="0" xfId="0" applyNumberFormat="1" applyFill="1" applyBorder="1" applyAlignment="1">
      <alignment horizontal="center"/>
    </xf>
    <xf numFmtId="167" fontId="0" fillId="0" borderId="2" xfId="0" applyNumberFormat="1" applyFill="1" applyBorder="1" applyAlignment="1">
      <alignment horizontal="center"/>
    </xf>
    <xf numFmtId="166" fontId="0" fillId="2" borderId="0" xfId="0" applyNumberFormat="1" applyFill="1" applyBorder="1" applyAlignment="1">
      <alignment horizontal="center"/>
    </xf>
    <xf numFmtId="0" fontId="52" fillId="0" borderId="0" xfId="0" applyFont="1"/>
    <xf numFmtId="0" fontId="5" fillId="0" borderId="0" xfId="0" applyFont="1" applyBorder="1"/>
    <xf numFmtId="167" fontId="8" fillId="0" borderId="0" xfId="0" applyNumberFormat="1" applyFont="1" applyBorder="1" applyAlignment="1">
      <alignment horizontal="center"/>
    </xf>
    <xf numFmtId="0" fontId="8" fillId="0" borderId="0" xfId="0" applyFont="1" applyBorder="1" applyAlignment="1">
      <alignment horizontal="center"/>
    </xf>
    <xf numFmtId="169" fontId="11" fillId="0" borderId="0" xfId="0" applyNumberFormat="1" applyFont="1" applyFill="1" applyBorder="1" applyAlignment="1">
      <alignment horizontal="center"/>
    </xf>
    <xf numFmtId="168" fontId="11" fillId="0" borderId="0" xfId="0" applyNumberFormat="1" applyFont="1" applyFill="1" applyBorder="1" applyAlignment="1">
      <alignment horizontal="center"/>
    </xf>
    <xf numFmtId="0" fontId="52" fillId="0" borderId="0" xfId="0" applyFont="1" applyFill="1" applyBorder="1" applyAlignment="1">
      <alignment horizontal="center"/>
    </xf>
    <xf numFmtId="0" fontId="14" fillId="0" borderId="0" xfId="0" applyFont="1" applyFill="1" applyBorder="1"/>
    <xf numFmtId="0" fontId="52" fillId="0" borderId="0" xfId="0" applyFont="1" applyFill="1" applyBorder="1"/>
    <xf numFmtId="0" fontId="52" fillId="0" borderId="0" xfId="0" applyFont="1" applyFill="1" applyAlignment="1">
      <alignment horizontal="center"/>
    </xf>
    <xf numFmtId="0" fontId="14" fillId="0" borderId="0" xfId="0" applyFont="1" applyFill="1"/>
    <xf numFmtId="0" fontId="52" fillId="0" borderId="0" xfId="0" applyFont="1" applyFill="1"/>
    <xf numFmtId="182" fontId="12" fillId="0" borderId="0" xfId="0" applyNumberFormat="1" applyFont="1" applyFill="1" applyBorder="1" applyAlignment="1">
      <alignment horizontal="center"/>
    </xf>
    <xf numFmtId="49" fontId="3" fillId="0" borderId="0" xfId="0" applyNumberFormat="1" applyFont="1" applyFill="1" applyBorder="1"/>
    <xf numFmtId="0" fontId="14" fillId="5" borderId="0" xfId="0" applyFont="1" applyFill="1"/>
    <xf numFmtId="0" fontId="52" fillId="5" borderId="0" xfId="0" applyFont="1" applyFill="1"/>
    <xf numFmtId="191" fontId="14" fillId="5" borderId="0" xfId="0" applyNumberFormat="1" applyFont="1" applyFill="1" applyAlignment="1">
      <alignment horizontal="center"/>
    </xf>
    <xf numFmtId="191" fontId="8" fillId="0" borderId="1" xfId="0" applyNumberFormat="1" applyFont="1" applyBorder="1"/>
    <xf numFmtId="191" fontId="8" fillId="0" borderId="1" xfId="0" applyNumberFormat="1" applyFont="1" applyBorder="1" applyAlignment="1">
      <alignment horizontal="center"/>
    </xf>
    <xf numFmtId="191" fontId="8" fillId="0" borderId="0" xfId="0" applyNumberFormat="1" applyFont="1"/>
    <xf numFmtId="9" fontId="8" fillId="0" borderId="0" xfId="2" applyFont="1" applyBorder="1" applyAlignment="1">
      <alignment horizontal="center"/>
    </xf>
    <xf numFmtId="0" fontId="52" fillId="0" borderId="0" xfId="0" applyFont="1" applyBorder="1" applyAlignment="1">
      <alignment horizontal="center"/>
    </xf>
    <xf numFmtId="0" fontId="11" fillId="0" borderId="14" xfId="0" applyFont="1" applyFill="1" applyBorder="1"/>
    <xf numFmtId="0" fontId="5" fillId="0" borderId="14" xfId="0" applyFont="1" applyFill="1" applyBorder="1"/>
    <xf numFmtId="0" fontId="0" fillId="0" borderId="14" xfId="0" applyBorder="1" applyAlignment="1">
      <alignment horizontal="center"/>
    </xf>
    <xf numFmtId="0" fontId="9" fillId="0" borderId="0" xfId="0" applyFont="1" applyFill="1" applyBorder="1" applyAlignment="1">
      <alignment horizontal="center"/>
    </xf>
    <xf numFmtId="0" fontId="25" fillId="0" borderId="14" xfId="0" applyFont="1" applyBorder="1"/>
    <xf numFmtId="0" fontId="0" fillId="0" borderId="18" xfId="0" applyFill="1" applyBorder="1" applyAlignment="1">
      <alignment horizontal="right"/>
    </xf>
    <xf numFmtId="185" fontId="11" fillId="0" borderId="0" xfId="0" applyNumberFormat="1" applyFont="1" applyFill="1" applyBorder="1" applyAlignment="1">
      <alignment horizontal="center"/>
    </xf>
    <xf numFmtId="0" fontId="47" fillId="0" borderId="0" xfId="0" applyFont="1" applyFill="1"/>
    <xf numFmtId="193" fontId="12" fillId="0" borderId="0" xfId="0" applyNumberFormat="1" applyFont="1" applyFill="1" applyBorder="1" applyAlignment="1">
      <alignment horizontal="center"/>
    </xf>
    <xf numFmtId="171" fontId="0" fillId="0" borderId="0" xfId="0" applyNumberFormat="1" applyFill="1" applyAlignment="1">
      <alignment horizontal="center" vertical="center"/>
    </xf>
    <xf numFmtId="215" fontId="19" fillId="0" borderId="0" xfId="0" applyNumberFormat="1" applyFont="1" applyFill="1" applyAlignment="1">
      <alignment horizontal="left"/>
    </xf>
    <xf numFmtId="4" fontId="0" fillId="0" borderId="0" xfId="0" applyNumberFormat="1" applyBorder="1"/>
    <xf numFmtId="3" fontId="25" fillId="0" borderId="0" xfId="0" applyNumberFormat="1" applyFont="1" applyFill="1" applyBorder="1" applyAlignment="1">
      <alignment horizontal="center"/>
    </xf>
    <xf numFmtId="4" fontId="0" fillId="0" borderId="0" xfId="0" applyNumberFormat="1" applyFill="1"/>
    <xf numFmtId="165" fontId="11" fillId="0" borderId="0" xfId="0" applyNumberFormat="1" applyFont="1" applyFill="1" applyBorder="1" applyAlignment="1">
      <alignment horizontal="center"/>
    </xf>
    <xf numFmtId="165" fontId="52" fillId="0" borderId="0" xfId="0" applyNumberFormat="1" applyFont="1" applyFill="1" applyAlignment="1">
      <alignment horizontal="center"/>
    </xf>
    <xf numFmtId="166" fontId="52" fillId="0" borderId="0" xfId="0" applyNumberFormat="1" applyFont="1" applyFill="1" applyAlignment="1">
      <alignment horizontal="center"/>
    </xf>
    <xf numFmtId="3" fontId="54" fillId="0" borderId="0" xfId="0" applyNumberFormat="1" applyFont="1" applyFill="1"/>
    <xf numFmtId="0" fontId="51" fillId="0" borderId="0" xfId="0" applyFont="1" applyFill="1" applyAlignment="1">
      <alignment horizontal="center"/>
    </xf>
    <xf numFmtId="3" fontId="51" fillId="0" borderId="0" xfId="0" applyNumberFormat="1" applyFont="1" applyFill="1" applyAlignment="1">
      <alignment horizontal="center"/>
    </xf>
    <xf numFmtId="0" fontId="51" fillId="0" borderId="0" xfId="0" applyFont="1" applyFill="1"/>
    <xf numFmtId="3" fontId="55" fillId="0" borderId="0" xfId="0" applyNumberFormat="1" applyFont="1" applyFill="1"/>
    <xf numFmtId="0" fontId="32" fillId="0" borderId="0" xfId="0" applyFont="1" applyFill="1" applyAlignment="1">
      <alignment horizontal="center"/>
    </xf>
    <xf numFmtId="3" fontId="32" fillId="0" borderId="0" xfId="0" applyNumberFormat="1" applyFont="1" applyFill="1" applyAlignment="1">
      <alignment horizontal="center"/>
    </xf>
    <xf numFmtId="0" fontId="52" fillId="0" borderId="0" xfId="0" applyFont="1" applyAlignment="1">
      <alignment horizontal="center"/>
    </xf>
    <xf numFmtId="3" fontId="52" fillId="0" borderId="0" xfId="0" applyNumberFormat="1" applyFont="1" applyAlignment="1">
      <alignment horizontal="center"/>
    </xf>
    <xf numFmtId="195" fontId="30" fillId="0" borderId="0" xfId="0" applyNumberFormat="1" applyFont="1" applyFill="1" applyBorder="1" applyAlignment="1">
      <alignment horizontal="center"/>
    </xf>
    <xf numFmtId="3" fontId="52" fillId="0" borderId="0" xfId="0" applyNumberFormat="1" applyFont="1" applyFill="1" applyAlignment="1">
      <alignment horizontal="center"/>
    </xf>
    <xf numFmtId="0" fontId="40" fillId="0" borderId="0" xfId="0" applyFont="1" applyFill="1"/>
    <xf numFmtId="0" fontId="48" fillId="0" borderId="0" xfId="0" applyFont="1" applyFill="1"/>
    <xf numFmtId="166" fontId="9" fillId="0" borderId="0" xfId="0" applyNumberFormat="1" applyFont="1" applyFill="1" applyAlignment="1">
      <alignment horizontal="center"/>
    </xf>
    <xf numFmtId="0" fontId="35" fillId="0" borderId="0" xfId="0" applyFont="1" applyFill="1"/>
    <xf numFmtId="167" fontId="56" fillId="0" borderId="0" xfId="2" applyNumberFormat="1" applyFont="1" applyFill="1" applyBorder="1" applyAlignment="1">
      <alignment horizontal="center"/>
    </xf>
    <xf numFmtId="0" fontId="7" fillId="0" borderId="14" xfId="0" applyFont="1" applyFill="1" applyBorder="1"/>
    <xf numFmtId="165" fontId="9" fillId="0" borderId="0" xfId="0" applyNumberFormat="1" applyFont="1" applyFill="1" applyBorder="1" applyAlignment="1">
      <alignment horizontal="center"/>
    </xf>
    <xf numFmtId="166" fontId="9" fillId="0" borderId="0" xfId="0" applyNumberFormat="1" applyFont="1" applyFill="1" applyBorder="1" applyAlignment="1">
      <alignment horizontal="center"/>
    </xf>
    <xf numFmtId="165" fontId="52" fillId="0" borderId="0" xfId="0" applyNumberFormat="1" applyFont="1" applyFill="1" applyBorder="1" applyAlignment="1">
      <alignment horizontal="center"/>
    </xf>
    <xf numFmtId="166" fontId="52" fillId="0" borderId="0" xfId="0" applyNumberFormat="1" applyFont="1" applyFill="1" applyBorder="1" applyAlignment="1">
      <alignment horizontal="center"/>
    </xf>
    <xf numFmtId="165" fontId="12" fillId="0" borderId="0" xfId="0" applyNumberFormat="1" applyFont="1" applyFill="1" applyBorder="1" applyAlignment="1">
      <alignment horizontal="center"/>
    </xf>
    <xf numFmtId="166" fontId="7" fillId="0" borderId="0" xfId="0" applyNumberFormat="1" applyFont="1" applyFill="1" applyBorder="1" applyAlignment="1">
      <alignment horizontal="center"/>
    </xf>
    <xf numFmtId="2" fontId="9" fillId="0" borderId="0" xfId="0" applyNumberFormat="1" applyFont="1" applyFill="1" applyAlignment="1">
      <alignment horizontal="center"/>
    </xf>
    <xf numFmtId="0" fontId="40" fillId="0" borderId="14" xfId="0" applyFont="1" applyFill="1" applyBorder="1"/>
    <xf numFmtId="0" fontId="7" fillId="0" borderId="0" xfId="0" applyFont="1" applyFill="1" applyBorder="1" applyAlignment="1">
      <alignment wrapText="1"/>
    </xf>
    <xf numFmtId="0" fontId="8" fillId="0" borderId="0" xfId="0" applyFont="1" applyFill="1" applyBorder="1" applyAlignment="1">
      <alignment wrapText="1"/>
    </xf>
    <xf numFmtId="0" fontId="48" fillId="0" borderId="0" xfId="0" applyFont="1" applyFill="1" applyBorder="1" applyAlignment="1">
      <alignment horizontal="right"/>
    </xf>
    <xf numFmtId="216" fontId="11" fillId="0" borderId="0" xfId="0" applyNumberFormat="1" applyFont="1" applyFill="1" applyBorder="1" applyAlignment="1">
      <alignment horizontal="center"/>
    </xf>
    <xf numFmtId="167" fontId="0" fillId="0" borderId="0" xfId="0" applyNumberFormat="1" applyBorder="1"/>
    <xf numFmtId="165" fontId="8" fillId="0" borderId="0"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xf>
    <xf numFmtId="0" fontId="0" fillId="0" borderId="19" xfId="0" applyBorder="1"/>
    <xf numFmtId="0" fontId="12" fillId="0" borderId="19" xfId="0" applyFont="1" applyFill="1" applyBorder="1" applyAlignment="1">
      <alignment vertical="center"/>
    </xf>
    <xf numFmtId="167" fontId="14" fillId="0" borderId="0" xfId="2" applyNumberFormat="1" applyFont="1" applyFill="1"/>
    <xf numFmtId="167" fontId="52" fillId="0" borderId="0" xfId="2" applyNumberFormat="1" applyFont="1" applyFill="1"/>
    <xf numFmtId="0" fontId="5" fillId="0" borderId="0" xfId="0" applyFont="1"/>
    <xf numFmtId="0" fontId="0" fillId="0" borderId="19" xfId="0" applyFill="1" applyBorder="1"/>
    <xf numFmtId="191" fontId="0" fillId="0" borderId="0" xfId="0" applyNumberFormat="1" applyFill="1" applyBorder="1" applyAlignment="1">
      <alignment horizontal="center"/>
    </xf>
    <xf numFmtId="0" fontId="7" fillId="0" borderId="0" xfId="0" applyFont="1" applyFill="1" applyAlignment="1">
      <alignment horizontal="left"/>
    </xf>
    <xf numFmtId="0" fontId="16" fillId="0" borderId="0" xfId="0" applyFont="1" applyFill="1" applyAlignment="1">
      <alignment horizontal="left"/>
    </xf>
    <xf numFmtId="0" fontId="35" fillId="0" borderId="0" xfId="0" applyFont="1"/>
    <xf numFmtId="3" fontId="10" fillId="0" borderId="0" xfId="0" applyNumberFormat="1" applyFont="1" applyFill="1" applyAlignment="1">
      <alignment horizontal="center"/>
    </xf>
    <xf numFmtId="0" fontId="29" fillId="3" borderId="0" xfId="0" applyFont="1" applyFill="1" applyBorder="1"/>
    <xf numFmtId="0" fontId="17" fillId="3" borderId="0" xfId="0" applyFont="1" applyFill="1" applyBorder="1"/>
    <xf numFmtId="0" fontId="29" fillId="4" borderId="0" xfId="0" applyFont="1" applyFill="1" applyBorder="1"/>
    <xf numFmtId="0" fontId="17" fillId="4" borderId="0" xfId="0" applyFont="1" applyFill="1" applyBorder="1"/>
    <xf numFmtId="0" fontId="31" fillId="4" borderId="0" xfId="0" applyFont="1" applyFill="1" applyBorder="1" applyAlignment="1">
      <alignment horizontal="left" vertical="center"/>
    </xf>
    <xf numFmtId="166" fontId="0" fillId="0" borderId="6" xfId="0" applyNumberFormat="1" applyFill="1" applyBorder="1" applyAlignment="1">
      <alignment horizontal="center"/>
    </xf>
    <xf numFmtId="0" fontId="0" fillId="0" borderId="20" xfId="0" applyFill="1" applyBorder="1"/>
    <xf numFmtId="0" fontId="31" fillId="3" borderId="21" xfId="0" applyFont="1" applyFill="1" applyBorder="1" applyAlignment="1">
      <alignment horizontal="center" vertical="center"/>
    </xf>
    <xf numFmtId="49" fontId="5" fillId="0" borderId="16" xfId="0" applyNumberFormat="1" applyFont="1" applyFill="1" applyBorder="1" applyAlignment="1">
      <alignment horizontal="center"/>
    </xf>
    <xf numFmtId="49" fontId="22" fillId="4" borderId="4" xfId="0" applyNumberFormat="1" applyFont="1" applyFill="1" applyBorder="1" applyAlignment="1">
      <alignment horizontal="center" vertical="center"/>
    </xf>
    <xf numFmtId="191" fontId="11" fillId="0" borderId="3" xfId="0" applyNumberFormat="1" applyFont="1" applyFill="1" applyBorder="1" applyAlignment="1">
      <alignment horizontal="center" vertical="center" wrapText="1"/>
    </xf>
    <xf numFmtId="0" fontId="12" fillId="0" borderId="22" xfId="0" applyFont="1" applyFill="1" applyBorder="1" applyAlignment="1">
      <alignment vertical="center"/>
    </xf>
    <xf numFmtId="191" fontId="11" fillId="0" borderId="5" xfId="0" applyNumberFormat="1" applyFont="1" applyFill="1" applyBorder="1" applyAlignment="1">
      <alignment horizontal="center" vertical="center" wrapText="1"/>
    </xf>
    <xf numFmtId="49" fontId="8" fillId="0" borderId="19" xfId="0" applyNumberFormat="1" applyFont="1" applyFill="1" applyBorder="1" applyAlignment="1">
      <alignment horizontal="left" vertical="center" wrapText="1"/>
    </xf>
    <xf numFmtId="9" fontId="0" fillId="0" borderId="3" xfId="0" applyNumberFormat="1" applyFill="1" applyBorder="1" applyAlignment="1">
      <alignment horizontal="center"/>
    </xf>
    <xf numFmtId="9" fontId="0" fillId="0" borderId="6" xfId="0" applyNumberFormat="1" applyFill="1" applyBorder="1" applyAlignment="1">
      <alignment horizontal="center"/>
    </xf>
    <xf numFmtId="9" fontId="17" fillId="0" borderId="6" xfId="2" applyFont="1" applyFill="1" applyBorder="1" applyAlignment="1" applyProtection="1">
      <alignment horizontal="center" vertical="center" wrapText="1"/>
    </xf>
    <xf numFmtId="9" fontId="0" fillId="0" borderId="5" xfId="0" applyNumberFormat="1" applyFill="1" applyBorder="1" applyAlignment="1">
      <alignment horizontal="center"/>
    </xf>
    <xf numFmtId="0" fontId="36" fillId="0" borderId="0" xfId="0" applyFont="1" applyFill="1" applyAlignment="1">
      <alignment horizontal="left"/>
    </xf>
    <xf numFmtId="49" fontId="31" fillId="4" borderId="4" xfId="0" applyNumberFormat="1" applyFont="1" applyFill="1" applyBorder="1" applyAlignment="1">
      <alignment horizontal="center" vertical="center"/>
    </xf>
    <xf numFmtId="2" fontId="8" fillId="0" borderId="19" xfId="0" applyNumberFormat="1" applyFont="1" applyFill="1" applyBorder="1" applyAlignment="1">
      <alignment horizontal="left" vertical="center"/>
    </xf>
    <xf numFmtId="0" fontId="0" fillId="0" borderId="3" xfId="0" applyBorder="1"/>
    <xf numFmtId="0" fontId="0" fillId="0" borderId="19" xfId="0" applyBorder="1" applyAlignment="1">
      <alignment vertical="center"/>
    </xf>
    <xf numFmtId="9" fontId="0" fillId="0" borderId="0" xfId="0" applyNumberFormat="1" applyBorder="1" applyAlignment="1">
      <alignment horizontal="center"/>
    </xf>
    <xf numFmtId="9" fontId="0" fillId="0" borderId="3" xfId="0" applyNumberFormat="1" applyBorder="1" applyAlignment="1">
      <alignment horizontal="center"/>
    </xf>
    <xf numFmtId="0" fontId="0" fillId="0" borderId="22" xfId="0" applyBorder="1" applyAlignment="1">
      <alignment vertical="center"/>
    </xf>
    <xf numFmtId="9" fontId="0" fillId="0" borderId="6" xfId="0" applyNumberFormat="1" applyBorder="1" applyAlignment="1">
      <alignment horizontal="center"/>
    </xf>
    <xf numFmtId="9" fontId="0" fillId="0" borderId="5" xfId="0" applyNumberFormat="1" applyBorder="1" applyAlignment="1">
      <alignment horizontal="center"/>
    </xf>
    <xf numFmtId="191" fontId="5" fillId="0" borderId="0" xfId="0" applyNumberFormat="1" applyFont="1" applyFill="1" applyBorder="1" applyAlignment="1">
      <alignment horizontal="center" vertical="center" wrapText="1"/>
    </xf>
    <xf numFmtId="191" fontId="5" fillId="0" borderId="3" xfId="0" applyNumberFormat="1" applyFont="1" applyFill="1" applyBorder="1" applyAlignment="1">
      <alignment horizontal="center" vertical="center" wrapText="1"/>
    </xf>
    <xf numFmtId="0" fontId="12" fillId="0" borderId="19" xfId="0" applyNumberFormat="1" applyFont="1" applyFill="1" applyBorder="1" applyAlignment="1">
      <alignment horizontal="left" vertical="center" wrapText="1"/>
    </xf>
    <xf numFmtId="0" fontId="0" fillId="0" borderId="22" xfId="0" applyBorder="1"/>
    <xf numFmtId="2" fontId="8" fillId="0" borderId="19" xfId="0" applyNumberFormat="1" applyFont="1" applyBorder="1"/>
    <xf numFmtId="191" fontId="5" fillId="0" borderId="16" xfId="0" applyNumberFormat="1" applyFont="1" applyFill="1" applyBorder="1" applyAlignment="1">
      <alignment horizontal="center" vertical="center" wrapText="1"/>
    </xf>
    <xf numFmtId="191" fontId="5" fillId="0" borderId="4" xfId="0" applyNumberFormat="1" applyFont="1" applyFill="1" applyBorder="1" applyAlignment="1">
      <alignment horizontal="center" vertical="center" wrapText="1"/>
    </xf>
    <xf numFmtId="167" fontId="5" fillId="0" borderId="3" xfId="0" applyNumberFormat="1" applyFont="1" applyFill="1" applyBorder="1" applyAlignment="1">
      <alignment horizontal="center" vertical="center"/>
    </xf>
    <xf numFmtId="167" fontId="5" fillId="0" borderId="5" xfId="0" applyNumberFormat="1" applyFont="1" applyFill="1" applyBorder="1" applyAlignment="1">
      <alignment horizontal="center" vertical="center"/>
    </xf>
    <xf numFmtId="0" fontId="0" fillId="0" borderId="20" xfId="0" applyBorder="1"/>
    <xf numFmtId="0" fontId="11" fillId="0" borderId="19" xfId="0" applyFont="1" applyBorder="1"/>
    <xf numFmtId="0" fontId="12" fillId="0" borderId="19" xfId="0" applyFont="1" applyBorder="1"/>
    <xf numFmtId="0" fontId="12" fillId="0" borderId="22" xfId="0" applyFont="1" applyBorder="1"/>
    <xf numFmtId="0" fontId="12" fillId="0" borderId="6" xfId="0" applyFont="1" applyFill="1" applyBorder="1"/>
    <xf numFmtId="0" fontId="11" fillId="0" borderId="22" xfId="0" applyFont="1" applyBorder="1"/>
    <xf numFmtId="0" fontId="11" fillId="0" borderId="19" xfId="0" applyFont="1" applyBorder="1" applyAlignment="1">
      <alignment vertical="center" wrapText="1"/>
    </xf>
    <xf numFmtId="191" fontId="11" fillId="0" borderId="0" xfId="0" applyNumberFormat="1" applyFont="1" applyBorder="1" applyAlignment="1">
      <alignment horizontal="center" vertical="center"/>
    </xf>
    <xf numFmtId="191" fontId="11" fillId="0" borderId="3" xfId="0" applyNumberFormat="1" applyFont="1" applyBorder="1" applyAlignment="1">
      <alignment horizontal="center"/>
    </xf>
    <xf numFmtId="191" fontId="12" fillId="0" borderId="5" xfId="0" applyNumberFormat="1" applyFont="1" applyBorder="1" applyAlignment="1">
      <alignment horizontal="center" vertical="center"/>
    </xf>
    <xf numFmtId="0" fontId="0" fillId="0" borderId="19" xfId="0" applyBorder="1" applyAlignment="1">
      <alignment vertical="center" wrapText="1"/>
    </xf>
    <xf numFmtId="0" fontId="0" fillId="0" borderId="22" xfId="0" applyBorder="1" applyAlignment="1">
      <alignment vertical="center" wrapText="1"/>
    </xf>
    <xf numFmtId="9" fontId="12" fillId="0" borderId="6" xfId="0" applyNumberFormat="1" applyFont="1" applyBorder="1" applyAlignment="1">
      <alignment horizontal="center" vertical="center"/>
    </xf>
    <xf numFmtId="9" fontId="12" fillId="0" borderId="5" xfId="0" applyNumberFormat="1" applyFont="1" applyFill="1" applyBorder="1" applyAlignment="1">
      <alignment horizontal="center" vertical="center"/>
    </xf>
    <xf numFmtId="191" fontId="12" fillId="0" borderId="3" xfId="0" applyNumberFormat="1" applyFont="1" applyBorder="1" applyAlignment="1">
      <alignment horizontal="center" vertical="center"/>
    </xf>
    <xf numFmtId="0" fontId="0" fillId="0" borderId="14" xfId="0" applyFill="1" applyBorder="1" applyAlignment="1">
      <alignment horizontal="right"/>
    </xf>
    <xf numFmtId="0" fontId="0" fillId="0" borderId="18" xfId="0" applyFill="1" applyBorder="1" applyAlignment="1">
      <alignment vertical="center" wrapText="1"/>
    </xf>
    <xf numFmtId="0" fontId="8" fillId="0" borderId="19" xfId="0" applyFont="1" applyBorder="1" applyAlignment="1">
      <alignment vertical="center" wrapText="1"/>
    </xf>
    <xf numFmtId="9" fontId="12" fillId="0" borderId="0" xfId="0" applyNumberFormat="1" applyFont="1" applyBorder="1" applyAlignment="1">
      <alignment horizontal="center" vertical="center"/>
    </xf>
    <xf numFmtId="9" fontId="12" fillId="0" borderId="3" xfId="0" applyNumberFormat="1" applyFont="1" applyBorder="1" applyAlignment="1">
      <alignment horizontal="center"/>
    </xf>
    <xf numFmtId="172" fontId="17" fillId="0" borderId="6" xfId="2" applyNumberFormat="1" applyFont="1" applyFill="1" applyBorder="1" applyAlignment="1" applyProtection="1">
      <alignment horizontal="center" vertical="center" wrapText="1"/>
    </xf>
    <xf numFmtId="9" fontId="12" fillId="0" borderId="5" xfId="0" applyNumberFormat="1" applyFont="1" applyBorder="1" applyAlignment="1">
      <alignment horizontal="center"/>
    </xf>
    <xf numFmtId="191" fontId="11" fillId="0" borderId="5" xfId="0" applyNumberFormat="1" applyFont="1" applyBorder="1" applyAlignment="1">
      <alignment horizontal="center"/>
    </xf>
    <xf numFmtId="0" fontId="12" fillId="0" borderId="22" xfId="0" applyFont="1" applyBorder="1" applyAlignment="1">
      <alignment vertical="center"/>
    </xf>
    <xf numFmtId="167" fontId="12" fillId="0" borderId="0" xfId="0" applyNumberFormat="1" applyFont="1" applyBorder="1" applyAlignment="1">
      <alignment horizontal="center" vertical="center"/>
    </xf>
    <xf numFmtId="0" fontId="11" fillId="0" borderId="22" xfId="0" applyFont="1" applyBorder="1" applyAlignment="1">
      <alignment vertical="center"/>
    </xf>
    <xf numFmtId="0" fontId="8" fillId="0" borderId="19" xfId="0" applyFont="1" applyBorder="1" applyAlignment="1">
      <alignment vertical="center"/>
    </xf>
    <xf numFmtId="191" fontId="5" fillId="0" borderId="0" xfId="0" applyNumberFormat="1" applyFont="1" applyBorder="1" applyAlignment="1">
      <alignment horizontal="center" vertical="center"/>
    </xf>
    <xf numFmtId="191" fontId="5" fillId="0" borderId="3" xfId="0" applyNumberFormat="1" applyFont="1" applyBorder="1" applyAlignment="1">
      <alignment horizontal="center"/>
    </xf>
    <xf numFmtId="9" fontId="11" fillId="0" borderId="0" xfId="0" applyNumberFormat="1" applyFont="1" applyFill="1" applyBorder="1" applyAlignment="1">
      <alignment horizontal="center" vertical="center"/>
    </xf>
    <xf numFmtId="9" fontId="11" fillId="0" borderId="3" xfId="0" applyNumberFormat="1" applyFont="1" applyFill="1" applyBorder="1" applyAlignment="1">
      <alignment horizontal="center" vertical="center"/>
    </xf>
    <xf numFmtId="0" fontId="11" fillId="0" borderId="0" xfId="0" applyFont="1" applyAlignment="1">
      <alignment horizontal="right"/>
    </xf>
    <xf numFmtId="214" fontId="12" fillId="0" borderId="0" xfId="0" applyNumberFormat="1" applyFont="1" applyBorder="1" applyAlignment="1">
      <alignment horizontal="center"/>
    </xf>
    <xf numFmtId="1" fontId="12" fillId="0" borderId="0" xfId="0" applyNumberFormat="1" applyFont="1" applyFill="1" applyBorder="1" applyAlignment="1">
      <alignment horizontal="center"/>
    </xf>
    <xf numFmtId="178" fontId="12" fillId="0" borderId="0" xfId="0" applyNumberFormat="1" applyFont="1" applyFill="1" applyBorder="1" applyAlignment="1">
      <alignment horizontal="center"/>
    </xf>
    <xf numFmtId="0" fontId="12" fillId="0" borderId="23" xfId="0" applyFont="1" applyFill="1" applyBorder="1"/>
    <xf numFmtId="1" fontId="12" fillId="0" borderId="0" xfId="0" applyNumberFormat="1" applyFont="1" applyFill="1" applyBorder="1"/>
    <xf numFmtId="178" fontId="12" fillId="0" borderId="0" xfId="0" applyNumberFormat="1" applyFont="1" applyFill="1" applyAlignment="1">
      <alignment horizontal="center"/>
    </xf>
    <xf numFmtId="9" fontId="12" fillId="0" borderId="0" xfId="2" applyFont="1" applyFill="1" applyAlignment="1">
      <alignment horizontal="center" vertical="center"/>
    </xf>
    <xf numFmtId="0" fontId="58" fillId="0" borderId="0" xfId="0" applyFont="1"/>
    <xf numFmtId="0" fontId="61" fillId="0" borderId="0" xfId="0" applyFont="1" applyFill="1"/>
    <xf numFmtId="178" fontId="11" fillId="0" borderId="6" xfId="0" applyNumberFormat="1" applyFont="1" applyFill="1" applyBorder="1" applyAlignment="1">
      <alignment horizontal="center"/>
    </xf>
    <xf numFmtId="0" fontId="37" fillId="0" borderId="0" xfId="0" applyFont="1" applyFill="1" applyAlignment="1">
      <alignment horizontal="center"/>
    </xf>
    <xf numFmtId="1" fontId="0" fillId="6" borderId="0" xfId="0" applyNumberFormat="1" applyFill="1" applyAlignment="1">
      <alignment horizontal="center"/>
    </xf>
    <xf numFmtId="225" fontId="0" fillId="0" borderId="0" xfId="0" applyNumberFormat="1" applyFill="1" applyAlignment="1">
      <alignment horizontal="center"/>
    </xf>
    <xf numFmtId="183" fontId="0" fillId="0" borderId="0" xfId="0" applyNumberFormat="1" applyFill="1" applyAlignment="1">
      <alignment horizontal="center"/>
    </xf>
    <xf numFmtId="0" fontId="37" fillId="0" borderId="0" xfId="0" applyFont="1"/>
    <xf numFmtId="167" fontId="0" fillId="0" borderId="6" xfId="0" applyNumberFormat="1" applyFill="1" applyBorder="1" applyAlignment="1">
      <alignment horizontal="center"/>
    </xf>
    <xf numFmtId="167" fontId="3" fillId="0" borderId="0" xfId="0" applyNumberFormat="1" applyFont="1" applyFill="1" applyBorder="1" applyAlignment="1">
      <alignment horizontal="center"/>
    </xf>
    <xf numFmtId="220" fontId="5" fillId="0" borderId="0" xfId="0" applyNumberFormat="1" applyFont="1" applyFill="1" applyBorder="1" applyAlignment="1">
      <alignment horizontal="center" vertical="center"/>
    </xf>
    <xf numFmtId="220" fontId="8" fillId="0" borderId="0"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8" fillId="0" borderId="0" xfId="0" applyNumberFormat="1" applyFont="1" applyFill="1" applyBorder="1" applyAlignment="1">
      <alignment horizontal="center" vertical="center"/>
    </xf>
    <xf numFmtId="172" fontId="11" fillId="0" borderId="0" xfId="0" applyNumberFormat="1" applyFont="1" applyFill="1" applyBorder="1" applyAlignment="1">
      <alignment horizontal="center" vertical="center"/>
    </xf>
    <xf numFmtId="172" fontId="12" fillId="0" borderId="0" xfId="0" applyNumberFormat="1" applyFont="1" applyFill="1" applyBorder="1" applyAlignment="1">
      <alignment horizontal="center" vertical="center"/>
    </xf>
    <xf numFmtId="172" fontId="11" fillId="0" borderId="0" xfId="2" applyNumberFormat="1" applyFont="1" applyFill="1" applyBorder="1" applyAlignment="1">
      <alignment horizontal="center" vertical="center"/>
    </xf>
    <xf numFmtId="172" fontId="12" fillId="0" borderId="0" xfId="2" applyNumberFormat="1" applyFont="1" applyFill="1" applyBorder="1" applyAlignment="1">
      <alignment horizontal="center" vertical="center"/>
    </xf>
    <xf numFmtId="176" fontId="7" fillId="6" borderId="0" xfId="0" applyNumberFormat="1" applyFont="1" applyFill="1" applyAlignment="1" applyProtection="1">
      <alignment horizontal="center" vertical="center"/>
      <protection locked="0"/>
    </xf>
    <xf numFmtId="176" fontId="12" fillId="6" borderId="0" xfId="0" applyNumberFormat="1" applyFont="1" applyFill="1" applyAlignment="1" applyProtection="1">
      <alignment horizontal="center" vertical="center"/>
      <protection locked="0"/>
    </xf>
    <xf numFmtId="9" fontId="11" fillId="6" borderId="0" xfId="2" applyFont="1" applyFill="1" applyAlignment="1" applyProtection="1">
      <alignment horizontal="center" vertical="center"/>
      <protection locked="0"/>
    </xf>
    <xf numFmtId="9" fontId="12" fillId="6" borderId="0" xfId="2" applyFont="1" applyFill="1" applyAlignment="1" applyProtection="1">
      <alignment horizontal="center" vertical="center"/>
      <protection locked="0"/>
    </xf>
    <xf numFmtId="9" fontId="12" fillId="6" borderId="0" xfId="2" applyFont="1" applyFill="1" applyAlignment="1" applyProtection="1">
      <alignment horizontal="center" vertical="center"/>
    </xf>
    <xf numFmtId="177" fontId="11" fillId="6" borderId="0" xfId="0" applyNumberFormat="1" applyFont="1" applyFill="1" applyAlignment="1" applyProtection="1">
      <alignment horizontal="center" vertical="center"/>
      <protection locked="0"/>
    </xf>
    <xf numFmtId="208" fontId="11" fillId="6" borderId="0" xfId="0" applyNumberFormat="1" applyFont="1" applyFill="1" applyAlignment="1" applyProtection="1">
      <alignment horizontal="center" vertical="center"/>
      <protection locked="0"/>
    </xf>
    <xf numFmtId="166" fontId="11" fillId="6" borderId="0" xfId="0" applyNumberFormat="1" applyFont="1" applyFill="1" applyAlignment="1" applyProtection="1">
      <alignment horizontal="center" vertical="center"/>
      <protection locked="0"/>
    </xf>
    <xf numFmtId="186" fontId="12" fillId="6" borderId="0" xfId="2" applyNumberFormat="1" applyFont="1" applyFill="1" applyAlignment="1" applyProtection="1">
      <alignment horizontal="center" vertical="center"/>
      <protection locked="0"/>
    </xf>
    <xf numFmtId="3" fontId="12" fillId="6" borderId="0" xfId="0" applyNumberFormat="1" applyFont="1" applyFill="1" applyAlignment="1" applyProtection="1">
      <alignment horizontal="center" vertical="center"/>
      <protection locked="0"/>
    </xf>
    <xf numFmtId="166" fontId="12" fillId="6" borderId="0" xfId="0" applyNumberFormat="1" applyFont="1" applyFill="1" applyAlignment="1" applyProtection="1">
      <alignment horizontal="center" vertical="center"/>
      <protection locked="0"/>
    </xf>
    <xf numFmtId="172" fontId="12" fillId="6" borderId="0" xfId="2" applyNumberFormat="1" applyFont="1" applyFill="1" applyAlignment="1" applyProtection="1">
      <alignment horizontal="center" vertical="center"/>
      <protection locked="0"/>
    </xf>
    <xf numFmtId="176" fontId="7" fillId="0" borderId="0" xfId="0" applyNumberFormat="1" applyFont="1" applyFill="1" applyAlignment="1">
      <alignment horizontal="center" vertical="center"/>
    </xf>
    <xf numFmtId="176" fontId="12" fillId="0" borderId="0" xfId="0" applyNumberFormat="1" applyFont="1" applyFill="1" applyAlignment="1">
      <alignment horizontal="center" vertical="center"/>
    </xf>
    <xf numFmtId="166" fontId="12" fillId="0" borderId="0" xfId="0" applyNumberFormat="1" applyFont="1" applyFill="1" applyAlignment="1">
      <alignment horizontal="center" vertical="center"/>
    </xf>
    <xf numFmtId="9" fontId="11" fillId="0" borderId="0" xfId="2" applyFont="1" applyFill="1" applyAlignment="1">
      <alignment horizontal="center" vertical="center"/>
    </xf>
    <xf numFmtId="9" fontId="11" fillId="0" borderId="0" xfId="0" applyNumberFormat="1" applyFont="1" applyFill="1" applyAlignment="1">
      <alignment horizontal="center" vertical="center"/>
    </xf>
    <xf numFmtId="177" fontId="11" fillId="0" borderId="0" xfId="0" applyNumberFormat="1" applyFont="1" applyFill="1" applyAlignment="1">
      <alignment horizontal="center" vertical="center"/>
    </xf>
    <xf numFmtId="208" fontId="11" fillId="0" borderId="0" xfId="0" applyNumberFormat="1" applyFont="1" applyFill="1" applyAlignment="1">
      <alignment horizontal="center" vertical="center"/>
    </xf>
    <xf numFmtId="166" fontId="11" fillId="0" borderId="0" xfId="0" applyNumberFormat="1" applyFont="1" applyFill="1" applyAlignment="1">
      <alignment horizontal="center" vertical="center"/>
    </xf>
    <xf numFmtId="9" fontId="12" fillId="0" borderId="0" xfId="0" applyNumberFormat="1" applyFont="1" applyFill="1" applyAlignment="1">
      <alignment horizontal="center" vertical="center"/>
    </xf>
    <xf numFmtId="207" fontId="12" fillId="0" borderId="0" xfId="0" applyNumberFormat="1" applyFont="1" applyFill="1" applyAlignment="1">
      <alignment horizontal="center" vertical="center"/>
    </xf>
    <xf numFmtId="3" fontId="12" fillId="0" borderId="0" xfId="0" applyNumberFormat="1" applyFont="1" applyFill="1" applyAlignment="1">
      <alignment horizontal="center" vertical="center"/>
    </xf>
    <xf numFmtId="191" fontId="12" fillId="0" borderId="0" xfId="0" applyNumberFormat="1" applyFont="1" applyFill="1" applyAlignment="1">
      <alignment horizontal="center" vertical="center"/>
    </xf>
    <xf numFmtId="0" fontId="11" fillId="0" borderId="0" xfId="0" applyFont="1" applyFill="1" applyAlignment="1">
      <alignment horizontal="right" vertical="center" wrapText="1"/>
    </xf>
    <xf numFmtId="0" fontId="5" fillId="0" borderId="0" xfId="0" applyFont="1" applyFill="1" applyAlignment="1">
      <alignment horizontal="right" vertical="center" wrapText="1"/>
    </xf>
    <xf numFmtId="0" fontId="12" fillId="0" borderId="0" xfId="0" applyFont="1" applyFill="1" applyAlignment="1">
      <alignment horizontal="right" vertical="center" wrapText="1"/>
    </xf>
    <xf numFmtId="0" fontId="11" fillId="0" borderId="24" xfId="0" applyFont="1" applyFill="1" applyBorder="1" applyAlignment="1">
      <alignment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49" fontId="22" fillId="4" borderId="23" xfId="0" applyNumberFormat="1" applyFont="1" applyFill="1" applyBorder="1" applyAlignment="1">
      <alignment horizontal="center" vertical="center"/>
    </xf>
    <xf numFmtId="0" fontId="17" fillId="0" borderId="0" xfId="0" applyFont="1" applyFill="1" applyBorder="1" applyAlignment="1">
      <alignment vertical="center"/>
    </xf>
    <xf numFmtId="9" fontId="8" fillId="0" borderId="0" xfId="2" applyFont="1" applyFill="1" applyBorder="1" applyAlignment="1">
      <alignment horizontal="center" vertical="center"/>
    </xf>
    <xf numFmtId="0" fontId="12" fillId="0" borderId="23" xfId="0" applyFont="1" applyFill="1" applyBorder="1" applyAlignment="1">
      <alignment vertical="center"/>
    </xf>
    <xf numFmtId="191" fontId="11" fillId="0" borderId="23" xfId="0" applyNumberFormat="1" applyFont="1" applyFill="1" applyBorder="1" applyAlignment="1">
      <alignment horizontal="center" vertical="center"/>
    </xf>
    <xf numFmtId="0" fontId="12" fillId="0" borderId="23" xfId="0" applyFont="1" applyFill="1" applyBorder="1" applyAlignment="1">
      <alignment horizontal="center" vertical="center"/>
    </xf>
    <xf numFmtId="208" fontId="5" fillId="0" borderId="23" xfId="0" applyNumberFormat="1" applyFont="1" applyFill="1" applyBorder="1" applyAlignment="1">
      <alignment horizontal="center" vertical="center"/>
    </xf>
    <xf numFmtId="0" fontId="17" fillId="7" borderId="0" xfId="0" applyFont="1" applyFill="1"/>
    <xf numFmtId="0" fontId="12" fillId="7" borderId="0" xfId="0" applyFont="1" applyFill="1" applyAlignment="1">
      <alignment horizontal="center"/>
    </xf>
    <xf numFmtId="0" fontId="11" fillId="7" borderId="0" xfId="0" applyFont="1" applyFill="1"/>
    <xf numFmtId="0" fontId="12" fillId="7" borderId="0" xfId="0" applyFont="1" applyFill="1"/>
    <xf numFmtId="0" fontId="40" fillId="7" borderId="0" xfId="0" applyFont="1" applyFill="1"/>
    <xf numFmtId="0" fontId="0" fillId="7" borderId="0" xfId="0" applyFill="1"/>
    <xf numFmtId="0" fontId="0" fillId="7" borderId="0" xfId="0" applyFill="1" applyAlignment="1">
      <alignment horizontal="center"/>
    </xf>
    <xf numFmtId="167" fontId="12" fillId="7" borderId="0" xfId="2" applyNumberFormat="1" applyFont="1" applyFill="1"/>
    <xf numFmtId="0" fontId="0" fillId="6" borderId="0" xfId="0" applyFill="1" applyAlignment="1">
      <alignment horizontal="center"/>
    </xf>
    <xf numFmtId="0" fontId="5" fillId="6" borderId="0" xfId="0" applyFont="1" applyFill="1" applyAlignment="1">
      <alignment horizontal="left"/>
    </xf>
    <xf numFmtId="0" fontId="0" fillId="6" borderId="0" xfId="0" applyFill="1"/>
    <xf numFmtId="0" fontId="11" fillId="6" borderId="0" xfId="0" applyFont="1" applyFill="1"/>
    <xf numFmtId="9" fontId="0" fillId="6" borderId="0" xfId="2" applyFont="1" applyFill="1"/>
    <xf numFmtId="0" fontId="1" fillId="6" borderId="0" xfId="0" applyFont="1" applyFill="1" applyBorder="1"/>
    <xf numFmtId="0" fontId="0" fillId="6" borderId="0" xfId="0" applyFill="1" applyBorder="1"/>
    <xf numFmtId="9" fontId="0" fillId="6" borderId="0" xfId="0" applyNumberFormat="1" applyFill="1" applyBorder="1" applyAlignment="1">
      <alignment horizontal="center"/>
    </xf>
    <xf numFmtId="0" fontId="0" fillId="6" borderId="0" xfId="0" applyFill="1" applyBorder="1" applyAlignment="1">
      <alignment wrapText="1"/>
    </xf>
    <xf numFmtId="9" fontId="0" fillId="6" borderId="0" xfId="0" applyNumberFormat="1" applyFill="1" applyBorder="1" applyAlignment="1">
      <alignment wrapText="1"/>
    </xf>
    <xf numFmtId="183" fontId="3" fillId="6" borderId="2" xfId="0" applyNumberFormat="1" applyFont="1" applyFill="1" applyBorder="1" applyAlignment="1">
      <alignment horizontal="center"/>
    </xf>
    <xf numFmtId="183" fontId="0" fillId="6" borderId="2" xfId="0" applyNumberFormat="1" applyFill="1" applyBorder="1" applyAlignment="1">
      <alignment horizontal="center"/>
    </xf>
    <xf numFmtId="183" fontId="3" fillId="6" borderId="23" xfId="0" applyNumberFormat="1" applyFont="1" applyFill="1" applyBorder="1" applyAlignment="1">
      <alignment horizontal="center"/>
    </xf>
    <xf numFmtId="183" fontId="0" fillId="6" borderId="23" xfId="0" applyNumberFormat="1" applyFill="1" applyBorder="1" applyAlignment="1">
      <alignment horizontal="center"/>
    </xf>
    <xf numFmtId="9" fontId="1" fillId="0" borderId="3" xfId="2" applyFont="1" applyFill="1" applyBorder="1" applyAlignment="1">
      <alignment horizontal="center"/>
    </xf>
    <xf numFmtId="206" fontId="0" fillId="0" borderId="5" xfId="0" applyNumberFormat="1" applyFill="1" applyBorder="1" applyAlignment="1">
      <alignment horizontal="center"/>
    </xf>
    <xf numFmtId="206" fontId="1" fillId="0" borderId="25" xfId="0" applyNumberFormat="1" applyFont="1" applyFill="1" applyBorder="1" applyAlignment="1">
      <alignment horizontal="center"/>
    </xf>
    <xf numFmtId="206" fontId="1" fillId="0" borderId="26" xfId="0" applyNumberFormat="1" applyFont="1" applyFill="1" applyBorder="1" applyAlignment="1">
      <alignment horizontal="center"/>
    </xf>
    <xf numFmtId="1" fontId="1" fillId="0" borderId="23" xfId="0" applyNumberFormat="1" applyFont="1" applyFill="1" applyBorder="1" applyAlignment="1">
      <alignment horizontal="center"/>
    </xf>
    <xf numFmtId="3" fontId="5" fillId="0" borderId="26" xfId="0" applyNumberFormat="1" applyFont="1" applyFill="1" applyBorder="1" applyAlignment="1">
      <alignment horizontal="center"/>
    </xf>
    <xf numFmtId="198" fontId="1" fillId="6" borderId="23" xfId="0" applyNumberFormat="1" applyFont="1" applyFill="1" applyBorder="1" applyAlignment="1">
      <alignment horizontal="center"/>
    </xf>
    <xf numFmtId="178" fontId="53" fillId="0" borderId="0" xfId="0" applyNumberFormat="1" applyFont="1" applyFill="1" applyAlignment="1">
      <alignment horizontal="center"/>
    </xf>
    <xf numFmtId="178" fontId="11" fillId="6" borderId="0" xfId="0" applyNumberFormat="1" applyFont="1" applyFill="1" applyBorder="1" applyAlignment="1">
      <alignment horizontal="center"/>
    </xf>
    <xf numFmtId="178" fontId="11" fillId="6" borderId="6" xfId="0" applyNumberFormat="1" applyFont="1" applyFill="1" applyBorder="1" applyAlignment="1">
      <alignment horizontal="center"/>
    </xf>
    <xf numFmtId="166" fontId="0" fillId="6" borderId="0" xfId="0" applyNumberFormat="1" applyFill="1" applyBorder="1" applyAlignment="1">
      <alignment horizontal="center"/>
    </xf>
    <xf numFmtId="200" fontId="1" fillId="0" borderId="0" xfId="0" applyNumberFormat="1" applyFont="1" applyFill="1" applyAlignment="1">
      <alignment horizontal="center"/>
    </xf>
    <xf numFmtId="9" fontId="11" fillId="0" borderId="0" xfId="2" applyFont="1" applyFill="1" applyBorder="1" applyAlignment="1">
      <alignment horizontal="center"/>
    </xf>
    <xf numFmtId="9" fontId="1" fillId="0" borderId="0" xfId="2" applyFont="1" applyFill="1" applyBorder="1" applyAlignment="1">
      <alignment horizontal="center"/>
    </xf>
    <xf numFmtId="208" fontId="1" fillId="0" borderId="0" xfId="0" applyNumberFormat="1" applyFont="1" applyFill="1" applyBorder="1" applyAlignment="1">
      <alignment horizontal="center"/>
    </xf>
    <xf numFmtId="9" fontId="1" fillId="0" borderId="1" xfId="2" applyFont="1" applyFill="1" applyBorder="1" applyAlignment="1">
      <alignment horizontal="center"/>
    </xf>
    <xf numFmtId="208" fontId="1" fillId="0" borderId="1" xfId="0" applyNumberFormat="1" applyFont="1" applyFill="1" applyBorder="1" applyAlignment="1">
      <alignment horizontal="center"/>
    </xf>
    <xf numFmtId="9" fontId="0" fillId="6" borderId="0" xfId="2" applyFont="1" applyFill="1" applyBorder="1" applyAlignment="1">
      <alignment horizontal="center"/>
    </xf>
    <xf numFmtId="0" fontId="7" fillId="0" borderId="0" xfId="0" applyFont="1" applyFill="1" applyBorder="1"/>
    <xf numFmtId="165" fontId="0" fillId="6" borderId="0" xfId="0" applyNumberFormat="1" applyFill="1" applyBorder="1" applyAlignment="1">
      <alignment horizontal="center"/>
    </xf>
    <xf numFmtId="218" fontId="33" fillId="6" borderId="0" xfId="0" applyNumberFormat="1" applyFont="1" applyFill="1" applyBorder="1" applyAlignment="1">
      <alignment horizontal="center"/>
    </xf>
    <xf numFmtId="0" fontId="0" fillId="6" borderId="0" xfId="0" applyFill="1" applyBorder="1" applyAlignment="1">
      <alignment horizontal="center"/>
    </xf>
    <xf numFmtId="4" fontId="0" fillId="6" borderId="0" xfId="0" applyNumberFormat="1" applyFill="1" applyBorder="1" applyAlignment="1">
      <alignment horizontal="center"/>
    </xf>
    <xf numFmtId="2" fontId="0" fillId="6" borderId="0" xfId="0" applyNumberFormat="1" applyFill="1" applyBorder="1" applyAlignment="1">
      <alignment horizontal="center"/>
    </xf>
    <xf numFmtId="204" fontId="0" fillId="6" borderId="0" xfId="0" applyNumberFormat="1" applyFill="1" applyBorder="1" applyAlignment="1">
      <alignment horizontal="center"/>
    </xf>
    <xf numFmtId="201" fontId="0" fillId="6" borderId="0" xfId="0" applyNumberFormat="1" applyFill="1" applyBorder="1" applyAlignment="1">
      <alignment horizontal="center"/>
    </xf>
    <xf numFmtId="165" fontId="5" fillId="0" borderId="0" xfId="0" applyNumberFormat="1" applyFont="1" applyFill="1" applyBorder="1" applyAlignment="1">
      <alignment horizontal="center"/>
    </xf>
    <xf numFmtId="0" fontId="5" fillId="0" borderId="0" xfId="0" applyFont="1" applyFill="1" applyBorder="1" applyAlignment="1">
      <alignment horizontal="center"/>
    </xf>
    <xf numFmtId="3" fontId="0" fillId="6" borderId="0" xfId="0" applyNumberFormat="1" applyFill="1" applyBorder="1" applyAlignment="1">
      <alignment horizontal="center"/>
    </xf>
    <xf numFmtId="188" fontId="0" fillId="6" borderId="0" xfId="0" applyNumberFormat="1" applyFill="1" applyBorder="1" applyAlignment="1">
      <alignment horizontal="center"/>
    </xf>
    <xf numFmtId="168" fontId="0" fillId="6" borderId="0" xfId="0" applyNumberFormat="1" applyFill="1" applyBorder="1" applyAlignment="1">
      <alignment horizontal="center"/>
    </xf>
    <xf numFmtId="2" fontId="12" fillId="6" borderId="0" xfId="0" applyNumberFormat="1" applyFont="1" applyFill="1" applyBorder="1"/>
    <xf numFmtId="1" fontId="12" fillId="6" borderId="0" xfId="0" applyNumberFormat="1" applyFont="1" applyFill="1" applyBorder="1" applyAlignment="1">
      <alignment horizontal="center"/>
    </xf>
    <xf numFmtId="214" fontId="12" fillId="6" borderId="0" xfId="0" applyNumberFormat="1" applyFont="1" applyFill="1" applyBorder="1" applyAlignment="1">
      <alignment horizontal="center"/>
    </xf>
    <xf numFmtId="1" fontId="0" fillId="6" borderId="1" xfId="0" applyNumberFormat="1" applyFill="1" applyBorder="1" applyAlignment="1">
      <alignment horizontal="center"/>
    </xf>
    <xf numFmtId="0" fontId="0" fillId="6" borderId="1" xfId="0" applyFill="1" applyBorder="1" applyAlignment="1">
      <alignment horizontal="center"/>
    </xf>
    <xf numFmtId="214" fontId="0" fillId="6" borderId="0" xfId="0" applyNumberFormat="1" applyFill="1" applyAlignment="1">
      <alignment horizontal="center"/>
    </xf>
    <xf numFmtId="178" fontId="0" fillId="7" borderId="0" xfId="0" applyNumberFormat="1" applyFill="1" applyAlignment="1">
      <alignment horizontal="center"/>
    </xf>
    <xf numFmtId="1" fontId="0" fillId="7" borderId="0" xfId="0" applyNumberFormat="1" applyFill="1" applyAlignment="1">
      <alignment horizontal="center"/>
    </xf>
    <xf numFmtId="1" fontId="0" fillId="6" borderId="0" xfId="0" applyNumberFormat="1" applyFill="1" applyBorder="1" applyAlignment="1">
      <alignment horizontal="center"/>
    </xf>
    <xf numFmtId="0" fontId="5" fillId="7" borderId="0" xfId="0" applyFont="1" applyFill="1" applyBorder="1"/>
    <xf numFmtId="0" fontId="8" fillId="0" borderId="0" xfId="0" applyFont="1" applyFill="1" applyBorder="1" applyAlignment="1">
      <alignment horizontal="right"/>
    </xf>
    <xf numFmtId="191" fontId="12" fillId="0" borderId="6" xfId="0" applyNumberFormat="1" applyFont="1" applyFill="1" applyBorder="1" applyAlignment="1">
      <alignment horizontal="center"/>
    </xf>
    <xf numFmtId="191" fontId="1" fillId="0" borderId="0" xfId="0" applyNumberFormat="1" applyFont="1" applyFill="1" applyBorder="1" applyAlignment="1">
      <alignment horizontal="center"/>
    </xf>
    <xf numFmtId="167" fontId="12" fillId="0" borderId="6" xfId="0" applyNumberFormat="1" applyFont="1" applyFill="1" applyBorder="1" applyAlignment="1">
      <alignment horizontal="center"/>
    </xf>
    <xf numFmtId="0" fontId="7" fillId="7" borderId="0" xfId="0" applyFont="1" applyFill="1"/>
    <xf numFmtId="0" fontId="9" fillId="7" borderId="0" xfId="0" applyFont="1" applyFill="1"/>
    <xf numFmtId="1" fontId="9" fillId="7" borderId="0" xfId="0" applyNumberFormat="1" applyFont="1" applyFill="1"/>
    <xf numFmtId="166" fontId="9" fillId="7" borderId="0" xfId="0" applyNumberFormat="1" applyFont="1" applyFill="1" applyAlignment="1">
      <alignment horizontal="center"/>
    </xf>
    <xf numFmtId="167" fontId="7" fillId="7" borderId="0" xfId="0" applyNumberFormat="1" applyFont="1" applyFill="1" applyBorder="1" applyAlignment="1">
      <alignment horizontal="center"/>
    </xf>
    <xf numFmtId="9" fontId="3" fillId="2" borderId="0" xfId="2" applyFill="1" applyAlignment="1">
      <alignment horizontal="center"/>
    </xf>
    <xf numFmtId="0" fontId="30" fillId="7" borderId="0" xfId="0" applyFont="1" applyFill="1"/>
    <xf numFmtId="0" fontId="24" fillId="7" borderId="0" xfId="0" applyFont="1" applyFill="1"/>
    <xf numFmtId="165" fontId="24" fillId="7" borderId="0" xfId="0" applyNumberFormat="1" applyFont="1" applyFill="1" applyAlignment="1">
      <alignment horizontal="center"/>
    </xf>
    <xf numFmtId="166" fontId="24" fillId="7" borderId="0" xfId="0" applyNumberFormat="1" applyFont="1" applyFill="1" applyAlignment="1">
      <alignment horizontal="center"/>
    </xf>
    <xf numFmtId="167" fontId="30" fillId="7" borderId="0" xfId="0" applyNumberFormat="1" applyFont="1" applyFill="1" applyBorder="1" applyAlignment="1">
      <alignment horizontal="center"/>
    </xf>
    <xf numFmtId="9" fontId="22" fillId="7" borderId="0" xfId="2" applyFont="1" applyFill="1" applyAlignment="1">
      <alignment horizontal="center"/>
    </xf>
    <xf numFmtId="0" fontId="5" fillId="7" borderId="0" xfId="0" applyFont="1" applyFill="1"/>
    <xf numFmtId="0" fontId="31" fillId="7" borderId="0" xfId="0" applyFont="1" applyFill="1"/>
    <xf numFmtId="166" fontId="0" fillId="7" borderId="0" xfId="0" applyNumberFormat="1" applyFill="1" applyAlignment="1">
      <alignment horizontal="center"/>
    </xf>
    <xf numFmtId="167" fontId="1" fillId="7" borderId="0" xfId="0" applyNumberFormat="1" applyFont="1" applyFill="1" applyAlignment="1">
      <alignment horizontal="center"/>
    </xf>
    <xf numFmtId="9" fontId="3" fillId="7" borderId="0" xfId="2" applyFill="1" applyAlignment="1">
      <alignment horizontal="center"/>
    </xf>
    <xf numFmtId="165" fontId="11" fillId="0" borderId="0" xfId="0" applyNumberFormat="1" applyFont="1" applyFill="1" applyAlignment="1">
      <alignment horizontal="center"/>
    </xf>
    <xf numFmtId="0" fontId="8" fillId="7" borderId="0" xfId="0" applyFont="1" applyFill="1"/>
    <xf numFmtId="165" fontId="8" fillId="7" borderId="0" xfId="0" applyNumberFormat="1" applyFont="1" applyFill="1" applyAlignment="1">
      <alignment horizontal="center"/>
    </xf>
    <xf numFmtId="166" fontId="8" fillId="7" borderId="0" xfId="0" applyNumberFormat="1" applyFont="1" applyFill="1" applyAlignment="1">
      <alignment horizontal="center"/>
    </xf>
    <xf numFmtId="0" fontId="22" fillId="7" borderId="0" xfId="0" applyFont="1" applyFill="1"/>
    <xf numFmtId="0" fontId="32" fillId="7" borderId="0" xfId="0" applyFont="1" applyFill="1"/>
    <xf numFmtId="165" fontId="32" fillId="7" borderId="0" xfId="0" applyNumberFormat="1" applyFont="1" applyFill="1" applyAlignment="1">
      <alignment horizontal="center"/>
    </xf>
    <xf numFmtId="166" fontId="32" fillId="7" borderId="0" xfId="0" applyNumberFormat="1" applyFont="1" applyFill="1" applyAlignment="1">
      <alignment horizontal="center"/>
    </xf>
    <xf numFmtId="167" fontId="22" fillId="7" borderId="0" xfId="0" applyNumberFormat="1" applyFont="1" applyFill="1" applyBorder="1" applyAlignment="1">
      <alignment horizontal="center"/>
    </xf>
    <xf numFmtId="167" fontId="31" fillId="7" borderId="0" xfId="0" applyNumberFormat="1" applyFont="1" applyFill="1" applyBorder="1" applyAlignment="1">
      <alignment horizontal="center"/>
    </xf>
    <xf numFmtId="0" fontId="38" fillId="0" borderId="0" xfId="0" applyFont="1" applyFill="1" applyBorder="1"/>
    <xf numFmtId="176" fontId="0" fillId="0" borderId="0" xfId="0" applyNumberFormat="1" applyFill="1" applyBorder="1" applyAlignment="1">
      <alignment horizontal="center"/>
    </xf>
    <xf numFmtId="0" fontId="28" fillId="0" borderId="0" xfId="0" applyFont="1" applyFill="1" applyBorder="1" applyAlignment="1">
      <alignment horizontal="right"/>
    </xf>
    <xf numFmtId="0" fontId="11" fillId="0" borderId="0" xfId="0" applyFont="1" applyFill="1" applyBorder="1" applyAlignment="1">
      <alignment horizontal="center"/>
    </xf>
    <xf numFmtId="189" fontId="0" fillId="0" borderId="0" xfId="0" applyNumberFormat="1" applyFill="1" applyBorder="1" applyAlignment="1">
      <alignment horizontal="center"/>
    </xf>
    <xf numFmtId="192" fontId="0" fillId="0" borderId="0" xfId="0" applyNumberFormat="1" applyFill="1" applyBorder="1" applyAlignment="1">
      <alignment horizontal="center"/>
    </xf>
    <xf numFmtId="189" fontId="12" fillId="0" borderId="0" xfId="0" applyNumberFormat="1" applyFont="1" applyFill="1" applyBorder="1" applyAlignment="1">
      <alignment horizontal="center"/>
    </xf>
    <xf numFmtId="217" fontId="12" fillId="0" borderId="0" xfId="0" applyNumberFormat="1" applyFont="1" applyFill="1" applyBorder="1" applyAlignment="1">
      <alignment horizontal="center"/>
    </xf>
    <xf numFmtId="182" fontId="11" fillId="0" borderId="0" xfId="0" applyNumberFormat="1" applyFont="1" applyFill="1" applyBorder="1" applyAlignment="1">
      <alignment horizontal="center"/>
    </xf>
    <xf numFmtId="0" fontId="1" fillId="0" borderId="14" xfId="0" applyFont="1" applyFill="1" applyBorder="1" applyAlignment="1">
      <alignment horizontal="right"/>
    </xf>
    <xf numFmtId="0" fontId="28" fillId="0" borderId="0" xfId="0" applyFont="1" applyFill="1"/>
    <xf numFmtId="0" fontId="8" fillId="7" borderId="0" xfId="0" applyFont="1" applyFill="1" applyAlignment="1">
      <alignment horizontal="center"/>
    </xf>
    <xf numFmtId="0" fontId="18" fillId="7" borderId="0" xfId="0" applyFont="1" applyFill="1"/>
    <xf numFmtId="0" fontId="18" fillId="7" borderId="0" xfId="0" applyFont="1" applyFill="1" applyAlignment="1">
      <alignment horizontal="center"/>
    </xf>
    <xf numFmtId="165" fontId="18" fillId="7" borderId="0" xfId="0" applyNumberFormat="1" applyFont="1" applyFill="1" applyAlignment="1">
      <alignment horizontal="center"/>
    </xf>
    <xf numFmtId="166" fontId="18" fillId="7" borderId="0" xfId="0" applyNumberFormat="1" applyFont="1" applyFill="1" applyAlignment="1">
      <alignment horizontal="center"/>
    </xf>
    <xf numFmtId="166" fontId="3" fillId="0" borderId="0" xfId="0" applyNumberFormat="1" applyFont="1" applyFill="1" applyBorder="1" applyAlignment="1">
      <alignment horizontal="center"/>
    </xf>
    <xf numFmtId="0" fontId="7" fillId="7" borderId="0" xfId="0" applyFont="1" applyFill="1" applyAlignment="1">
      <alignment horizontal="center"/>
    </xf>
    <xf numFmtId="166" fontId="7" fillId="7" borderId="0" xfId="0" applyNumberFormat="1" applyFont="1" applyFill="1" applyAlignment="1">
      <alignment horizontal="center"/>
    </xf>
    <xf numFmtId="167" fontId="11" fillId="0" borderId="6" xfId="0" applyNumberFormat="1" applyFont="1" applyFill="1" applyBorder="1" applyAlignment="1">
      <alignment horizontal="center"/>
    </xf>
    <xf numFmtId="215" fontId="12" fillId="0" borderId="0" xfId="0" applyNumberFormat="1" applyFont="1" applyFill="1" applyAlignment="1">
      <alignment horizontal="left"/>
    </xf>
    <xf numFmtId="0" fontId="14" fillId="7" borderId="0" xfId="0" applyFont="1" applyFill="1"/>
    <xf numFmtId="0" fontId="52" fillId="7" borderId="0" xfId="0" applyFont="1" applyFill="1"/>
    <xf numFmtId="167" fontId="5" fillId="0" borderId="0" xfId="0" applyNumberFormat="1" applyFont="1" applyFill="1" applyAlignment="1">
      <alignment horizontal="center"/>
    </xf>
    <xf numFmtId="186" fontId="0" fillId="0" borderId="0" xfId="0" applyNumberFormat="1" applyFill="1"/>
    <xf numFmtId="167" fontId="52" fillId="7" borderId="0" xfId="2" applyNumberFormat="1" applyFont="1" applyFill="1"/>
    <xf numFmtId="167" fontId="0" fillId="0" borderId="0" xfId="0" applyNumberFormat="1" applyFill="1" applyBorder="1" applyAlignment="1">
      <alignment horizontal="center" vertical="center"/>
    </xf>
    <xf numFmtId="167" fontId="14" fillId="7" borderId="0" xfId="2" applyNumberFormat="1" applyFont="1" applyFill="1"/>
    <xf numFmtId="9" fontId="53" fillId="0" borderId="0" xfId="2" applyFont="1" applyFill="1" applyBorder="1" applyAlignment="1">
      <alignment horizontal="center"/>
    </xf>
    <xf numFmtId="167" fontId="8" fillId="0" borderId="0" xfId="0" applyNumberFormat="1" applyFont="1" applyFill="1" applyBorder="1" applyAlignment="1">
      <alignment horizontal="center"/>
    </xf>
    <xf numFmtId="0" fontId="14" fillId="7" borderId="0" xfId="0" applyFont="1" applyFill="1" applyBorder="1"/>
    <xf numFmtId="195" fontId="31" fillId="7" borderId="0" xfId="0" applyNumberFormat="1" applyFont="1" applyFill="1" applyBorder="1" applyAlignment="1">
      <alignment horizontal="center"/>
    </xf>
    <xf numFmtId="195" fontId="30" fillId="7" borderId="0" xfId="0" applyNumberFormat="1" applyFont="1" applyFill="1" applyBorder="1" applyAlignment="1">
      <alignment horizontal="center"/>
    </xf>
    <xf numFmtId="167" fontId="14" fillId="7" borderId="0" xfId="0" applyNumberFormat="1" applyFont="1" applyFill="1" applyBorder="1" applyAlignment="1">
      <alignment horizontal="center"/>
    </xf>
    <xf numFmtId="167" fontId="36" fillId="7" borderId="0" xfId="0" applyNumberFormat="1" applyFont="1" applyFill="1" applyBorder="1" applyAlignment="1">
      <alignment horizontal="center"/>
    </xf>
    <xf numFmtId="0" fontId="52" fillId="7" borderId="0" xfId="0" applyFont="1" applyFill="1" applyBorder="1"/>
    <xf numFmtId="0" fontId="52" fillId="7" borderId="0" xfId="0" applyFont="1" applyFill="1" applyBorder="1" applyAlignment="1">
      <alignment horizontal="center"/>
    </xf>
    <xf numFmtId="165" fontId="52" fillId="7" borderId="0" xfId="0" applyNumberFormat="1" applyFont="1" applyFill="1" applyBorder="1" applyAlignment="1">
      <alignment horizontal="center"/>
    </xf>
    <xf numFmtId="166" fontId="52" fillId="7" borderId="0" xfId="0" applyNumberFormat="1" applyFont="1" applyFill="1" applyBorder="1" applyAlignment="1">
      <alignment horizontal="center"/>
    </xf>
    <xf numFmtId="0" fontId="40" fillId="7" borderId="0" xfId="0" applyFont="1" applyFill="1" applyBorder="1"/>
    <xf numFmtId="0" fontId="48" fillId="7" borderId="0" xfId="0" applyFont="1" applyFill="1" applyBorder="1"/>
    <xf numFmtId="0" fontId="48" fillId="7" borderId="0" xfId="0" applyFont="1" applyFill="1" applyBorder="1" applyAlignment="1">
      <alignment horizontal="center"/>
    </xf>
    <xf numFmtId="165" fontId="48" fillId="7" borderId="0" xfId="0" applyNumberFormat="1" applyFont="1" applyFill="1" applyBorder="1" applyAlignment="1">
      <alignment horizontal="center"/>
    </xf>
    <xf numFmtId="166" fontId="48" fillId="7" borderId="0" xfId="0" applyNumberFormat="1" applyFont="1" applyFill="1" applyBorder="1" applyAlignment="1">
      <alignment horizontal="center"/>
    </xf>
    <xf numFmtId="166" fontId="9" fillId="7" borderId="0" xfId="0" applyNumberFormat="1" applyFont="1" applyFill="1" applyBorder="1" applyAlignment="1">
      <alignment horizontal="center"/>
    </xf>
    <xf numFmtId="166" fontId="31" fillId="7" borderId="0" xfId="0" applyNumberFormat="1" applyFont="1" applyFill="1" applyBorder="1" applyAlignment="1">
      <alignment horizontal="center"/>
    </xf>
    <xf numFmtId="196" fontId="7" fillId="0" borderId="0" xfId="0" applyNumberFormat="1" applyFont="1" applyFill="1" applyBorder="1" applyAlignment="1">
      <alignment horizontal="center"/>
    </xf>
    <xf numFmtId="220" fontId="5" fillId="0" borderId="0" xfId="0" applyNumberFormat="1" applyFont="1" applyFill="1" applyBorder="1" applyAlignment="1">
      <alignment horizontal="center"/>
    </xf>
    <xf numFmtId="172" fontId="14" fillId="0" borderId="0" xfId="2" applyNumberFormat="1" applyFont="1" applyFill="1" applyBorder="1" applyAlignment="1">
      <alignment horizontal="center"/>
    </xf>
    <xf numFmtId="40" fontId="5" fillId="0" borderId="0" xfId="0" applyNumberFormat="1" applyFont="1" applyFill="1" applyBorder="1"/>
    <xf numFmtId="191" fontId="11" fillId="0" borderId="0" xfId="0" applyNumberFormat="1" applyFont="1" applyFill="1" applyBorder="1" applyAlignment="1">
      <alignment horizontal="center"/>
    </xf>
    <xf numFmtId="168" fontId="12" fillId="0" borderId="0" xfId="0" applyNumberFormat="1" applyFont="1" applyFill="1" applyBorder="1" applyAlignment="1">
      <alignment horizontal="center"/>
    </xf>
    <xf numFmtId="169" fontId="12" fillId="0" borderId="0" xfId="0" applyNumberFormat="1" applyFont="1" applyFill="1" applyBorder="1" applyAlignment="1">
      <alignment horizontal="center"/>
    </xf>
    <xf numFmtId="191" fontId="0" fillId="0" borderId="0" xfId="0" applyNumberFormat="1" applyBorder="1" applyAlignment="1">
      <alignment horizontal="center"/>
    </xf>
    <xf numFmtId="191" fontId="12" fillId="0" borderId="0" xfId="0" applyNumberFormat="1" applyFont="1" applyBorder="1" applyAlignment="1">
      <alignment horizontal="center"/>
    </xf>
    <xf numFmtId="167" fontId="7" fillId="7" borderId="0" xfId="0" applyNumberFormat="1" applyFont="1" applyFill="1" applyAlignment="1">
      <alignment horizontal="center"/>
    </xf>
    <xf numFmtId="213" fontId="22" fillId="7" borderId="0" xfId="0" applyNumberFormat="1" applyFont="1" applyFill="1" applyAlignment="1">
      <alignment horizontal="center"/>
    </xf>
    <xf numFmtId="3" fontId="5" fillId="7" borderId="0" xfId="0" applyNumberFormat="1" applyFont="1" applyFill="1" applyAlignment="1">
      <alignment horizontal="center"/>
    </xf>
    <xf numFmtId="175" fontId="5" fillId="7" borderId="0" xfId="0" applyNumberFormat="1" applyFont="1" applyFill="1" applyAlignment="1">
      <alignment horizontal="center"/>
    </xf>
    <xf numFmtId="0" fontId="42" fillId="0" borderId="0" xfId="0" applyFont="1" applyFill="1" applyAlignment="1">
      <alignment horizontal="left"/>
    </xf>
    <xf numFmtId="0" fontId="0" fillId="0" borderId="10" xfId="0" applyFill="1" applyBorder="1" applyAlignment="1">
      <alignment horizontal="right"/>
    </xf>
    <xf numFmtId="0" fontId="0" fillId="0" borderId="3" xfId="0" applyFill="1" applyBorder="1" applyAlignment="1">
      <alignment horizontal="center"/>
    </xf>
    <xf numFmtId="0" fontId="8" fillId="0" borderId="5" xfId="0" applyFont="1" applyFill="1" applyBorder="1"/>
    <xf numFmtId="0" fontId="11" fillId="0" borderId="0" xfId="0" applyFont="1" applyFill="1" applyAlignment="1"/>
    <xf numFmtId="0" fontId="0" fillId="0" borderId="0" xfId="0" applyFill="1" applyAlignment="1">
      <alignment horizontal="right"/>
    </xf>
    <xf numFmtId="1" fontId="11" fillId="6" borderId="0" xfId="0" applyNumberFormat="1" applyFont="1" applyFill="1" applyAlignment="1">
      <alignment horizontal="center"/>
    </xf>
    <xf numFmtId="1" fontId="1" fillId="6" borderId="0" xfId="0" applyNumberFormat="1" applyFont="1" applyFill="1" applyAlignment="1">
      <alignment horizontal="center"/>
    </xf>
    <xf numFmtId="3" fontId="11" fillId="6" borderId="0" xfId="0" applyNumberFormat="1" applyFont="1" applyFill="1" applyAlignment="1">
      <alignment horizontal="center"/>
    </xf>
    <xf numFmtId="0" fontId="11" fillId="6" borderId="0" xfId="0" applyFont="1" applyFill="1" applyAlignment="1">
      <alignment horizontal="center"/>
    </xf>
    <xf numFmtId="166" fontId="12" fillId="0" borderId="6" xfId="0" applyNumberFormat="1" applyFont="1" applyFill="1" applyBorder="1" applyAlignment="1">
      <alignment horizontal="center"/>
    </xf>
    <xf numFmtId="165" fontId="12" fillId="6" borderId="0" xfId="0" applyNumberFormat="1" applyFont="1" applyFill="1" applyBorder="1" applyAlignment="1">
      <alignment horizontal="center"/>
    </xf>
    <xf numFmtId="0" fontId="8" fillId="0" borderId="0" xfId="0" applyFont="1" applyFill="1" applyAlignment="1">
      <alignment horizontal="right"/>
    </xf>
    <xf numFmtId="1" fontId="0" fillId="7" borderId="0" xfId="0" applyNumberFormat="1" applyFill="1"/>
    <xf numFmtId="167" fontId="5" fillId="7" borderId="0" xfId="0" applyNumberFormat="1" applyFont="1" applyFill="1" applyBorder="1" applyAlignment="1">
      <alignment horizontal="center"/>
    </xf>
    <xf numFmtId="9" fontId="1" fillId="7" borderId="0" xfId="2" applyFont="1" applyFill="1" applyAlignment="1">
      <alignment horizontal="center"/>
    </xf>
    <xf numFmtId="0" fontId="0" fillId="0" borderId="0" xfId="0" applyNumberFormat="1" applyFill="1" applyAlignment="1">
      <alignment horizontal="center"/>
    </xf>
    <xf numFmtId="0" fontId="7" fillId="7" borderId="19" xfId="0" applyFont="1" applyFill="1" applyBorder="1" applyAlignment="1">
      <alignment horizontal="left"/>
    </xf>
    <xf numFmtId="0" fontId="7" fillId="7" borderId="0" xfId="0" applyFont="1" applyFill="1" applyBorder="1" applyAlignment="1">
      <alignment horizontal="left"/>
    </xf>
    <xf numFmtId="0" fontId="8" fillId="0" borderId="0" xfId="0" applyFont="1" applyFill="1" applyAlignment="1">
      <alignment wrapText="1"/>
    </xf>
    <xf numFmtId="4" fontId="0" fillId="0" borderId="0" xfId="0" applyNumberFormat="1" applyFill="1" applyAlignment="1">
      <alignment horizontal="center"/>
    </xf>
    <xf numFmtId="0" fontId="18" fillId="0" borderId="0" xfId="0" applyFont="1" applyFill="1" applyBorder="1"/>
    <xf numFmtId="3" fontId="12" fillId="0" borderId="0" xfId="0" applyNumberFormat="1" applyFont="1" applyFill="1" applyAlignment="1">
      <alignment horizontal="center"/>
    </xf>
    <xf numFmtId="0" fontId="12" fillId="0" borderId="0" xfId="0" applyFont="1" applyFill="1" applyBorder="1" applyAlignment="1">
      <alignment horizontal="left"/>
    </xf>
    <xf numFmtId="176" fontId="12" fillId="0" borderId="0" xfId="0" applyNumberFormat="1" applyFont="1" applyFill="1" applyBorder="1" applyAlignment="1">
      <alignment horizontal="center"/>
    </xf>
    <xf numFmtId="0" fontId="30" fillId="7" borderId="0" xfId="0" applyFont="1" applyFill="1" applyAlignment="1">
      <alignment horizontal="center"/>
    </xf>
    <xf numFmtId="166" fontId="30" fillId="7" borderId="0" xfId="0" applyNumberFormat="1" applyFont="1" applyFill="1" applyAlignment="1">
      <alignment horizontal="center"/>
    </xf>
    <xf numFmtId="4" fontId="0" fillId="0" borderId="0" xfId="0" applyNumberFormat="1" applyFill="1" applyBorder="1"/>
    <xf numFmtId="0" fontId="7" fillId="0" borderId="0" xfId="0" applyFont="1" applyFill="1" applyBorder="1" applyAlignment="1">
      <alignment horizontal="left"/>
    </xf>
    <xf numFmtId="9" fontId="7" fillId="0" borderId="0" xfId="2" applyFont="1" applyFill="1" applyBorder="1" applyAlignment="1">
      <alignment horizontal="center"/>
    </xf>
    <xf numFmtId="0" fontId="5" fillId="0" borderId="0" xfId="0" applyFont="1" applyFill="1" applyBorder="1" applyAlignment="1">
      <alignment vertical="center"/>
    </xf>
    <xf numFmtId="167" fontId="52" fillId="0" borderId="0" xfId="0" applyNumberFormat="1" applyFont="1" applyFill="1" applyBorder="1" applyAlignment="1">
      <alignment horizontal="center"/>
    </xf>
    <xf numFmtId="167" fontId="7" fillId="0" borderId="0" xfId="2" applyNumberFormat="1" applyFont="1" applyFill="1" applyBorder="1" applyAlignment="1">
      <alignment horizontal="center"/>
    </xf>
    <xf numFmtId="0" fontId="22" fillId="3" borderId="0" xfId="0" applyFont="1" applyFill="1" applyBorder="1" applyAlignment="1">
      <alignment horizontal="left" vertical="center"/>
    </xf>
    <xf numFmtId="0" fontId="36" fillId="3" borderId="0" xfId="0" applyFont="1" applyFill="1" applyAlignment="1"/>
    <xf numFmtId="0" fontId="62" fillId="3" borderId="0" xfId="0" applyFont="1" applyFill="1" applyAlignment="1">
      <alignment horizontal="left"/>
    </xf>
    <xf numFmtId="0" fontId="35" fillId="3" borderId="0" xfId="0" applyFont="1" applyFill="1" applyAlignment="1">
      <alignment horizontal="left"/>
    </xf>
    <xf numFmtId="0" fontId="8" fillId="3" borderId="0" xfId="0" applyFont="1" applyFill="1" applyBorder="1" applyAlignment="1">
      <alignment horizontal="center"/>
    </xf>
    <xf numFmtId="0" fontId="0" fillId="3" borderId="0" xfId="0" applyFill="1"/>
    <xf numFmtId="0" fontId="22" fillId="0" borderId="0" xfId="0" applyFont="1" applyFill="1" applyBorder="1" applyAlignment="1">
      <alignment horizontal="left" vertical="center"/>
    </xf>
    <xf numFmtId="0" fontId="22" fillId="4" borderId="0" xfId="0" applyFont="1" applyFill="1"/>
    <xf numFmtId="0" fontId="36" fillId="4" borderId="0" xfId="0" applyFont="1" applyFill="1" applyAlignment="1"/>
    <xf numFmtId="0" fontId="35" fillId="4" borderId="0" xfId="0" applyFont="1" applyFill="1" applyAlignment="1">
      <alignment horizontal="left"/>
    </xf>
    <xf numFmtId="0" fontId="0" fillId="4" borderId="0" xfId="0" applyFill="1" applyBorder="1" applyAlignment="1">
      <alignment horizontal="center"/>
    </xf>
    <xf numFmtId="0" fontId="0" fillId="4" borderId="0" xfId="0" applyFill="1"/>
    <xf numFmtId="0" fontId="36" fillId="0" borderId="0" xfId="0" applyFont="1" applyFill="1" applyAlignment="1"/>
    <xf numFmtId="0" fontId="35" fillId="0" borderId="0" xfId="0" applyFont="1" applyFill="1" applyAlignment="1">
      <alignment horizontal="left"/>
    </xf>
    <xf numFmtId="167" fontId="12" fillId="7" borderId="0" xfId="0" applyNumberFormat="1" applyFont="1" applyFill="1"/>
    <xf numFmtId="167" fontId="11" fillId="7" borderId="0" xfId="0" applyNumberFormat="1" applyFont="1" applyFill="1"/>
    <xf numFmtId="167" fontId="5" fillId="7" borderId="0" xfId="0" applyNumberFormat="1" applyFont="1" applyFill="1" applyAlignment="1">
      <alignment horizontal="center"/>
    </xf>
    <xf numFmtId="167" fontId="0" fillId="7" borderId="0" xfId="0" applyNumberFormat="1" applyFill="1"/>
    <xf numFmtId="167" fontId="1" fillId="7" borderId="0" xfId="0" applyNumberFormat="1" applyFont="1" applyFill="1"/>
    <xf numFmtId="3" fontId="5" fillId="6" borderId="0" xfId="0" applyNumberFormat="1" applyFont="1" applyFill="1" applyAlignment="1">
      <alignment horizontal="center"/>
    </xf>
    <xf numFmtId="9" fontId="3" fillId="6" borderId="0" xfId="2" applyFill="1"/>
    <xf numFmtId="0" fontId="12" fillId="0" borderId="0" xfId="0" applyFont="1" applyFill="1" applyBorder="1" applyAlignment="1">
      <alignment horizontal="center" vertical="center"/>
    </xf>
    <xf numFmtId="214" fontId="12" fillId="0" borderId="0" xfId="0" applyNumberFormat="1" applyFont="1" applyFill="1" applyBorder="1" applyAlignment="1">
      <alignment horizontal="center"/>
    </xf>
    <xf numFmtId="9" fontId="6" fillId="0" borderId="0" xfId="2" applyFont="1" applyFill="1" applyBorder="1" applyAlignment="1">
      <alignment horizontal="center"/>
    </xf>
    <xf numFmtId="9" fontId="23" fillId="0" borderId="0" xfId="2" applyFont="1" applyFill="1" applyAlignment="1">
      <alignment horizontal="center"/>
    </xf>
    <xf numFmtId="9" fontId="11" fillId="7" borderId="0" xfId="2" applyFont="1" applyFill="1" applyAlignment="1">
      <alignment horizontal="center"/>
    </xf>
    <xf numFmtId="165" fontId="0" fillId="0" borderId="6" xfId="0" applyNumberFormat="1" applyFill="1" applyBorder="1" applyAlignment="1">
      <alignment horizontal="center"/>
    </xf>
    <xf numFmtId="9" fontId="64" fillId="0" borderId="0" xfId="2" applyFont="1" applyFill="1" applyAlignment="1">
      <alignment horizontal="center"/>
    </xf>
    <xf numFmtId="9" fontId="64" fillId="0" borderId="0" xfId="2" applyFont="1" applyFill="1" applyBorder="1" applyAlignment="1">
      <alignment horizontal="center"/>
    </xf>
    <xf numFmtId="167" fontId="3" fillId="0" borderId="6" xfId="0" applyNumberFormat="1" applyFont="1" applyFill="1" applyBorder="1" applyAlignment="1">
      <alignment horizontal="center"/>
    </xf>
    <xf numFmtId="0" fontId="23" fillId="0" borderId="0" xfId="0" applyFont="1" applyFill="1" applyBorder="1" applyAlignment="1">
      <alignment horizontal="center"/>
    </xf>
    <xf numFmtId="9" fontId="23" fillId="0" borderId="0" xfId="2" applyFont="1" applyFill="1" applyBorder="1" applyAlignment="1">
      <alignment horizontal="center"/>
    </xf>
    <xf numFmtId="9" fontId="23" fillId="0" borderId="0" xfId="2" applyFont="1" applyBorder="1" applyAlignment="1">
      <alignment horizontal="center"/>
    </xf>
    <xf numFmtId="9" fontId="3" fillId="0" borderId="0" xfId="2" applyFont="1" applyBorder="1" applyAlignment="1">
      <alignment horizontal="center"/>
    </xf>
    <xf numFmtId="0" fontId="12" fillId="0" borderId="6" xfId="0" applyFont="1" applyBorder="1" applyAlignment="1">
      <alignment horizontal="center"/>
    </xf>
    <xf numFmtId="0" fontId="30" fillId="7" borderId="0" xfId="0" applyFont="1" applyFill="1" applyBorder="1"/>
    <xf numFmtId="0" fontId="18" fillId="7" borderId="0" xfId="0" applyFont="1" applyFill="1" applyBorder="1"/>
    <xf numFmtId="2" fontId="12" fillId="0" borderId="0" xfId="0" applyNumberFormat="1" applyFont="1" applyFill="1" applyBorder="1" applyAlignment="1">
      <alignment horizontal="center"/>
    </xf>
    <xf numFmtId="167" fontId="1" fillId="2" borderId="0" xfId="0" applyNumberFormat="1" applyFont="1" applyFill="1" applyBorder="1" applyAlignment="1">
      <alignment horizontal="center"/>
    </xf>
    <xf numFmtId="2" fontId="12" fillId="0" borderId="6" xfId="0" applyNumberFormat="1" applyFont="1" applyFill="1" applyBorder="1" applyAlignment="1">
      <alignment horizontal="center"/>
    </xf>
    <xf numFmtId="1" fontId="12" fillId="0" borderId="6" xfId="0" applyNumberFormat="1" applyFont="1" applyFill="1" applyBorder="1" applyAlignment="1">
      <alignment horizontal="center"/>
    </xf>
    <xf numFmtId="0" fontId="52" fillId="8" borderId="0" xfId="0" applyFont="1" applyFill="1" applyBorder="1" applyAlignment="1">
      <alignment horizontal="center"/>
    </xf>
    <xf numFmtId="0" fontId="14" fillId="8" borderId="0" xfId="0" applyFont="1" applyFill="1" applyBorder="1"/>
    <xf numFmtId="0" fontId="52" fillId="8" borderId="0" xfId="0" applyFont="1" applyFill="1" applyBorder="1"/>
    <xf numFmtId="0" fontId="14" fillId="8" borderId="0" xfId="0" applyFont="1" applyFill="1" applyBorder="1" applyAlignment="1">
      <alignment horizontal="center"/>
    </xf>
    <xf numFmtId="0" fontId="0" fillId="0" borderId="0" xfId="0" applyFill="1" applyBorder="1" applyAlignment="1"/>
    <xf numFmtId="0" fontId="12" fillId="0" borderId="0" xfId="0" applyFont="1" applyBorder="1" applyAlignment="1">
      <alignment horizontal="center"/>
    </xf>
    <xf numFmtId="0" fontId="12" fillId="0" borderId="0" xfId="0" applyFont="1" applyBorder="1" applyAlignment="1">
      <alignment horizontal="right"/>
    </xf>
    <xf numFmtId="0" fontId="0" fillId="0" borderId="0" xfId="0" applyBorder="1" applyAlignment="1">
      <alignment horizontal="right"/>
    </xf>
    <xf numFmtId="0" fontId="12" fillId="0" borderId="0" xfId="0" applyFont="1" applyFill="1" applyBorder="1" applyAlignment="1">
      <alignment horizontal="right"/>
    </xf>
    <xf numFmtId="0" fontId="3" fillId="0" borderId="0" xfId="0" applyFont="1" applyFill="1" applyBorder="1" applyAlignment="1">
      <alignment horizontal="right"/>
    </xf>
    <xf numFmtId="176" fontId="3" fillId="0" borderId="0" xfId="0" applyNumberFormat="1" applyFont="1" applyFill="1" applyBorder="1" applyAlignment="1">
      <alignment horizontal="left"/>
    </xf>
    <xf numFmtId="215" fontId="33" fillId="0" borderId="0" xfId="0" applyNumberFormat="1" applyFont="1" applyFill="1" applyBorder="1" applyAlignment="1">
      <alignment horizontal="left"/>
    </xf>
    <xf numFmtId="9" fontId="12" fillId="0" borderId="0" xfId="2" applyFont="1" applyFill="1" applyBorder="1" applyAlignment="1">
      <alignment horizontal="left"/>
    </xf>
    <xf numFmtId="191" fontId="12" fillId="0" borderId="0" xfId="2" applyNumberFormat="1" applyFont="1" applyFill="1" applyBorder="1" applyAlignment="1">
      <alignment horizontal="center"/>
    </xf>
    <xf numFmtId="187" fontId="0" fillId="0" borderId="0" xfId="0" applyNumberFormat="1" applyFill="1" applyBorder="1" applyAlignment="1">
      <alignment horizontal="center"/>
    </xf>
    <xf numFmtId="167" fontId="0" fillId="0" borderId="6" xfId="0" applyNumberFormat="1" applyBorder="1" applyAlignment="1">
      <alignment horizontal="center"/>
    </xf>
    <xf numFmtId="208" fontId="11" fillId="0" borderId="0" xfId="0" applyNumberFormat="1" applyFont="1" applyFill="1" applyBorder="1" applyAlignment="1">
      <alignment horizontal="center"/>
    </xf>
    <xf numFmtId="180" fontId="3" fillId="0" borderId="0" xfId="0" applyNumberFormat="1" applyFont="1" applyFill="1" applyBorder="1" applyAlignment="1">
      <alignment horizontal="left"/>
    </xf>
    <xf numFmtId="180" fontId="11" fillId="0" borderId="0" xfId="0" applyNumberFormat="1" applyFont="1" applyFill="1" applyBorder="1" applyAlignment="1">
      <alignment horizontal="center"/>
    </xf>
    <xf numFmtId="184" fontId="0" fillId="0" borderId="0" xfId="0" applyNumberFormat="1" applyFill="1" applyBorder="1" applyAlignment="1">
      <alignment horizontal="center"/>
    </xf>
    <xf numFmtId="10" fontId="0" fillId="0" borderId="0" xfId="2" applyNumberFormat="1" applyFont="1" applyFill="1" applyBorder="1" applyAlignment="1">
      <alignment horizontal="center"/>
    </xf>
    <xf numFmtId="167" fontId="7" fillId="0" borderId="6" xfId="0" applyNumberFormat="1" applyFont="1" applyFill="1" applyBorder="1" applyAlignment="1">
      <alignment horizontal="center"/>
    </xf>
    <xf numFmtId="0" fontId="0" fillId="8" borderId="14" xfId="0" applyFill="1" applyBorder="1"/>
    <xf numFmtId="0" fontId="0" fillId="8" borderId="0" xfId="0" applyFill="1"/>
    <xf numFmtId="0" fontId="0" fillId="0" borderId="6" xfId="0" applyBorder="1" applyAlignment="1">
      <alignment horizontal="center"/>
    </xf>
    <xf numFmtId="0" fontId="12" fillId="8" borderId="0" xfId="0" applyFont="1" applyFill="1"/>
    <xf numFmtId="0" fontId="11" fillId="8" borderId="0" xfId="0" applyFont="1" applyFill="1"/>
    <xf numFmtId="209" fontId="5" fillId="8" borderId="0" xfId="0" applyNumberFormat="1" applyFont="1" applyFill="1" applyAlignment="1">
      <alignment horizontal="center"/>
    </xf>
    <xf numFmtId="0" fontId="5" fillId="8" borderId="0" xfId="0" applyFont="1" applyFill="1"/>
    <xf numFmtId="0" fontId="17" fillId="8" borderId="0" xfId="0" applyFont="1" applyFill="1"/>
    <xf numFmtId="0" fontId="52" fillId="0" borderId="0" xfId="0" applyFont="1" applyBorder="1"/>
    <xf numFmtId="197" fontId="0" fillId="6" borderId="0" xfId="0" applyNumberFormat="1" applyFill="1" applyBorder="1" applyAlignment="1">
      <alignment horizontal="center"/>
    </xf>
    <xf numFmtId="197" fontId="11" fillId="0" borderId="0" xfId="0" applyNumberFormat="1" applyFont="1" applyFill="1" applyBorder="1" applyAlignment="1">
      <alignment horizontal="center"/>
    </xf>
    <xf numFmtId="197" fontId="0" fillId="0" borderId="6" xfId="0" applyNumberFormat="1" applyFill="1" applyBorder="1" applyAlignment="1">
      <alignment horizontal="center"/>
    </xf>
    <xf numFmtId="9" fontId="11" fillId="6" borderId="0" xfId="2" applyFont="1" applyFill="1" applyBorder="1" applyAlignment="1">
      <alignment horizontal="center"/>
    </xf>
    <xf numFmtId="178" fontId="53" fillId="0" borderId="0" xfId="0" applyNumberFormat="1" applyFont="1" applyFill="1" applyBorder="1" applyAlignment="1">
      <alignment horizontal="center"/>
    </xf>
    <xf numFmtId="191" fontId="11" fillId="6" borderId="0" xfId="0" applyNumberFormat="1" applyFont="1" applyFill="1" applyBorder="1" applyAlignment="1">
      <alignment horizontal="center"/>
    </xf>
    <xf numFmtId="172" fontId="1" fillId="6" borderId="0" xfId="2" applyNumberFormat="1" applyFont="1" applyFill="1" applyBorder="1" applyAlignment="1">
      <alignment horizontal="center"/>
    </xf>
    <xf numFmtId="205" fontId="0" fillId="6" borderId="0" xfId="0" applyNumberFormat="1" applyFill="1" applyBorder="1" applyAlignment="1">
      <alignment horizontal="center"/>
    </xf>
    <xf numFmtId="205" fontId="0" fillId="6" borderId="0" xfId="0" applyNumberFormat="1" applyFill="1" applyBorder="1"/>
    <xf numFmtId="167" fontId="1" fillId="6" borderId="0" xfId="0" applyNumberFormat="1" applyFont="1" applyFill="1" applyBorder="1" applyAlignment="1">
      <alignment horizontal="center"/>
    </xf>
    <xf numFmtId="210" fontId="11" fillId="6" borderId="0" xfId="0" applyNumberFormat="1" applyFont="1" applyFill="1" applyBorder="1" applyAlignment="1">
      <alignment horizontal="center"/>
    </xf>
    <xf numFmtId="172" fontId="1" fillId="0" borderId="0" xfId="2" applyNumberFormat="1" applyFont="1" applyFill="1" applyBorder="1" applyAlignment="1">
      <alignment horizontal="center"/>
    </xf>
    <xf numFmtId="181" fontId="11" fillId="0" borderId="0" xfId="0" applyNumberFormat="1" applyFont="1" applyFill="1" applyBorder="1" applyAlignment="1">
      <alignment horizontal="center"/>
    </xf>
    <xf numFmtId="0" fontId="0" fillId="2" borderId="0" xfId="0" applyFill="1"/>
    <xf numFmtId="0" fontId="0" fillId="2" borderId="0" xfId="0" applyFill="1" applyBorder="1" applyAlignment="1">
      <alignment horizontal="right"/>
    </xf>
    <xf numFmtId="0" fontId="11" fillId="2" borderId="0" xfId="0" applyFont="1" applyFill="1" applyBorder="1" applyAlignment="1">
      <alignment horizontal="center"/>
    </xf>
    <xf numFmtId="0" fontId="0" fillId="2" borderId="0" xfId="0" applyFill="1" applyBorder="1"/>
    <xf numFmtId="0" fontId="11" fillId="2" borderId="0" xfId="0" applyFont="1" applyFill="1" applyBorder="1" applyAlignment="1">
      <alignment horizontal="right"/>
    </xf>
    <xf numFmtId="178" fontId="11" fillId="2" borderId="0" xfId="0" applyNumberFormat="1" applyFont="1" applyFill="1" applyBorder="1" applyAlignment="1">
      <alignment horizontal="center"/>
    </xf>
    <xf numFmtId="0" fontId="11" fillId="2" borderId="0" xfId="0" applyFont="1" applyFill="1" applyBorder="1" applyAlignment="1">
      <alignment horizontal="center" wrapText="1"/>
    </xf>
    <xf numFmtId="0" fontId="29" fillId="0" borderId="0" xfId="0" applyFont="1" applyFill="1" applyBorder="1"/>
    <xf numFmtId="178" fontId="9" fillId="0" borderId="0" xfId="0" applyNumberFormat="1" applyFont="1" applyFill="1" applyBorder="1" applyAlignment="1">
      <alignment horizontal="center"/>
    </xf>
    <xf numFmtId="166" fontId="12" fillId="2" borderId="0" xfId="0" applyNumberFormat="1" applyFont="1" applyFill="1" applyBorder="1" applyAlignment="1">
      <alignment horizontal="left"/>
    </xf>
    <xf numFmtId="0" fontId="12" fillId="2" borderId="0" xfId="0" applyFont="1" applyFill="1" applyBorder="1"/>
    <xf numFmtId="0" fontId="11" fillId="0" borderId="0" xfId="0" applyFont="1" applyBorder="1" applyAlignment="1">
      <alignment horizontal="left"/>
    </xf>
    <xf numFmtId="202" fontId="0" fillId="6" borderId="0" xfId="0" applyNumberFormat="1" applyFill="1" applyBorder="1" applyAlignment="1">
      <alignment horizontal="center"/>
    </xf>
    <xf numFmtId="191" fontId="0" fillId="6" borderId="0" xfId="0" applyNumberFormat="1" applyFill="1" applyBorder="1" applyAlignment="1">
      <alignment horizontal="center"/>
    </xf>
    <xf numFmtId="0" fontId="53" fillId="7" borderId="0" xfId="0" applyFont="1" applyFill="1" applyBorder="1"/>
    <xf numFmtId="0" fontId="11" fillId="0" borderId="14" xfId="0" applyFont="1" applyFill="1" applyBorder="1" applyAlignment="1">
      <alignment horizontal="center"/>
    </xf>
    <xf numFmtId="178" fontId="11" fillId="0" borderId="0" xfId="0" applyNumberFormat="1" applyFont="1" applyBorder="1" applyAlignment="1">
      <alignment horizontal="center"/>
    </xf>
    <xf numFmtId="0" fontId="4" fillId="0" borderId="0" xfId="0" applyFont="1" applyFill="1" applyBorder="1"/>
    <xf numFmtId="165" fontId="5" fillId="2" borderId="0" xfId="0" applyNumberFormat="1" applyFont="1" applyFill="1" applyBorder="1" applyAlignment="1">
      <alignment horizontal="center"/>
    </xf>
    <xf numFmtId="0" fontId="5" fillId="2" borderId="0" xfId="0" applyFont="1" applyFill="1" applyBorder="1" applyAlignment="1">
      <alignment horizontal="center"/>
    </xf>
    <xf numFmtId="165" fontId="11" fillId="0" borderId="0" xfId="0" applyNumberFormat="1" applyFont="1" applyFill="1" applyBorder="1" applyAlignment="1">
      <alignment horizontal="center" vertical="center"/>
    </xf>
    <xf numFmtId="165" fontId="11" fillId="2" borderId="0" xfId="0" applyNumberFormat="1" applyFont="1" applyFill="1" applyBorder="1" applyAlignment="1">
      <alignment horizontal="center" vertical="center"/>
    </xf>
    <xf numFmtId="183" fontId="0" fillId="0" borderId="0" xfId="0" applyNumberFormat="1" applyFill="1" applyBorder="1" applyAlignment="1">
      <alignment horizontal="center"/>
    </xf>
    <xf numFmtId="225" fontId="0" fillId="0" borderId="0" xfId="0" applyNumberFormat="1" applyFill="1" applyBorder="1" applyAlignment="1">
      <alignment horizontal="center"/>
    </xf>
    <xf numFmtId="9" fontId="3" fillId="6" borderId="0" xfId="2" applyFill="1" applyBorder="1" applyAlignment="1">
      <alignment horizontal="center"/>
    </xf>
    <xf numFmtId="167" fontId="12" fillId="6" borderId="0" xfId="0" applyNumberFormat="1" applyFont="1" applyFill="1" applyBorder="1" applyAlignment="1">
      <alignment horizontal="center"/>
    </xf>
    <xf numFmtId="0" fontId="41" fillId="8" borderId="0" xfId="0" applyFont="1" applyFill="1"/>
    <xf numFmtId="0" fontId="40" fillId="8" borderId="0" xfId="0" applyFont="1" applyFill="1" applyAlignment="1">
      <alignment horizontal="center"/>
    </xf>
    <xf numFmtId="0" fontId="5" fillId="8" borderId="0" xfId="0" applyFont="1" applyFill="1" applyAlignment="1">
      <alignment vertical="center"/>
    </xf>
    <xf numFmtId="0" fontId="8" fillId="2" borderId="0" xfId="0" applyFont="1" applyFill="1" applyBorder="1" applyAlignment="1">
      <alignment horizontal="center"/>
    </xf>
    <xf numFmtId="0" fontId="49" fillId="8" borderId="0" xfId="0" applyFont="1" applyFill="1" applyAlignment="1">
      <alignment horizontal="center" vertical="center"/>
    </xf>
    <xf numFmtId="0" fontId="1" fillId="0" borderId="0" xfId="0" applyFont="1" applyFill="1" applyBorder="1" applyAlignment="1">
      <alignment horizontal="center"/>
    </xf>
    <xf numFmtId="9" fontId="3" fillId="2" borderId="0" xfId="2" applyFill="1" applyBorder="1" applyAlignment="1">
      <alignment horizontal="center"/>
    </xf>
    <xf numFmtId="199" fontId="0" fillId="0" borderId="0" xfId="0" applyNumberFormat="1" applyFill="1" applyBorder="1" applyAlignment="1">
      <alignment horizontal="right"/>
    </xf>
    <xf numFmtId="9" fontId="23" fillId="2" borderId="0" xfId="2" applyFont="1" applyFill="1" applyAlignment="1">
      <alignment horizontal="center"/>
    </xf>
    <xf numFmtId="9" fontId="23" fillId="2" borderId="0" xfId="2" applyFont="1" applyFill="1" applyBorder="1" applyAlignment="1">
      <alignment horizontal="center"/>
    </xf>
    <xf numFmtId="0" fontId="6" fillId="0" borderId="0" xfId="0" applyFont="1" applyFill="1" applyBorder="1" applyAlignment="1">
      <alignment horizontal="right"/>
    </xf>
    <xf numFmtId="1" fontId="11" fillId="0" borderId="0" xfId="0" applyNumberFormat="1" applyFont="1" applyFill="1" applyBorder="1" applyAlignment="1">
      <alignment horizontal="center"/>
    </xf>
    <xf numFmtId="9" fontId="63" fillId="0" borderId="0" xfId="2" applyFont="1" applyFill="1" applyBorder="1" applyAlignment="1">
      <alignment horizontal="center"/>
    </xf>
    <xf numFmtId="0" fontId="0" fillId="7" borderId="0" xfId="0" applyFill="1" applyBorder="1"/>
    <xf numFmtId="0" fontId="0" fillId="8" borderId="1" xfId="0" applyFill="1" applyBorder="1"/>
    <xf numFmtId="0" fontId="0" fillId="8" borderId="0" xfId="0" applyFill="1" applyBorder="1"/>
    <xf numFmtId="0" fontId="0" fillId="8" borderId="0" xfId="0" applyFill="1" applyBorder="1" applyAlignment="1">
      <alignment horizontal="center"/>
    </xf>
    <xf numFmtId="0" fontId="7" fillId="0" borderId="0" xfId="0" applyFont="1" applyBorder="1"/>
    <xf numFmtId="0" fontId="31" fillId="3" borderId="0" xfId="0" applyFont="1" applyFill="1" applyBorder="1" applyAlignment="1">
      <alignment horizontal="center" vertical="center"/>
    </xf>
    <xf numFmtId="49" fontId="31" fillId="4" borderId="0" xfId="0" applyNumberFormat="1" applyFont="1" applyFill="1" applyBorder="1" applyAlignment="1">
      <alignment horizontal="center" vertical="center"/>
    </xf>
    <xf numFmtId="0" fontId="31" fillId="8" borderId="0" xfId="0" applyFont="1" applyFill="1" applyBorder="1" applyAlignment="1">
      <alignment horizontal="left" vertical="center"/>
    </xf>
    <xf numFmtId="209" fontId="5" fillId="8" borderId="0" xfId="0" applyNumberFormat="1" applyFont="1" applyFill="1" applyAlignment="1">
      <alignment horizontal="center" vertical="center"/>
    </xf>
    <xf numFmtId="0" fontId="39" fillId="0" borderId="0" xfId="0" applyFont="1" applyFill="1" applyBorder="1" applyAlignment="1">
      <alignment horizontal="right"/>
    </xf>
    <xf numFmtId="0" fontId="39" fillId="0" borderId="0" xfId="0" applyFont="1" applyFill="1" applyBorder="1"/>
    <xf numFmtId="0" fontId="30" fillId="0" borderId="0" xfId="0" applyFont="1" applyFill="1" applyBorder="1" applyAlignment="1">
      <alignment horizontal="center"/>
    </xf>
    <xf numFmtId="0" fontId="0" fillId="2" borderId="0" xfId="0" applyFill="1" applyBorder="1" applyAlignment="1"/>
    <xf numFmtId="167" fontId="12" fillId="2" borderId="0" xfId="0" applyNumberFormat="1" applyFont="1" applyFill="1" applyBorder="1" applyAlignment="1">
      <alignment horizontal="center"/>
    </xf>
    <xf numFmtId="2" fontId="0" fillId="0" borderId="6" xfId="0" applyNumberFormat="1" applyFill="1" applyBorder="1" applyAlignment="1">
      <alignment horizontal="center"/>
    </xf>
    <xf numFmtId="9" fontId="3" fillId="0" borderId="6" xfId="2" applyFont="1" applyFill="1" applyBorder="1" applyAlignment="1">
      <alignment horizontal="center"/>
    </xf>
    <xf numFmtId="0" fontId="36" fillId="7" borderId="0" xfId="0" applyFont="1" applyFill="1" applyBorder="1"/>
    <xf numFmtId="167" fontId="3" fillId="2" borderId="0" xfId="0" applyNumberFormat="1" applyFont="1" applyFill="1" applyBorder="1" applyAlignment="1">
      <alignment horizontal="center"/>
    </xf>
    <xf numFmtId="212" fontId="12" fillId="0" borderId="0" xfId="0" applyNumberFormat="1" applyFont="1" applyFill="1" applyBorder="1" applyAlignment="1">
      <alignment horizontal="center"/>
    </xf>
    <xf numFmtId="4" fontId="12" fillId="0" borderId="0" xfId="0" applyNumberFormat="1" applyFont="1" applyFill="1" applyBorder="1" applyAlignment="1">
      <alignment horizontal="center"/>
    </xf>
    <xf numFmtId="49" fontId="5" fillId="0" borderId="0" xfId="0" applyNumberFormat="1" applyFont="1" applyFill="1" applyBorder="1" applyAlignment="1">
      <alignment horizontal="left" vertical="center" wrapText="1"/>
    </xf>
    <xf numFmtId="49" fontId="12" fillId="0" borderId="0" xfId="0" applyNumberFormat="1" applyFont="1" applyFill="1" applyBorder="1" applyAlignment="1">
      <alignment vertical="center" wrapText="1"/>
    </xf>
    <xf numFmtId="167" fontId="11" fillId="0" borderId="0" xfId="0" applyNumberFormat="1" applyFont="1" applyFill="1" applyBorder="1" applyAlignment="1">
      <alignment horizontal="center" vertical="center"/>
    </xf>
    <xf numFmtId="171" fontId="12" fillId="0" borderId="0" xfId="0" applyNumberFormat="1" applyFont="1" applyFill="1" applyBorder="1" applyAlignment="1">
      <alignment horizontal="center" vertical="center"/>
    </xf>
    <xf numFmtId="167" fontId="12" fillId="0" borderId="0" xfId="0" applyNumberFormat="1" applyFont="1" applyFill="1" applyBorder="1" applyAlignment="1">
      <alignment horizontal="center" vertical="center"/>
    </xf>
    <xf numFmtId="215" fontId="12" fillId="0" borderId="0" xfId="0" applyNumberFormat="1" applyFont="1" applyFill="1" applyBorder="1" applyAlignment="1">
      <alignment horizontal="left"/>
    </xf>
    <xf numFmtId="49" fontId="3" fillId="0" borderId="0" xfId="0" applyNumberFormat="1" applyFont="1" applyFill="1" applyBorder="1" applyAlignment="1">
      <alignment vertical="center" wrapText="1"/>
    </xf>
    <xf numFmtId="171" fontId="0" fillId="0" borderId="0" xfId="0" applyNumberFormat="1" applyFill="1" applyBorder="1" applyAlignment="1">
      <alignment horizontal="center" vertical="center"/>
    </xf>
    <xf numFmtId="0" fontId="1" fillId="0" borderId="0" xfId="0" applyFont="1" applyBorder="1" applyAlignment="1">
      <alignment horizontal="right"/>
    </xf>
    <xf numFmtId="0" fontId="3" fillId="0" borderId="0" xfId="0" applyFont="1" applyBorder="1" applyAlignment="1">
      <alignment horizontal="right"/>
    </xf>
    <xf numFmtId="203" fontId="11" fillId="0" borderId="0" xfId="0" applyNumberFormat="1" applyFont="1" applyFill="1" applyBorder="1" applyAlignment="1">
      <alignment horizontal="center"/>
    </xf>
    <xf numFmtId="184" fontId="12" fillId="0" borderId="0" xfId="0" applyNumberFormat="1" applyFont="1" applyFill="1" applyBorder="1" applyAlignment="1">
      <alignment horizontal="center"/>
    </xf>
    <xf numFmtId="10" fontId="12" fillId="0" borderId="0" xfId="2" applyNumberFormat="1" applyFont="1" applyFill="1" applyBorder="1" applyAlignment="1">
      <alignment horizontal="center"/>
    </xf>
    <xf numFmtId="2" fontId="9" fillId="0" borderId="0" xfId="0" applyNumberFormat="1" applyFont="1" applyFill="1" applyBorder="1" applyAlignment="1">
      <alignment horizontal="center"/>
    </xf>
    <xf numFmtId="0" fontId="1" fillId="0" borderId="0" xfId="0" applyFont="1" applyFill="1" applyBorder="1" applyAlignment="1">
      <alignment horizontal="right"/>
    </xf>
    <xf numFmtId="0" fontId="0" fillId="2" borderId="0" xfId="0" applyFill="1" applyBorder="1" applyAlignment="1">
      <alignment horizontal="center" vertical="center"/>
    </xf>
    <xf numFmtId="9" fontId="11" fillId="0" borderId="0" xfId="2" applyFont="1" applyBorder="1" applyAlignment="1">
      <alignment horizontal="center"/>
    </xf>
    <xf numFmtId="0" fontId="0" fillId="2" borderId="0" xfId="0" applyFill="1" applyBorder="1" applyAlignment="1">
      <alignment horizontal="center" vertical="center" wrapText="1"/>
    </xf>
    <xf numFmtId="0" fontId="11" fillId="0" borderId="0" xfId="0" applyFont="1" applyBorder="1" applyAlignment="1">
      <alignment vertical="center" wrapText="1"/>
    </xf>
    <xf numFmtId="191" fontId="0" fillId="0" borderId="6" xfId="0" applyNumberFormat="1" applyFill="1" applyBorder="1" applyAlignment="1">
      <alignment horizontal="center"/>
    </xf>
    <xf numFmtId="0" fontId="5" fillId="0" borderId="0" xfId="0" applyFont="1" applyBorder="1" applyAlignment="1">
      <alignment vertical="center"/>
    </xf>
    <xf numFmtId="9" fontId="11" fillId="0" borderId="0" xfId="0" applyNumberFormat="1" applyFont="1" applyFill="1" applyBorder="1" applyAlignment="1">
      <alignment horizontal="center"/>
    </xf>
    <xf numFmtId="0" fontId="5" fillId="0" borderId="0" xfId="0" applyFont="1" applyBorder="1" applyAlignment="1">
      <alignment vertical="center" wrapText="1"/>
    </xf>
    <xf numFmtId="0" fontId="0" fillId="2" borderId="0" xfId="0" applyFill="1" applyBorder="1" applyAlignment="1">
      <alignment vertical="center"/>
    </xf>
    <xf numFmtId="2" fontId="11" fillId="0" borderId="0" xfId="0" applyNumberFormat="1" applyFont="1" applyFill="1" applyBorder="1"/>
    <xf numFmtId="0" fontId="5" fillId="0" borderId="0" xfId="0" applyFont="1" applyFill="1" applyBorder="1" applyAlignment="1">
      <alignment vertical="center" wrapText="1"/>
    </xf>
    <xf numFmtId="164" fontId="0" fillId="0" borderId="0" xfId="0" applyNumberFormat="1" applyFill="1" applyBorder="1" applyAlignment="1">
      <alignment horizontal="center"/>
    </xf>
    <xf numFmtId="0" fontId="1" fillId="0" borderId="0" xfId="0" applyFont="1" applyBorder="1" applyAlignment="1">
      <alignment horizontal="center"/>
    </xf>
    <xf numFmtId="167" fontId="0" fillId="0" borderId="0" xfId="0" applyNumberFormat="1" applyFill="1" applyBorder="1"/>
    <xf numFmtId="0" fontId="0" fillId="0" borderId="17" xfId="0" applyBorder="1"/>
    <xf numFmtId="0" fontId="0" fillId="0" borderId="12" xfId="0" applyBorder="1" applyAlignment="1">
      <alignment horizontal="center"/>
    </xf>
    <xf numFmtId="191" fontId="0" fillId="0" borderId="12" xfId="0" applyNumberFormat="1" applyFill="1" applyBorder="1" applyAlignment="1">
      <alignment horizontal="center"/>
    </xf>
    <xf numFmtId="191" fontId="12" fillId="0" borderId="12" xfId="0" applyNumberFormat="1" applyFont="1" applyFill="1" applyBorder="1" applyAlignment="1">
      <alignment horizontal="center"/>
    </xf>
    <xf numFmtId="40" fontId="5" fillId="0" borderId="12" xfId="0" applyNumberFormat="1" applyFont="1" applyFill="1" applyBorder="1"/>
    <xf numFmtId="9" fontId="0" fillId="0" borderId="12" xfId="2" applyFont="1" applyFill="1" applyBorder="1" applyAlignment="1">
      <alignment horizontal="center"/>
    </xf>
    <xf numFmtId="167" fontId="0" fillId="0" borderId="12" xfId="0" applyNumberFormat="1" applyFill="1" applyBorder="1" applyAlignment="1">
      <alignment horizontal="center"/>
    </xf>
    <xf numFmtId="167" fontId="3" fillId="0" borderId="13" xfId="0" applyNumberFormat="1" applyFont="1" applyFill="1" applyBorder="1" applyAlignment="1">
      <alignment horizontal="center"/>
    </xf>
    <xf numFmtId="164" fontId="0" fillId="0" borderId="2" xfId="0" applyNumberFormat="1" applyFill="1" applyBorder="1" applyAlignment="1">
      <alignment horizontal="center"/>
    </xf>
    <xf numFmtId="164" fontId="11" fillId="0" borderId="2" xfId="0" applyNumberFormat="1" applyFont="1" applyFill="1" applyBorder="1" applyAlignment="1">
      <alignment horizontal="center"/>
    </xf>
    <xf numFmtId="0" fontId="12" fillId="0" borderId="14" xfId="0" applyFont="1" applyBorder="1"/>
    <xf numFmtId="164" fontId="12" fillId="0" borderId="2" xfId="0" applyNumberFormat="1" applyFont="1" applyFill="1" applyBorder="1" applyAlignment="1">
      <alignment horizontal="center"/>
    </xf>
    <xf numFmtId="0" fontId="3" fillId="0" borderId="14" xfId="0" applyFont="1" applyBorder="1"/>
    <xf numFmtId="0" fontId="0" fillId="0" borderId="18" xfId="0" applyBorder="1"/>
    <xf numFmtId="191" fontId="0" fillId="0" borderId="1" xfId="0" applyNumberFormat="1" applyBorder="1" applyAlignment="1">
      <alignment horizontal="center"/>
    </xf>
    <xf numFmtId="191" fontId="12" fillId="0" borderId="1" xfId="0" applyNumberFormat="1" applyFont="1" applyBorder="1" applyAlignment="1">
      <alignment horizontal="center"/>
    </xf>
    <xf numFmtId="40" fontId="5" fillId="0" borderId="1" xfId="0" applyNumberFormat="1" applyFont="1" applyFill="1" applyBorder="1"/>
    <xf numFmtId="9" fontId="0" fillId="0" borderId="1" xfId="2" applyFont="1" applyFill="1" applyBorder="1" applyAlignment="1">
      <alignment horizontal="center"/>
    </xf>
    <xf numFmtId="168" fontId="0" fillId="0" borderId="1" xfId="0" applyNumberFormat="1" applyFill="1" applyBorder="1" applyAlignment="1">
      <alignment horizontal="center"/>
    </xf>
    <xf numFmtId="169" fontId="0" fillId="0" borderId="1" xfId="0" applyNumberFormat="1" applyFill="1" applyBorder="1" applyAlignment="1">
      <alignment horizontal="center"/>
    </xf>
    <xf numFmtId="164" fontId="0" fillId="0" borderId="15" xfId="0" applyNumberFormat="1" applyFill="1" applyBorder="1" applyAlignment="1">
      <alignment horizontal="center"/>
    </xf>
    <xf numFmtId="0" fontId="0" fillId="8" borderId="17" xfId="0" applyFill="1" applyBorder="1"/>
    <xf numFmtId="0" fontId="0" fillId="8" borderId="12" xfId="0" applyFill="1" applyBorder="1"/>
    <xf numFmtId="0" fontId="3" fillId="8" borderId="13" xfId="0" applyFont="1" applyFill="1" applyBorder="1"/>
    <xf numFmtId="0" fontId="11" fillId="8" borderId="0" xfId="0" applyFont="1" applyFill="1" applyBorder="1" applyAlignment="1">
      <alignment horizontal="center"/>
    </xf>
    <xf numFmtId="0" fontId="1" fillId="8" borderId="0" xfId="0" applyFont="1" applyFill="1" applyBorder="1" applyAlignment="1">
      <alignment horizontal="center"/>
    </xf>
    <xf numFmtId="0" fontId="1" fillId="8" borderId="0" xfId="0" applyFont="1" applyFill="1" applyBorder="1"/>
    <xf numFmtId="0" fontId="1" fillId="8" borderId="2" xfId="0" applyFont="1" applyFill="1" applyBorder="1" applyAlignment="1">
      <alignment horizontal="center"/>
    </xf>
    <xf numFmtId="0" fontId="5" fillId="9" borderId="27" xfId="0" applyFont="1" applyFill="1" applyBorder="1" applyAlignment="1">
      <alignment horizontal="center" vertical="center" wrapText="1"/>
    </xf>
    <xf numFmtId="0" fontId="11" fillId="9" borderId="23" xfId="0" applyFont="1" applyFill="1" applyBorder="1" applyAlignment="1">
      <alignment horizontal="center"/>
    </xf>
    <xf numFmtId="167" fontId="11" fillId="9" borderId="27" xfId="0" applyNumberFormat="1" applyFont="1" applyFill="1" applyBorder="1" applyAlignment="1">
      <alignment horizontal="center"/>
    </xf>
    <xf numFmtId="167" fontId="11" fillId="9" borderId="23" xfId="0" applyNumberFormat="1" applyFont="1" applyFill="1" applyBorder="1" applyAlignment="1">
      <alignment horizontal="center"/>
    </xf>
    <xf numFmtId="167" fontId="11" fillId="9" borderId="28" xfId="0" applyNumberFormat="1" applyFont="1" applyFill="1" applyBorder="1" applyAlignment="1">
      <alignment horizontal="center"/>
    </xf>
    <xf numFmtId="9" fontId="3" fillId="0" borderId="1" xfId="2" applyFill="1" applyBorder="1" applyAlignment="1">
      <alignment horizontal="center"/>
    </xf>
    <xf numFmtId="0" fontId="0" fillId="8" borderId="13" xfId="0" applyFill="1" applyBorder="1"/>
    <xf numFmtId="0" fontId="0" fillId="8" borderId="1" xfId="0" applyFill="1" applyBorder="1" applyAlignment="1">
      <alignment horizontal="center"/>
    </xf>
    <xf numFmtId="0" fontId="11" fillId="8" borderId="1" xfId="0" applyFont="1" applyFill="1" applyBorder="1" applyAlignment="1">
      <alignment horizontal="center"/>
    </xf>
    <xf numFmtId="0" fontId="1" fillId="8" borderId="1" xfId="0" applyFont="1" applyFill="1" applyBorder="1" applyAlignment="1">
      <alignment horizontal="center"/>
    </xf>
    <xf numFmtId="0" fontId="1" fillId="8" borderId="1" xfId="0" applyFont="1" applyFill="1" applyBorder="1"/>
    <xf numFmtId="0" fontId="11" fillId="8" borderId="15" xfId="0" applyFont="1" applyFill="1" applyBorder="1" applyAlignment="1">
      <alignment horizontal="center"/>
    </xf>
    <xf numFmtId="0" fontId="0" fillId="8" borderId="18" xfId="0" applyFill="1" applyBorder="1"/>
    <xf numFmtId="0" fontId="11" fillId="9" borderId="28" xfId="0" applyFont="1" applyFill="1" applyBorder="1" applyAlignment="1">
      <alignment horizontal="center"/>
    </xf>
    <xf numFmtId="166" fontId="12" fillId="6" borderId="0" xfId="0" applyNumberFormat="1" applyFont="1" applyFill="1" applyBorder="1" applyAlignment="1">
      <alignment horizontal="center"/>
    </xf>
    <xf numFmtId="165" fontId="12" fillId="6" borderId="0" xfId="0" applyNumberFormat="1" applyFont="1" applyFill="1" applyAlignment="1">
      <alignment horizontal="center"/>
    </xf>
    <xf numFmtId="0" fontId="0" fillId="0" borderId="0" xfId="0" applyBorder="1" applyAlignment="1">
      <alignment horizontal="center" vertical="center"/>
    </xf>
    <xf numFmtId="49" fontId="11" fillId="0" borderId="0" xfId="0" applyNumberFormat="1" applyFont="1" applyFill="1" applyBorder="1" applyAlignment="1"/>
    <xf numFmtId="49" fontId="17" fillId="0" borderId="0" xfId="0" applyNumberFormat="1" applyFont="1" applyFill="1" applyBorder="1" applyAlignment="1">
      <alignment horizontal="center" vertical="center"/>
    </xf>
    <xf numFmtId="0" fontId="3" fillId="0" borderId="6" xfId="0" applyFont="1" applyBorder="1" applyAlignment="1">
      <alignment horizontal="center"/>
    </xf>
    <xf numFmtId="9" fontId="48" fillId="0" borderId="0" xfId="2" applyFont="1" applyFill="1" applyBorder="1" applyAlignment="1">
      <alignment horizontal="center"/>
    </xf>
    <xf numFmtId="9" fontId="9" fillId="0" borderId="0" xfId="2" applyFont="1" applyFill="1" applyBorder="1" applyAlignment="1">
      <alignment horizontal="center"/>
    </xf>
    <xf numFmtId="9" fontId="8" fillId="0" borderId="0" xfId="2" applyFont="1" applyFill="1" applyBorder="1" applyAlignment="1">
      <alignment horizontal="center"/>
    </xf>
    <xf numFmtId="0" fontId="0" fillId="0" borderId="0" xfId="0" applyFill="1" applyBorder="1" applyAlignment="1">
      <alignment vertical="center"/>
    </xf>
    <xf numFmtId="179" fontId="5"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167" fontId="5" fillId="0" borderId="0" xfId="0" applyNumberFormat="1" applyFont="1" applyFill="1" applyBorder="1" applyAlignment="1">
      <alignment horizontal="center" vertical="center"/>
    </xf>
    <xf numFmtId="172" fontId="5" fillId="0" borderId="0" xfId="2" applyNumberFormat="1" applyFont="1" applyFill="1" applyBorder="1" applyAlignment="1" applyProtection="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0" fillId="0" borderId="0" xfId="0" applyBorder="1" applyAlignment="1">
      <alignment vertical="center"/>
    </xf>
    <xf numFmtId="0" fontId="12" fillId="0" borderId="0" xfId="0" applyFont="1" applyFill="1" applyBorder="1" applyAlignment="1">
      <alignment horizontal="center" vertical="center" wrapText="1"/>
    </xf>
    <xf numFmtId="0" fontId="31" fillId="3" borderId="25" xfId="0" applyFont="1" applyFill="1" applyBorder="1" applyAlignment="1">
      <alignment horizontal="center" vertical="center"/>
    </xf>
    <xf numFmtId="219" fontId="5" fillId="0" borderId="15"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wrapText="1"/>
    </xf>
    <xf numFmtId="0" fontId="0" fillId="0" borderId="0" xfId="0" applyFill="1" applyBorder="1" applyAlignment="1">
      <alignment horizontal="center" vertical="center"/>
    </xf>
    <xf numFmtId="49" fontId="8" fillId="0" borderId="0" xfId="0" applyNumberFormat="1" applyFont="1" applyFill="1" applyBorder="1" applyAlignment="1">
      <alignment horizontal="center" vertical="center" wrapText="1"/>
    </xf>
    <xf numFmtId="191" fontId="11" fillId="0" borderId="0" xfId="0" applyNumberFormat="1" applyFont="1" applyFill="1" applyBorder="1" applyAlignment="1">
      <alignment horizontal="center" vertical="center"/>
    </xf>
    <xf numFmtId="208" fontId="5" fillId="0" borderId="0" xfId="0" applyNumberFormat="1" applyFont="1" applyFill="1" applyBorder="1" applyAlignment="1">
      <alignment horizontal="center" vertical="center"/>
    </xf>
    <xf numFmtId="219" fontId="5" fillId="0" borderId="0" xfId="0" applyNumberFormat="1" applyFont="1" applyFill="1" applyBorder="1" applyAlignment="1">
      <alignment horizontal="center" vertical="center"/>
    </xf>
    <xf numFmtId="167" fontId="5" fillId="10" borderId="0" xfId="0" applyNumberFormat="1" applyFont="1" applyFill="1" applyBorder="1" applyAlignment="1">
      <alignment horizontal="center" vertical="center"/>
    </xf>
    <xf numFmtId="172" fontId="11" fillId="10" borderId="0" xfId="2" applyNumberFormat="1" applyFont="1" applyFill="1" applyBorder="1" applyAlignment="1" applyProtection="1">
      <alignment horizontal="center" vertical="center"/>
    </xf>
    <xf numFmtId="0" fontId="7" fillId="10" borderId="0" xfId="0" applyFont="1" applyFill="1" applyBorder="1" applyAlignment="1">
      <alignment horizontal="center" vertical="center" wrapText="1"/>
    </xf>
    <xf numFmtId="0" fontId="5" fillId="0" borderId="0" xfId="0" applyFont="1" applyFill="1" applyBorder="1" applyAlignment="1">
      <alignment horizontal="center" wrapText="1"/>
    </xf>
    <xf numFmtId="49" fontId="7" fillId="10" borderId="0" xfId="0" applyNumberFormat="1" applyFont="1" applyFill="1" applyBorder="1" applyAlignment="1">
      <alignment horizontal="center" vertical="center" wrapText="1"/>
    </xf>
    <xf numFmtId="221" fontId="5" fillId="10" borderId="0" xfId="0" applyNumberFormat="1" applyFont="1" applyFill="1" applyBorder="1" applyAlignment="1">
      <alignment horizontal="center" vertical="center"/>
    </xf>
    <xf numFmtId="172" fontId="12" fillId="10" borderId="0" xfId="2" applyNumberFormat="1" applyFont="1" applyFill="1" applyBorder="1" applyAlignment="1" applyProtection="1">
      <alignment horizontal="center" vertical="center"/>
    </xf>
    <xf numFmtId="0" fontId="5" fillId="10" borderId="0" xfId="0" applyFont="1" applyFill="1" applyBorder="1" applyAlignment="1">
      <alignment horizontal="center" vertical="center"/>
    </xf>
    <xf numFmtId="179" fontId="5" fillId="10" borderId="0" xfId="0" applyNumberFormat="1" applyFont="1" applyFill="1" applyBorder="1" applyAlignment="1">
      <alignment horizontal="center" vertical="center"/>
    </xf>
    <xf numFmtId="49" fontId="8" fillId="10" borderId="0" xfId="0" applyNumberFormat="1" applyFont="1" applyFill="1" applyBorder="1" applyAlignment="1">
      <alignment horizontal="center" vertical="center" wrapText="1"/>
    </xf>
    <xf numFmtId="176" fontId="5" fillId="10" borderId="0" xfId="0" applyNumberFormat="1" applyFont="1" applyFill="1" applyBorder="1" applyAlignment="1">
      <alignment horizontal="center" vertical="center"/>
    </xf>
    <xf numFmtId="0" fontId="5" fillId="10" borderId="0" xfId="0" applyFont="1" applyFill="1" applyBorder="1" applyAlignment="1">
      <alignment horizontal="center" vertical="center" wrapText="1"/>
    </xf>
    <xf numFmtId="196" fontId="5" fillId="10" borderId="0" xfId="0" applyNumberFormat="1" applyFont="1" applyFill="1" applyBorder="1" applyAlignment="1">
      <alignment horizontal="center" vertical="center"/>
    </xf>
    <xf numFmtId="49" fontId="5" fillId="10" borderId="0" xfId="0" applyNumberFormat="1" applyFont="1" applyFill="1" applyBorder="1" applyAlignment="1">
      <alignment horizontal="center" vertical="center" wrapText="1"/>
    </xf>
    <xf numFmtId="191" fontId="5" fillId="10" borderId="23" xfId="0" applyNumberFormat="1" applyFont="1" applyFill="1" applyBorder="1" applyAlignment="1">
      <alignment horizontal="center" vertical="center"/>
    </xf>
    <xf numFmtId="49" fontId="11" fillId="10" borderId="0" xfId="0" applyNumberFormat="1" applyFont="1" applyFill="1" applyBorder="1" applyAlignment="1">
      <alignment horizontal="center" vertical="center" wrapText="1"/>
    </xf>
    <xf numFmtId="0" fontId="5" fillId="10" borderId="0" xfId="0" applyFont="1" applyFill="1" applyBorder="1" applyAlignment="1">
      <alignment horizontal="center" wrapText="1"/>
    </xf>
    <xf numFmtId="0" fontId="11" fillId="0" borderId="0" xfId="0" applyFont="1" applyBorder="1" applyAlignment="1">
      <alignment vertical="center"/>
    </xf>
    <xf numFmtId="49" fontId="7" fillId="0" borderId="0" xfId="0" applyNumberFormat="1" applyFont="1" applyFill="1" applyBorder="1" applyAlignment="1">
      <alignment horizontal="center"/>
    </xf>
    <xf numFmtId="49" fontId="22" fillId="0" borderId="0" xfId="0" applyNumberFormat="1" applyFont="1" applyFill="1" applyBorder="1" applyAlignment="1">
      <alignment horizontal="center"/>
    </xf>
    <xf numFmtId="0" fontId="8" fillId="0" borderId="0" xfId="0" applyFont="1" applyBorder="1" applyAlignment="1">
      <alignment horizontal="center" vertical="center"/>
    </xf>
    <xf numFmtId="167" fontId="8" fillId="0" borderId="0" xfId="0" applyNumberFormat="1" applyFont="1" applyFill="1" applyBorder="1" applyAlignment="1">
      <alignment horizontal="center" vertical="center"/>
    </xf>
    <xf numFmtId="172" fontId="8" fillId="0" borderId="0" xfId="2" applyNumberFormat="1" applyFont="1" applyFill="1" applyBorder="1" applyAlignment="1" applyProtection="1">
      <alignment horizontal="center" vertical="center"/>
    </xf>
    <xf numFmtId="0" fontId="8" fillId="0" borderId="0" xfId="0" applyFont="1" applyFill="1" applyBorder="1" applyAlignment="1">
      <alignment horizontal="center" vertical="center" wrapText="1"/>
    </xf>
    <xf numFmtId="0" fontId="5" fillId="0" borderId="0" xfId="0" applyFont="1" applyBorder="1" applyAlignment="1">
      <alignment horizontal="center" vertical="center"/>
    </xf>
    <xf numFmtId="194" fontId="5" fillId="0" borderId="0" xfId="0" applyNumberFormat="1" applyFont="1" applyFill="1" applyBorder="1" applyAlignment="1">
      <alignment horizontal="center" vertical="center"/>
    </xf>
    <xf numFmtId="191" fontId="8" fillId="0" borderId="0" xfId="2" applyNumberFormat="1" applyFont="1" applyFill="1" applyBorder="1" applyAlignment="1">
      <alignment horizontal="center"/>
    </xf>
    <xf numFmtId="172" fontId="8" fillId="0" borderId="0" xfId="2" applyNumberFormat="1" applyFont="1" applyFill="1" applyBorder="1" applyAlignment="1" applyProtection="1">
      <alignment horizontal="center"/>
    </xf>
    <xf numFmtId="186" fontId="8" fillId="0" borderId="0" xfId="0" applyNumberFormat="1" applyFont="1" applyFill="1" applyBorder="1" applyAlignment="1">
      <alignment horizontal="center" vertical="center"/>
    </xf>
    <xf numFmtId="9" fontId="8" fillId="0" borderId="0" xfId="0" applyNumberFormat="1" applyFont="1" applyFill="1" applyBorder="1" applyAlignment="1">
      <alignment horizontal="center" vertical="center"/>
    </xf>
    <xf numFmtId="194" fontId="8" fillId="0" borderId="0" xfId="0" applyNumberFormat="1" applyFont="1" applyFill="1" applyBorder="1" applyAlignment="1">
      <alignment horizontal="center" vertical="center"/>
    </xf>
    <xf numFmtId="191" fontId="5" fillId="10" borderId="0" xfId="0" applyNumberFormat="1" applyFont="1" applyFill="1" applyBorder="1" applyAlignment="1">
      <alignment horizontal="center" vertical="center"/>
    </xf>
    <xf numFmtId="172" fontId="12" fillId="10" borderId="0" xfId="2" applyNumberFormat="1" applyFont="1" applyFill="1" applyBorder="1" applyAlignment="1">
      <alignment horizontal="center" vertical="center"/>
    </xf>
    <xf numFmtId="9" fontId="5" fillId="10" borderId="0" xfId="2" applyFont="1" applyFill="1" applyBorder="1" applyAlignment="1">
      <alignment horizontal="center" vertical="center"/>
    </xf>
    <xf numFmtId="9" fontId="5" fillId="10" borderId="0" xfId="2" applyNumberFormat="1" applyFont="1" applyFill="1" applyBorder="1" applyAlignment="1">
      <alignment horizontal="center" vertical="center"/>
    </xf>
    <xf numFmtId="172" fontId="5" fillId="10" borderId="0" xfId="2" applyNumberFormat="1" applyFont="1" applyFill="1" applyBorder="1" applyAlignment="1">
      <alignment horizontal="center" vertical="center"/>
    </xf>
    <xf numFmtId="172" fontId="5" fillId="0" borderId="0" xfId="2" applyNumberFormat="1" applyFont="1" applyFill="1" applyBorder="1" applyAlignment="1">
      <alignment horizontal="center" vertical="center"/>
    </xf>
    <xf numFmtId="172" fontId="8" fillId="10" borderId="0" xfId="2" applyNumberFormat="1" applyFont="1" applyFill="1" applyBorder="1" applyAlignment="1" applyProtection="1">
      <alignment horizontal="center" vertical="center"/>
    </xf>
    <xf numFmtId="9" fontId="12" fillId="10" borderId="0" xfId="2" applyFont="1" applyFill="1" applyAlignment="1">
      <alignment horizontal="center" vertical="center"/>
    </xf>
    <xf numFmtId="222" fontId="5" fillId="10" borderId="0" xfId="0" applyNumberFormat="1" applyFont="1" applyFill="1" applyBorder="1" applyAlignment="1">
      <alignment horizontal="center" vertical="center"/>
    </xf>
    <xf numFmtId="178" fontId="5" fillId="10" borderId="0" xfId="0" applyNumberFormat="1" applyFont="1" applyFill="1" applyBorder="1" applyAlignment="1">
      <alignment horizontal="center" vertical="center"/>
    </xf>
    <xf numFmtId="178" fontId="5" fillId="10" borderId="23" xfId="0" applyNumberFormat="1" applyFont="1" applyFill="1" applyBorder="1" applyAlignment="1">
      <alignment horizontal="center" vertical="center"/>
    </xf>
    <xf numFmtId="211" fontId="11" fillId="6" borderId="25" xfId="0" applyNumberFormat="1" applyFont="1" applyFill="1" applyBorder="1" applyAlignment="1">
      <alignment horizontal="center"/>
    </xf>
    <xf numFmtId="0" fontId="35" fillId="8" borderId="0" xfId="0" applyFont="1" applyFill="1" applyAlignment="1">
      <alignment vertical="center" wrapText="1"/>
    </xf>
    <xf numFmtId="0" fontId="31" fillId="3" borderId="0" xfId="0" applyFont="1" applyFill="1" applyAlignment="1">
      <alignment horizontal="left" vertical="center"/>
    </xf>
    <xf numFmtId="0" fontId="31" fillId="4" borderId="0" xfId="0" applyFont="1" applyFill="1" applyAlignment="1">
      <alignment horizontal="left" vertical="center"/>
    </xf>
    <xf numFmtId="0" fontId="0" fillId="0" borderId="0" xfId="0" applyFill="1" applyAlignment="1"/>
    <xf numFmtId="0" fontId="0" fillId="0" borderId="0" xfId="0" applyAlignment="1"/>
    <xf numFmtId="0" fontId="11" fillId="0" borderId="11" xfId="0" applyFont="1" applyFill="1" applyBorder="1"/>
    <xf numFmtId="211" fontId="11" fillId="0" borderId="25" xfId="0" applyNumberFormat="1" applyFont="1" applyFill="1" applyBorder="1" applyAlignment="1">
      <alignment horizontal="center"/>
    </xf>
    <xf numFmtId="0" fontId="11" fillId="0" borderId="0" xfId="0" applyFont="1" applyAlignment="1">
      <alignment horizontal="left"/>
    </xf>
    <xf numFmtId="0" fontId="12" fillId="8" borderId="0" xfId="0" applyFont="1" applyFill="1" applyBorder="1"/>
    <xf numFmtId="0" fontId="11" fillId="8" borderId="0" xfId="0" applyFont="1" applyFill="1" applyBorder="1"/>
    <xf numFmtId="209" fontId="5" fillId="8" borderId="0" xfId="0" applyNumberFormat="1" applyFont="1" applyFill="1" applyBorder="1" applyAlignment="1">
      <alignment horizontal="center"/>
    </xf>
    <xf numFmtId="0" fontId="5" fillId="8" borderId="0" xfId="0" applyFont="1" applyFill="1" applyBorder="1"/>
    <xf numFmtId="0" fontId="17" fillId="8" borderId="0" xfId="0" applyFont="1" applyFill="1" applyBorder="1"/>
    <xf numFmtId="0" fontId="3" fillId="8" borderId="0" xfId="0" applyFont="1" applyFill="1" applyBorder="1"/>
    <xf numFmtId="166" fontId="0" fillId="8" borderId="0" xfId="0" applyNumberFormat="1" applyFill="1" applyBorder="1" applyAlignment="1">
      <alignment horizontal="center"/>
    </xf>
    <xf numFmtId="167" fontId="0" fillId="8" borderId="0" xfId="0" applyNumberFormat="1" applyFill="1" applyBorder="1" applyAlignment="1">
      <alignment horizontal="center"/>
    </xf>
    <xf numFmtId="0" fontId="15" fillId="7" borderId="0" xfId="0" applyFont="1" applyFill="1" applyBorder="1"/>
    <xf numFmtId="190" fontId="16" fillId="8" borderId="0" xfId="0" applyNumberFormat="1" applyFont="1" applyFill="1" applyBorder="1" applyAlignment="1">
      <alignment horizontal="left"/>
    </xf>
    <xf numFmtId="214" fontId="65" fillId="6" borderId="0" xfId="0" applyNumberFormat="1" applyFont="1" applyFill="1" applyAlignment="1">
      <alignment horizontal="center"/>
    </xf>
    <xf numFmtId="214" fontId="65" fillId="6" borderId="0" xfId="0" applyNumberFormat="1" applyFont="1" applyFill="1" applyBorder="1" applyAlignment="1">
      <alignment horizontal="center"/>
    </xf>
    <xf numFmtId="0" fontId="31" fillId="8" borderId="0" xfId="0" applyFont="1" applyFill="1" applyAlignment="1">
      <alignment horizontal="left" vertical="center"/>
    </xf>
    <xf numFmtId="0" fontId="49" fillId="8" borderId="0" xfId="0" applyFont="1" applyFill="1" applyAlignment="1">
      <alignment horizontal="left" vertical="center"/>
    </xf>
    <xf numFmtId="0" fontId="8" fillId="0" borderId="0" xfId="0" applyFont="1" applyFill="1" applyBorder="1" applyAlignment="1">
      <alignment horizontal="left" vertical="center" wrapText="1"/>
    </xf>
    <xf numFmtId="0" fontId="49" fillId="8" borderId="0" xfId="0" applyFont="1" applyFill="1" applyBorder="1" applyAlignment="1">
      <alignment horizontal="left" vertical="center"/>
    </xf>
    <xf numFmtId="0" fontId="12" fillId="6" borderId="0" xfId="0" applyFont="1" applyFill="1" applyBorder="1" applyAlignment="1">
      <alignment horizontal="left"/>
    </xf>
    <xf numFmtId="167" fontId="0" fillId="6" borderId="0" xfId="0" applyNumberFormat="1" applyFill="1" applyAlignment="1">
      <alignment horizontal="center"/>
    </xf>
    <xf numFmtId="9" fontId="3" fillId="7" borderId="0" xfId="2" applyFill="1" applyBorder="1" applyAlignment="1">
      <alignment horizontal="center"/>
    </xf>
    <xf numFmtId="9" fontId="48" fillId="7" borderId="0" xfId="2" applyFont="1" applyFill="1" applyBorder="1" applyAlignment="1">
      <alignment horizontal="center"/>
    </xf>
    <xf numFmtId="0" fontId="25" fillId="0" borderId="0" xfId="0" applyFont="1" applyFill="1" applyBorder="1"/>
    <xf numFmtId="0" fontId="19" fillId="0" borderId="0" xfId="0" applyFont="1" applyFill="1" applyBorder="1"/>
    <xf numFmtId="186" fontId="0" fillId="0" borderId="0" xfId="0" applyNumberFormat="1" applyFill="1" applyBorder="1"/>
    <xf numFmtId="3" fontId="54" fillId="0" borderId="0" xfId="0" applyNumberFormat="1" applyFont="1" applyFill="1" applyBorder="1"/>
    <xf numFmtId="3" fontId="55" fillId="0" borderId="0" xfId="0" applyNumberFormat="1" applyFont="1" applyFill="1" applyBorder="1"/>
    <xf numFmtId="3" fontId="21" fillId="0" borderId="0" xfId="0" applyNumberFormat="1" applyFont="1" applyFill="1" applyBorder="1"/>
    <xf numFmtId="3" fontId="19" fillId="0" borderId="0" xfId="0" applyNumberFormat="1" applyFont="1" applyFill="1" applyBorder="1"/>
    <xf numFmtId="0" fontId="19" fillId="0" borderId="0" xfId="0" applyFont="1" applyBorder="1"/>
    <xf numFmtId="0" fontId="12" fillId="6" borderId="0" xfId="0" applyFont="1" applyFill="1" applyBorder="1"/>
    <xf numFmtId="167" fontId="11" fillId="0" borderId="0" xfId="0" applyNumberFormat="1" applyFont="1" applyBorder="1" applyAlignment="1">
      <alignment horizontal="center"/>
    </xf>
    <xf numFmtId="0" fontId="51" fillId="7" borderId="0" xfId="0" applyFont="1" applyFill="1" applyBorder="1"/>
    <xf numFmtId="0" fontId="51" fillId="7" borderId="0" xfId="0" applyFont="1" applyFill="1" applyBorder="1" applyAlignment="1">
      <alignment horizontal="center"/>
    </xf>
    <xf numFmtId="165" fontId="51" fillId="7" borderId="0" xfId="0" applyNumberFormat="1" applyFont="1" applyFill="1" applyBorder="1" applyAlignment="1">
      <alignment horizontal="center"/>
    </xf>
    <xf numFmtId="166" fontId="51" fillId="7" borderId="0" xfId="0" applyNumberFormat="1" applyFont="1" applyFill="1" applyBorder="1" applyAlignment="1">
      <alignment horizontal="center"/>
    </xf>
    <xf numFmtId="9" fontId="51" fillId="7" borderId="0" xfId="2" applyFont="1" applyFill="1" applyBorder="1" applyAlignment="1">
      <alignment horizontal="center"/>
    </xf>
    <xf numFmtId="0" fontId="18" fillId="7" borderId="0" xfId="0" applyFont="1" applyFill="1" applyBorder="1" applyAlignment="1">
      <alignment horizontal="center"/>
    </xf>
    <xf numFmtId="165" fontId="18" fillId="7" borderId="0" xfId="0" applyNumberFormat="1" applyFont="1" applyFill="1" applyBorder="1" applyAlignment="1">
      <alignment horizontal="center"/>
    </xf>
    <xf numFmtId="166" fontId="18" fillId="7" borderId="0" xfId="0" applyNumberFormat="1" applyFont="1" applyFill="1" applyBorder="1" applyAlignment="1">
      <alignment horizontal="center"/>
    </xf>
    <xf numFmtId="9" fontId="17" fillId="7" borderId="0" xfId="2" applyFont="1" applyFill="1" applyBorder="1" applyAlignment="1">
      <alignment horizontal="center"/>
    </xf>
    <xf numFmtId="0" fontId="31" fillId="7" borderId="0" xfId="0" applyFont="1" applyFill="1" applyBorder="1"/>
    <xf numFmtId="0" fontId="32" fillId="7" borderId="0" xfId="0" applyFont="1" applyFill="1" applyBorder="1"/>
    <xf numFmtId="0" fontId="32" fillId="7" borderId="0" xfId="0" applyFont="1" applyFill="1" applyBorder="1" applyAlignment="1">
      <alignment horizontal="center"/>
    </xf>
    <xf numFmtId="165" fontId="32" fillId="7" borderId="0" xfId="0" applyNumberFormat="1" applyFont="1" applyFill="1" applyBorder="1" applyAlignment="1">
      <alignment horizontal="center"/>
    </xf>
    <xf numFmtId="166" fontId="32" fillId="7" borderId="0" xfId="0" applyNumberFormat="1" applyFont="1" applyFill="1" applyBorder="1" applyAlignment="1">
      <alignment horizontal="center"/>
    </xf>
    <xf numFmtId="9" fontId="24" fillId="7" borderId="0" xfId="2" applyFont="1" applyFill="1" applyBorder="1" applyAlignment="1">
      <alignment horizontal="center"/>
    </xf>
    <xf numFmtId="0" fontId="22" fillId="7" borderId="0" xfId="0" applyFont="1" applyFill="1" applyBorder="1"/>
    <xf numFmtId="9" fontId="66" fillId="7" borderId="0" xfId="2" applyFont="1" applyFill="1" applyBorder="1" applyAlignment="1">
      <alignment horizontal="center"/>
    </xf>
    <xf numFmtId="0" fontId="52" fillId="7" borderId="0" xfId="0" applyFont="1" applyFill="1" applyAlignment="1">
      <alignment horizontal="center"/>
    </xf>
    <xf numFmtId="165" fontId="52" fillId="7" borderId="0" xfId="0" applyNumberFormat="1" applyFont="1" applyFill="1" applyAlignment="1">
      <alignment horizontal="center"/>
    </xf>
    <xf numFmtId="166" fontId="52" fillId="7" borderId="0" xfId="0" applyNumberFormat="1" applyFont="1" applyFill="1" applyAlignment="1">
      <alignment horizontal="center"/>
    </xf>
    <xf numFmtId="0" fontId="7" fillId="0" borderId="29" xfId="0" applyFont="1" applyFill="1" applyBorder="1" applyAlignment="1">
      <alignment horizontal="left"/>
    </xf>
    <xf numFmtId="2" fontId="9" fillId="0" borderId="29" xfId="0" applyNumberFormat="1" applyFont="1" applyFill="1" applyBorder="1" applyAlignment="1">
      <alignment horizontal="center"/>
    </xf>
    <xf numFmtId="166" fontId="9" fillId="0" borderId="29" xfId="0" applyNumberFormat="1" applyFont="1" applyFill="1" applyBorder="1" applyAlignment="1">
      <alignment horizontal="center"/>
    </xf>
    <xf numFmtId="166" fontId="7" fillId="0" borderId="29" xfId="0" applyNumberFormat="1" applyFont="1" applyFill="1" applyBorder="1" applyAlignment="1">
      <alignment horizontal="center"/>
    </xf>
    <xf numFmtId="210" fontId="0" fillId="6" borderId="0" xfId="0" applyNumberFormat="1" applyFill="1" applyBorder="1" applyAlignment="1">
      <alignment horizontal="center"/>
    </xf>
    <xf numFmtId="0" fontId="3" fillId="6" borderId="0" xfId="0" applyFont="1" applyFill="1" applyBorder="1"/>
    <xf numFmtId="210" fontId="0" fillId="0" borderId="0" xfId="0" applyNumberFormat="1" applyFill="1" applyBorder="1" applyAlignment="1">
      <alignment horizontal="center"/>
    </xf>
    <xf numFmtId="0" fontId="11" fillId="0" borderId="30" xfId="0" applyFont="1" applyBorder="1" applyAlignment="1">
      <alignment horizontal="center"/>
    </xf>
    <xf numFmtId="167" fontId="11" fillId="0" borderId="12" xfId="0" applyNumberFormat="1" applyFont="1" applyFill="1" applyBorder="1" applyAlignment="1">
      <alignment horizontal="center"/>
    </xf>
    <xf numFmtId="0" fontId="11" fillId="0" borderId="24" xfId="0" applyFont="1" applyBorder="1" applyAlignment="1">
      <alignment horizontal="center"/>
    </xf>
    <xf numFmtId="165" fontId="12" fillId="0" borderId="0" xfId="0" applyNumberFormat="1" applyFont="1" applyFill="1" applyAlignment="1">
      <alignment horizontal="center"/>
    </xf>
    <xf numFmtId="214" fontId="0" fillId="0" borderId="0" xfId="0" applyNumberFormat="1"/>
    <xf numFmtId="167" fontId="0" fillId="0" borderId="1" xfId="0" applyNumberFormat="1" applyFill="1" applyBorder="1" applyAlignment="1">
      <alignment horizontal="center"/>
    </xf>
    <xf numFmtId="167" fontId="1" fillId="0" borderId="16" xfId="0" applyNumberFormat="1" applyFont="1" applyFill="1" applyBorder="1" applyAlignment="1">
      <alignment horizontal="center"/>
    </xf>
    <xf numFmtId="167" fontId="11" fillId="0" borderId="16" xfId="0" applyNumberFormat="1" applyFont="1" applyFill="1" applyBorder="1" applyAlignment="1">
      <alignment horizontal="center"/>
    </xf>
    <xf numFmtId="0" fontId="68" fillId="0" borderId="0" xfId="0" applyFont="1" applyBorder="1"/>
    <xf numFmtId="0" fontId="58" fillId="0" borderId="0" xfId="0" applyFont="1" applyBorder="1"/>
    <xf numFmtId="231" fontId="0" fillId="0" borderId="0" xfId="0" applyNumberFormat="1" applyBorder="1"/>
    <xf numFmtId="200" fontId="0" fillId="0" borderId="0" xfId="0" applyNumberFormat="1" applyBorder="1"/>
    <xf numFmtId="0" fontId="23" fillId="0" borderId="0" xfId="0" applyFont="1" applyBorder="1"/>
    <xf numFmtId="166" fontId="0" fillId="0" borderId="0" xfId="0" applyNumberFormat="1" applyBorder="1"/>
    <xf numFmtId="199" fontId="69" fillId="0" borderId="0" xfId="0" applyNumberFormat="1" applyFont="1" applyBorder="1" applyAlignment="1">
      <alignment horizontal="left"/>
    </xf>
    <xf numFmtId="238" fontId="0" fillId="0" borderId="0" xfId="0" applyNumberFormat="1" applyBorder="1"/>
    <xf numFmtId="237" fontId="0" fillId="0" borderId="0" xfId="0" applyNumberFormat="1" applyBorder="1" applyAlignment="1">
      <alignment horizontal="center"/>
    </xf>
    <xf numFmtId="200" fontId="3" fillId="7" borderId="19" xfId="0" applyNumberFormat="1" applyFont="1" applyFill="1" applyBorder="1" applyAlignment="1">
      <alignment horizontal="left"/>
    </xf>
    <xf numFmtId="226" fontId="3" fillId="7" borderId="0" xfId="0" applyNumberFormat="1" applyFont="1" applyFill="1" applyBorder="1" applyAlignment="1">
      <alignment horizontal="left"/>
    </xf>
    <xf numFmtId="227" fontId="11" fillId="7" borderId="0" xfId="0" applyNumberFormat="1" applyFont="1" applyFill="1" applyBorder="1" applyAlignment="1">
      <alignment horizontal="center"/>
    </xf>
    <xf numFmtId="2" fontId="0" fillId="0" borderId="0" xfId="0" applyNumberFormat="1" applyBorder="1"/>
    <xf numFmtId="229" fontId="1" fillId="0" borderId="0" xfId="0" applyNumberFormat="1" applyFont="1" applyBorder="1"/>
    <xf numFmtId="0" fontId="67" fillId="0" borderId="0" xfId="0" applyFont="1" applyBorder="1"/>
    <xf numFmtId="230" fontId="0" fillId="0" borderId="0" xfId="0" applyNumberFormat="1" applyBorder="1"/>
    <xf numFmtId="229" fontId="0" fillId="0" borderId="0" xfId="0" applyNumberFormat="1" applyBorder="1"/>
    <xf numFmtId="232" fontId="0" fillId="0" borderId="0" xfId="0" applyNumberFormat="1" applyBorder="1"/>
    <xf numFmtId="233" fontId="0" fillId="0" borderId="0" xfId="0" applyNumberFormat="1" applyBorder="1"/>
    <xf numFmtId="229" fontId="12" fillId="0" borderId="0" xfId="0" applyNumberFormat="1" applyFont="1" applyBorder="1"/>
    <xf numFmtId="165" fontId="0" fillId="0" borderId="0" xfId="0" applyNumberFormat="1" applyBorder="1"/>
    <xf numFmtId="9" fontId="3" fillId="0" borderId="0" xfId="0" applyNumberFormat="1" applyFont="1" applyBorder="1"/>
    <xf numFmtId="0" fontId="3" fillId="0" borderId="0" xfId="0" applyFont="1" applyBorder="1" applyAlignment="1"/>
    <xf numFmtId="231" fontId="11" fillId="0" borderId="0" xfId="0" applyNumberFormat="1" applyFont="1" applyBorder="1"/>
    <xf numFmtId="200" fontId="11" fillId="0" borderId="0" xfId="0" applyNumberFormat="1" applyFont="1" applyBorder="1"/>
    <xf numFmtId="229" fontId="11" fillId="0" borderId="0" xfId="0" applyNumberFormat="1" applyFont="1" applyBorder="1"/>
    <xf numFmtId="200" fontId="12" fillId="0" borderId="0" xfId="0" applyNumberFormat="1" applyFont="1" applyBorder="1"/>
    <xf numFmtId="232" fontId="11" fillId="0" borderId="0" xfId="0" applyNumberFormat="1" applyFont="1" applyBorder="1"/>
    <xf numFmtId="229" fontId="0" fillId="0" borderId="6" xfId="0" applyNumberFormat="1" applyBorder="1"/>
    <xf numFmtId="229" fontId="11" fillId="0" borderId="16" xfId="0" applyNumberFormat="1" applyFont="1" applyBorder="1"/>
    <xf numFmtId="228" fontId="53" fillId="2" borderId="0" xfId="0" applyNumberFormat="1" applyFont="1" applyFill="1" applyBorder="1" applyAlignment="1">
      <alignment horizontal="center"/>
    </xf>
    <xf numFmtId="200" fontId="0" fillId="2" borderId="0" xfId="0" applyNumberFormat="1" applyFill="1" applyBorder="1" applyAlignment="1">
      <alignment horizontal="center"/>
    </xf>
    <xf numFmtId="229" fontId="0" fillId="2" borderId="0" xfId="0" applyNumberFormat="1" applyFill="1" applyBorder="1" applyAlignment="1">
      <alignment horizontal="center"/>
    </xf>
    <xf numFmtId="233" fontId="11" fillId="0" borderId="0" xfId="0" applyNumberFormat="1" applyFont="1" applyBorder="1"/>
    <xf numFmtId="231" fontId="0" fillId="6" borderId="0" xfId="0" applyNumberFormat="1" applyFill="1" applyBorder="1"/>
    <xf numFmtId="232" fontId="0" fillId="6" borderId="0" xfId="0" applyNumberFormat="1" applyFill="1" applyBorder="1"/>
    <xf numFmtId="200" fontId="0" fillId="6" borderId="0" xfId="0" applyNumberFormat="1" applyFill="1" applyBorder="1"/>
    <xf numFmtId="230" fontId="0" fillId="6" borderId="0" xfId="0" applyNumberFormat="1" applyFill="1" applyBorder="1"/>
    <xf numFmtId="233" fontId="0" fillId="6" borderId="0" xfId="0" applyNumberFormat="1" applyFill="1" applyBorder="1"/>
    <xf numFmtId="231" fontId="11" fillId="6" borderId="0" xfId="0" applyNumberFormat="1" applyFont="1" applyFill="1" applyBorder="1"/>
    <xf numFmtId="232" fontId="11" fillId="6" borderId="0" xfId="0" applyNumberFormat="1" applyFont="1" applyFill="1" applyBorder="1"/>
    <xf numFmtId="200" fontId="11" fillId="6" borderId="0" xfId="0" applyNumberFormat="1" applyFont="1" applyFill="1" applyBorder="1"/>
    <xf numFmtId="231" fontId="12" fillId="6" borderId="0" xfId="0" applyNumberFormat="1" applyFont="1" applyFill="1" applyBorder="1"/>
    <xf numFmtId="233" fontId="12" fillId="6" borderId="0" xfId="0" applyNumberFormat="1" applyFont="1" applyFill="1" applyBorder="1"/>
    <xf numFmtId="200" fontId="12" fillId="6" borderId="0" xfId="0" applyNumberFormat="1" applyFont="1" applyFill="1" applyBorder="1"/>
    <xf numFmtId="230" fontId="69" fillId="6" borderId="0" xfId="0" applyNumberFormat="1" applyFont="1" applyFill="1" applyBorder="1" applyAlignment="1">
      <alignment horizontal="right"/>
    </xf>
    <xf numFmtId="165" fontId="0" fillId="6" borderId="0" xfId="0" applyNumberFormat="1" applyFill="1" applyBorder="1"/>
    <xf numFmtId="236" fontId="69" fillId="6" borderId="0" xfId="0" applyNumberFormat="1" applyFont="1" applyFill="1" applyBorder="1" applyAlignment="1">
      <alignment horizontal="right"/>
    </xf>
    <xf numFmtId="0" fontId="0" fillId="6" borderId="0" xfId="0" applyFill="1" applyBorder="1" applyAlignment="1">
      <alignment horizontal="right"/>
    </xf>
    <xf numFmtId="237" fontId="0" fillId="6" borderId="0" xfId="0" applyNumberFormat="1" applyFill="1" applyBorder="1"/>
    <xf numFmtId="234" fontId="69" fillId="6" borderId="0" xfId="0" applyNumberFormat="1" applyFont="1" applyFill="1" applyBorder="1" applyAlignment="1"/>
    <xf numFmtId="235" fontId="69" fillId="6" borderId="0" xfId="0" applyNumberFormat="1" applyFont="1" applyFill="1" applyBorder="1" applyAlignment="1">
      <alignment horizontal="center"/>
    </xf>
    <xf numFmtId="0" fontId="69" fillId="6" borderId="0" xfId="0" applyFont="1" applyFill="1" applyBorder="1" applyAlignment="1"/>
    <xf numFmtId="201" fontId="0" fillId="6" borderId="0" xfId="0" applyNumberFormat="1" applyFill="1" applyBorder="1"/>
    <xf numFmtId="238" fontId="0" fillId="6" borderId="0" xfId="0" applyNumberFormat="1" applyFill="1" applyBorder="1"/>
    <xf numFmtId="237" fontId="0" fillId="6" borderId="0" xfId="0" applyNumberFormat="1" applyFill="1" applyBorder="1" applyAlignment="1">
      <alignment horizontal="center"/>
    </xf>
    <xf numFmtId="166" fontId="0" fillId="6" borderId="0" xfId="0" applyNumberFormat="1" applyFill="1" applyBorder="1"/>
    <xf numFmtId="230" fontId="11" fillId="6" borderId="0" xfId="0" applyNumberFormat="1" applyFont="1" applyFill="1" applyBorder="1"/>
    <xf numFmtId="2" fontId="11" fillId="6" borderId="0" xfId="0" applyNumberFormat="1" applyFont="1" applyFill="1" applyBorder="1"/>
    <xf numFmtId="167" fontId="12" fillId="0" borderId="0" xfId="0" applyNumberFormat="1" applyFont="1" applyBorder="1" applyAlignment="1">
      <alignment horizontal="center"/>
    </xf>
    <xf numFmtId="0" fontId="11" fillId="2" borderId="0" xfId="0" applyFont="1" applyFill="1"/>
    <xf numFmtId="167" fontId="5" fillId="0" borderId="16" xfId="0" applyNumberFormat="1" applyFont="1" applyFill="1" applyBorder="1" applyAlignment="1">
      <alignment horizontal="center"/>
    </xf>
    <xf numFmtId="0" fontId="11" fillId="0" borderId="12" xfId="0" applyFont="1" applyBorder="1" applyAlignment="1">
      <alignment horizontal="center"/>
    </xf>
    <xf numFmtId="0" fontId="13" fillId="7" borderId="0" xfId="0" applyFont="1" applyFill="1"/>
    <xf numFmtId="0" fontId="13" fillId="11" borderId="0" xfId="0" applyFont="1" applyFill="1"/>
    <xf numFmtId="0" fontId="13" fillId="11" borderId="0" xfId="0" applyFont="1" applyFill="1" applyAlignment="1">
      <alignment horizontal="center"/>
    </xf>
    <xf numFmtId="9" fontId="0" fillId="6" borderId="0" xfId="0" applyNumberFormat="1" applyFill="1"/>
    <xf numFmtId="9" fontId="0" fillId="0" borderId="0" xfId="0" applyNumberFormat="1"/>
    <xf numFmtId="0" fontId="13" fillId="4" borderId="0" xfId="0" applyFont="1" applyFill="1"/>
    <xf numFmtId="3" fontId="13" fillId="4" borderId="0" xfId="0" applyNumberFormat="1" applyFont="1" applyFill="1" applyAlignment="1">
      <alignment horizontal="center"/>
    </xf>
    <xf numFmtId="9" fontId="13" fillId="4" borderId="0" xfId="0" applyNumberFormat="1" applyFont="1" applyFill="1" applyAlignment="1">
      <alignment horizontal="center"/>
    </xf>
    <xf numFmtId="239" fontId="0" fillId="6" borderId="0" xfId="0" applyNumberFormat="1" applyFill="1" applyAlignment="1">
      <alignment horizontal="center"/>
    </xf>
    <xf numFmtId="1" fontId="12" fillId="0" borderId="0" xfId="2" applyNumberFormat="1" applyFont="1" applyFill="1" applyAlignment="1">
      <alignment horizontal="center" vertical="center"/>
    </xf>
    <xf numFmtId="1" fontId="12" fillId="6" borderId="0" xfId="2" applyNumberFormat="1" applyFont="1" applyFill="1" applyAlignment="1" applyProtection="1">
      <alignment horizontal="center" vertical="center"/>
      <protection locked="0"/>
    </xf>
    <xf numFmtId="0" fontId="3" fillId="6" borderId="0" xfId="0" applyFont="1" applyFill="1" applyAlignment="1">
      <alignment horizontal="center"/>
    </xf>
    <xf numFmtId="0" fontId="11" fillId="0" borderId="0" xfId="0" applyFont="1" applyFill="1" applyBorder="1" applyAlignment="1">
      <alignment horizontal="center" vertical="center"/>
    </xf>
    <xf numFmtId="0" fontId="72" fillId="0" borderId="0" xfId="0" applyFont="1" applyAlignment="1">
      <alignment horizontal="left"/>
    </xf>
    <xf numFmtId="0" fontId="71" fillId="0" borderId="0" xfId="0" applyFont="1" applyAlignment="1">
      <alignment horizontal="center"/>
    </xf>
    <xf numFmtId="0" fontId="58" fillId="0" borderId="0" xfId="0" applyFont="1" applyFill="1"/>
    <xf numFmtId="178" fontId="3" fillId="0" borderId="0" xfId="0" applyNumberFormat="1" applyFont="1" applyFill="1" applyBorder="1"/>
    <xf numFmtId="210" fontId="3" fillId="6" borderId="0" xfId="0" applyNumberFormat="1" applyFont="1" applyFill="1" applyBorder="1" applyAlignment="1">
      <alignment horizontal="center"/>
    </xf>
    <xf numFmtId="205" fontId="3" fillId="6" borderId="0" xfId="0" applyNumberFormat="1" applyFont="1" applyFill="1" applyBorder="1" applyAlignment="1">
      <alignment horizontal="center"/>
    </xf>
    <xf numFmtId="0" fontId="12" fillId="0" borderId="0" xfId="0" applyFont="1" applyAlignment="1">
      <alignment horizontal="left"/>
    </xf>
    <xf numFmtId="166" fontId="3" fillId="6" borderId="0" xfId="0" applyNumberFormat="1" applyFont="1" applyFill="1" applyAlignment="1">
      <alignment horizontal="center"/>
    </xf>
    <xf numFmtId="166" fontId="3" fillId="6" borderId="0" xfId="0" applyNumberFormat="1" applyFont="1" applyFill="1" applyBorder="1" applyAlignment="1">
      <alignment horizontal="center"/>
    </xf>
    <xf numFmtId="3" fontId="3" fillId="6" borderId="0" xfId="0" applyNumberFormat="1" applyFont="1" applyFill="1" applyAlignment="1">
      <alignment horizontal="center"/>
    </xf>
    <xf numFmtId="178" fontId="12" fillId="2" borderId="0" xfId="0" applyNumberFormat="1" applyFont="1" applyFill="1" applyBorder="1" applyAlignment="1">
      <alignment horizontal="center"/>
    </xf>
    <xf numFmtId="9" fontId="3" fillId="6" borderId="0" xfId="2" applyFont="1" applyFill="1" applyBorder="1" applyAlignment="1">
      <alignment horizontal="center"/>
    </xf>
    <xf numFmtId="208" fontId="3" fillId="6" borderId="0" xfId="0" applyNumberFormat="1" applyFont="1" applyFill="1" applyBorder="1" applyAlignment="1">
      <alignment horizontal="center"/>
    </xf>
    <xf numFmtId="0" fontId="3" fillId="0" borderId="6" xfId="0" applyFont="1" applyFill="1" applyBorder="1" applyAlignment="1">
      <alignment horizontal="center"/>
    </xf>
    <xf numFmtId="2" fontId="11" fillId="0" borderId="0" xfId="0" applyNumberFormat="1" applyFont="1" applyFill="1" applyAlignment="1">
      <alignment horizontal="center" vertical="center" wrapText="1"/>
    </xf>
    <xf numFmtId="176" fontId="3" fillId="6" borderId="0" xfId="0" applyNumberFormat="1" applyFont="1" applyFill="1" applyAlignment="1">
      <alignment horizontal="center"/>
    </xf>
    <xf numFmtId="0" fontId="3" fillId="6" borderId="0" xfId="0" applyFont="1" applyFill="1"/>
    <xf numFmtId="177" fontId="3" fillId="6" borderId="0" xfId="0" applyNumberFormat="1" applyFont="1" applyFill="1" applyAlignment="1">
      <alignment horizontal="center"/>
    </xf>
    <xf numFmtId="179" fontId="3" fillId="6" borderId="0" xfId="0" applyNumberFormat="1" applyFont="1" applyFill="1" applyAlignment="1">
      <alignment horizontal="center"/>
    </xf>
    <xf numFmtId="178" fontId="3" fillId="6" borderId="0" xfId="0" applyNumberFormat="1" applyFont="1" applyFill="1" applyAlignment="1">
      <alignment horizontal="center"/>
    </xf>
    <xf numFmtId="0" fontId="3" fillId="6" borderId="0" xfId="0" applyFont="1" applyFill="1" applyBorder="1" applyAlignment="1">
      <alignment horizontal="center"/>
    </xf>
    <xf numFmtId="224" fontId="3" fillId="6" borderId="0" xfId="0" applyNumberFormat="1" applyFont="1" applyFill="1" applyBorder="1" applyAlignment="1">
      <alignment horizontal="center"/>
    </xf>
    <xf numFmtId="169" fontId="3" fillId="6" borderId="0" xfId="0" applyNumberFormat="1" applyFont="1" applyFill="1" applyBorder="1" applyAlignment="1">
      <alignment horizontal="center"/>
    </xf>
    <xf numFmtId="176" fontId="3" fillId="6" borderId="0" xfId="0" applyNumberFormat="1" applyFont="1" applyFill="1" applyBorder="1" applyAlignment="1">
      <alignment horizontal="center"/>
    </xf>
    <xf numFmtId="170" fontId="3" fillId="6" borderId="0" xfId="0" applyNumberFormat="1" applyFont="1" applyFill="1" applyBorder="1" applyAlignment="1">
      <alignment horizontal="center"/>
    </xf>
    <xf numFmtId="205" fontId="0" fillId="6" borderId="0" xfId="0" applyNumberFormat="1" applyFill="1" applyAlignment="1">
      <alignment horizontal="center"/>
    </xf>
    <xf numFmtId="176" fontId="3" fillId="0" borderId="0" xfId="0" applyNumberFormat="1" applyFont="1" applyFill="1" applyBorder="1" applyAlignment="1">
      <alignment horizontal="center"/>
    </xf>
    <xf numFmtId="240" fontId="3" fillId="0" borderId="0" xfId="0" applyNumberFormat="1" applyFont="1" applyFill="1" applyBorder="1" applyAlignment="1">
      <alignment horizontal="center"/>
    </xf>
    <xf numFmtId="178" fontId="0" fillId="6" borderId="0" xfId="0" applyNumberFormat="1" applyFill="1" applyBorder="1" applyAlignment="1">
      <alignment horizontal="center"/>
    </xf>
    <xf numFmtId="183" fontId="0" fillId="6" borderId="0" xfId="0" applyNumberFormat="1" applyFill="1" applyBorder="1" applyAlignment="1">
      <alignment horizontal="center"/>
    </xf>
    <xf numFmtId="241" fontId="3" fillId="6" borderId="0" xfId="0" applyNumberFormat="1" applyFont="1" applyFill="1" applyAlignment="1">
      <alignment horizontal="center"/>
    </xf>
    <xf numFmtId="2" fontId="3" fillId="0" borderId="0" xfId="0" applyNumberFormat="1" applyFont="1" applyBorder="1"/>
    <xf numFmtId="0" fontId="1" fillId="0" borderId="0" xfId="0" applyFont="1" applyFill="1" applyBorder="1" applyAlignment="1">
      <alignment horizontal="center" vertical="center"/>
    </xf>
    <xf numFmtId="179" fontId="11" fillId="6" borderId="0" xfId="0" applyNumberFormat="1" applyFont="1" applyFill="1" applyAlignment="1">
      <alignment horizontal="center"/>
    </xf>
    <xf numFmtId="166" fontId="0" fillId="0" borderId="6" xfId="0" applyNumberFormat="1" applyBorder="1" applyAlignment="1">
      <alignment horizontal="center"/>
    </xf>
    <xf numFmtId="3" fontId="0" fillId="0" borderId="6" xfId="0" applyNumberFormat="1" applyBorder="1" applyAlignment="1">
      <alignment horizontal="center"/>
    </xf>
    <xf numFmtId="179" fontId="0" fillId="0" borderId="0" xfId="0" applyNumberFormat="1" applyBorder="1" applyAlignment="1">
      <alignment horizontal="center"/>
    </xf>
    <xf numFmtId="179" fontId="0" fillId="0" borderId="6" xfId="0" applyNumberFormat="1" applyBorder="1" applyAlignment="1">
      <alignment horizontal="center"/>
    </xf>
    <xf numFmtId="2" fontId="3" fillId="0" borderId="0" xfId="0" applyNumberFormat="1" applyFont="1" applyFill="1" applyBorder="1"/>
    <xf numFmtId="167" fontId="11" fillId="0" borderId="0" xfId="0" applyNumberFormat="1" applyFont="1" applyAlignment="1">
      <alignment horizontal="center"/>
    </xf>
    <xf numFmtId="3" fontId="12" fillId="0" borderId="0" xfId="1" applyNumberFormat="1" applyFont="1" applyBorder="1" applyAlignment="1">
      <alignment horizontal="center" vertical="center"/>
    </xf>
    <xf numFmtId="2" fontId="3" fillId="0" borderId="6" xfId="0" applyNumberFormat="1" applyFont="1" applyBorder="1"/>
    <xf numFmtId="240" fontId="0" fillId="0" borderId="0" xfId="0" applyNumberFormat="1" applyBorder="1" applyAlignment="1">
      <alignment horizontal="center"/>
    </xf>
    <xf numFmtId="170" fontId="0" fillId="0" borderId="0" xfId="0" applyNumberFormat="1" applyBorder="1" applyAlignment="1">
      <alignment horizontal="center"/>
    </xf>
    <xf numFmtId="224" fontId="0" fillId="0" borderId="0" xfId="0" applyNumberFormat="1" applyBorder="1" applyAlignment="1">
      <alignment horizontal="center"/>
    </xf>
    <xf numFmtId="3" fontId="11" fillId="0" borderId="0" xfId="0" applyNumberFormat="1" applyFont="1" applyBorder="1" applyAlignment="1">
      <alignment horizontal="center"/>
    </xf>
    <xf numFmtId="166" fontId="11" fillId="0" borderId="0" xfId="0" applyNumberFormat="1" applyFont="1" applyBorder="1" applyAlignment="1">
      <alignment horizontal="center"/>
    </xf>
    <xf numFmtId="231" fontId="0" fillId="6" borderId="0" xfId="0" applyNumberFormat="1" applyFill="1" applyBorder="1" applyAlignment="1">
      <alignment horizontal="center"/>
    </xf>
    <xf numFmtId="214" fontId="0" fillId="6" borderId="0" xfId="2" applyNumberFormat="1" applyFont="1" applyFill="1" applyBorder="1" applyAlignment="1">
      <alignment horizontal="center"/>
    </xf>
    <xf numFmtId="0" fontId="3" fillId="0" borderId="0" xfId="0" applyFont="1" applyFill="1" applyAlignment="1">
      <alignment horizontal="center"/>
    </xf>
    <xf numFmtId="0" fontId="1" fillId="0" borderId="0" xfId="0" applyFont="1" applyFill="1" applyAlignment="1">
      <alignment horizontal="center"/>
    </xf>
    <xf numFmtId="0" fontId="3" fillId="6" borderId="0" xfId="0" applyFont="1" applyFill="1" applyAlignment="1">
      <alignment horizontal="left"/>
    </xf>
    <xf numFmtId="0" fontId="0" fillId="6" borderId="6" xfId="0" applyFill="1" applyBorder="1" applyAlignment="1">
      <alignment horizontal="center"/>
    </xf>
    <xf numFmtId="165" fontId="3" fillId="0" borderId="0" xfId="0" applyNumberFormat="1" applyFont="1" applyFill="1" applyBorder="1" applyAlignment="1">
      <alignment horizontal="center"/>
    </xf>
    <xf numFmtId="231" fontId="0" fillId="0" borderId="0" xfId="0" applyNumberFormat="1" applyFill="1" applyBorder="1" applyAlignment="1">
      <alignment horizontal="center"/>
    </xf>
    <xf numFmtId="242" fontId="3" fillId="0" borderId="0" xfId="0" applyNumberFormat="1" applyFont="1" applyFill="1" applyAlignment="1">
      <alignment horizontal="center"/>
    </xf>
    <xf numFmtId="1" fontId="3" fillId="0" borderId="0" xfId="0" applyNumberFormat="1" applyFont="1" applyFill="1" applyBorder="1" applyAlignment="1">
      <alignment horizontal="center"/>
    </xf>
    <xf numFmtId="0" fontId="50" fillId="7" borderId="0" xfId="0" applyFont="1" applyFill="1" applyBorder="1" applyAlignment="1">
      <alignment horizontal="left"/>
    </xf>
    <xf numFmtId="200" fontId="3" fillId="0" borderId="0" xfId="0" applyNumberFormat="1" applyFont="1" applyFill="1" applyBorder="1" applyAlignment="1">
      <alignment horizontal="left"/>
    </xf>
    <xf numFmtId="226" fontId="3" fillId="0" borderId="0" xfId="0" applyNumberFormat="1" applyFont="1" applyFill="1" applyBorder="1" applyAlignment="1">
      <alignment horizontal="left"/>
    </xf>
    <xf numFmtId="183" fontId="3" fillId="0" borderId="0" xfId="0" applyNumberFormat="1" applyFont="1" applyFill="1" applyBorder="1" applyAlignment="1">
      <alignment horizontal="left"/>
    </xf>
    <xf numFmtId="227" fontId="11" fillId="0" borderId="0" xfId="0" applyNumberFormat="1" applyFont="1" applyFill="1" applyBorder="1" applyAlignment="1">
      <alignment horizontal="center"/>
    </xf>
    <xf numFmtId="228" fontId="53" fillId="0" borderId="0" xfId="0" applyNumberFormat="1" applyFont="1" applyFill="1" applyBorder="1" applyAlignment="1">
      <alignment horizontal="center"/>
    </xf>
    <xf numFmtId="243" fontId="53" fillId="0" borderId="0" xfId="0" applyNumberFormat="1" applyFont="1" applyFill="1" applyBorder="1" applyAlignment="1">
      <alignment horizontal="left"/>
    </xf>
    <xf numFmtId="0" fontId="68" fillId="0" borderId="0" xfId="0" applyFont="1" applyFill="1" applyBorder="1"/>
    <xf numFmtId="0" fontId="58" fillId="0" borderId="0" xfId="0" applyFont="1" applyFill="1" applyBorder="1"/>
    <xf numFmtId="0" fontId="69" fillId="0" borderId="0" xfId="0" applyFont="1" applyFill="1" applyBorder="1" applyAlignment="1"/>
    <xf numFmtId="234" fontId="69" fillId="0" borderId="0" xfId="0" applyNumberFormat="1" applyFont="1" applyFill="1" applyBorder="1" applyAlignment="1"/>
    <xf numFmtId="235" fontId="69" fillId="0" borderId="0" xfId="0" applyNumberFormat="1" applyFont="1" applyFill="1" applyBorder="1" applyAlignment="1">
      <alignment horizontal="center"/>
    </xf>
    <xf numFmtId="201" fontId="0" fillId="0" borderId="0" xfId="0" applyNumberFormat="1" applyFill="1" applyBorder="1"/>
    <xf numFmtId="0" fontId="6" fillId="0" borderId="0" xfId="0" applyFont="1" applyFill="1" applyBorder="1"/>
    <xf numFmtId="200" fontId="0" fillId="0" borderId="0" xfId="0" applyNumberFormat="1" applyFill="1" applyBorder="1"/>
    <xf numFmtId="0" fontId="23" fillId="0" borderId="0" xfId="0" applyFont="1" applyFill="1" applyBorder="1"/>
    <xf numFmtId="166" fontId="0" fillId="0" borderId="0" xfId="0" applyNumberFormat="1" applyFill="1" applyBorder="1"/>
    <xf numFmtId="245" fontId="0" fillId="0" borderId="0" xfId="0" applyNumberFormat="1" applyFill="1" applyBorder="1" applyAlignment="1">
      <alignment horizontal="left"/>
    </xf>
    <xf numFmtId="199" fontId="12" fillId="0" borderId="0" xfId="0" applyNumberFormat="1" applyFont="1" applyFill="1" applyBorder="1" applyAlignment="1">
      <alignment horizontal="left"/>
    </xf>
    <xf numFmtId="246" fontId="12" fillId="0" borderId="0" xfId="0" applyNumberFormat="1" applyFont="1" applyFill="1" applyBorder="1"/>
    <xf numFmtId="237" fontId="0" fillId="0" borderId="0" xfId="0" applyNumberFormat="1" applyFill="1" applyBorder="1" applyAlignment="1">
      <alignment horizontal="left"/>
    </xf>
    <xf numFmtId="199" fontId="69" fillId="0" borderId="0" xfId="0" applyNumberFormat="1" applyFont="1" applyFill="1" applyBorder="1" applyAlignment="1">
      <alignment horizontal="left"/>
    </xf>
    <xf numFmtId="229" fontId="0" fillId="0" borderId="0" xfId="0" applyNumberFormat="1" applyFill="1" applyBorder="1"/>
    <xf numFmtId="0" fontId="2" fillId="0" borderId="0" xfId="0" applyFont="1" applyFill="1" applyBorder="1"/>
    <xf numFmtId="0" fontId="53" fillId="0" borderId="0" xfId="0" applyFont="1" applyFill="1" applyBorder="1"/>
    <xf numFmtId="2" fontId="53" fillId="0" borderId="0" xfId="0" applyNumberFormat="1" applyFont="1" applyFill="1" applyBorder="1"/>
    <xf numFmtId="229" fontId="53" fillId="0" borderId="0" xfId="0" applyNumberFormat="1" applyFont="1" applyFill="1" applyBorder="1"/>
    <xf numFmtId="0" fontId="28" fillId="0" borderId="0" xfId="0" applyFont="1" applyFill="1" applyBorder="1"/>
    <xf numFmtId="200" fontId="28" fillId="0" borderId="0" xfId="0" applyNumberFormat="1" applyFont="1" applyFill="1" applyBorder="1"/>
    <xf numFmtId="229" fontId="1" fillId="0" borderId="0" xfId="0" applyNumberFormat="1" applyFont="1" applyFill="1" applyBorder="1"/>
    <xf numFmtId="229" fontId="2" fillId="0" borderId="0" xfId="0" applyNumberFormat="1" applyFont="1" applyFill="1" applyBorder="1"/>
    <xf numFmtId="2" fontId="5" fillId="0" borderId="0" xfId="0" applyNumberFormat="1" applyFont="1" applyFill="1" applyBorder="1"/>
    <xf numFmtId="229" fontId="7" fillId="0" borderId="0" xfId="0" applyNumberFormat="1" applyFont="1" applyFill="1" applyBorder="1"/>
    <xf numFmtId="229" fontId="12" fillId="0" borderId="0" xfId="0" applyNumberFormat="1" applyFont="1" applyFill="1" applyBorder="1"/>
    <xf numFmtId="0" fontId="76" fillId="0" borderId="0" xfId="0" applyFont="1" applyFill="1" applyBorder="1" applyAlignment="1">
      <alignment horizontal="center"/>
    </xf>
    <xf numFmtId="0" fontId="1" fillId="0" borderId="0" xfId="0" applyFont="1" applyFill="1" applyBorder="1" applyAlignment="1">
      <alignment horizontal="left"/>
    </xf>
    <xf numFmtId="0" fontId="77" fillId="0" borderId="0" xfId="0" applyFont="1" applyFill="1" applyBorder="1" applyAlignment="1">
      <alignment horizontal="left"/>
    </xf>
    <xf numFmtId="244" fontId="1" fillId="0" borderId="0" xfId="0" applyNumberFormat="1" applyFont="1" applyFill="1" applyBorder="1" applyAlignment="1">
      <alignment horizontal="left"/>
    </xf>
    <xf numFmtId="201" fontId="63" fillId="0" borderId="0" xfId="0" applyNumberFormat="1" applyFont="1" applyFill="1" applyBorder="1" applyAlignment="1">
      <alignment horizontal="center"/>
    </xf>
    <xf numFmtId="244" fontId="63" fillId="0" borderId="0" xfId="0" applyNumberFormat="1" applyFont="1" applyFill="1" applyBorder="1" applyAlignment="1">
      <alignment horizontal="center"/>
    </xf>
    <xf numFmtId="0" fontId="33" fillId="0" borderId="0" xfId="0" applyFont="1" applyFill="1" applyBorder="1"/>
    <xf numFmtId="9" fontId="3" fillId="0" borderId="0" xfId="0" applyNumberFormat="1" applyFont="1" applyFill="1" applyBorder="1"/>
    <xf numFmtId="0" fontId="3" fillId="0" borderId="0" xfId="0" applyFont="1" applyFill="1" applyBorder="1" applyAlignment="1"/>
    <xf numFmtId="0" fontId="47" fillId="0" borderId="0" xfId="0" applyFont="1" applyFill="1" applyBorder="1"/>
    <xf numFmtId="0" fontId="47" fillId="0" borderId="0" xfId="0" applyFont="1" applyFill="1" applyBorder="1" applyAlignment="1"/>
    <xf numFmtId="235" fontId="47" fillId="0" borderId="0" xfId="0" applyNumberFormat="1" applyFont="1" applyFill="1" applyBorder="1" applyAlignment="1">
      <alignment horizontal="center"/>
    </xf>
    <xf numFmtId="229" fontId="47" fillId="0" borderId="0" xfId="0" applyNumberFormat="1" applyFont="1" applyFill="1" applyBorder="1" applyAlignment="1">
      <alignment horizontal="center"/>
    </xf>
    <xf numFmtId="229" fontId="47" fillId="0" borderId="0" xfId="0" applyNumberFormat="1" applyFont="1" applyFill="1" applyBorder="1"/>
    <xf numFmtId="239" fontId="0" fillId="0" borderId="0" xfId="0" applyNumberFormat="1" applyFill="1" applyBorder="1"/>
    <xf numFmtId="229" fontId="0" fillId="0" borderId="6" xfId="0" applyNumberFormat="1" applyFill="1" applyBorder="1"/>
    <xf numFmtId="247" fontId="0" fillId="6" borderId="0" xfId="0" applyNumberFormat="1" applyFill="1" applyBorder="1" applyAlignment="1">
      <alignment horizontal="center"/>
    </xf>
    <xf numFmtId="239" fontId="0" fillId="6" borderId="0" xfId="0" applyNumberFormat="1" applyFill="1" applyBorder="1"/>
    <xf numFmtId="166" fontId="3" fillId="6" borderId="0" xfId="0" applyNumberFormat="1" applyFont="1" applyFill="1" applyBorder="1"/>
    <xf numFmtId="199" fontId="69" fillId="6" borderId="0" xfId="0" applyNumberFormat="1" applyFont="1" applyFill="1" applyBorder="1" applyAlignment="1">
      <alignment horizontal="right"/>
    </xf>
    <xf numFmtId="0" fontId="47" fillId="6" borderId="0" xfId="0" applyFont="1" applyFill="1" applyBorder="1"/>
    <xf numFmtId="165" fontId="1" fillId="6" borderId="0" xfId="0" applyNumberFormat="1" applyFont="1" applyFill="1" applyBorder="1"/>
    <xf numFmtId="2" fontId="74" fillId="6" borderId="0" xfId="0" applyNumberFormat="1" applyFont="1" applyFill="1" applyBorder="1" applyAlignment="1">
      <alignment horizontal="center"/>
    </xf>
    <xf numFmtId="2" fontId="75" fillId="6" borderId="0" xfId="0" applyNumberFormat="1" applyFont="1" applyFill="1" applyBorder="1" applyAlignment="1">
      <alignment horizontal="center"/>
    </xf>
    <xf numFmtId="0" fontId="53" fillId="6" borderId="0" xfId="0" applyFont="1" applyFill="1" applyBorder="1"/>
    <xf numFmtId="2" fontId="53" fillId="6" borderId="0" xfId="0" applyNumberFormat="1" applyFont="1" applyFill="1" applyBorder="1"/>
    <xf numFmtId="231" fontId="28" fillId="6" borderId="0" xfId="0" applyNumberFormat="1" applyFont="1" applyFill="1" applyBorder="1"/>
    <xf numFmtId="233" fontId="28" fillId="6" borderId="0" xfId="0" applyNumberFormat="1" applyFont="1" applyFill="1" applyBorder="1"/>
    <xf numFmtId="200" fontId="28" fillId="6" borderId="0" xfId="0" applyNumberFormat="1" applyFont="1" applyFill="1" applyBorder="1"/>
    <xf numFmtId="0" fontId="12" fillId="0" borderId="0" xfId="0" applyFont="1" applyFill="1" applyBorder="1" applyAlignment="1">
      <alignment horizontal="left" vertical="center"/>
    </xf>
    <xf numFmtId="229" fontId="5" fillId="0" borderId="0" xfId="0" applyNumberFormat="1" applyFont="1" applyFill="1" applyBorder="1"/>
    <xf numFmtId="0" fontId="58" fillId="0" borderId="0" xfId="0" applyFont="1" applyAlignment="1">
      <alignment horizontal="center"/>
    </xf>
    <xf numFmtId="247" fontId="0" fillId="0" borderId="0" xfId="0" applyNumberFormat="1" applyAlignment="1">
      <alignment horizontal="center"/>
    </xf>
    <xf numFmtId="248" fontId="0" fillId="0" borderId="0" xfId="0" applyNumberFormat="1" applyAlignment="1">
      <alignment horizontal="center"/>
    </xf>
    <xf numFmtId="0" fontId="11" fillId="0" borderId="0" xfId="0" applyFont="1" applyAlignment="1">
      <alignment horizontal="center"/>
    </xf>
    <xf numFmtId="2" fontId="3" fillId="0" borderId="0" xfId="0" applyNumberFormat="1" applyFont="1" applyBorder="1" applyAlignment="1">
      <alignment horizontal="center"/>
    </xf>
    <xf numFmtId="177" fontId="3" fillId="0" borderId="0" xfId="0" applyNumberFormat="1" applyFont="1" applyFill="1" applyAlignment="1">
      <alignment horizontal="center"/>
    </xf>
    <xf numFmtId="179" fontId="12" fillId="0" borderId="0" xfId="0" applyNumberFormat="1" applyFont="1" applyFill="1" applyAlignment="1">
      <alignment horizontal="center"/>
    </xf>
    <xf numFmtId="2" fontId="12" fillId="0" borderId="0" xfId="0" applyNumberFormat="1" applyFont="1" applyBorder="1" applyAlignment="1">
      <alignment horizontal="center"/>
    </xf>
    <xf numFmtId="1" fontId="0" fillId="6" borderId="6" xfId="0" applyNumberFormat="1" applyFill="1" applyBorder="1" applyAlignment="1">
      <alignment horizontal="center"/>
    </xf>
    <xf numFmtId="9" fontId="30" fillId="7" borderId="0" xfId="2" applyFont="1" applyFill="1" applyAlignment="1">
      <alignment horizontal="center"/>
    </xf>
    <xf numFmtId="9" fontId="48" fillId="7" borderId="0" xfId="2" applyFont="1" applyFill="1" applyAlignment="1">
      <alignment horizontal="center"/>
    </xf>
    <xf numFmtId="165" fontId="0" fillId="0" borderId="16" xfId="0" applyNumberFormat="1" applyFill="1" applyBorder="1" applyAlignment="1">
      <alignment horizontal="center"/>
    </xf>
    <xf numFmtId="167" fontId="0" fillId="0" borderId="4" xfId="0" applyNumberFormat="1" applyFill="1" applyBorder="1" applyAlignment="1">
      <alignment horizontal="center"/>
    </xf>
    <xf numFmtId="167" fontId="0" fillId="0" borderId="3" xfId="0" applyNumberFormat="1" applyFill="1" applyBorder="1" applyAlignment="1">
      <alignment horizontal="center"/>
    </xf>
    <xf numFmtId="0" fontId="0" fillId="0" borderId="22" xfId="0" applyFill="1" applyBorder="1"/>
    <xf numFmtId="167" fontId="0" fillId="0" borderId="5" xfId="0" applyNumberFormat="1" applyFill="1" applyBorder="1" applyAlignment="1">
      <alignment horizontal="center"/>
    </xf>
    <xf numFmtId="0" fontId="31" fillId="7" borderId="0" xfId="0" applyNumberFormat="1" applyFont="1" applyFill="1" applyBorder="1" applyAlignment="1">
      <alignment horizontal="center"/>
    </xf>
    <xf numFmtId="1" fontId="31" fillId="7" borderId="0" xfId="0" applyNumberFormat="1" applyFont="1" applyFill="1" applyBorder="1" applyAlignment="1">
      <alignment horizontal="center"/>
    </xf>
    <xf numFmtId="165" fontId="0" fillId="6" borderId="6" xfId="0" applyNumberFormat="1" applyFill="1" applyBorder="1"/>
    <xf numFmtId="237" fontId="0" fillId="0" borderId="0" xfId="0" applyNumberFormat="1" applyFill="1" applyBorder="1" applyAlignment="1">
      <alignment horizontal="center"/>
    </xf>
    <xf numFmtId="247" fontId="0" fillId="0" borderId="0" xfId="0" applyNumberFormat="1" applyFill="1" applyBorder="1" applyAlignment="1">
      <alignment horizontal="center"/>
    </xf>
    <xf numFmtId="233" fontId="0" fillId="6" borderId="0" xfId="0" applyNumberFormat="1" applyFill="1" applyBorder="1" applyAlignment="1">
      <alignment horizontal="center"/>
    </xf>
    <xf numFmtId="0" fontId="5" fillId="0" borderId="0" xfId="0" applyFont="1" applyFill="1" applyAlignment="1">
      <alignment horizontal="left" vertical="center"/>
    </xf>
    <xf numFmtId="209" fontId="5" fillId="0" borderId="0" xfId="0" applyNumberFormat="1" applyFont="1" applyFill="1" applyAlignment="1">
      <alignment horizontal="center"/>
    </xf>
    <xf numFmtId="0" fontId="5" fillId="8" borderId="0" xfId="0" applyFont="1" applyFill="1" applyAlignment="1">
      <alignment horizontal="left" vertical="center"/>
    </xf>
    <xf numFmtId="0" fontId="78" fillId="7" borderId="0" xfId="0" applyFont="1" applyFill="1" applyAlignment="1">
      <alignment horizontal="center" vertical="center"/>
    </xf>
    <xf numFmtId="1" fontId="0" fillId="0" borderId="0" xfId="0" applyNumberFormat="1" applyAlignment="1">
      <alignment horizontal="center"/>
    </xf>
    <xf numFmtId="9" fontId="0" fillId="0" borderId="0" xfId="0" applyNumberFormat="1" applyFill="1"/>
    <xf numFmtId="205" fontId="12" fillId="6" borderId="0" xfId="0" applyNumberFormat="1" applyFont="1" applyFill="1" applyBorder="1" applyAlignment="1">
      <alignment horizontal="center"/>
    </xf>
    <xf numFmtId="0" fontId="0" fillId="0" borderId="0" xfId="2" applyNumberFormat="1" applyFont="1"/>
    <xf numFmtId="0" fontId="11" fillId="2" borderId="0" xfId="0" applyFont="1" applyFill="1" applyBorder="1" applyAlignment="1">
      <alignment wrapText="1"/>
    </xf>
    <xf numFmtId="176" fontId="3" fillId="12" borderId="0" xfId="0" applyNumberFormat="1" applyFont="1" applyFill="1" applyBorder="1" applyAlignment="1">
      <alignment horizontal="center"/>
    </xf>
    <xf numFmtId="249" fontId="3" fillId="6" borderId="0" xfId="0" applyNumberFormat="1" applyFont="1" applyFill="1" applyBorder="1" applyAlignment="1">
      <alignment horizontal="center"/>
    </xf>
    <xf numFmtId="250" fontId="3" fillId="6" borderId="0" xfId="0" applyNumberFormat="1" applyFont="1" applyFill="1" applyBorder="1" applyAlignment="1">
      <alignment horizontal="center"/>
    </xf>
    <xf numFmtId="0" fontId="3" fillId="0" borderId="0" xfId="0" applyFont="1" applyFill="1" applyBorder="1" applyAlignment="1">
      <alignment horizontal="center" vertical="center"/>
    </xf>
    <xf numFmtId="213" fontId="3" fillId="6" borderId="0" xfId="0" applyNumberFormat="1" applyFont="1" applyFill="1" applyBorder="1" applyAlignment="1">
      <alignment horizontal="center"/>
    </xf>
    <xf numFmtId="1" fontId="3" fillId="6" borderId="0" xfId="0" applyNumberFormat="1" applyFont="1" applyFill="1" applyBorder="1" applyAlignment="1">
      <alignment horizontal="center"/>
    </xf>
    <xf numFmtId="249" fontId="0" fillId="0" borderId="0" xfId="0" applyNumberFormat="1" applyBorder="1" applyAlignment="1">
      <alignment horizontal="center"/>
    </xf>
    <xf numFmtId="213" fontId="0" fillId="0" borderId="0" xfId="0" applyNumberFormat="1" applyBorder="1" applyAlignment="1">
      <alignment horizontal="center"/>
    </xf>
    <xf numFmtId="250" fontId="0" fillId="0" borderId="0" xfId="0" applyNumberFormat="1" applyBorder="1" applyAlignment="1">
      <alignment horizontal="center"/>
    </xf>
    <xf numFmtId="0" fontId="11" fillId="0" borderId="0" xfId="0" applyFont="1" applyFill="1" applyBorder="1" applyAlignment="1">
      <alignment wrapText="1"/>
    </xf>
    <xf numFmtId="0" fontId="0" fillId="12" borderId="0" xfId="0" applyFill="1" applyBorder="1" applyAlignment="1">
      <alignment horizontal="center"/>
    </xf>
    <xf numFmtId="165" fontId="0" fillId="12" borderId="0" xfId="0" applyNumberFormat="1" applyFill="1" applyBorder="1" applyAlignment="1">
      <alignment horizontal="center"/>
    </xf>
    <xf numFmtId="0" fontId="5" fillId="0" borderId="0" xfId="0" applyFont="1" applyFill="1" applyBorder="1" applyAlignment="1">
      <alignment horizontal="left" vertical="center" wrapText="1" indent="1"/>
    </xf>
    <xf numFmtId="0" fontId="12" fillId="0" borderId="14" xfId="0" applyFont="1" applyFill="1" applyBorder="1" applyAlignment="1">
      <alignment horizontal="left" vertical="center"/>
    </xf>
    <xf numFmtId="0" fontId="12" fillId="0" borderId="0" xfId="0" applyFont="1" applyFill="1" applyBorder="1" applyAlignment="1">
      <alignment horizontal="left" vertical="center"/>
    </xf>
    <xf numFmtId="0" fontId="0" fillId="0" borderId="0" xfId="0" applyFill="1" applyAlignment="1">
      <alignment horizontal="center"/>
    </xf>
    <xf numFmtId="0" fontId="12" fillId="0" borderId="0" xfId="0" applyFont="1" applyFill="1" applyBorder="1" applyAlignment="1">
      <alignment horizontal="right" vertical="center" wrapText="1"/>
    </xf>
    <xf numFmtId="0" fontId="7" fillId="0" borderId="0" xfId="0" applyFont="1" applyFill="1" applyBorder="1" applyAlignment="1">
      <alignment horizontal="right" vertical="center" wrapText="1"/>
    </xf>
    <xf numFmtId="0" fontId="11" fillId="0" borderId="0" xfId="0" applyFont="1" applyFill="1" applyBorder="1" applyAlignment="1">
      <alignment horizontal="right" vertical="center" wrapText="1"/>
    </xf>
    <xf numFmtId="0" fontId="3" fillId="0" borderId="0" xfId="0" applyFont="1" applyFill="1" applyBorder="1" applyAlignment="1">
      <alignment horizontal="right" vertical="center" wrapText="1"/>
    </xf>
    <xf numFmtId="9" fontId="0" fillId="0" borderId="1" xfId="0" applyNumberFormat="1" applyFill="1" applyBorder="1" applyAlignment="1">
      <alignment horizontal="center"/>
    </xf>
    <xf numFmtId="251" fontId="3" fillId="12" borderId="0" xfId="0" applyNumberFormat="1" applyFont="1" applyFill="1" applyBorder="1" applyAlignment="1">
      <alignment horizontal="center"/>
    </xf>
    <xf numFmtId="252" fontId="3" fillId="6" borderId="0" xfId="0" applyNumberFormat="1" applyFont="1" applyFill="1" applyBorder="1" applyAlignment="1">
      <alignment horizontal="center"/>
    </xf>
    <xf numFmtId="166" fontId="3" fillId="2" borderId="0" xfId="0" applyNumberFormat="1" applyFont="1" applyFill="1" applyBorder="1" applyAlignment="1">
      <alignment horizontal="left"/>
    </xf>
    <xf numFmtId="0" fontId="3" fillId="0" borderId="0" xfId="0" applyFont="1" applyFill="1" applyBorder="1" applyAlignment="1">
      <alignment horizontal="left" vertical="center"/>
    </xf>
    <xf numFmtId="0" fontId="12" fillId="0" borderId="14" xfId="0" applyFont="1" applyFill="1" applyBorder="1" applyAlignment="1">
      <alignment vertical="center"/>
    </xf>
    <xf numFmtId="2" fontId="0" fillId="12" borderId="0" xfId="0" applyNumberFormat="1" applyFill="1" applyBorder="1" applyAlignment="1">
      <alignment horizontal="center"/>
    </xf>
    <xf numFmtId="0" fontId="1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165" fontId="3" fillId="2" borderId="0" xfId="0" applyNumberFormat="1" applyFont="1" applyFill="1" applyBorder="1" applyAlignment="1">
      <alignment horizontal="center"/>
    </xf>
    <xf numFmtId="9" fontId="30" fillId="8" borderId="0" xfId="0" applyNumberFormat="1" applyFont="1" applyFill="1" applyBorder="1"/>
    <xf numFmtId="9" fontId="3" fillId="2" borderId="0" xfId="0" applyNumberFormat="1" applyFont="1" applyFill="1" applyBorder="1" applyAlignment="1">
      <alignment horizontal="center"/>
    </xf>
    <xf numFmtId="0" fontId="12" fillId="12" borderId="0" xfId="0" applyFont="1" applyFill="1" applyBorder="1"/>
    <xf numFmtId="169" fontId="0" fillId="0" borderId="1" xfId="0" applyNumberFormat="1" applyBorder="1" applyAlignment="1">
      <alignment horizontal="center"/>
    </xf>
    <xf numFmtId="179" fontId="0" fillId="0" borderId="1" xfId="0" applyNumberFormat="1" applyBorder="1" applyAlignment="1">
      <alignment horizontal="center"/>
    </xf>
    <xf numFmtId="167" fontId="0" fillId="0" borderId="1" xfId="0" applyNumberFormat="1" applyBorder="1" applyAlignment="1">
      <alignment horizontal="center"/>
    </xf>
    <xf numFmtId="178" fontId="11" fillId="6" borderId="0" xfId="0" applyNumberFormat="1" applyFont="1" applyFill="1" applyAlignment="1">
      <alignment horizontal="left"/>
    </xf>
    <xf numFmtId="0" fontId="0" fillId="2" borderId="0" xfId="0" applyFill="1" applyBorder="1" applyAlignment="1">
      <alignment horizontal="center"/>
    </xf>
    <xf numFmtId="0" fontId="0" fillId="0" borderId="0" xfId="0" applyFill="1" applyAlignment="1">
      <alignment horizontal="center"/>
    </xf>
    <xf numFmtId="206" fontId="0" fillId="0" borderId="0" xfId="0" applyNumberFormat="1" applyFill="1" applyBorder="1" applyAlignment="1">
      <alignment horizontal="center"/>
    </xf>
    <xf numFmtId="0" fontId="12" fillId="0" borderId="1" xfId="0" applyFont="1" applyFill="1" applyBorder="1" applyAlignment="1">
      <alignment horizontal="right" vertical="center" wrapText="1"/>
    </xf>
    <xf numFmtId="1" fontId="0" fillId="12" borderId="0" xfId="0" applyNumberFormat="1" applyFill="1" applyBorder="1" applyAlignment="1">
      <alignment horizontal="center"/>
    </xf>
    <xf numFmtId="1" fontId="12" fillId="0" borderId="0" xfId="0" applyNumberFormat="1" applyFont="1" applyFill="1" applyAlignment="1">
      <alignment horizontal="center" vertical="center"/>
    </xf>
    <xf numFmtId="166" fontId="1" fillId="6" borderId="0" xfId="0" applyNumberFormat="1" applyFont="1" applyFill="1" applyBorder="1" applyAlignment="1">
      <alignment horizontal="center"/>
    </xf>
    <xf numFmtId="218" fontId="33" fillId="0" borderId="0" xfId="0" applyNumberFormat="1" applyFont="1" applyFill="1" applyBorder="1" applyAlignment="1">
      <alignment horizontal="center"/>
    </xf>
    <xf numFmtId="202" fontId="0" fillId="0" borderId="0" xfId="0" applyNumberFormat="1" applyFill="1" applyBorder="1" applyAlignment="1">
      <alignment horizontal="center"/>
    </xf>
    <xf numFmtId="0" fontId="12" fillId="0"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178" fontId="11" fillId="12" borderId="0" xfId="0" applyNumberFormat="1" applyFont="1" applyFill="1" applyBorder="1" applyAlignment="1">
      <alignment horizontal="center"/>
    </xf>
    <xf numFmtId="178" fontId="0" fillId="12" borderId="0" xfId="0" applyNumberFormat="1" applyFill="1" applyBorder="1" applyAlignment="1">
      <alignment horizontal="center"/>
    </xf>
    <xf numFmtId="172" fontId="0" fillId="0" borderId="0" xfId="0" applyNumberFormat="1" applyFill="1" applyBorder="1" applyAlignment="1">
      <alignment horizontal="center"/>
    </xf>
    <xf numFmtId="9" fontId="0" fillId="6" borderId="0" xfId="0" applyNumberFormat="1" applyFill="1" applyBorder="1" applyAlignment="1">
      <alignment horizontal="left"/>
    </xf>
    <xf numFmtId="10" fontId="0" fillId="0" borderId="0" xfId="0" applyNumberFormat="1" applyFill="1" applyBorder="1" applyAlignment="1">
      <alignment horizontal="center"/>
    </xf>
    <xf numFmtId="179" fontId="11" fillId="0" borderId="0" xfId="0" applyNumberFormat="1" applyFont="1" applyFill="1" applyAlignment="1">
      <alignment horizontal="center"/>
    </xf>
    <xf numFmtId="176" fontId="3" fillId="0" borderId="0" xfId="0" applyNumberFormat="1" applyFont="1" applyFill="1" applyAlignment="1">
      <alignment horizontal="center"/>
    </xf>
    <xf numFmtId="178" fontId="3" fillId="0" borderId="0" xfId="0" applyNumberFormat="1" applyFont="1" applyFill="1" applyAlignment="1">
      <alignment horizontal="center"/>
    </xf>
    <xf numFmtId="0" fontId="3" fillId="0" borderId="0" xfId="0" applyFont="1" applyFill="1" applyBorder="1" applyAlignment="1">
      <alignment horizontal="right" vertical="center"/>
    </xf>
    <xf numFmtId="0" fontId="0" fillId="0" borderId="0" xfId="0" applyAlignment="1"/>
    <xf numFmtId="0" fontId="3" fillId="0" borderId="0" xfId="0" applyFont="1" applyFill="1" applyBorder="1" applyAlignment="1">
      <alignment horizontal="right" vertical="center"/>
    </xf>
    <xf numFmtId="0" fontId="3" fillId="0" borderId="0" xfId="0" applyFont="1" applyAlignment="1">
      <alignment horizontal="center"/>
    </xf>
    <xf numFmtId="0" fontId="3" fillId="0" borderId="1" xfId="0" applyFont="1" applyBorder="1" applyAlignment="1">
      <alignment horizontal="center"/>
    </xf>
    <xf numFmtId="2" fontId="12" fillId="0" borderId="0" xfId="0" applyNumberFormat="1" applyFont="1" applyFill="1" applyBorder="1" applyAlignment="1">
      <alignment horizontal="center" wrapText="1"/>
    </xf>
    <xf numFmtId="0" fontId="0" fillId="0" borderId="1" xfId="0" applyBorder="1" applyAlignment="1">
      <alignment horizontal="left"/>
    </xf>
    <xf numFmtId="0" fontId="0" fillId="0" borderId="0" xfId="0" applyFill="1" applyAlignment="1">
      <alignment horizontal="center"/>
    </xf>
    <xf numFmtId="0" fontId="12" fillId="12" borderId="0" xfId="0" applyFont="1" applyFill="1" applyBorder="1" applyAlignment="1">
      <alignment horizontal="center"/>
    </xf>
    <xf numFmtId="170" fontId="0" fillId="0" borderId="1" xfId="0" applyNumberFormat="1" applyBorder="1" applyAlignment="1">
      <alignment horizontal="center"/>
    </xf>
    <xf numFmtId="250" fontId="0" fillId="0" borderId="1" xfId="0" applyNumberFormat="1" applyBorder="1" applyAlignment="1">
      <alignment horizontal="center"/>
    </xf>
    <xf numFmtId="244" fontId="12" fillId="6" borderId="0" xfId="0" applyNumberFormat="1" applyFont="1" applyFill="1" applyAlignment="1" applyProtection="1">
      <alignment horizontal="center" vertical="center"/>
      <protection locked="0"/>
    </xf>
    <xf numFmtId="2" fontId="12"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66" fontId="12" fillId="0" borderId="1" xfId="0" applyNumberFormat="1" applyFont="1" applyFill="1" applyBorder="1" applyAlignment="1">
      <alignment horizontal="center"/>
    </xf>
    <xf numFmtId="167" fontId="12" fillId="0" borderId="1" xfId="0" applyNumberFormat="1" applyFont="1" applyFill="1" applyBorder="1" applyAlignment="1">
      <alignment horizontal="center"/>
    </xf>
    <xf numFmtId="9" fontId="6" fillId="0" borderId="1" xfId="2" applyFont="1" applyFill="1" applyBorder="1" applyAlignment="1">
      <alignment horizontal="center"/>
    </xf>
    <xf numFmtId="0" fontId="12" fillId="0" borderId="0" xfId="0" applyFont="1" applyFill="1" applyBorder="1" applyAlignment="1">
      <alignment horizontal="left" vertical="center"/>
    </xf>
    <xf numFmtId="0" fontId="3" fillId="0" borderId="0" xfId="0" applyFont="1" applyFill="1" applyBorder="1" applyAlignment="1">
      <alignment horizontal="center" vertical="center"/>
    </xf>
    <xf numFmtId="1" fontId="3" fillId="0" borderId="0" xfId="0" applyNumberFormat="1" applyFont="1" applyBorder="1" applyAlignment="1">
      <alignment horizontal="center"/>
    </xf>
    <xf numFmtId="1" fontId="3" fillId="0" borderId="0" xfId="0" applyNumberFormat="1" applyFont="1" applyBorder="1" applyAlignment="1">
      <alignment horizontal="center" vertical="center"/>
    </xf>
    <xf numFmtId="177" fontId="3" fillId="0" borderId="0" xfId="0" applyNumberFormat="1" applyFont="1" applyFill="1" applyBorder="1" applyAlignment="1">
      <alignment horizontal="center"/>
    </xf>
    <xf numFmtId="179" fontId="12" fillId="0" borderId="0" xfId="0" applyNumberFormat="1" applyFont="1" applyFill="1" applyBorder="1" applyAlignment="1">
      <alignment horizontal="center"/>
    </xf>
    <xf numFmtId="170" fontId="3" fillId="0" borderId="6" xfId="0" applyNumberFormat="1" applyFont="1" applyFill="1" applyBorder="1" applyAlignment="1">
      <alignment horizontal="center"/>
    </xf>
    <xf numFmtId="179" fontId="12" fillId="0" borderId="6" xfId="0" applyNumberFormat="1" applyFont="1" applyFill="1" applyBorder="1" applyAlignment="1">
      <alignment horizontal="center"/>
    </xf>
    <xf numFmtId="167" fontId="3" fillId="0" borderId="0" xfId="0" applyNumberFormat="1" applyFont="1" applyBorder="1" applyAlignment="1">
      <alignment horizontal="center"/>
    </xf>
    <xf numFmtId="167" fontId="3" fillId="0" borderId="6" xfId="0" applyNumberFormat="1" applyFont="1" applyBorder="1" applyAlignment="1">
      <alignment horizontal="center"/>
    </xf>
    <xf numFmtId="224" fontId="0" fillId="0" borderId="6" xfId="0" applyNumberFormat="1" applyBorder="1" applyAlignment="1">
      <alignment horizontal="center"/>
    </xf>
    <xf numFmtId="249" fontId="0" fillId="0" borderId="6" xfId="0" applyNumberFormat="1" applyBorder="1" applyAlignment="1">
      <alignment horizontal="center"/>
    </xf>
    <xf numFmtId="0" fontId="0" fillId="0" borderId="6" xfId="0" applyFill="1" applyBorder="1"/>
    <xf numFmtId="0" fontId="16" fillId="8" borderId="0" xfId="0" applyFont="1" applyFill="1" applyBorder="1" applyAlignment="1">
      <alignment horizontal="center"/>
    </xf>
    <xf numFmtId="253" fontId="12" fillId="0" borderId="0" xfId="0" applyNumberFormat="1" applyFont="1" applyFill="1" applyBorder="1" applyAlignment="1">
      <alignment horizontal="center"/>
    </xf>
    <xf numFmtId="2" fontId="12" fillId="13" borderId="0" xfId="0" applyNumberFormat="1" applyFont="1" applyFill="1" applyBorder="1" applyAlignment="1">
      <alignment horizontal="center"/>
    </xf>
    <xf numFmtId="201" fontId="0" fillId="12" borderId="0" xfId="0" applyNumberFormat="1" applyFill="1" applyBorder="1" applyAlignment="1">
      <alignment horizontal="center"/>
    </xf>
    <xf numFmtId="201" fontId="0" fillId="0" borderId="0" xfId="0" applyNumberFormat="1" applyFill="1" applyBorder="1" applyAlignment="1">
      <alignment horizontal="center"/>
    </xf>
    <xf numFmtId="201" fontId="12" fillId="0" borderId="0" xfId="0" applyNumberFormat="1" applyFont="1" applyFill="1" applyBorder="1" applyAlignment="1">
      <alignment horizontal="center"/>
    </xf>
    <xf numFmtId="200" fontId="12" fillId="0" borderId="0" xfId="0" applyNumberFormat="1" applyFont="1" applyFill="1" applyBorder="1" applyAlignment="1">
      <alignment horizontal="center"/>
    </xf>
    <xf numFmtId="195" fontId="12" fillId="0" borderId="0" xfId="0" applyNumberFormat="1" applyFont="1" applyFill="1" applyBorder="1" applyAlignment="1">
      <alignment horizontal="center"/>
    </xf>
    <xf numFmtId="0" fontId="11" fillId="0" borderId="0" xfId="0" applyFont="1" applyFill="1" applyBorder="1" applyAlignment="1">
      <alignment horizontal="center" vertical="center"/>
    </xf>
    <xf numFmtId="0" fontId="0" fillId="0" borderId="0" xfId="0" applyFill="1" applyAlignment="1">
      <alignment horizontal="center"/>
    </xf>
    <xf numFmtId="221" fontId="0" fillId="12" borderId="0" xfId="0" applyNumberFormat="1" applyFill="1" applyAlignment="1">
      <alignment horizontal="center"/>
    </xf>
    <xf numFmtId="3" fontId="11" fillId="0" borderId="0" xfId="0" applyNumberFormat="1" applyFont="1" applyFill="1" applyBorder="1" applyAlignment="1">
      <alignment horizontal="center"/>
    </xf>
    <xf numFmtId="3" fontId="12" fillId="0" borderId="6" xfId="0" applyNumberFormat="1" applyFont="1" applyFill="1" applyBorder="1" applyAlignment="1">
      <alignment horizontal="center"/>
    </xf>
    <xf numFmtId="0" fontId="76" fillId="0" borderId="0" xfId="0" applyFont="1" applyFill="1" applyBorder="1"/>
    <xf numFmtId="0" fontId="33" fillId="0" borderId="0" xfId="0" applyFont="1"/>
    <xf numFmtId="165" fontId="76" fillId="0" borderId="0" xfId="0" applyNumberFormat="1" applyFont="1" applyFill="1" applyBorder="1" applyAlignment="1">
      <alignment horizontal="center"/>
    </xf>
    <xf numFmtId="9" fontId="33" fillId="12" borderId="0" xfId="0" applyNumberFormat="1" applyFont="1" applyFill="1" applyBorder="1" applyAlignment="1">
      <alignment horizontal="center"/>
    </xf>
    <xf numFmtId="9" fontId="3" fillId="12" borderId="0" xfId="0" applyNumberFormat="1" applyFont="1" applyFill="1" applyBorder="1" applyAlignment="1">
      <alignment horizontal="center"/>
    </xf>
    <xf numFmtId="0" fontId="76" fillId="0" borderId="0" xfId="0" applyFont="1" applyFill="1" applyBorder="1" applyAlignment="1">
      <alignment horizontal="center" vertical="center"/>
    </xf>
    <xf numFmtId="0" fontId="33" fillId="0" borderId="0" xfId="0" applyFont="1" applyAlignment="1">
      <alignment horizontal="center" vertical="center"/>
    </xf>
    <xf numFmtId="165" fontId="76" fillId="0" borderId="0" xfId="0" applyNumberFormat="1" applyFont="1" applyFill="1" applyBorder="1" applyAlignment="1">
      <alignment horizontal="center" vertical="center"/>
    </xf>
    <xf numFmtId="9" fontId="33" fillId="12" borderId="0" xfId="0" applyNumberFormat="1" applyFont="1" applyFill="1" applyBorder="1" applyAlignment="1">
      <alignment horizontal="center" vertical="center"/>
    </xf>
    <xf numFmtId="0" fontId="63" fillId="0" borderId="0" xfId="0" applyFont="1" applyFill="1" applyBorder="1" applyAlignment="1">
      <alignment horizontal="left" vertical="center"/>
    </xf>
    <xf numFmtId="0" fontId="11" fillId="0" borderId="0" xfId="0" applyFont="1" applyFill="1" applyBorder="1" applyAlignment="1">
      <alignment horizontal="left" vertical="center"/>
    </xf>
    <xf numFmtId="200" fontId="0" fillId="12" borderId="0" xfId="0" applyNumberFormat="1" applyFill="1" applyBorder="1"/>
    <xf numFmtId="214" fontId="3" fillId="6" borderId="0" xfId="0" applyNumberFormat="1" applyFont="1" applyFill="1" applyBorder="1" applyAlignment="1">
      <alignment horizontal="center"/>
    </xf>
    <xf numFmtId="0" fontId="40" fillId="7" borderId="0" xfId="0" applyFont="1" applyFill="1" applyAlignment="1">
      <alignment horizontal="left"/>
    </xf>
    <xf numFmtId="0" fontId="40" fillId="7" borderId="0" xfId="0" applyFont="1" applyFill="1" applyBorder="1" applyAlignment="1">
      <alignment horizontal="center" vertical="center" wrapText="1"/>
    </xf>
    <xf numFmtId="0" fontId="12" fillId="7" borderId="0" xfId="0" applyFont="1" applyFill="1" applyBorder="1" applyAlignment="1">
      <alignment horizontal="center" vertical="center" wrapText="1"/>
    </xf>
    <xf numFmtId="0" fontId="5" fillId="8" borderId="0" xfId="0" applyFont="1" applyFill="1" applyBorder="1" applyAlignment="1">
      <alignment horizontal="left"/>
    </xf>
    <xf numFmtId="0" fontId="8" fillId="0" borderId="0" xfId="0" applyFont="1" applyFill="1" applyBorder="1" applyAlignment="1">
      <alignment horizontal="left" vertical="center" wrapText="1" indent="1"/>
    </xf>
    <xf numFmtId="0" fontId="12" fillId="0" borderId="0" xfId="0" applyFont="1" applyFill="1" applyAlignment="1">
      <alignment horizontal="left" vertical="center" indent="1"/>
    </xf>
    <xf numFmtId="0" fontId="5" fillId="0" borderId="0" xfId="0" applyFont="1" applyFill="1" applyBorder="1" applyAlignment="1">
      <alignment horizontal="left" vertical="center" wrapText="1" indent="1"/>
    </xf>
    <xf numFmtId="49" fontId="22" fillId="8" borderId="0" xfId="0" applyNumberFormat="1" applyFont="1" applyFill="1" applyBorder="1" applyAlignment="1">
      <alignment horizontal="center" vertical="center" wrapText="1"/>
    </xf>
    <xf numFmtId="0" fontId="17" fillId="8" borderId="0" xfId="0" applyFont="1" applyFill="1" applyBorder="1" applyAlignment="1">
      <alignment horizontal="center" vertical="center" wrapText="1"/>
    </xf>
    <xf numFmtId="49" fontId="3" fillId="8" borderId="0" xfId="0" applyNumberFormat="1" applyFont="1" applyFill="1" applyAlignment="1">
      <alignment horizontal="left" vertical="center" wrapText="1"/>
    </xf>
    <xf numFmtId="0" fontId="12" fillId="0" borderId="0" xfId="0" applyFont="1" applyFill="1" applyBorder="1" applyAlignment="1">
      <alignment horizontal="center" vertical="center"/>
    </xf>
    <xf numFmtId="0" fontId="4" fillId="7" borderId="0" xfId="0" applyFont="1" applyFill="1" applyBorder="1" applyAlignment="1">
      <alignment horizontal="left"/>
    </xf>
    <xf numFmtId="0" fontId="11" fillId="0" borderId="0" xfId="0" applyFont="1" applyFill="1" applyBorder="1" applyAlignment="1">
      <alignment horizontal="left"/>
    </xf>
    <xf numFmtId="178" fontId="12" fillId="0" borderId="0" xfId="0" applyNumberFormat="1" applyFont="1" applyFill="1" applyBorder="1" applyAlignment="1">
      <alignment horizontal="left"/>
    </xf>
    <xf numFmtId="0" fontId="11" fillId="0" borderId="0" xfId="0" applyFont="1" applyFill="1" applyBorder="1" applyAlignment="1">
      <alignment horizontal="center" vertical="center"/>
    </xf>
    <xf numFmtId="0" fontId="11" fillId="0" borderId="0" xfId="0" applyFont="1" applyBorder="1" applyAlignment="1">
      <alignment horizontal="center" vertical="center"/>
    </xf>
    <xf numFmtId="0" fontId="12" fillId="0" borderId="0" xfId="0" applyFont="1" applyFill="1" applyBorder="1" applyAlignment="1">
      <alignment horizontal="left" vertical="center"/>
    </xf>
    <xf numFmtId="0" fontId="8" fillId="8" borderId="0" xfId="0" applyFont="1" applyFill="1" applyBorder="1" applyAlignment="1">
      <alignment horizontal="left" vertical="center" wrapText="1"/>
    </xf>
    <xf numFmtId="0" fontId="29" fillId="4" borderId="0" xfId="0" applyFont="1" applyFill="1" applyAlignment="1">
      <alignment horizontal="left" vertical="center" wrapText="1"/>
    </xf>
    <xf numFmtId="0" fontId="5" fillId="6" borderId="0" xfId="0" applyFont="1" applyFill="1" applyAlignment="1">
      <alignment horizontal="left"/>
    </xf>
    <xf numFmtId="0" fontId="0" fillId="6" borderId="0" xfId="0" applyFill="1" applyAlignment="1"/>
    <xf numFmtId="178" fontId="11" fillId="6" borderId="0" xfId="0" applyNumberFormat="1" applyFont="1" applyFill="1" applyAlignment="1">
      <alignment horizontal="left"/>
    </xf>
    <xf numFmtId="178" fontId="0" fillId="2" borderId="0" xfId="0" applyNumberFormat="1" applyFill="1" applyBorder="1" applyAlignment="1">
      <alignment horizontal="center" wrapText="1"/>
    </xf>
    <xf numFmtId="0" fontId="0" fillId="2" borderId="0" xfId="0" applyFill="1" applyBorder="1" applyAlignment="1">
      <alignment horizontal="center" wrapText="1"/>
    </xf>
    <xf numFmtId="2" fontId="12" fillId="0" borderId="0" xfId="0" applyNumberFormat="1" applyFont="1" applyFill="1" applyBorder="1" applyAlignment="1">
      <alignment horizontal="center" wrapText="1"/>
    </xf>
    <xf numFmtId="0" fontId="3" fillId="0" borderId="0" xfId="0" applyFont="1" applyFill="1" applyBorder="1" applyAlignment="1">
      <alignment horizontal="center" wrapText="1"/>
    </xf>
    <xf numFmtId="0" fontId="0" fillId="0" borderId="0" xfId="0" applyAlignment="1"/>
    <xf numFmtId="0" fontId="52" fillId="7" borderId="0" xfId="0" applyFont="1" applyFill="1" applyBorder="1" applyAlignment="1">
      <alignment horizontal="left"/>
    </xf>
    <xf numFmtId="0" fontId="50" fillId="7" borderId="0" xfId="0" applyFont="1" applyFill="1" applyBorder="1" applyAlignment="1">
      <alignment horizontal="left"/>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190" fontId="28" fillId="0" borderId="0" xfId="0" applyNumberFormat="1" applyFont="1" applyFill="1" applyBorder="1" applyAlignment="1">
      <alignment horizontal="left" wrapText="1"/>
    </xf>
    <xf numFmtId="0" fontId="0" fillId="0" borderId="0" xfId="0" applyFill="1" applyBorder="1" applyAlignment="1">
      <alignment wrapText="1"/>
    </xf>
    <xf numFmtId="0" fontId="5" fillId="2" borderId="0"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Border="1" applyAlignment="1">
      <alignment horizontal="center" vertical="center"/>
    </xf>
    <xf numFmtId="0" fontId="6" fillId="0" borderId="0" xfId="0" applyFont="1" applyFill="1" applyBorder="1" applyAlignment="1">
      <alignment horizontal="center"/>
    </xf>
    <xf numFmtId="0" fontId="0" fillId="0" borderId="0" xfId="0" applyFill="1" applyAlignment="1">
      <alignment horizontal="center"/>
    </xf>
    <xf numFmtId="0" fontId="8" fillId="0" borderId="0" xfId="0" applyFont="1" applyFill="1" applyBorder="1" applyAlignment="1">
      <alignment wrapText="1"/>
    </xf>
    <xf numFmtId="174" fontId="29" fillId="4" borderId="0" xfId="0" applyNumberFormat="1" applyFont="1" applyFill="1" applyAlignment="1">
      <alignment horizontal="left"/>
    </xf>
    <xf numFmtId="174" fontId="29" fillId="4" borderId="2" xfId="0" applyNumberFormat="1" applyFont="1" applyFill="1" applyBorder="1" applyAlignment="1">
      <alignment horizontal="left"/>
    </xf>
    <xf numFmtId="0" fontId="0" fillId="2" borderId="0" xfId="0" applyFill="1" applyBorder="1" applyAlignment="1">
      <alignment horizontal="center"/>
    </xf>
    <xf numFmtId="0" fontId="12" fillId="0" borderId="0" xfId="0" applyFont="1" applyAlignment="1">
      <alignment horizontal="center"/>
    </xf>
    <xf numFmtId="0" fontId="8" fillId="7" borderId="0" xfId="0" applyFont="1" applyFill="1" applyAlignment="1">
      <alignment horizontal="left"/>
    </xf>
    <xf numFmtId="0" fontId="29" fillId="3" borderId="0" xfId="0" applyFont="1" applyFill="1" applyAlignment="1">
      <alignment horizontal="left" vertical="center" wrapText="1"/>
    </xf>
    <xf numFmtId="0" fontId="5" fillId="6" borderId="0" xfId="0" applyFont="1" applyFill="1" applyAlignment="1">
      <alignment horizontal="left" wrapText="1"/>
    </xf>
    <xf numFmtId="0" fontId="8" fillId="7" borderId="0" xfId="0" applyFont="1" applyFill="1" applyBorder="1" applyAlignment="1">
      <alignment horizontal="left"/>
    </xf>
    <xf numFmtId="0" fontId="11" fillId="0" borderId="0" xfId="0" applyFont="1" applyFill="1" applyBorder="1" applyAlignment="1">
      <alignment horizontal="right" vertical="center"/>
    </xf>
    <xf numFmtId="0" fontId="1" fillId="0" borderId="0" xfId="0" applyFont="1" applyBorder="1" applyAlignment="1">
      <alignment horizontal="right" vertical="center"/>
    </xf>
    <xf numFmtId="0" fontId="3" fillId="0" borderId="0" xfId="0" applyFont="1" applyFill="1" applyBorder="1" applyAlignment="1">
      <alignment horizontal="right" vertical="center"/>
    </xf>
    <xf numFmtId="0" fontId="12" fillId="0" borderId="14" xfId="0" applyFont="1" applyFill="1" applyBorder="1" applyAlignment="1">
      <alignment horizontal="left" vertical="center"/>
    </xf>
    <xf numFmtId="174" fontId="29" fillId="3" borderId="0" xfId="0" applyNumberFormat="1" applyFont="1" applyFill="1" applyAlignment="1">
      <alignment horizontal="left"/>
    </xf>
    <xf numFmtId="174" fontId="29" fillId="3" borderId="2" xfId="0" applyNumberFormat="1" applyFont="1" applyFill="1" applyBorder="1" applyAlignment="1">
      <alignment horizontal="left"/>
    </xf>
  </cellXfs>
  <cellStyles count="3">
    <cellStyle name="Komma" xfId="1" builtinId="3"/>
    <cellStyle name="Prozent" xfId="2" builtinId="5"/>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CC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microsoft.com/office/2006/relationships/attachedToolbars" Target="attachedToolbars.bin"/><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424242"/>
                </a:solidFill>
                <a:latin typeface="Arial"/>
                <a:ea typeface="Arial"/>
                <a:cs typeface="Arial"/>
              </a:defRPr>
            </a:pPr>
            <a:r>
              <a:rPr lang="de-CH" sz="1675" b="1" i="0" u="none" strike="noStrike" baseline="0">
                <a:solidFill>
                  <a:srgbClr val="424242"/>
                </a:solidFill>
                <a:latin typeface="Arial"/>
                <a:cs typeface="Arial"/>
              </a:rPr>
              <a:t> Cashflow-Kurve</a:t>
            </a:r>
          </a:p>
          <a:p>
            <a:pPr>
              <a:defRPr sz="1200" b="0" i="0" u="none" strike="noStrike" baseline="0">
                <a:solidFill>
                  <a:srgbClr val="424242"/>
                </a:solidFill>
                <a:latin typeface="Arial"/>
                <a:ea typeface="Arial"/>
                <a:cs typeface="Arial"/>
              </a:defRPr>
            </a:pPr>
            <a:r>
              <a:rPr lang="de-CH" sz="1175" b="1" i="0" u="none" strike="noStrike" baseline="0">
                <a:solidFill>
                  <a:srgbClr val="424242"/>
                </a:solidFill>
                <a:latin typeface="Arial"/>
                <a:cs typeface="Arial"/>
              </a:rPr>
              <a:t>Geldflusskurve</a:t>
            </a:r>
          </a:p>
        </c:rich>
      </c:tx>
      <c:layout>
        <c:manualLayout>
          <c:xMode val="edge"/>
          <c:yMode val="edge"/>
          <c:x val="0.40640809321911686"/>
          <c:y val="2.9277862006379638E-2"/>
        </c:manualLayout>
      </c:layout>
      <c:overlay val="0"/>
      <c:spPr>
        <a:noFill/>
        <a:ln w="25400">
          <a:noFill/>
        </a:ln>
      </c:spPr>
    </c:title>
    <c:autoTitleDeleted val="0"/>
    <c:plotArea>
      <c:layout>
        <c:manualLayout>
          <c:layoutTarget val="inner"/>
          <c:xMode val="edge"/>
          <c:yMode val="edge"/>
          <c:x val="0.25537803092468342"/>
          <c:y val="0.29277888332304031"/>
          <c:w val="0.68924608346339289"/>
          <c:h val="0.4508794803174821"/>
        </c:manualLayout>
      </c:layout>
      <c:scatterChart>
        <c:scatterStyle val="lineMarker"/>
        <c:varyColors val="0"/>
        <c:ser>
          <c:idx val="0"/>
          <c:order val="0"/>
          <c:tx>
            <c:strRef>
              <c:f>'Standard Cashflow'!$C$21</c:f>
              <c:strCache>
                <c:ptCount val="1"/>
                <c:pt idx="0">
                  <c:v>Standard</c:v>
                </c:pt>
              </c:strCache>
            </c:strRef>
          </c:tx>
          <c:spPr>
            <a:ln w="38100">
              <a:solidFill>
                <a:srgbClr val="000080"/>
              </a:solidFill>
              <a:prstDash val="solid"/>
            </a:ln>
          </c:spPr>
          <c:marker>
            <c:symbol val="diamond"/>
            <c:size val="9"/>
            <c:spPr>
              <a:solidFill>
                <a:srgbClr val="000080"/>
              </a:solidFill>
              <a:ln>
                <a:solidFill>
                  <a:srgbClr val="000080"/>
                </a:solidFill>
                <a:prstDash val="solid"/>
              </a:ln>
            </c:spPr>
          </c:marker>
          <c:xVal>
            <c:numRef>
              <c:f>'Standard Cashflow'!$B$22:$B$37</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xVal>
          <c:yVal>
            <c:numRef>
              <c:f>'Standard Cashflow'!$C$22:$C$37</c:f>
              <c:numCache>
                <c:formatCode>\ #,##0\ "Fr."</c:formatCode>
                <c:ptCount val="16"/>
                <c:pt idx="0">
                  <c:v>-124765.91649999999</c:v>
                </c:pt>
                <c:pt idx="1">
                  <c:v>-146096.27374849998</c:v>
                </c:pt>
                <c:pt idx="2">
                  <c:v>-163288.38994344088</c:v>
                </c:pt>
                <c:pt idx="3">
                  <c:v>-176166.41380068139</c:v>
                </c:pt>
                <c:pt idx="4">
                  <c:v>-187242.95418090964</c:v>
                </c:pt>
                <c:pt idx="5">
                  <c:v>-172072.8978117865</c:v>
                </c:pt>
                <c:pt idx="6">
                  <c:v>-156766.31093534129</c:v>
                </c:pt>
                <c:pt idx="7">
                  <c:v>-144131.96477700805</c:v>
                </c:pt>
                <c:pt idx="8">
                  <c:v>-128573.90950324979</c:v>
                </c:pt>
                <c:pt idx="9">
                  <c:v>-112875.83173202771</c:v>
                </c:pt>
                <c:pt idx="10">
                  <c:v>-99846.471260864651</c:v>
                </c:pt>
                <c:pt idx="11">
                  <c:v>-83889.846545461114</c:v>
                </c:pt>
                <c:pt idx="12">
                  <c:v>-67789.612207618949</c:v>
                </c:pt>
                <c:pt idx="13">
                  <c:v>-58277.190029531783</c:v>
                </c:pt>
                <c:pt idx="14">
                  <c:v>-45869.156051841834</c:v>
                </c:pt>
                <c:pt idx="15">
                  <c:v>-39349.449768352679</c:v>
                </c:pt>
              </c:numCache>
            </c:numRef>
          </c:yVal>
          <c:smooth val="0"/>
          <c:extLst>
            <c:ext xmlns:c16="http://schemas.microsoft.com/office/drawing/2014/chart" uri="{C3380CC4-5D6E-409C-BE32-E72D297353CC}">
              <c16:uniqueId val="{00000000-2972-420C-916F-90959C70FB83}"/>
            </c:ext>
          </c:extLst>
        </c:ser>
        <c:ser>
          <c:idx val="1"/>
          <c:order val="1"/>
          <c:tx>
            <c:strRef>
              <c:f>'Variante Cashflow'!$C$21</c:f>
              <c:strCache>
                <c:ptCount val="1"/>
                <c:pt idx="0">
                  <c:v>Variante</c:v>
                </c:pt>
              </c:strCache>
            </c:strRef>
          </c:tx>
          <c:spPr>
            <a:ln w="38100">
              <a:solidFill>
                <a:srgbClr val="008000"/>
              </a:solidFill>
              <a:prstDash val="solid"/>
            </a:ln>
          </c:spPr>
          <c:marker>
            <c:symbol val="circle"/>
            <c:size val="9"/>
            <c:spPr>
              <a:solidFill>
                <a:srgbClr val="008000"/>
              </a:solidFill>
              <a:ln>
                <a:solidFill>
                  <a:srgbClr val="008000"/>
                </a:solidFill>
                <a:prstDash val="solid"/>
              </a:ln>
            </c:spPr>
          </c:marker>
          <c:xVal>
            <c:numRef>
              <c:f>'Variante Cashflow'!$B$22:$B$37</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xVal>
          <c:yVal>
            <c:numRef>
              <c:f>'Variante Cashflow'!$C$22:$C$37</c:f>
              <c:numCache>
                <c:formatCode>\ #,##0\ "Fr."</c:formatCode>
                <c:ptCount val="16"/>
                <c:pt idx="0">
                  <c:v>-124765.91649999999</c:v>
                </c:pt>
                <c:pt idx="1">
                  <c:v>-146096.27374849998</c:v>
                </c:pt>
                <c:pt idx="2">
                  <c:v>-163288.51397760111</c:v>
                </c:pt>
                <c:pt idx="3">
                  <c:v>-176166.7250023894</c:v>
                </c:pt>
                <c:pt idx="4">
                  <c:v>-187243.73707322564</c:v>
                </c:pt>
                <c:pt idx="5">
                  <c:v>-172073.95330523705</c:v>
                </c:pt>
                <c:pt idx="6">
                  <c:v>-156767.64148333657</c:v>
                </c:pt>
                <c:pt idx="7">
                  <c:v>-144133.77618972788</c:v>
                </c:pt>
                <c:pt idx="8">
                  <c:v>-128576.00277378781</c:v>
                </c:pt>
                <c:pt idx="9">
                  <c:v>-112878.20939710429</c:v>
                </c:pt>
                <c:pt idx="10">
                  <c:v>-99849.339214719526</c:v>
                </c:pt>
                <c:pt idx="11">
                  <c:v>-83893.005866004372</c:v>
                </c:pt>
                <c:pt idx="12">
                  <c:v>-67793.065517150797</c:v>
                </c:pt>
                <c:pt idx="13">
                  <c:v>-58281.143308642007</c:v>
                </c:pt>
                <c:pt idx="14">
                  <c:v>-45873.410465567758</c:v>
                </c:pt>
                <c:pt idx="15">
                  <c:v>-39354.008026905831</c:v>
                </c:pt>
              </c:numCache>
            </c:numRef>
          </c:yVal>
          <c:smooth val="0"/>
          <c:extLst>
            <c:ext xmlns:c16="http://schemas.microsoft.com/office/drawing/2014/chart" uri="{C3380CC4-5D6E-409C-BE32-E72D297353CC}">
              <c16:uniqueId val="{00000001-2972-420C-916F-90959C70FB83}"/>
            </c:ext>
          </c:extLst>
        </c:ser>
        <c:dLbls>
          <c:showLegendKey val="0"/>
          <c:showVal val="0"/>
          <c:showCatName val="0"/>
          <c:showSerName val="0"/>
          <c:showPercent val="0"/>
          <c:showBubbleSize val="0"/>
        </c:dLbls>
        <c:axId val="418094496"/>
        <c:axId val="1"/>
      </c:scatterChart>
      <c:valAx>
        <c:axId val="418094496"/>
        <c:scaling>
          <c:orientation val="minMax"/>
        </c:scaling>
        <c:delete val="0"/>
        <c:axPos val="b"/>
        <c:title>
          <c:tx>
            <c:rich>
              <a:bodyPr/>
              <a:lstStyle/>
              <a:p>
                <a:pPr>
                  <a:defRPr sz="1000" b="0" i="0" u="none" strike="noStrike" baseline="0">
                    <a:solidFill>
                      <a:srgbClr val="000000"/>
                    </a:solidFill>
                    <a:latin typeface="Arial"/>
                    <a:ea typeface="Arial"/>
                    <a:cs typeface="Arial"/>
                  </a:defRPr>
                </a:pPr>
                <a:r>
                  <a:rPr lang="de-CH" sz="1200" b="1" i="0" u="none" strike="noStrike" baseline="0">
                    <a:solidFill>
                      <a:srgbClr val="424242"/>
                    </a:solidFill>
                    <a:latin typeface="Arial"/>
                    <a:cs typeface="Arial"/>
                  </a:rPr>
                  <a:t>Standjahre </a:t>
                </a:r>
                <a:r>
                  <a:rPr lang="de-CH" sz="1200" b="0" i="0" u="none" strike="noStrike" baseline="0">
                    <a:solidFill>
                      <a:srgbClr val="424242"/>
                    </a:solidFill>
                    <a:latin typeface="Arial"/>
                    <a:cs typeface="Arial"/>
                  </a:rPr>
                  <a:t>(0 = Erstellung)</a:t>
                </a:r>
              </a:p>
            </c:rich>
          </c:tx>
          <c:layout>
            <c:manualLayout>
              <c:xMode val="edge"/>
              <c:yMode val="edge"/>
              <c:x val="0.45858210031438379"/>
              <c:y val="0.7651287067377448"/>
            </c:manualLayout>
          </c:layout>
          <c:overlay val="0"/>
          <c:spPr>
            <a:noFill/>
            <a:ln w="25400">
              <a:noFill/>
            </a:ln>
          </c:spPr>
        </c:title>
        <c:numFmt formatCode="General" sourceLinked="1"/>
        <c:majorTickMark val="out"/>
        <c:minorTickMark val="out"/>
        <c:tickLblPos val="nextTo"/>
        <c:spPr>
          <a:ln w="3175">
            <a:solidFill>
              <a:srgbClr val="000000"/>
            </a:solidFill>
            <a:prstDash val="solid"/>
          </a:ln>
        </c:spPr>
        <c:txPr>
          <a:bodyPr rot="0" vert="horz"/>
          <a:lstStyle/>
          <a:p>
            <a:pPr>
              <a:defRPr sz="1200" b="0" i="0" u="none" strike="noStrike" baseline="0">
                <a:solidFill>
                  <a:srgbClr val="424242"/>
                </a:solidFill>
                <a:latin typeface="Arial"/>
                <a:ea typeface="Arial"/>
                <a:cs typeface="Arial"/>
              </a:defRPr>
            </a:pPr>
            <a:endParaRPr lang="de-DE"/>
          </a:p>
        </c:txPr>
        <c:crossAx val="1"/>
        <c:crosses val="autoZero"/>
        <c:crossBetween val="midCat"/>
        <c:majorUnit val="2"/>
        <c:minorUnit val="1"/>
      </c:val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424242"/>
                    </a:solidFill>
                    <a:latin typeface="Arial"/>
                    <a:ea typeface="Arial"/>
                    <a:cs typeface="Arial"/>
                  </a:defRPr>
                </a:pPr>
                <a:r>
                  <a:rPr lang="de-CH"/>
                  <a:t>Fr. / ha</a:t>
                </a:r>
              </a:p>
            </c:rich>
          </c:tx>
          <c:layout>
            <c:manualLayout>
              <c:xMode val="edge"/>
              <c:yMode val="edge"/>
              <c:x val="7.1395979348735261E-2"/>
              <c:y val="0.4625908717931998"/>
            </c:manualLayout>
          </c:layout>
          <c:overlay val="0"/>
          <c:spPr>
            <a:noFill/>
            <a:ln w="25400">
              <a:noFill/>
            </a:ln>
          </c:spPr>
        </c:title>
        <c:numFmt formatCode="\ #,##0\ &quot;Fr.&quot;"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424242"/>
                </a:solidFill>
                <a:latin typeface="Arial"/>
                <a:ea typeface="Arial"/>
                <a:cs typeface="Arial"/>
              </a:defRPr>
            </a:pPr>
            <a:endParaRPr lang="de-DE"/>
          </a:p>
        </c:txPr>
        <c:crossAx val="418094496"/>
        <c:crosses val="autoZero"/>
        <c:crossBetween val="midCat"/>
      </c:valAx>
      <c:spPr>
        <a:solidFill>
          <a:srgbClr val="FFFFFF"/>
        </a:solidFill>
        <a:ln w="12700">
          <a:solidFill>
            <a:srgbClr val="FFFFFF"/>
          </a:solidFill>
          <a:prstDash val="solid"/>
        </a:ln>
      </c:spPr>
    </c:plotArea>
    <c:legend>
      <c:legendPos val="r"/>
      <c:layout>
        <c:manualLayout>
          <c:xMode val="edge"/>
          <c:yMode val="edge"/>
          <c:x val="0.23553748089181162"/>
          <c:y val="0.85862875836172647"/>
          <c:w val="0.29338885523924896"/>
          <c:h val="5.1975024861022789E-2"/>
        </c:manualLayout>
      </c:layout>
      <c:overlay val="0"/>
      <c:spPr>
        <a:solidFill>
          <a:srgbClr val="FFFFFF"/>
        </a:solidFill>
        <a:ln w="3175">
          <a:solidFill>
            <a:srgbClr val="000000"/>
          </a:solidFill>
          <a:prstDash val="solid"/>
        </a:ln>
      </c:spPr>
      <c:txPr>
        <a:bodyPr/>
        <a:lstStyle/>
        <a:p>
          <a:pPr>
            <a:defRPr sz="850"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C0C0C0"/>
    </a:solidFill>
    <a:ln w="3175">
      <a:solidFill>
        <a:srgbClr val="000000"/>
      </a:solidFill>
      <a:prstDash val="solid"/>
    </a:ln>
  </c:spPr>
  <c:txPr>
    <a:bodyPr/>
    <a:lstStyle/>
    <a:p>
      <a:pPr>
        <a:defRPr sz="1200"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4" verticalDpi="464"/>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75" b="1" i="0" u="sng" strike="noStrike" baseline="0">
                <a:solidFill>
                  <a:srgbClr val="424242"/>
                </a:solidFill>
                <a:latin typeface="Arial"/>
                <a:ea typeface="Arial"/>
                <a:cs typeface="Arial"/>
              </a:defRPr>
            </a:pPr>
            <a:r>
              <a:rPr lang="de-CH"/>
              <a:t>Anteil der Erntekosten</a:t>
            </a:r>
          </a:p>
        </c:rich>
      </c:tx>
      <c:layout>
        <c:manualLayout>
          <c:xMode val="edge"/>
          <c:yMode val="edge"/>
          <c:x val="0.35566187923644604"/>
          <c:y val="3.1042128603104215E-2"/>
        </c:manualLayout>
      </c:layout>
      <c:overlay val="0"/>
      <c:spPr>
        <a:noFill/>
        <a:ln w="25400">
          <a:noFill/>
        </a:ln>
      </c:spPr>
    </c:title>
    <c:autoTitleDeleted val="0"/>
    <c:plotArea>
      <c:layout>
        <c:manualLayout>
          <c:layoutTarget val="inner"/>
          <c:xMode val="edge"/>
          <c:yMode val="edge"/>
          <c:x val="0.26156299840510366"/>
          <c:y val="0.17073170731707318"/>
          <c:w val="0.68102073365231264"/>
          <c:h val="0.7117516629711752"/>
        </c:manualLayout>
      </c:layout>
      <c:barChart>
        <c:barDir val="bar"/>
        <c:grouping val="clustered"/>
        <c:varyColors val="0"/>
        <c:ser>
          <c:idx val="0"/>
          <c:order val="0"/>
          <c:tx>
            <c:strRef>
              <c:f>'Standard Ertragsphase'!$B$210</c:f>
              <c:strCache>
                <c:ptCount val="1"/>
                <c:pt idx="0">
                  <c:v>Standard</c:v>
                </c:pt>
              </c:strCache>
            </c:strRef>
          </c:tx>
          <c:spPr>
            <a:solidFill>
              <a:srgbClr val="000080"/>
            </a:solidFill>
            <a:ln w="12700">
              <a:solidFill>
                <a:srgbClr val="000000"/>
              </a:solidFill>
              <a:prstDash val="solid"/>
            </a:ln>
          </c:spPr>
          <c:invertIfNegative val="0"/>
          <c:cat>
            <c:strRef>
              <c:f>'Standard Ertragsphase'!$A$207:$A$208</c:f>
              <c:strCache>
                <c:ptCount val="2"/>
                <c:pt idx="0">
                  <c:v>Total Ernte</c:v>
                </c:pt>
                <c:pt idx="1">
                  <c:v>übrige Produktionskosten</c:v>
                </c:pt>
              </c:strCache>
            </c:strRef>
          </c:cat>
          <c:val>
            <c:numRef>
              <c:f>'Standard Ertragsphase'!$B$207:$B$208</c:f>
              <c:numCache>
                <c:formatCode>\ #,##0\ "Fr."</c:formatCode>
                <c:ptCount val="2"/>
                <c:pt idx="0">
                  <c:v>7314.0918170103096</c:v>
                </c:pt>
                <c:pt idx="1">
                  <c:v>44590.557663659056</c:v>
                </c:pt>
              </c:numCache>
            </c:numRef>
          </c:val>
          <c:extLst>
            <c:ext xmlns:c16="http://schemas.microsoft.com/office/drawing/2014/chart" uri="{C3380CC4-5D6E-409C-BE32-E72D297353CC}">
              <c16:uniqueId val="{00000000-6D51-4CAB-8543-B095A6BA4A15}"/>
            </c:ext>
          </c:extLst>
        </c:ser>
        <c:ser>
          <c:idx val="1"/>
          <c:order val="1"/>
          <c:tx>
            <c:strRef>
              <c:f>Eingabeseite!$J$235</c:f>
              <c:strCache>
                <c:ptCount val="1"/>
                <c:pt idx="0">
                  <c:v>Variante </c:v>
                </c:pt>
              </c:strCache>
            </c:strRef>
          </c:tx>
          <c:spPr>
            <a:solidFill>
              <a:srgbClr val="008000"/>
            </a:solidFill>
            <a:ln w="12700">
              <a:solidFill>
                <a:srgbClr val="000000"/>
              </a:solidFill>
              <a:prstDash val="solid"/>
            </a:ln>
          </c:spPr>
          <c:invertIfNegative val="0"/>
          <c:cat>
            <c:strRef>
              <c:f>'Standard Ertragsphase'!$A$207:$A$208</c:f>
              <c:strCache>
                <c:ptCount val="2"/>
                <c:pt idx="0">
                  <c:v>Total Ernte</c:v>
                </c:pt>
                <c:pt idx="1">
                  <c:v>übrige Produktionskosten</c:v>
                </c:pt>
              </c:strCache>
            </c:strRef>
          </c:cat>
          <c:val>
            <c:numRef>
              <c:f>Eingabeseite!$J$236:$J$237</c:f>
              <c:numCache>
                <c:formatCode>#,##0\ "Fr."</c:formatCode>
                <c:ptCount val="2"/>
                <c:pt idx="0">
                  <c:v>7314.0918170103096</c:v>
                </c:pt>
                <c:pt idx="1">
                  <c:v>44590.586397950094</c:v>
                </c:pt>
              </c:numCache>
            </c:numRef>
          </c:val>
          <c:extLst>
            <c:ext xmlns:c16="http://schemas.microsoft.com/office/drawing/2014/chart" uri="{C3380CC4-5D6E-409C-BE32-E72D297353CC}">
              <c16:uniqueId val="{00000001-6D51-4CAB-8543-B095A6BA4A15}"/>
            </c:ext>
          </c:extLst>
        </c:ser>
        <c:dLbls>
          <c:showLegendKey val="0"/>
          <c:showVal val="0"/>
          <c:showCatName val="0"/>
          <c:showSerName val="0"/>
          <c:showPercent val="0"/>
          <c:showBubbleSize val="0"/>
        </c:dLbls>
        <c:gapWidth val="150"/>
        <c:axId val="419764808"/>
        <c:axId val="1"/>
      </c:barChart>
      <c:catAx>
        <c:axId val="419764808"/>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424242"/>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 #,##0\ &quot;Fr.&quot;"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424242"/>
                </a:solidFill>
                <a:latin typeface="Arial"/>
                <a:ea typeface="Arial"/>
                <a:cs typeface="Arial"/>
              </a:defRPr>
            </a:pPr>
            <a:endParaRPr lang="de-DE"/>
          </a:p>
        </c:txPr>
        <c:crossAx val="419764808"/>
        <c:crosses val="max"/>
        <c:crossBetween val="between"/>
      </c:valAx>
      <c:spPr>
        <a:noFill/>
        <a:ln w="3175">
          <a:solidFill>
            <a:srgbClr val="000000"/>
          </a:solidFill>
          <a:prstDash val="solid"/>
        </a:ln>
      </c:spPr>
    </c:plotArea>
    <c:legend>
      <c:legendPos val="r"/>
      <c:layout>
        <c:manualLayout>
          <c:xMode val="edge"/>
          <c:yMode val="edge"/>
          <c:x val="0.750341493807135"/>
          <c:y val="0.19910563286019403"/>
          <c:w val="0.15416112549369254"/>
          <c:h val="0.21476567092084667"/>
        </c:manualLayout>
      </c:layout>
      <c:overlay val="0"/>
      <c:spPr>
        <a:solidFill>
          <a:srgbClr val="FFFFFF"/>
        </a:solidFill>
        <a:ln w="3175">
          <a:solidFill>
            <a:srgbClr val="000000"/>
          </a:solidFill>
          <a:prstDash val="solid"/>
        </a:ln>
      </c:spPr>
      <c:txPr>
        <a:bodyPr/>
        <a:lstStyle/>
        <a:p>
          <a:pPr>
            <a:defRPr sz="850"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4"/>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75" b="1" i="0" u="sng" strike="noStrike" baseline="0">
                <a:solidFill>
                  <a:srgbClr val="424242"/>
                </a:solidFill>
                <a:latin typeface="Arial"/>
                <a:ea typeface="Arial"/>
                <a:cs typeface="Arial"/>
              </a:defRPr>
            </a:pPr>
            <a:r>
              <a:rPr lang="de-CH"/>
              <a:t>Gliederung der Erntekosten</a:t>
            </a:r>
          </a:p>
        </c:rich>
      </c:tx>
      <c:layout>
        <c:manualLayout>
          <c:xMode val="edge"/>
          <c:yMode val="edge"/>
          <c:x val="0.32373036366405616"/>
          <c:y val="3.1125446668564018E-2"/>
        </c:manualLayout>
      </c:layout>
      <c:overlay val="0"/>
      <c:spPr>
        <a:noFill/>
        <a:ln w="25400">
          <a:noFill/>
        </a:ln>
      </c:spPr>
    </c:title>
    <c:autoTitleDeleted val="0"/>
    <c:plotArea>
      <c:layout>
        <c:manualLayout>
          <c:layoutTarget val="inner"/>
          <c:xMode val="edge"/>
          <c:yMode val="edge"/>
          <c:x val="0.15243614219679438"/>
          <c:y val="0.11731861862564007"/>
          <c:w val="0.79832536325743853"/>
          <c:h val="0.73503705955247955"/>
        </c:manualLayout>
      </c:layout>
      <c:barChart>
        <c:barDir val="bar"/>
        <c:grouping val="clustered"/>
        <c:varyColors val="0"/>
        <c:ser>
          <c:idx val="0"/>
          <c:order val="0"/>
          <c:tx>
            <c:strRef>
              <c:f>'Standard Ertragsphase'!$B$210</c:f>
              <c:strCache>
                <c:ptCount val="1"/>
                <c:pt idx="0">
                  <c:v>Standard</c:v>
                </c:pt>
              </c:strCache>
            </c:strRef>
          </c:tx>
          <c:spPr>
            <a:solidFill>
              <a:srgbClr val="000080"/>
            </a:solidFill>
            <a:ln w="12700">
              <a:solidFill>
                <a:srgbClr val="000000"/>
              </a:solidFill>
              <a:prstDash val="solid"/>
            </a:ln>
          </c:spPr>
          <c:invertIfNegative val="0"/>
          <c:cat>
            <c:strRef>
              <c:f>'Standard Ertragsphase'!$A$211:$A$212</c:f>
              <c:strCache>
                <c:ptCount val="2"/>
                <c:pt idx="0">
                  <c:v>Maschinen</c:v>
                </c:pt>
                <c:pt idx="1">
                  <c:v>Arbeit</c:v>
                </c:pt>
              </c:strCache>
            </c:strRef>
          </c:cat>
          <c:val>
            <c:numRef>
              <c:f>'Standard Ertragsphase'!$B$211:$B$212</c:f>
              <c:numCache>
                <c:formatCode>\ #,##0\ "Fr."</c:formatCode>
                <c:ptCount val="2"/>
                <c:pt idx="0">
                  <c:v>274.30573453608253</c:v>
                </c:pt>
                <c:pt idx="1">
                  <c:v>7039.7860824742274</c:v>
                </c:pt>
              </c:numCache>
            </c:numRef>
          </c:val>
          <c:extLst>
            <c:ext xmlns:c16="http://schemas.microsoft.com/office/drawing/2014/chart" uri="{C3380CC4-5D6E-409C-BE32-E72D297353CC}">
              <c16:uniqueId val="{00000000-CC21-46F0-9F70-644B63694162}"/>
            </c:ext>
          </c:extLst>
        </c:ser>
        <c:ser>
          <c:idx val="1"/>
          <c:order val="1"/>
          <c:tx>
            <c:strRef>
              <c:f>Eingabeseite!$J$258</c:f>
              <c:strCache>
                <c:ptCount val="1"/>
                <c:pt idx="0">
                  <c:v>Variante </c:v>
                </c:pt>
              </c:strCache>
            </c:strRef>
          </c:tx>
          <c:spPr>
            <a:solidFill>
              <a:srgbClr val="008000"/>
            </a:solidFill>
            <a:ln w="12700">
              <a:solidFill>
                <a:srgbClr val="000000"/>
              </a:solidFill>
              <a:prstDash val="solid"/>
            </a:ln>
          </c:spPr>
          <c:invertIfNegative val="0"/>
          <c:cat>
            <c:strRef>
              <c:f>'Standard Ertragsphase'!$A$211:$A$212</c:f>
              <c:strCache>
                <c:ptCount val="2"/>
                <c:pt idx="0">
                  <c:v>Maschinen</c:v>
                </c:pt>
                <c:pt idx="1">
                  <c:v>Arbeit</c:v>
                </c:pt>
              </c:strCache>
            </c:strRef>
          </c:cat>
          <c:val>
            <c:numRef>
              <c:f>Eingabeseite!$J$259:$J$260</c:f>
              <c:numCache>
                <c:formatCode>#,##0\ "Fr."</c:formatCode>
                <c:ptCount val="2"/>
                <c:pt idx="0">
                  <c:v>274.30573453608253</c:v>
                </c:pt>
                <c:pt idx="1">
                  <c:v>7039.7860824742274</c:v>
                </c:pt>
              </c:numCache>
            </c:numRef>
          </c:val>
          <c:extLst>
            <c:ext xmlns:c16="http://schemas.microsoft.com/office/drawing/2014/chart" uri="{C3380CC4-5D6E-409C-BE32-E72D297353CC}">
              <c16:uniqueId val="{00000001-CC21-46F0-9F70-644B63694162}"/>
            </c:ext>
          </c:extLst>
        </c:ser>
        <c:dLbls>
          <c:showLegendKey val="0"/>
          <c:showVal val="0"/>
          <c:showCatName val="0"/>
          <c:showSerName val="0"/>
          <c:showPercent val="0"/>
          <c:showBubbleSize val="0"/>
        </c:dLbls>
        <c:gapWidth val="150"/>
        <c:axId val="419768416"/>
        <c:axId val="1"/>
      </c:barChart>
      <c:catAx>
        <c:axId val="41976841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424242"/>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 #,##0\ &quot;Fr.&quot;"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424242"/>
                </a:solidFill>
                <a:latin typeface="Arial"/>
                <a:ea typeface="Arial"/>
                <a:cs typeface="Arial"/>
              </a:defRPr>
            </a:pPr>
            <a:endParaRPr lang="de-DE"/>
          </a:p>
        </c:txPr>
        <c:crossAx val="419768416"/>
        <c:crosses val="max"/>
        <c:crossBetween val="between"/>
      </c:valAx>
      <c:spPr>
        <a:noFill/>
        <a:ln w="3175">
          <a:solidFill>
            <a:srgbClr val="000000"/>
          </a:solidFill>
          <a:prstDash val="solid"/>
        </a:ln>
      </c:spPr>
    </c:plotArea>
    <c:legend>
      <c:legendPos val="r"/>
      <c:layout>
        <c:manualLayout>
          <c:xMode val="edge"/>
          <c:yMode val="edge"/>
          <c:x val="0.75438695669114231"/>
          <c:y val="0.12958441640578061"/>
          <c:w val="0.17408935219129995"/>
          <c:h val="0.2249390633399741"/>
        </c:manualLayout>
      </c:layout>
      <c:overlay val="0"/>
      <c:spPr>
        <a:solidFill>
          <a:srgbClr val="FFFFFF"/>
        </a:solidFill>
        <a:ln w="3175">
          <a:solidFill>
            <a:srgbClr val="000000"/>
          </a:solidFill>
          <a:prstDash val="solid"/>
        </a:ln>
      </c:spPr>
      <c:txPr>
        <a:bodyPr/>
        <a:lstStyle/>
        <a:p>
          <a:pPr>
            <a:defRPr sz="850"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75" b="1" i="0" u="sng" strike="noStrike" baseline="0">
                <a:solidFill>
                  <a:srgbClr val="424242"/>
                </a:solidFill>
                <a:latin typeface="Arial"/>
                <a:ea typeface="Arial"/>
                <a:cs typeface="Arial"/>
              </a:defRPr>
            </a:pPr>
            <a:r>
              <a:rPr lang="de-CH"/>
              <a:t>Gliederung nach Direkt- und Strukturkosten</a:t>
            </a:r>
          </a:p>
        </c:rich>
      </c:tx>
      <c:layout>
        <c:manualLayout>
          <c:xMode val="edge"/>
          <c:yMode val="edge"/>
          <c:x val="0.22075197743139252"/>
          <c:y val="3.2046330029641815E-2"/>
        </c:manualLayout>
      </c:layout>
      <c:overlay val="0"/>
      <c:spPr>
        <a:noFill/>
        <a:ln w="25400">
          <a:noFill/>
        </a:ln>
      </c:spPr>
    </c:title>
    <c:autoTitleDeleted val="0"/>
    <c:plotArea>
      <c:layout>
        <c:manualLayout>
          <c:layoutTarget val="inner"/>
          <c:xMode val="edge"/>
          <c:yMode val="edge"/>
          <c:x val="0.21144674085850557"/>
          <c:y val="0.16876574307304787"/>
          <c:w val="0.71065182829888707"/>
          <c:h val="0.7103274559193955"/>
        </c:manualLayout>
      </c:layout>
      <c:barChart>
        <c:barDir val="bar"/>
        <c:grouping val="clustered"/>
        <c:varyColors val="0"/>
        <c:ser>
          <c:idx val="0"/>
          <c:order val="0"/>
          <c:tx>
            <c:strRef>
              <c:f>'Standard Ertragsphase'!$B$167</c:f>
              <c:strCache>
                <c:ptCount val="1"/>
                <c:pt idx="0">
                  <c:v>Standard</c:v>
                </c:pt>
              </c:strCache>
            </c:strRef>
          </c:tx>
          <c:spPr>
            <a:solidFill>
              <a:srgbClr val="000080"/>
            </a:solidFill>
            <a:ln w="12700">
              <a:solidFill>
                <a:srgbClr val="000000"/>
              </a:solidFill>
              <a:prstDash val="solid"/>
            </a:ln>
          </c:spPr>
          <c:invertIfNegative val="0"/>
          <c:cat>
            <c:strRef>
              <c:f>Eingabeseite!$G$157:$G$158</c:f>
              <c:strCache>
                <c:ptCount val="2"/>
                <c:pt idx="0">
                  <c:v>Total Direktkosten</c:v>
                </c:pt>
                <c:pt idx="1">
                  <c:v>Total Strukturkosten</c:v>
                </c:pt>
              </c:strCache>
            </c:strRef>
          </c:cat>
          <c:val>
            <c:numRef>
              <c:f>'Standard Ertragsphase'!$B$168:$B$169</c:f>
              <c:numCache>
                <c:formatCode>\ #,##0\ "Fr."</c:formatCode>
                <c:ptCount val="2"/>
                <c:pt idx="0">
                  <c:v>22001.26470749416</c:v>
                </c:pt>
                <c:pt idx="1">
                  <c:v>29903.384773175203</c:v>
                </c:pt>
              </c:numCache>
            </c:numRef>
          </c:val>
          <c:extLst>
            <c:ext xmlns:c16="http://schemas.microsoft.com/office/drawing/2014/chart" uri="{C3380CC4-5D6E-409C-BE32-E72D297353CC}">
              <c16:uniqueId val="{00000000-DD9C-415B-A19F-D8D0AA6897C5}"/>
            </c:ext>
          </c:extLst>
        </c:ser>
        <c:ser>
          <c:idx val="1"/>
          <c:order val="1"/>
          <c:tx>
            <c:strRef>
              <c:f>Eingabeseite!$J$156</c:f>
              <c:strCache>
                <c:ptCount val="1"/>
                <c:pt idx="0">
                  <c:v>Variante </c:v>
                </c:pt>
              </c:strCache>
            </c:strRef>
          </c:tx>
          <c:spPr>
            <a:solidFill>
              <a:srgbClr val="339933"/>
            </a:solidFill>
            <a:ln w="12700">
              <a:solidFill>
                <a:srgbClr val="000000"/>
              </a:solidFill>
              <a:prstDash val="solid"/>
            </a:ln>
          </c:spPr>
          <c:invertIfNegative val="0"/>
          <c:cat>
            <c:strRef>
              <c:f>Eingabeseite!$G$157:$G$158</c:f>
              <c:strCache>
                <c:ptCount val="2"/>
                <c:pt idx="0">
                  <c:v>Total Direktkosten</c:v>
                </c:pt>
                <c:pt idx="1">
                  <c:v>Total Strukturkosten</c:v>
                </c:pt>
              </c:strCache>
            </c:strRef>
          </c:cat>
          <c:val>
            <c:numRef>
              <c:f>Eingabeseite!$J$157:$J$158</c:f>
              <c:numCache>
                <c:formatCode>#,##0\ "Fr."</c:formatCode>
                <c:ptCount val="2"/>
                <c:pt idx="0">
                  <c:v>22001.290640969826</c:v>
                </c:pt>
                <c:pt idx="1">
                  <c:v>29903.387573990578</c:v>
                </c:pt>
              </c:numCache>
            </c:numRef>
          </c:val>
          <c:extLst>
            <c:ext xmlns:c16="http://schemas.microsoft.com/office/drawing/2014/chart" uri="{C3380CC4-5D6E-409C-BE32-E72D297353CC}">
              <c16:uniqueId val="{00000001-DD9C-415B-A19F-D8D0AA6897C5}"/>
            </c:ext>
          </c:extLst>
        </c:ser>
        <c:dLbls>
          <c:showLegendKey val="0"/>
          <c:showVal val="0"/>
          <c:showCatName val="0"/>
          <c:showSerName val="0"/>
          <c:showPercent val="0"/>
          <c:showBubbleSize val="0"/>
        </c:dLbls>
        <c:gapWidth val="150"/>
        <c:axId val="420097800"/>
        <c:axId val="1"/>
      </c:barChart>
      <c:catAx>
        <c:axId val="420097800"/>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424242"/>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 #,##0\ &quot;Fr.&quot;"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424242"/>
                </a:solidFill>
                <a:latin typeface="Arial"/>
                <a:ea typeface="Arial"/>
                <a:cs typeface="Arial"/>
              </a:defRPr>
            </a:pPr>
            <a:endParaRPr lang="de-DE"/>
          </a:p>
        </c:txPr>
        <c:crossAx val="420097800"/>
        <c:crosses val="max"/>
        <c:crossBetween val="between"/>
      </c:valAx>
      <c:spPr>
        <a:noFill/>
        <a:ln w="3175">
          <a:solidFill>
            <a:srgbClr val="000000"/>
          </a:solidFill>
          <a:prstDash val="solid"/>
        </a:ln>
      </c:spPr>
    </c:plotArea>
    <c:legend>
      <c:legendPos val="r"/>
      <c:layout>
        <c:manualLayout>
          <c:xMode val="edge"/>
          <c:yMode val="edge"/>
          <c:x val="0.69796004070919704"/>
          <c:y val="0.19395489742886618"/>
          <c:w val="0.16326559180102485"/>
          <c:h val="0.23425732231232288"/>
        </c:manualLayout>
      </c:layout>
      <c:overlay val="0"/>
      <c:spPr>
        <a:solidFill>
          <a:srgbClr val="FFFFFF"/>
        </a:solidFill>
        <a:ln w="3175">
          <a:solidFill>
            <a:srgbClr val="000000"/>
          </a:solidFill>
          <a:prstDash val="solid"/>
        </a:ln>
      </c:spPr>
      <c:txPr>
        <a:bodyPr/>
        <a:lstStyle/>
        <a:p>
          <a:pPr>
            <a:defRPr sz="850"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FFFFFF"/>
    </a:solidFill>
    <a:ln w="25400">
      <a:solidFill>
        <a:srgbClr val="000080"/>
      </a:solidFill>
      <a:prstDash val="solid"/>
    </a:ln>
  </c:spPr>
  <c:txPr>
    <a:bodyPr/>
    <a:lstStyle/>
    <a:p>
      <a:pPr>
        <a:defRPr sz="900"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29640702021474"/>
          <c:y val="0.15391135510196036"/>
          <c:w val="0.75118016463987325"/>
          <c:h val="0.73423285794541748"/>
        </c:manualLayout>
      </c:layout>
      <c:scatterChart>
        <c:scatterStyle val="lineMarker"/>
        <c:varyColors val="0"/>
        <c:ser>
          <c:idx val="0"/>
          <c:order val="0"/>
          <c:spPr>
            <a:ln w="25400">
              <a:solidFill>
                <a:srgbClr val="008000"/>
              </a:solidFill>
              <a:prstDash val="solid"/>
            </a:ln>
          </c:spPr>
          <c:marker>
            <c:symbol val="diamond"/>
            <c:size val="7"/>
            <c:spPr>
              <a:solidFill>
                <a:srgbClr val="008000"/>
              </a:solidFill>
              <a:ln>
                <a:solidFill>
                  <a:srgbClr val="008000"/>
                </a:solidFill>
                <a:prstDash val="solid"/>
              </a:ln>
            </c:spPr>
          </c:marker>
          <c:xVal>
            <c:numRef>
              <c:f>'Variante Cashflow'!$B$22:$B$37</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xVal>
          <c:yVal>
            <c:numRef>
              <c:f>'Variante Cashflow'!$C$22:$C$37</c:f>
              <c:numCache>
                <c:formatCode>\ #,##0\ "Fr."</c:formatCode>
                <c:ptCount val="16"/>
                <c:pt idx="0">
                  <c:v>-124765.91649999999</c:v>
                </c:pt>
                <c:pt idx="1">
                  <c:v>-146096.27374849998</c:v>
                </c:pt>
                <c:pt idx="2">
                  <c:v>-163288.51397760111</c:v>
                </c:pt>
                <c:pt idx="3">
                  <c:v>-176166.7250023894</c:v>
                </c:pt>
                <c:pt idx="4">
                  <c:v>-187243.73707322564</c:v>
                </c:pt>
                <c:pt idx="5">
                  <c:v>-172073.95330523705</c:v>
                </c:pt>
                <c:pt idx="6">
                  <c:v>-156767.64148333657</c:v>
                </c:pt>
                <c:pt idx="7">
                  <c:v>-144133.77618972788</c:v>
                </c:pt>
                <c:pt idx="8">
                  <c:v>-128576.00277378781</c:v>
                </c:pt>
                <c:pt idx="9">
                  <c:v>-112878.20939710429</c:v>
                </c:pt>
                <c:pt idx="10">
                  <c:v>-99849.339214719526</c:v>
                </c:pt>
                <c:pt idx="11">
                  <c:v>-83893.005866004372</c:v>
                </c:pt>
                <c:pt idx="12">
                  <c:v>-67793.065517150797</c:v>
                </c:pt>
                <c:pt idx="13">
                  <c:v>-58281.143308642007</c:v>
                </c:pt>
                <c:pt idx="14">
                  <c:v>-45873.410465567758</c:v>
                </c:pt>
                <c:pt idx="15">
                  <c:v>-39354.008026905831</c:v>
                </c:pt>
              </c:numCache>
            </c:numRef>
          </c:yVal>
          <c:smooth val="0"/>
          <c:extLst>
            <c:ext xmlns:c16="http://schemas.microsoft.com/office/drawing/2014/chart" uri="{C3380CC4-5D6E-409C-BE32-E72D297353CC}">
              <c16:uniqueId val="{00000000-BE42-432F-B5B7-CC7D8C517B11}"/>
            </c:ext>
          </c:extLst>
        </c:ser>
        <c:dLbls>
          <c:showLegendKey val="0"/>
          <c:showVal val="0"/>
          <c:showCatName val="0"/>
          <c:showSerName val="0"/>
          <c:showPercent val="0"/>
          <c:showBubbleSize val="0"/>
        </c:dLbls>
        <c:axId val="420098128"/>
        <c:axId val="1"/>
      </c:scatterChart>
      <c:valAx>
        <c:axId val="420098128"/>
        <c:scaling>
          <c:orientation val="minMax"/>
        </c:scaling>
        <c:delete val="0"/>
        <c:axPos val="b"/>
        <c:title>
          <c:tx>
            <c:rich>
              <a:bodyPr/>
              <a:lstStyle/>
              <a:p>
                <a:pPr>
                  <a:defRPr sz="1200" b="1" i="0" u="none" strike="noStrike" baseline="0">
                    <a:solidFill>
                      <a:srgbClr val="424242"/>
                    </a:solidFill>
                    <a:latin typeface="Arial"/>
                    <a:ea typeface="Arial"/>
                    <a:cs typeface="Arial"/>
                  </a:defRPr>
                </a:pPr>
                <a:r>
                  <a:rPr lang="de-CH"/>
                  <a:t>Standjahre</a:t>
                </a:r>
              </a:p>
            </c:rich>
          </c:tx>
          <c:layout>
            <c:manualLayout>
              <c:xMode val="edge"/>
              <c:yMode val="edge"/>
              <c:x val="0.52174020700242663"/>
              <c:y val="0.9158986187332645"/>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424242"/>
                </a:solidFill>
                <a:latin typeface="Arial"/>
                <a:ea typeface="Arial"/>
                <a:cs typeface="Arial"/>
              </a:defRPr>
            </a:pPr>
            <a:endParaRPr lang="de-DE"/>
          </a:p>
        </c:txPr>
        <c:crossAx val="1"/>
        <c:crosses val="autoZero"/>
        <c:crossBetween val="midCat"/>
        <c:majorUnit val="1"/>
      </c:valAx>
      <c:valAx>
        <c:axId val="1"/>
        <c:scaling>
          <c:orientation val="minMax"/>
        </c:scaling>
        <c:delete val="0"/>
        <c:axPos val="l"/>
        <c:majorGridlines>
          <c:spPr>
            <a:ln w="12700">
              <a:solidFill>
                <a:srgbClr val="000000"/>
              </a:solidFill>
              <a:prstDash val="sysDash"/>
            </a:ln>
          </c:spPr>
        </c:majorGridlines>
        <c:title>
          <c:tx>
            <c:rich>
              <a:bodyPr/>
              <a:lstStyle/>
              <a:p>
                <a:pPr>
                  <a:defRPr sz="1200" b="1" i="0" u="none" strike="noStrike" baseline="0">
                    <a:solidFill>
                      <a:srgbClr val="424242"/>
                    </a:solidFill>
                    <a:latin typeface="Arial"/>
                    <a:ea typeface="Arial"/>
                    <a:cs typeface="Arial"/>
                  </a:defRPr>
                </a:pPr>
                <a:r>
                  <a:rPr lang="de-CH"/>
                  <a:t>Fr. / ha</a:t>
                </a:r>
              </a:p>
            </c:rich>
          </c:tx>
          <c:layout>
            <c:manualLayout>
              <c:xMode val="edge"/>
              <c:yMode val="edge"/>
              <c:x val="7.8575083774905501E-3"/>
              <c:y val="0.44911848140194599"/>
            </c:manualLayout>
          </c:layout>
          <c:overlay val="0"/>
          <c:spPr>
            <a:noFill/>
            <a:ln w="25400">
              <a:noFill/>
            </a:ln>
          </c:spPr>
        </c:title>
        <c:numFmt formatCode="\ #,##0\ &quot;Fr.&quot;"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424242"/>
                </a:solidFill>
                <a:latin typeface="Arial"/>
                <a:ea typeface="Arial"/>
                <a:cs typeface="Arial"/>
              </a:defRPr>
            </a:pPr>
            <a:endParaRPr lang="de-DE"/>
          </a:p>
        </c:txPr>
        <c:crossAx val="420098128"/>
        <c:crosses val="autoZero"/>
        <c:crossBetween val="midCat"/>
      </c:valAx>
      <c:spPr>
        <a:solidFill>
          <a:srgbClr val="FFFFFF"/>
        </a:solidFill>
        <a:ln w="12700">
          <a:solidFill>
            <a:srgbClr val="FFFFFF"/>
          </a:solidFill>
          <a:prstDash val="solid"/>
        </a:ln>
      </c:spPr>
    </c:plotArea>
    <c:plotVisOnly val="1"/>
    <c:dispBlanksAs val="gap"/>
    <c:showDLblsOverMax val="0"/>
  </c:chart>
  <c:spPr>
    <a:solidFill>
      <a:srgbClr val="C0C0C0"/>
    </a:solidFill>
    <a:ln w="3175">
      <a:solidFill>
        <a:srgbClr val="000000"/>
      </a:solidFill>
      <a:prstDash val="solid"/>
    </a:ln>
  </c:spPr>
  <c:txPr>
    <a:bodyPr/>
    <a:lstStyle/>
    <a:p>
      <a:pPr>
        <a:defRPr sz="800" b="0" i="0" u="none" strike="noStrike" baseline="0">
          <a:solidFill>
            <a:srgbClr val="424242"/>
          </a:solidFill>
          <a:latin typeface="Arial"/>
          <a:ea typeface="Arial"/>
          <a:cs typeface="Arial"/>
        </a:defRPr>
      </a:pPr>
      <a:endParaRPr lang="de-DE"/>
    </a:p>
  </c:txPr>
  <c:printSettings>
    <c:headerFooter alignWithMargins="0">
      <c:oddHeader>&amp;B</c:oddHeader>
      <c:oddFooter>Seite &amp;S</c:oddFooter>
    </c:headerFooter>
    <c:pageMargins b="0.984251969" l="0.78740157499999996" r="0.78740157499999996" t="0.984251969" header="0.4921259845" footer="0.492125984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484601130220377"/>
          <c:y val="0.1533950541489649"/>
          <c:w val="0.75274514908801327"/>
          <c:h val="0.73931386753763417"/>
        </c:manualLayout>
      </c:layout>
      <c:scatterChart>
        <c:scatterStyle val="lineMarker"/>
        <c:varyColors val="0"/>
        <c:ser>
          <c:idx val="0"/>
          <c:order val="0"/>
          <c:spPr>
            <a:ln w="25400">
              <a:solidFill>
                <a:srgbClr val="000080"/>
              </a:solidFill>
              <a:prstDash val="solid"/>
            </a:ln>
          </c:spPr>
          <c:marker>
            <c:symbol val="diamond"/>
            <c:size val="7"/>
            <c:spPr>
              <a:solidFill>
                <a:srgbClr val="000080"/>
              </a:solidFill>
              <a:ln>
                <a:solidFill>
                  <a:srgbClr val="000080"/>
                </a:solidFill>
                <a:prstDash val="solid"/>
              </a:ln>
            </c:spPr>
          </c:marker>
          <c:xVal>
            <c:numRef>
              <c:f>'Standard Cashflow'!$B$22:$B$37</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xVal>
          <c:yVal>
            <c:numRef>
              <c:f>'Standard Cashflow'!$C$22:$C$37</c:f>
              <c:numCache>
                <c:formatCode>\ #,##0\ "Fr."</c:formatCode>
                <c:ptCount val="16"/>
                <c:pt idx="0">
                  <c:v>-124765.91649999999</c:v>
                </c:pt>
                <c:pt idx="1">
                  <c:v>-146096.27374849998</c:v>
                </c:pt>
                <c:pt idx="2">
                  <c:v>-163288.38994344088</c:v>
                </c:pt>
                <c:pt idx="3">
                  <c:v>-176166.41380068139</c:v>
                </c:pt>
                <c:pt idx="4">
                  <c:v>-187242.95418090964</c:v>
                </c:pt>
                <c:pt idx="5">
                  <c:v>-172072.8978117865</c:v>
                </c:pt>
                <c:pt idx="6">
                  <c:v>-156766.31093534129</c:v>
                </c:pt>
                <c:pt idx="7">
                  <c:v>-144131.96477700805</c:v>
                </c:pt>
                <c:pt idx="8">
                  <c:v>-128573.90950324979</c:v>
                </c:pt>
                <c:pt idx="9">
                  <c:v>-112875.83173202771</c:v>
                </c:pt>
                <c:pt idx="10">
                  <c:v>-99846.471260864651</c:v>
                </c:pt>
                <c:pt idx="11">
                  <c:v>-83889.846545461114</c:v>
                </c:pt>
                <c:pt idx="12">
                  <c:v>-67789.612207618949</c:v>
                </c:pt>
                <c:pt idx="13">
                  <c:v>-58277.190029531783</c:v>
                </c:pt>
                <c:pt idx="14">
                  <c:v>-45869.156051841834</c:v>
                </c:pt>
                <c:pt idx="15">
                  <c:v>-39349.449768352679</c:v>
                </c:pt>
              </c:numCache>
            </c:numRef>
          </c:yVal>
          <c:smooth val="0"/>
          <c:extLst>
            <c:ext xmlns:c16="http://schemas.microsoft.com/office/drawing/2014/chart" uri="{C3380CC4-5D6E-409C-BE32-E72D297353CC}">
              <c16:uniqueId val="{00000000-0F1B-486D-93AA-8D24A77C4BF8}"/>
            </c:ext>
          </c:extLst>
        </c:ser>
        <c:dLbls>
          <c:showLegendKey val="0"/>
          <c:showVal val="0"/>
          <c:showCatName val="0"/>
          <c:showSerName val="0"/>
          <c:showPercent val="0"/>
          <c:showBubbleSize val="0"/>
        </c:dLbls>
        <c:axId val="420095176"/>
        <c:axId val="1"/>
      </c:scatterChart>
      <c:valAx>
        <c:axId val="420095176"/>
        <c:scaling>
          <c:orientation val="minMax"/>
        </c:scaling>
        <c:delete val="0"/>
        <c:axPos val="b"/>
        <c:title>
          <c:tx>
            <c:rich>
              <a:bodyPr/>
              <a:lstStyle/>
              <a:p>
                <a:pPr>
                  <a:defRPr sz="1200" b="1" i="0" u="none" strike="noStrike" baseline="0">
                    <a:solidFill>
                      <a:srgbClr val="424242"/>
                    </a:solidFill>
                    <a:latin typeface="Arial"/>
                    <a:ea typeface="Arial"/>
                    <a:cs typeface="Arial"/>
                  </a:defRPr>
                </a:pPr>
                <a:r>
                  <a:rPr lang="de-CH"/>
                  <a:t>Standjahre</a:t>
                </a:r>
              </a:p>
            </c:rich>
          </c:tx>
          <c:layout>
            <c:manualLayout>
              <c:xMode val="edge"/>
              <c:yMode val="edge"/>
              <c:x val="0.52221695434818005"/>
              <c:y val="0.9178556074155889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424242"/>
                </a:solidFill>
                <a:latin typeface="Arial"/>
                <a:ea typeface="Arial"/>
                <a:cs typeface="Arial"/>
              </a:defRPr>
            </a:pPr>
            <a:endParaRPr lang="de-DE"/>
          </a:p>
        </c:txPr>
        <c:crossAx val="1"/>
        <c:crosses val="autoZero"/>
        <c:crossBetween val="midCat"/>
        <c:majorUnit val="1"/>
      </c:valAx>
      <c:valAx>
        <c:axId val="1"/>
        <c:scaling>
          <c:orientation val="minMax"/>
        </c:scaling>
        <c:delete val="0"/>
        <c:axPos val="l"/>
        <c:majorGridlines>
          <c:spPr>
            <a:ln w="12700">
              <a:solidFill>
                <a:srgbClr val="000000"/>
              </a:solidFill>
              <a:prstDash val="sysDash"/>
            </a:ln>
          </c:spPr>
        </c:majorGridlines>
        <c:title>
          <c:tx>
            <c:rich>
              <a:bodyPr/>
              <a:lstStyle/>
              <a:p>
                <a:pPr>
                  <a:defRPr sz="1200" b="1" i="0" u="none" strike="noStrike" baseline="0">
                    <a:solidFill>
                      <a:srgbClr val="424242"/>
                    </a:solidFill>
                    <a:latin typeface="Arial"/>
                    <a:ea typeface="Arial"/>
                    <a:cs typeface="Arial"/>
                  </a:defRPr>
                </a:pPr>
                <a:r>
                  <a:rPr lang="de-CH"/>
                  <a:t>Fr. / ha</a:t>
                </a:r>
              </a:p>
            </c:rich>
          </c:tx>
          <c:layout>
            <c:manualLayout>
              <c:xMode val="edge"/>
              <c:yMode val="edge"/>
              <c:x val="7.8411378607931206E-3"/>
              <c:y val="0.45264118003349124"/>
            </c:manualLayout>
          </c:layout>
          <c:overlay val="0"/>
          <c:spPr>
            <a:noFill/>
            <a:ln w="25400">
              <a:noFill/>
            </a:ln>
          </c:spPr>
        </c:title>
        <c:numFmt formatCode="\ #,##0\ &quot;Fr.&quot;"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424242"/>
                </a:solidFill>
                <a:latin typeface="Arial"/>
                <a:ea typeface="Arial"/>
                <a:cs typeface="Arial"/>
              </a:defRPr>
            </a:pPr>
            <a:endParaRPr lang="de-DE"/>
          </a:p>
        </c:txPr>
        <c:crossAx val="420095176"/>
        <c:crosses val="autoZero"/>
        <c:crossBetween val="midCat"/>
      </c:valAx>
      <c:spPr>
        <a:solidFill>
          <a:srgbClr val="FFFFFF"/>
        </a:solidFill>
        <a:ln w="12700">
          <a:solidFill>
            <a:srgbClr val="FFFFFF"/>
          </a:solidFill>
          <a:prstDash val="solid"/>
        </a:ln>
      </c:spPr>
    </c:plotArea>
    <c:plotVisOnly val="1"/>
    <c:dispBlanksAs val="gap"/>
    <c:showDLblsOverMax val="0"/>
  </c:chart>
  <c:spPr>
    <a:solidFill>
      <a:srgbClr val="C0C0C0"/>
    </a:solidFill>
    <a:ln w="3175">
      <a:solidFill>
        <a:srgbClr val="000000"/>
      </a:solidFill>
      <a:prstDash val="solid"/>
    </a:ln>
  </c:spPr>
  <c:txPr>
    <a:bodyPr/>
    <a:lstStyle/>
    <a:p>
      <a:pPr>
        <a:defRPr sz="800" b="0" i="0" u="none" strike="noStrike" baseline="0">
          <a:solidFill>
            <a:srgbClr val="424242"/>
          </a:solidFill>
          <a:latin typeface="Arial"/>
          <a:ea typeface="Arial"/>
          <a:cs typeface="Arial"/>
        </a:defRPr>
      </a:pPr>
      <a:endParaRPr lang="de-DE"/>
    </a:p>
  </c:txPr>
  <c:printSettings>
    <c:headerFooter alignWithMargins="0">
      <c:oddHeader>&amp;B</c:oddHeader>
      <c:oddFooter>Seite &amp;S</c:oddFooter>
    </c:headerFooter>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75" b="1" i="0" u="sng" strike="noStrike" baseline="0">
                <a:solidFill>
                  <a:srgbClr val="424242"/>
                </a:solidFill>
                <a:latin typeface="Arial"/>
                <a:ea typeface="Arial"/>
                <a:cs typeface="Arial"/>
              </a:defRPr>
            </a:pPr>
            <a:r>
              <a:rPr lang="de-CH"/>
              <a:t>Gliederung der Sachkosten</a:t>
            </a:r>
          </a:p>
        </c:rich>
      </c:tx>
      <c:layout>
        <c:manualLayout>
          <c:xMode val="edge"/>
          <c:yMode val="edge"/>
          <c:x val="0.33197376713135135"/>
          <c:y val="3.1225120956266009E-2"/>
        </c:manualLayout>
      </c:layout>
      <c:overlay val="0"/>
      <c:spPr>
        <a:noFill/>
        <a:ln w="25400">
          <a:noFill/>
        </a:ln>
      </c:spPr>
    </c:title>
    <c:autoTitleDeleted val="0"/>
    <c:plotArea>
      <c:layout>
        <c:manualLayout>
          <c:layoutTarget val="inner"/>
          <c:xMode val="edge"/>
          <c:yMode val="edge"/>
          <c:x val="0.17177914110429449"/>
          <c:y val="0.12039312039312039"/>
          <c:w val="0.74693251533742333"/>
          <c:h val="0.75921375921375922"/>
        </c:manualLayout>
      </c:layout>
      <c:barChart>
        <c:barDir val="bar"/>
        <c:grouping val="clustered"/>
        <c:varyColors val="0"/>
        <c:ser>
          <c:idx val="0"/>
          <c:order val="0"/>
          <c:tx>
            <c:strRef>
              <c:f>'Standard Ertragsphase'!$B$159</c:f>
              <c:strCache>
                <c:ptCount val="1"/>
                <c:pt idx="0">
                  <c:v>Standard</c:v>
                </c:pt>
              </c:strCache>
            </c:strRef>
          </c:tx>
          <c:spPr>
            <a:solidFill>
              <a:srgbClr val="000080"/>
            </a:solidFill>
            <a:ln w="12700">
              <a:solidFill>
                <a:srgbClr val="000000"/>
              </a:solidFill>
              <a:prstDash val="solid"/>
            </a:ln>
          </c:spPr>
          <c:invertIfNegative val="0"/>
          <c:cat>
            <c:strRef>
              <c:f>'Standard Ertragsphase'!$A$160:$A$163</c:f>
              <c:strCache>
                <c:ptCount val="4"/>
                <c:pt idx="0">
                  <c:v>Abzüge   </c:v>
                </c:pt>
                <c:pt idx="1">
                  <c:v>Abschreibung Obstanlage </c:v>
                </c:pt>
                <c:pt idx="2">
                  <c:v>Maschinen und Geräte</c:v>
                </c:pt>
                <c:pt idx="3">
                  <c:v>übrige Kosten (inkl. PSM u. Düngung)</c:v>
                </c:pt>
              </c:strCache>
            </c:strRef>
          </c:cat>
          <c:val>
            <c:numRef>
              <c:f>'Standard Ertragsphase'!$B$160:$B$163</c:f>
              <c:numCache>
                <c:formatCode>\ #,##0\ "Fr."</c:formatCode>
                <c:ptCount val="4"/>
                <c:pt idx="0">
                  <c:v>803.63099999999997</c:v>
                </c:pt>
                <c:pt idx="1">
                  <c:v>14680.534483390116</c:v>
                </c:pt>
                <c:pt idx="2">
                  <c:v>7984.4259664948459</c:v>
                </c:pt>
                <c:pt idx="3">
                  <c:v>6667.099224104044</c:v>
                </c:pt>
              </c:numCache>
            </c:numRef>
          </c:val>
          <c:extLst>
            <c:ext xmlns:c16="http://schemas.microsoft.com/office/drawing/2014/chart" uri="{C3380CC4-5D6E-409C-BE32-E72D297353CC}">
              <c16:uniqueId val="{00000000-933E-4B8D-A3C8-050DD1AFEB03}"/>
            </c:ext>
          </c:extLst>
        </c:ser>
        <c:ser>
          <c:idx val="1"/>
          <c:order val="1"/>
          <c:tx>
            <c:strRef>
              <c:f>Eingabeseite!$J$133</c:f>
              <c:strCache>
                <c:ptCount val="1"/>
                <c:pt idx="0">
                  <c:v>Variante </c:v>
                </c:pt>
              </c:strCache>
            </c:strRef>
          </c:tx>
          <c:spPr>
            <a:solidFill>
              <a:srgbClr val="339933"/>
            </a:solidFill>
            <a:ln w="12700">
              <a:solidFill>
                <a:srgbClr val="000000"/>
              </a:solidFill>
              <a:prstDash val="solid"/>
            </a:ln>
          </c:spPr>
          <c:invertIfNegative val="0"/>
          <c:cat>
            <c:strRef>
              <c:f>'Standard Ertragsphase'!$A$160:$A$163</c:f>
              <c:strCache>
                <c:ptCount val="4"/>
                <c:pt idx="0">
                  <c:v>Abzüge   </c:v>
                </c:pt>
                <c:pt idx="1">
                  <c:v>Abschreibung Obstanlage </c:v>
                </c:pt>
                <c:pt idx="2">
                  <c:v>Maschinen und Geräte</c:v>
                </c:pt>
                <c:pt idx="3">
                  <c:v>übrige Kosten (inkl. PSM u. Düngung)</c:v>
                </c:pt>
              </c:strCache>
            </c:strRef>
          </c:cat>
          <c:val>
            <c:numRef>
              <c:f>Eingabeseite!$J$134:$J$137</c:f>
              <c:numCache>
                <c:formatCode>\ #,##0\ "Fr."</c:formatCode>
                <c:ptCount val="4"/>
                <c:pt idx="0">
                  <c:v>803.63099999999997</c:v>
                </c:pt>
                <c:pt idx="1">
                  <c:v>14680.560416865783</c:v>
                </c:pt>
                <c:pt idx="2">
                  <c:v>7984.4259664948459</c:v>
                </c:pt>
                <c:pt idx="3">
                  <c:v>6667.099224104044</c:v>
                </c:pt>
              </c:numCache>
            </c:numRef>
          </c:val>
          <c:extLst>
            <c:ext xmlns:c16="http://schemas.microsoft.com/office/drawing/2014/chart" uri="{C3380CC4-5D6E-409C-BE32-E72D297353CC}">
              <c16:uniqueId val="{00000001-933E-4B8D-A3C8-050DD1AFEB03}"/>
            </c:ext>
          </c:extLst>
        </c:ser>
        <c:dLbls>
          <c:showLegendKey val="0"/>
          <c:showVal val="0"/>
          <c:showCatName val="0"/>
          <c:showSerName val="0"/>
          <c:showPercent val="0"/>
          <c:showBubbleSize val="0"/>
        </c:dLbls>
        <c:gapWidth val="150"/>
        <c:axId val="419387816"/>
        <c:axId val="1"/>
      </c:barChart>
      <c:catAx>
        <c:axId val="41938781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424242"/>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 #,##0\ &quot;Fr.&quot;"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424242"/>
                </a:solidFill>
                <a:latin typeface="Arial"/>
                <a:ea typeface="Arial"/>
                <a:cs typeface="Arial"/>
              </a:defRPr>
            </a:pPr>
            <a:endParaRPr lang="de-DE"/>
          </a:p>
        </c:txPr>
        <c:crossAx val="419387816"/>
        <c:crosses val="max"/>
        <c:crossBetween val="between"/>
      </c:valAx>
      <c:spPr>
        <a:noFill/>
        <a:ln w="3175">
          <a:solidFill>
            <a:srgbClr val="000000"/>
          </a:solidFill>
          <a:prstDash val="solid"/>
        </a:ln>
      </c:spPr>
    </c:plotArea>
    <c:legend>
      <c:legendPos val="r"/>
      <c:layout>
        <c:manualLayout>
          <c:xMode val="edge"/>
          <c:yMode val="edge"/>
          <c:x val="0.73087071240105539"/>
          <c:y val="0.63882060525566831"/>
          <c:w val="0.15699208443271773"/>
          <c:h val="0.21621629826392186"/>
        </c:manualLayout>
      </c:layout>
      <c:overlay val="0"/>
      <c:spPr>
        <a:solidFill>
          <a:srgbClr val="FFFFFF"/>
        </a:solidFill>
        <a:ln w="3175">
          <a:solidFill>
            <a:srgbClr val="000000"/>
          </a:solidFill>
          <a:prstDash val="solid"/>
        </a:ln>
      </c:spPr>
      <c:txPr>
        <a:bodyPr/>
        <a:lstStyle/>
        <a:p>
          <a:pPr>
            <a:defRPr sz="850"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FFFFFF"/>
    </a:solidFill>
    <a:ln w="25400">
      <a:solidFill>
        <a:srgbClr val="000080"/>
      </a:solidFill>
      <a:prstDash val="solid"/>
    </a:ln>
  </c:spPr>
  <c:txPr>
    <a:bodyPr/>
    <a:lstStyle/>
    <a:p>
      <a:pPr>
        <a:defRPr sz="925"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0" i="0" u="none" strike="noStrike" baseline="0">
                <a:solidFill>
                  <a:srgbClr val="424242"/>
                </a:solidFill>
                <a:latin typeface="Arial"/>
                <a:ea typeface="Arial"/>
                <a:cs typeface="Arial"/>
              </a:defRPr>
            </a:pPr>
            <a:r>
              <a:rPr lang="de-CH" sz="1700" b="1" i="0" u="none" strike="noStrike" baseline="0">
                <a:solidFill>
                  <a:srgbClr val="424242"/>
                </a:solidFill>
                <a:latin typeface="Arial"/>
                <a:cs typeface="Arial"/>
              </a:rPr>
              <a:t>Produktionskosten- / </a:t>
            </a:r>
          </a:p>
          <a:p>
            <a:pPr>
              <a:defRPr sz="1075" b="0" i="0" u="none" strike="noStrike" baseline="0">
                <a:solidFill>
                  <a:srgbClr val="424242"/>
                </a:solidFill>
                <a:latin typeface="Arial"/>
                <a:ea typeface="Arial"/>
                <a:cs typeface="Arial"/>
              </a:defRPr>
            </a:pPr>
            <a:r>
              <a:rPr lang="de-CH" sz="1700" b="1" i="0" u="none" strike="noStrike" baseline="0">
                <a:solidFill>
                  <a:srgbClr val="424242"/>
                </a:solidFill>
                <a:latin typeface="Arial"/>
                <a:cs typeface="Arial"/>
              </a:rPr>
              <a:t>Leistungsvergleich</a:t>
            </a:r>
          </a:p>
          <a:p>
            <a:pPr>
              <a:defRPr sz="1075" b="0" i="0" u="none" strike="noStrike" baseline="0">
                <a:solidFill>
                  <a:srgbClr val="424242"/>
                </a:solidFill>
                <a:latin typeface="Arial"/>
                <a:ea typeface="Arial"/>
                <a:cs typeface="Arial"/>
              </a:defRPr>
            </a:pPr>
            <a:endParaRPr lang="de-CH" sz="1700" b="1" i="0" u="none" strike="noStrike" baseline="0">
              <a:solidFill>
                <a:srgbClr val="424242"/>
              </a:solidFill>
              <a:latin typeface="Arial"/>
              <a:cs typeface="Arial"/>
            </a:endParaRPr>
          </a:p>
          <a:p>
            <a:pPr>
              <a:defRPr sz="1075" b="0" i="0" u="none" strike="noStrike" baseline="0">
                <a:solidFill>
                  <a:srgbClr val="424242"/>
                </a:solidFill>
                <a:latin typeface="Arial"/>
                <a:ea typeface="Arial"/>
                <a:cs typeface="Arial"/>
              </a:defRPr>
            </a:pPr>
            <a:r>
              <a:rPr lang="de-CH" sz="1700" b="1" i="0" u="none" strike="noStrike" baseline="0">
                <a:solidFill>
                  <a:srgbClr val="0000FF"/>
                </a:solidFill>
                <a:latin typeface="Arial"/>
                <a:cs typeface="Arial"/>
              </a:rPr>
              <a:t>Standardwerte</a:t>
            </a:r>
            <a:endParaRPr lang="de-CH" sz="1700" b="1" i="1" u="none" strike="noStrike" baseline="0">
              <a:solidFill>
                <a:srgbClr val="000080"/>
              </a:solidFill>
              <a:latin typeface="Arial"/>
              <a:cs typeface="Arial"/>
            </a:endParaRPr>
          </a:p>
          <a:p>
            <a:pPr>
              <a:defRPr sz="1075" b="0" i="0" u="none" strike="noStrike" baseline="0">
                <a:solidFill>
                  <a:srgbClr val="424242"/>
                </a:solidFill>
                <a:latin typeface="Arial"/>
                <a:ea typeface="Arial"/>
                <a:cs typeface="Arial"/>
              </a:defRPr>
            </a:pPr>
            <a:endParaRPr lang="de-CH" sz="1700" b="1" i="1" u="none" strike="noStrike" baseline="0">
              <a:solidFill>
                <a:srgbClr val="000080"/>
              </a:solidFill>
              <a:latin typeface="Arial"/>
              <a:cs typeface="Arial"/>
            </a:endParaRPr>
          </a:p>
        </c:rich>
      </c:tx>
      <c:layout>
        <c:manualLayout>
          <c:xMode val="edge"/>
          <c:yMode val="edge"/>
          <c:x val="0.30752859596254167"/>
          <c:y val="2.4669297032014165E-2"/>
        </c:manualLayout>
      </c:layout>
      <c:overlay val="0"/>
      <c:spPr>
        <a:noFill/>
        <a:ln w="25400">
          <a:noFill/>
        </a:ln>
      </c:spPr>
    </c:title>
    <c:autoTitleDeleted val="0"/>
    <c:plotArea>
      <c:layout>
        <c:manualLayout>
          <c:layoutTarget val="inner"/>
          <c:xMode val="edge"/>
          <c:yMode val="edge"/>
          <c:x val="0.19861226686020686"/>
          <c:y val="0.18233847417220764"/>
          <c:w val="0.77843194914564939"/>
          <c:h val="0.69932167741340812"/>
        </c:manualLayout>
      </c:layout>
      <c:barChart>
        <c:barDir val="col"/>
        <c:grouping val="clustered"/>
        <c:varyColors val="0"/>
        <c:ser>
          <c:idx val="0"/>
          <c:order val="0"/>
          <c:tx>
            <c:strRef>
              <c:f>'Standard Cashflow'!$D$21</c:f>
              <c:strCache>
                <c:ptCount val="1"/>
                <c:pt idx="0">
                  <c:v>Leistung</c:v>
                </c:pt>
              </c:strCache>
            </c:strRef>
          </c:tx>
          <c:spPr>
            <a:solidFill>
              <a:srgbClr val="69FFFF"/>
            </a:solidFill>
            <a:ln w="12700">
              <a:solidFill>
                <a:srgbClr val="000000"/>
              </a:solidFill>
              <a:prstDash val="solid"/>
            </a:ln>
          </c:spPr>
          <c:invertIfNegative val="0"/>
          <c:cat>
            <c:numRef>
              <c:f>'Standard Cashflow'!$B$22:$B$37</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'Standard Cashflow'!$D$22:$D$37</c:f>
              <c:numCache>
                <c:formatCode>#,##0\ "Fr."</c:formatCode>
                <c:ptCount val="16"/>
                <c:pt idx="0">
                  <c:v>0</c:v>
                </c:pt>
                <c:pt idx="1">
                  <c:v>2700</c:v>
                </c:pt>
                <c:pt idx="2">
                  <c:v>7281.0439024390253</c:v>
                </c:pt>
                <c:pt idx="3">
                  <c:v>19497.160975609753</c:v>
                </c:pt>
                <c:pt idx="4">
                  <c:v>25605.219512195119</c:v>
                </c:pt>
                <c:pt idx="5">
                  <c:v>53091.482926829267</c:v>
                </c:pt>
                <c:pt idx="6">
                  <c:v>53091.482926829267</c:v>
                </c:pt>
                <c:pt idx="7">
                  <c:v>53091.482926829267</c:v>
                </c:pt>
                <c:pt idx="8">
                  <c:v>53091.482926829267</c:v>
                </c:pt>
                <c:pt idx="9">
                  <c:v>53091.482926829267</c:v>
                </c:pt>
                <c:pt idx="10">
                  <c:v>53091.482926829267</c:v>
                </c:pt>
                <c:pt idx="11">
                  <c:v>53091.482926829267</c:v>
                </c:pt>
                <c:pt idx="12">
                  <c:v>53091.482926829267</c:v>
                </c:pt>
                <c:pt idx="13">
                  <c:v>48510.439024390238</c:v>
                </c:pt>
                <c:pt idx="14">
                  <c:v>48510.439024390238</c:v>
                </c:pt>
                <c:pt idx="15">
                  <c:v>48510.439024390238</c:v>
                </c:pt>
              </c:numCache>
            </c:numRef>
          </c:val>
          <c:extLst>
            <c:ext xmlns:c16="http://schemas.microsoft.com/office/drawing/2014/chart" uri="{C3380CC4-5D6E-409C-BE32-E72D297353CC}">
              <c16:uniqueId val="{00000000-11FC-48D0-AD95-4A1AE3DA93B8}"/>
            </c:ext>
          </c:extLst>
        </c:ser>
        <c:ser>
          <c:idx val="1"/>
          <c:order val="1"/>
          <c:tx>
            <c:strRef>
              <c:f>'Standard Cashflow'!$E$21</c:f>
              <c:strCache>
                <c:ptCount val="1"/>
                <c:pt idx="0">
                  <c:v>Produktionskosten</c:v>
                </c:pt>
              </c:strCache>
            </c:strRef>
          </c:tx>
          <c:spPr>
            <a:solidFill>
              <a:srgbClr val="0000FF"/>
            </a:solidFill>
            <a:ln w="12700">
              <a:solidFill>
                <a:srgbClr val="000000"/>
              </a:solidFill>
              <a:prstDash val="solid"/>
            </a:ln>
          </c:spPr>
          <c:invertIfNegative val="0"/>
          <c:cat>
            <c:numRef>
              <c:f>'Standard Cashflow'!$B$22:$B$37</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'Standard Cashflow'!$E$22:$E$37</c:f>
              <c:numCache>
                <c:formatCode>#,##0\ "Fr."</c:formatCode>
                <c:ptCount val="16"/>
                <c:pt idx="0">
                  <c:v>124765.91649999999</c:v>
                </c:pt>
                <c:pt idx="1">
                  <c:v>24030.357248500004</c:v>
                </c:pt>
                <c:pt idx="2">
                  <c:v>24473.16009737995</c:v>
                </c:pt>
                <c:pt idx="3">
                  <c:v>32375.184832850282</c:v>
                </c:pt>
                <c:pt idx="4">
                  <c:v>36681.759892423383</c:v>
                </c:pt>
                <c:pt idx="5">
                  <c:v>37921.426557706131</c:v>
                </c:pt>
                <c:pt idx="6">
                  <c:v>37784.896050384028</c:v>
                </c:pt>
                <c:pt idx="7">
                  <c:v>40457.136768496028</c:v>
                </c:pt>
                <c:pt idx="8">
                  <c:v>37533.427653071019</c:v>
                </c:pt>
                <c:pt idx="9">
                  <c:v>37393.405155607194</c:v>
                </c:pt>
                <c:pt idx="10">
                  <c:v>40062.122455666205</c:v>
                </c:pt>
                <c:pt idx="11">
                  <c:v>37134.85821142573</c:v>
                </c:pt>
                <c:pt idx="12">
                  <c:v>36991.248588987102</c:v>
                </c:pt>
                <c:pt idx="13">
                  <c:v>38998.016846303071</c:v>
                </c:pt>
                <c:pt idx="14">
                  <c:v>36102.405046700282</c:v>
                </c:pt>
                <c:pt idx="15">
                  <c:v>41990.732740901076</c:v>
                </c:pt>
              </c:numCache>
            </c:numRef>
          </c:val>
          <c:extLst>
            <c:ext xmlns:c16="http://schemas.microsoft.com/office/drawing/2014/chart" uri="{C3380CC4-5D6E-409C-BE32-E72D297353CC}">
              <c16:uniqueId val="{00000001-11FC-48D0-AD95-4A1AE3DA93B8}"/>
            </c:ext>
          </c:extLst>
        </c:ser>
        <c:dLbls>
          <c:showLegendKey val="0"/>
          <c:showVal val="0"/>
          <c:showCatName val="0"/>
          <c:showSerName val="0"/>
          <c:showPercent val="0"/>
          <c:showBubbleSize val="0"/>
        </c:dLbls>
        <c:gapWidth val="150"/>
        <c:axId val="419393720"/>
        <c:axId val="1"/>
      </c:barChart>
      <c:catAx>
        <c:axId val="419393720"/>
        <c:scaling>
          <c:orientation val="minMax"/>
        </c:scaling>
        <c:delete val="0"/>
        <c:axPos val="b"/>
        <c:title>
          <c:tx>
            <c:rich>
              <a:bodyPr/>
              <a:lstStyle/>
              <a:p>
                <a:pPr>
                  <a:defRPr sz="1075" b="1" i="0" u="none" strike="noStrike" baseline="0">
                    <a:solidFill>
                      <a:srgbClr val="424242"/>
                    </a:solidFill>
                    <a:latin typeface="Arial"/>
                    <a:ea typeface="Arial"/>
                    <a:cs typeface="Arial"/>
                  </a:defRPr>
                </a:pPr>
                <a:r>
                  <a:rPr lang="de-CH"/>
                  <a:t>Standjahre</a:t>
                </a:r>
              </a:p>
            </c:rich>
          </c:tx>
          <c:layout>
            <c:manualLayout>
              <c:xMode val="edge"/>
              <c:yMode val="edge"/>
              <c:x val="0.5253613874397387"/>
              <c:y val="0.909547201393752"/>
            </c:manualLayout>
          </c:layout>
          <c:overlay val="0"/>
          <c:spPr>
            <a:noFill/>
            <a:ln w="25400">
              <a:noFill/>
            </a:ln>
          </c:spPr>
        </c:title>
        <c:numFmt formatCode="General" sourceLinked="1"/>
        <c:majorTickMark val="out"/>
        <c:minorTickMark val="out"/>
        <c:tickLblPos val="nextTo"/>
        <c:spPr>
          <a:ln w="3175">
            <a:solidFill>
              <a:srgbClr val="000000"/>
            </a:solidFill>
            <a:prstDash val="solid"/>
          </a:ln>
        </c:spPr>
        <c:txPr>
          <a:bodyPr rot="0" vert="horz"/>
          <a:lstStyle/>
          <a:p>
            <a:pPr>
              <a:defRPr sz="1075" b="0" i="0" u="none" strike="noStrike" baseline="0">
                <a:solidFill>
                  <a:srgbClr val="424242"/>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075" b="1" i="0" u="none" strike="noStrike" baseline="0">
                    <a:solidFill>
                      <a:srgbClr val="424242"/>
                    </a:solidFill>
                    <a:latin typeface="Arial"/>
                    <a:ea typeface="Arial"/>
                    <a:cs typeface="Arial"/>
                  </a:defRPr>
                </a:pPr>
                <a:r>
                  <a:rPr lang="de-CH"/>
                  <a:t>Fr. / ha</a:t>
                </a:r>
              </a:p>
            </c:rich>
          </c:tx>
          <c:layout>
            <c:manualLayout>
              <c:xMode val="edge"/>
              <c:yMode val="edge"/>
              <c:x val="3.6839448566871526E-2"/>
              <c:y val="0.50411225169521923"/>
            </c:manualLayout>
          </c:layout>
          <c:overlay val="0"/>
          <c:spPr>
            <a:noFill/>
            <a:ln w="25400">
              <a:noFill/>
            </a:ln>
          </c:spPr>
        </c:title>
        <c:numFmt formatCode="#,##0\ &quot;Fr.&quot;"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424242"/>
                </a:solidFill>
                <a:latin typeface="Arial"/>
                <a:ea typeface="Arial"/>
                <a:cs typeface="Arial"/>
              </a:defRPr>
            </a:pPr>
            <a:endParaRPr lang="de-DE"/>
          </a:p>
        </c:txPr>
        <c:crossAx val="419393720"/>
        <c:crosses val="autoZero"/>
        <c:crossBetween val="between"/>
      </c:valAx>
      <c:spPr>
        <a:noFill/>
        <a:ln w="3175">
          <a:solidFill>
            <a:srgbClr val="000000"/>
          </a:solidFill>
          <a:prstDash val="solid"/>
        </a:ln>
      </c:spPr>
    </c:plotArea>
    <c:legend>
      <c:legendPos val="r"/>
      <c:layout>
        <c:manualLayout>
          <c:xMode val="edge"/>
          <c:yMode val="edge"/>
          <c:x val="0.39231882022977577"/>
          <c:y val="0.95514225038572986"/>
          <c:w val="0.34156421805299025"/>
          <c:h val="2.6258219891710954E-2"/>
        </c:manualLayout>
      </c:layout>
      <c:overlay val="0"/>
      <c:spPr>
        <a:solidFill>
          <a:srgbClr val="FFFFFF"/>
        </a:solidFill>
        <a:ln w="3175">
          <a:solidFill>
            <a:srgbClr val="000000"/>
          </a:solidFill>
          <a:prstDash val="solid"/>
        </a:ln>
      </c:spPr>
      <c:txPr>
        <a:bodyPr/>
        <a:lstStyle/>
        <a:p>
          <a:pPr>
            <a:defRPr sz="760"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75" b="1" i="0" u="sng" strike="noStrike" baseline="0">
                <a:solidFill>
                  <a:srgbClr val="424242"/>
                </a:solidFill>
                <a:latin typeface="Arial"/>
                <a:ea typeface="Arial"/>
                <a:cs typeface="Arial"/>
              </a:defRPr>
            </a:pPr>
            <a:r>
              <a:rPr lang="de-CH"/>
              <a:t>Anteil Arbeit-, Kapital- und Sachkosten</a:t>
            </a:r>
          </a:p>
        </c:rich>
      </c:tx>
      <c:layout>
        <c:manualLayout>
          <c:xMode val="edge"/>
          <c:yMode val="edge"/>
          <c:x val="0.27175576737118384"/>
          <c:y val="1.6501748356374021E-2"/>
        </c:manualLayout>
      </c:layout>
      <c:overlay val="0"/>
      <c:spPr>
        <a:noFill/>
        <a:ln w="25400">
          <a:noFill/>
        </a:ln>
      </c:spPr>
    </c:title>
    <c:autoTitleDeleted val="0"/>
    <c:plotArea>
      <c:layout>
        <c:manualLayout>
          <c:layoutTarget val="inner"/>
          <c:xMode val="edge"/>
          <c:yMode val="edge"/>
          <c:x val="0.17404580152671756"/>
          <c:y val="0.17491749174917492"/>
          <c:w val="0.76335877862595425"/>
          <c:h val="0.71287128712871284"/>
        </c:manualLayout>
      </c:layout>
      <c:barChart>
        <c:barDir val="bar"/>
        <c:grouping val="clustered"/>
        <c:varyColors val="0"/>
        <c:ser>
          <c:idx val="0"/>
          <c:order val="0"/>
          <c:tx>
            <c:strRef>
              <c:f>'Standard Ertragsphase'!$B$135</c:f>
              <c:strCache>
                <c:ptCount val="1"/>
                <c:pt idx="0">
                  <c:v>Standard</c:v>
                </c:pt>
              </c:strCache>
            </c:strRef>
          </c:tx>
          <c:spPr>
            <a:solidFill>
              <a:srgbClr val="000080"/>
            </a:solidFill>
            <a:ln w="12700">
              <a:solidFill>
                <a:srgbClr val="000000"/>
              </a:solidFill>
              <a:prstDash val="solid"/>
            </a:ln>
          </c:spPr>
          <c:invertIfNegative val="0"/>
          <c:cat>
            <c:strRef>
              <c:f>Eingabeseite!$G$79:$G$81</c:f>
              <c:strCache>
                <c:ptCount val="3"/>
                <c:pt idx="0">
                  <c:v>Arbeitskosten</c:v>
                </c:pt>
                <c:pt idx="1">
                  <c:v>Kapitalkosten (Zinsanspruch)</c:v>
                </c:pt>
                <c:pt idx="2">
                  <c:v>Sachkosten</c:v>
                </c:pt>
              </c:strCache>
            </c:strRef>
          </c:cat>
          <c:val>
            <c:numRef>
              <c:f>'Standard Ertragsphase'!$B$136:$B$138</c:f>
              <c:numCache>
                <c:formatCode>\ #,##0\ "Fr."</c:formatCode>
                <c:ptCount val="3"/>
                <c:pt idx="0">
                  <c:v>19523.461082474227</c:v>
                </c:pt>
                <c:pt idx="1">
                  <c:v>2245.4977242061323</c:v>
                </c:pt>
                <c:pt idx="2">
                  <c:v>30135.690673989007</c:v>
                </c:pt>
              </c:numCache>
            </c:numRef>
          </c:val>
          <c:extLst>
            <c:ext xmlns:c16="http://schemas.microsoft.com/office/drawing/2014/chart" uri="{C3380CC4-5D6E-409C-BE32-E72D297353CC}">
              <c16:uniqueId val="{00000000-32BF-47C7-87F2-36E4EAA76CA9}"/>
            </c:ext>
          </c:extLst>
        </c:ser>
        <c:ser>
          <c:idx val="1"/>
          <c:order val="1"/>
          <c:tx>
            <c:strRef>
              <c:f>Eingabeseite!$J$78</c:f>
              <c:strCache>
                <c:ptCount val="1"/>
                <c:pt idx="0">
                  <c:v>Variante </c:v>
                </c:pt>
              </c:strCache>
            </c:strRef>
          </c:tx>
          <c:spPr>
            <a:solidFill>
              <a:srgbClr val="339933"/>
            </a:solidFill>
            <a:ln w="12700">
              <a:solidFill>
                <a:srgbClr val="000000"/>
              </a:solidFill>
              <a:prstDash val="solid"/>
            </a:ln>
          </c:spPr>
          <c:invertIfNegative val="0"/>
          <c:cat>
            <c:strRef>
              <c:f>Eingabeseite!$G$79:$G$81</c:f>
              <c:strCache>
                <c:ptCount val="3"/>
                <c:pt idx="0">
                  <c:v>Arbeitskosten</c:v>
                </c:pt>
                <c:pt idx="1">
                  <c:v>Kapitalkosten (Zinsanspruch)</c:v>
                </c:pt>
                <c:pt idx="2">
                  <c:v>Sachkosten</c:v>
                </c:pt>
              </c:strCache>
            </c:strRef>
          </c:cat>
          <c:val>
            <c:numRef>
              <c:f>Eingabeseite!$J$79:$J$81</c:f>
              <c:numCache>
                <c:formatCode>#,##0\ "Fr."</c:formatCode>
                <c:ptCount val="3"/>
                <c:pt idx="0">
                  <c:v>19523.461082474227</c:v>
                </c:pt>
                <c:pt idx="1">
                  <c:v>2245.5005250215045</c:v>
                </c:pt>
                <c:pt idx="2">
                  <c:v>30135.716607464674</c:v>
                </c:pt>
              </c:numCache>
            </c:numRef>
          </c:val>
          <c:extLst>
            <c:ext xmlns:c16="http://schemas.microsoft.com/office/drawing/2014/chart" uri="{C3380CC4-5D6E-409C-BE32-E72D297353CC}">
              <c16:uniqueId val="{00000001-32BF-47C7-87F2-36E4EAA76CA9}"/>
            </c:ext>
          </c:extLst>
        </c:ser>
        <c:dLbls>
          <c:showLegendKey val="0"/>
          <c:showVal val="0"/>
          <c:showCatName val="0"/>
          <c:showSerName val="0"/>
          <c:showPercent val="0"/>
          <c:showBubbleSize val="0"/>
        </c:dLbls>
        <c:gapWidth val="100"/>
        <c:axId val="419391752"/>
        <c:axId val="1"/>
      </c:barChart>
      <c:catAx>
        <c:axId val="419391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424242"/>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 #,##0\ &quot;Fr.&quot;" sourceLinked="1"/>
        <c:majorTickMark val="out"/>
        <c:minorTickMark val="out"/>
        <c:tickLblPos val="nextTo"/>
        <c:spPr>
          <a:ln w="3175">
            <a:solidFill>
              <a:srgbClr val="000000"/>
            </a:solidFill>
            <a:prstDash val="solid"/>
          </a:ln>
        </c:spPr>
        <c:txPr>
          <a:bodyPr rot="0" vert="horz"/>
          <a:lstStyle/>
          <a:p>
            <a:pPr>
              <a:defRPr sz="850" b="0" i="0" u="none" strike="noStrike" baseline="0">
                <a:solidFill>
                  <a:srgbClr val="424242"/>
                </a:solidFill>
                <a:latin typeface="Arial"/>
                <a:ea typeface="Arial"/>
                <a:cs typeface="Arial"/>
              </a:defRPr>
            </a:pPr>
            <a:endParaRPr lang="de-DE"/>
          </a:p>
        </c:txPr>
        <c:crossAx val="419391752"/>
        <c:crosses val="max"/>
        <c:crossBetween val="between"/>
        <c:minorUnit val="1000"/>
      </c:valAx>
      <c:spPr>
        <a:noFill/>
        <a:ln w="3175">
          <a:solidFill>
            <a:srgbClr val="000000"/>
          </a:solidFill>
          <a:prstDash val="solid"/>
        </a:ln>
      </c:spPr>
    </c:plotArea>
    <c:legend>
      <c:legendPos val="r"/>
      <c:layout>
        <c:manualLayout>
          <c:xMode val="edge"/>
          <c:yMode val="edge"/>
          <c:x val="0.63947409863240778"/>
          <c:y val="0.16556293655475476"/>
          <c:w val="0.1565790855090482"/>
          <c:h val="0.26490069848760767"/>
        </c:manualLayout>
      </c:layout>
      <c:overlay val="0"/>
      <c:spPr>
        <a:solidFill>
          <a:srgbClr val="FFFFFF"/>
        </a:solidFill>
        <a:ln w="3175">
          <a:solidFill>
            <a:srgbClr val="000000"/>
          </a:solidFill>
          <a:prstDash val="solid"/>
        </a:ln>
      </c:spPr>
      <c:txPr>
        <a:bodyPr/>
        <a:lstStyle/>
        <a:p>
          <a:pPr>
            <a:defRPr sz="850"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200" verticalDpi="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424242"/>
                </a:solidFill>
                <a:latin typeface="Arial"/>
                <a:ea typeface="Arial"/>
                <a:cs typeface="Arial"/>
              </a:defRPr>
            </a:pPr>
            <a:r>
              <a:rPr lang="de-CH" sz="2025" b="1" i="0" u="none" strike="noStrike" baseline="0">
                <a:solidFill>
                  <a:srgbClr val="424242"/>
                </a:solidFill>
                <a:latin typeface="Arial"/>
                <a:cs typeface="Arial"/>
              </a:rPr>
              <a:t>Produktionskosten- / </a:t>
            </a:r>
          </a:p>
          <a:p>
            <a:pPr>
              <a:defRPr sz="1200" b="0" i="0" u="none" strike="noStrike" baseline="0">
                <a:solidFill>
                  <a:srgbClr val="424242"/>
                </a:solidFill>
                <a:latin typeface="Arial"/>
                <a:ea typeface="Arial"/>
                <a:cs typeface="Arial"/>
              </a:defRPr>
            </a:pPr>
            <a:r>
              <a:rPr lang="de-CH" sz="2025" b="1" i="0" u="none" strike="noStrike" baseline="0">
                <a:solidFill>
                  <a:srgbClr val="424242"/>
                </a:solidFill>
                <a:latin typeface="Arial"/>
                <a:cs typeface="Arial"/>
              </a:rPr>
              <a:t>Leistungsvergleich</a:t>
            </a:r>
          </a:p>
          <a:p>
            <a:pPr>
              <a:defRPr sz="1200" b="0" i="0" u="none" strike="noStrike" baseline="0">
                <a:solidFill>
                  <a:srgbClr val="424242"/>
                </a:solidFill>
                <a:latin typeface="Arial"/>
                <a:ea typeface="Arial"/>
                <a:cs typeface="Arial"/>
              </a:defRPr>
            </a:pPr>
            <a:endParaRPr lang="de-CH" sz="2025" b="1" i="0" u="none" strike="noStrike" baseline="0">
              <a:solidFill>
                <a:srgbClr val="424242"/>
              </a:solidFill>
              <a:latin typeface="Arial"/>
              <a:cs typeface="Arial"/>
            </a:endParaRPr>
          </a:p>
          <a:p>
            <a:pPr>
              <a:defRPr sz="1200" b="0" i="0" u="none" strike="noStrike" baseline="0">
                <a:solidFill>
                  <a:srgbClr val="424242"/>
                </a:solidFill>
                <a:latin typeface="Arial"/>
                <a:ea typeface="Arial"/>
                <a:cs typeface="Arial"/>
              </a:defRPr>
            </a:pPr>
            <a:r>
              <a:rPr lang="de-CH" sz="2025" b="1" i="0" u="none" strike="noStrike" baseline="0">
                <a:solidFill>
                  <a:srgbClr val="008000"/>
                </a:solidFill>
                <a:latin typeface="Arial"/>
                <a:cs typeface="Arial"/>
              </a:rPr>
              <a:t>Variante</a:t>
            </a:r>
          </a:p>
        </c:rich>
      </c:tx>
      <c:layout>
        <c:manualLayout>
          <c:xMode val="edge"/>
          <c:yMode val="edge"/>
          <c:x val="0.30804208057099131"/>
          <c:y val="2.47400433641447E-2"/>
        </c:manualLayout>
      </c:layout>
      <c:overlay val="0"/>
      <c:spPr>
        <a:noFill/>
        <a:ln w="25400">
          <a:noFill/>
        </a:ln>
      </c:spPr>
    </c:title>
    <c:autoTitleDeleted val="0"/>
    <c:plotArea>
      <c:layout>
        <c:manualLayout>
          <c:layoutTarget val="inner"/>
          <c:xMode val="edge"/>
          <c:yMode val="edge"/>
          <c:x val="0.19763761290820658"/>
          <c:y val="0.18823964419345826"/>
          <c:w val="0.78237234351248675"/>
          <c:h val="0.68411664975451114"/>
        </c:manualLayout>
      </c:layout>
      <c:barChart>
        <c:barDir val="col"/>
        <c:grouping val="clustered"/>
        <c:varyColors val="0"/>
        <c:ser>
          <c:idx val="2"/>
          <c:order val="0"/>
          <c:tx>
            <c:strRef>
              <c:f>'Variante Cashflow'!$D$21</c:f>
              <c:strCache>
                <c:ptCount val="1"/>
                <c:pt idx="0">
                  <c:v>Leistung</c:v>
                </c:pt>
              </c:strCache>
            </c:strRef>
          </c:tx>
          <c:spPr>
            <a:solidFill>
              <a:srgbClr val="00FF00"/>
            </a:solidFill>
            <a:ln w="12700">
              <a:solidFill>
                <a:srgbClr val="000000"/>
              </a:solidFill>
              <a:prstDash val="solid"/>
            </a:ln>
          </c:spPr>
          <c:invertIfNegative val="0"/>
          <c:val>
            <c:numRef>
              <c:f>'Variante Cashflow'!$D$22:$D$37</c:f>
              <c:numCache>
                <c:formatCode>#,##0\ "Fr."</c:formatCode>
                <c:ptCount val="16"/>
                <c:pt idx="0">
                  <c:v>0</c:v>
                </c:pt>
                <c:pt idx="1">
                  <c:v>2700</c:v>
                </c:pt>
                <c:pt idx="2">
                  <c:v>7281.0439024390253</c:v>
                </c:pt>
                <c:pt idx="3">
                  <c:v>19497.160975609753</c:v>
                </c:pt>
                <c:pt idx="4">
                  <c:v>25605.219512195119</c:v>
                </c:pt>
                <c:pt idx="5">
                  <c:v>53091.482926829267</c:v>
                </c:pt>
                <c:pt idx="6">
                  <c:v>53091.482926829267</c:v>
                </c:pt>
                <c:pt idx="7">
                  <c:v>53091.482926829267</c:v>
                </c:pt>
                <c:pt idx="8">
                  <c:v>53091.482926829267</c:v>
                </c:pt>
                <c:pt idx="9">
                  <c:v>53091.482926829267</c:v>
                </c:pt>
                <c:pt idx="10">
                  <c:v>53091.482926829267</c:v>
                </c:pt>
                <c:pt idx="11">
                  <c:v>53091.482926829267</c:v>
                </c:pt>
                <c:pt idx="12">
                  <c:v>53091.482926829267</c:v>
                </c:pt>
                <c:pt idx="13">
                  <c:v>48510.439024390238</c:v>
                </c:pt>
                <c:pt idx="14">
                  <c:v>48510.439024390238</c:v>
                </c:pt>
                <c:pt idx="15">
                  <c:v>48510.439024390238</c:v>
                </c:pt>
              </c:numCache>
            </c:numRef>
          </c:val>
          <c:extLst>
            <c:ext xmlns:c16="http://schemas.microsoft.com/office/drawing/2014/chart" uri="{C3380CC4-5D6E-409C-BE32-E72D297353CC}">
              <c16:uniqueId val="{00000000-FA3E-4CB5-9B33-44DC21071B2D}"/>
            </c:ext>
          </c:extLst>
        </c:ser>
        <c:ser>
          <c:idx val="3"/>
          <c:order val="1"/>
          <c:tx>
            <c:strRef>
              <c:f>'Variante Cashflow'!$E$21</c:f>
              <c:strCache>
                <c:ptCount val="1"/>
                <c:pt idx="0">
                  <c:v>Produktionskosten</c:v>
                </c:pt>
              </c:strCache>
            </c:strRef>
          </c:tx>
          <c:spPr>
            <a:solidFill>
              <a:srgbClr val="008000"/>
            </a:solidFill>
            <a:ln w="12700">
              <a:solidFill>
                <a:srgbClr val="000000"/>
              </a:solidFill>
              <a:prstDash val="solid"/>
            </a:ln>
          </c:spPr>
          <c:invertIfNegative val="0"/>
          <c:val>
            <c:numRef>
              <c:f>'Variante Cashflow'!$E$22:$E$37</c:f>
              <c:numCache>
                <c:formatCode>#,##0\ "Fr."</c:formatCode>
                <c:ptCount val="16"/>
                <c:pt idx="0">
                  <c:v>124765.91649999999</c:v>
                </c:pt>
                <c:pt idx="1">
                  <c:v>24030.357248500004</c:v>
                </c:pt>
                <c:pt idx="2">
                  <c:v>24473.284131540175</c:v>
                </c:pt>
                <c:pt idx="3">
                  <c:v>32375.372000398063</c:v>
                </c:pt>
                <c:pt idx="4">
                  <c:v>36682.231583031353</c:v>
                </c:pt>
                <c:pt idx="5">
                  <c:v>37921.699158840682</c:v>
                </c:pt>
                <c:pt idx="6">
                  <c:v>37785.171104928784</c:v>
                </c:pt>
                <c:pt idx="7">
                  <c:v>40457.61763322058</c:v>
                </c:pt>
                <c:pt idx="8">
                  <c:v>37533.709510889203</c:v>
                </c:pt>
                <c:pt idx="9">
                  <c:v>37393.68955014574</c:v>
                </c:pt>
                <c:pt idx="10">
                  <c:v>40062.612744444486</c:v>
                </c:pt>
                <c:pt idx="11">
                  <c:v>37135.149578114128</c:v>
                </c:pt>
                <c:pt idx="12">
                  <c:v>36991.542577975692</c:v>
                </c:pt>
                <c:pt idx="13">
                  <c:v>38998.516815881456</c:v>
                </c:pt>
                <c:pt idx="14">
                  <c:v>36102.706181315982</c:v>
                </c:pt>
                <c:pt idx="15">
                  <c:v>41991.036585728303</c:v>
                </c:pt>
              </c:numCache>
            </c:numRef>
          </c:val>
          <c:extLst>
            <c:ext xmlns:c16="http://schemas.microsoft.com/office/drawing/2014/chart" uri="{C3380CC4-5D6E-409C-BE32-E72D297353CC}">
              <c16:uniqueId val="{00000001-FA3E-4CB5-9B33-44DC21071B2D}"/>
            </c:ext>
          </c:extLst>
        </c:ser>
        <c:dLbls>
          <c:showLegendKey val="0"/>
          <c:showVal val="0"/>
          <c:showCatName val="0"/>
          <c:showSerName val="0"/>
          <c:showPercent val="0"/>
          <c:showBubbleSize val="0"/>
        </c:dLbls>
        <c:gapWidth val="150"/>
        <c:axId val="419388144"/>
        <c:axId val="1"/>
      </c:barChart>
      <c:catAx>
        <c:axId val="419388144"/>
        <c:scaling>
          <c:orientation val="minMax"/>
        </c:scaling>
        <c:delete val="0"/>
        <c:axPos val="b"/>
        <c:title>
          <c:tx>
            <c:rich>
              <a:bodyPr/>
              <a:lstStyle/>
              <a:p>
                <a:pPr>
                  <a:defRPr sz="1200" b="1" i="0" u="none" strike="noStrike" baseline="0">
                    <a:solidFill>
                      <a:srgbClr val="424242"/>
                    </a:solidFill>
                    <a:latin typeface="Arial"/>
                    <a:ea typeface="Arial"/>
                    <a:cs typeface="Arial"/>
                  </a:defRPr>
                </a:pPr>
                <a:r>
                  <a:rPr lang="de-CH"/>
                  <a:t>Standjahre</a:t>
                </a:r>
              </a:p>
            </c:rich>
          </c:tx>
          <c:layout>
            <c:manualLayout>
              <c:xMode val="edge"/>
              <c:yMode val="edge"/>
              <c:x val="0.52885108026346839"/>
              <c:y val="0.91107988131918294"/>
            </c:manualLayout>
          </c:layout>
          <c:overlay val="0"/>
          <c:spPr>
            <a:noFill/>
            <a:ln w="25400">
              <a:noFill/>
            </a:ln>
          </c:spPr>
        </c:title>
        <c:numFmt formatCode="General" sourceLinked="1"/>
        <c:majorTickMark val="out"/>
        <c:minorTickMark val="out"/>
        <c:tickLblPos val="nextTo"/>
        <c:spPr>
          <a:ln w="3175">
            <a:solidFill>
              <a:srgbClr val="000000"/>
            </a:solidFill>
            <a:prstDash val="solid"/>
          </a:ln>
        </c:spPr>
        <c:txPr>
          <a:bodyPr rot="0" vert="horz"/>
          <a:lstStyle/>
          <a:p>
            <a:pPr>
              <a:defRPr sz="1200" b="0" i="0" u="none" strike="noStrike" baseline="0">
                <a:solidFill>
                  <a:srgbClr val="424242"/>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424242"/>
                    </a:solidFill>
                    <a:latin typeface="Arial"/>
                    <a:ea typeface="Arial"/>
                    <a:cs typeface="Arial"/>
                  </a:defRPr>
                </a:pPr>
                <a:r>
                  <a:rPr lang="de-CH"/>
                  <a:t>Fr. / ha</a:t>
                </a:r>
              </a:p>
            </c:rich>
          </c:tx>
          <c:layout>
            <c:manualLayout>
              <c:xMode val="edge"/>
              <c:yMode val="edge"/>
              <c:x val="3.9527559055118115E-2"/>
              <c:y val="0.50017961885199136"/>
            </c:manualLayout>
          </c:layout>
          <c:overlay val="0"/>
          <c:spPr>
            <a:noFill/>
            <a:ln w="25400">
              <a:noFill/>
            </a:ln>
          </c:spPr>
        </c:title>
        <c:numFmt formatCode="#,##0\ &quot;Fr.&quot;"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424242"/>
                </a:solidFill>
                <a:latin typeface="Arial"/>
                <a:ea typeface="Arial"/>
                <a:cs typeface="Arial"/>
              </a:defRPr>
            </a:pPr>
            <a:endParaRPr lang="de-DE"/>
          </a:p>
        </c:txPr>
        <c:crossAx val="419388144"/>
        <c:crosses val="autoZero"/>
        <c:crossBetween val="between"/>
      </c:valAx>
      <c:spPr>
        <a:noFill/>
        <a:ln w="3175">
          <a:solidFill>
            <a:srgbClr val="000000"/>
          </a:solidFill>
          <a:prstDash val="solid"/>
        </a:ln>
      </c:spPr>
    </c:plotArea>
    <c:legend>
      <c:legendPos val="r"/>
      <c:layout>
        <c:manualLayout>
          <c:xMode val="edge"/>
          <c:yMode val="edge"/>
          <c:x val="0.43169459403405641"/>
          <c:y val="0.95285187721100084"/>
          <c:w val="0.3265031789282471"/>
          <c:h val="2.85088440031952E-2"/>
        </c:manualLayout>
      </c:layout>
      <c:overlay val="0"/>
      <c:spPr>
        <a:solidFill>
          <a:srgbClr val="FFFFFF"/>
        </a:solidFill>
        <a:ln w="3175">
          <a:solidFill>
            <a:srgbClr val="000000"/>
          </a:solidFill>
          <a:prstDash val="solid"/>
        </a:ln>
      </c:spPr>
      <c:txPr>
        <a:bodyPr/>
        <a:lstStyle/>
        <a:p>
          <a:pPr>
            <a:defRPr sz="850"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75" b="1" i="0" u="sng" strike="noStrike" baseline="0">
                <a:solidFill>
                  <a:srgbClr val="424242"/>
                </a:solidFill>
                <a:latin typeface="Arial"/>
                <a:ea typeface="Arial"/>
                <a:cs typeface="Arial"/>
              </a:defRPr>
            </a:pPr>
            <a:r>
              <a:rPr lang="de-CH"/>
              <a:t>Gliederung der Kapitalkosten</a:t>
            </a:r>
          </a:p>
        </c:rich>
      </c:tx>
      <c:layout>
        <c:manualLayout>
          <c:xMode val="edge"/>
          <c:yMode val="edge"/>
          <c:x val="0.31465360596503689"/>
          <c:y val="1.5806284402537459E-2"/>
        </c:manualLayout>
      </c:layout>
      <c:overlay val="0"/>
      <c:spPr>
        <a:noFill/>
        <a:ln w="25400">
          <a:noFill/>
        </a:ln>
      </c:spPr>
    </c:title>
    <c:autoTitleDeleted val="0"/>
    <c:plotArea>
      <c:layout>
        <c:manualLayout>
          <c:layoutTarget val="inner"/>
          <c:xMode val="edge"/>
          <c:yMode val="edge"/>
          <c:x val="0.15578437456694763"/>
          <c:y val="0.1517392968721058"/>
          <c:w val="0.78817639013574492"/>
          <c:h val="0.68598807127597827"/>
        </c:manualLayout>
      </c:layout>
      <c:barChart>
        <c:barDir val="bar"/>
        <c:grouping val="clustered"/>
        <c:varyColors val="0"/>
        <c:ser>
          <c:idx val="0"/>
          <c:order val="0"/>
          <c:tx>
            <c:strRef>
              <c:f>'Standard Ertragsphase'!$B$141</c:f>
              <c:strCache>
                <c:ptCount val="1"/>
                <c:pt idx="0">
                  <c:v>Standard</c:v>
                </c:pt>
              </c:strCache>
            </c:strRef>
          </c:tx>
          <c:spPr>
            <a:solidFill>
              <a:srgbClr val="000080"/>
            </a:solidFill>
            <a:ln w="12700">
              <a:solidFill>
                <a:srgbClr val="000000"/>
              </a:solidFill>
              <a:prstDash val="solid"/>
            </a:ln>
          </c:spPr>
          <c:invertIfNegative val="0"/>
          <c:cat>
            <c:strRef>
              <c:f>'Standard Ertragsphase'!$A$142:$A$143</c:f>
              <c:strCache>
                <c:ptCount val="2"/>
                <c:pt idx="0">
                  <c:v>für Boden</c:v>
                </c:pt>
                <c:pt idx="1">
                  <c:v>für Investition Obstanlage </c:v>
                </c:pt>
              </c:strCache>
            </c:strRef>
          </c:cat>
          <c:val>
            <c:numRef>
              <c:f>'Standard Ertragsphase'!$B$142:$B$143</c:f>
              <c:numCache>
                <c:formatCode>\ #,##0\ "Fr."</c:formatCode>
                <c:ptCount val="2"/>
                <c:pt idx="0">
                  <c:v>660</c:v>
                </c:pt>
                <c:pt idx="1">
                  <c:v>1585.4977242061323</c:v>
                </c:pt>
              </c:numCache>
            </c:numRef>
          </c:val>
          <c:extLst>
            <c:ext xmlns:c16="http://schemas.microsoft.com/office/drawing/2014/chart" uri="{C3380CC4-5D6E-409C-BE32-E72D297353CC}">
              <c16:uniqueId val="{00000000-4E3F-49BF-9317-A52D2F0B9DCA}"/>
            </c:ext>
          </c:extLst>
        </c:ser>
        <c:ser>
          <c:idx val="1"/>
          <c:order val="1"/>
          <c:tx>
            <c:strRef>
              <c:f>Eingabeseite!$J$93</c:f>
              <c:strCache>
                <c:ptCount val="1"/>
                <c:pt idx="0">
                  <c:v>Variante </c:v>
                </c:pt>
              </c:strCache>
            </c:strRef>
          </c:tx>
          <c:spPr>
            <a:solidFill>
              <a:srgbClr val="339933"/>
            </a:solidFill>
            <a:ln w="12700">
              <a:solidFill>
                <a:srgbClr val="000000"/>
              </a:solidFill>
              <a:prstDash val="solid"/>
            </a:ln>
          </c:spPr>
          <c:invertIfNegative val="0"/>
          <c:cat>
            <c:strRef>
              <c:f>'Standard Ertragsphase'!$A$142:$A$143</c:f>
              <c:strCache>
                <c:ptCount val="2"/>
                <c:pt idx="0">
                  <c:v>für Boden</c:v>
                </c:pt>
                <c:pt idx="1">
                  <c:v>für Investition Obstanlage </c:v>
                </c:pt>
              </c:strCache>
            </c:strRef>
          </c:cat>
          <c:val>
            <c:numRef>
              <c:f>Eingabeseite!$J$94:$J$95</c:f>
              <c:numCache>
                <c:formatCode>#,##0\ "Fr."</c:formatCode>
                <c:ptCount val="2"/>
                <c:pt idx="0">
                  <c:v>660</c:v>
                </c:pt>
                <c:pt idx="1">
                  <c:v>1585.5005250215047</c:v>
                </c:pt>
              </c:numCache>
            </c:numRef>
          </c:val>
          <c:extLst>
            <c:ext xmlns:c16="http://schemas.microsoft.com/office/drawing/2014/chart" uri="{C3380CC4-5D6E-409C-BE32-E72D297353CC}">
              <c16:uniqueId val="{00000001-4E3F-49BF-9317-A52D2F0B9DCA}"/>
            </c:ext>
          </c:extLst>
        </c:ser>
        <c:dLbls>
          <c:showLegendKey val="0"/>
          <c:showVal val="0"/>
          <c:showCatName val="0"/>
          <c:showSerName val="0"/>
          <c:showPercent val="0"/>
          <c:showBubbleSize val="0"/>
        </c:dLbls>
        <c:gapWidth val="150"/>
        <c:axId val="419389456"/>
        <c:axId val="1"/>
      </c:barChart>
      <c:catAx>
        <c:axId val="4193894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424242"/>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 #,##0\ &quot;Fr.&quot;"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424242"/>
                </a:solidFill>
                <a:latin typeface="Arial"/>
                <a:ea typeface="Arial"/>
                <a:cs typeface="Arial"/>
              </a:defRPr>
            </a:pPr>
            <a:endParaRPr lang="de-DE"/>
          </a:p>
        </c:txPr>
        <c:crossAx val="419389456"/>
        <c:crosses val="max"/>
        <c:crossBetween val="between"/>
      </c:valAx>
      <c:spPr>
        <a:noFill/>
        <a:ln w="3175">
          <a:solidFill>
            <a:srgbClr val="000000"/>
          </a:solidFill>
          <a:prstDash val="solid"/>
        </a:ln>
      </c:spPr>
    </c:plotArea>
    <c:legend>
      <c:legendPos val="r"/>
      <c:layout>
        <c:manualLayout>
          <c:xMode val="edge"/>
          <c:yMode val="edge"/>
          <c:x val="0.72413834875415117"/>
          <c:y val="0.20634989591818265"/>
          <c:w val="0.16313011271469047"/>
          <c:h val="0.24444532207768699"/>
        </c:manualLayout>
      </c:layout>
      <c:overlay val="0"/>
      <c:spPr>
        <a:solidFill>
          <a:srgbClr val="FFFFFF"/>
        </a:solidFill>
        <a:ln w="3175">
          <a:solidFill>
            <a:srgbClr val="000000"/>
          </a:solidFill>
          <a:prstDash val="solid"/>
        </a:ln>
      </c:spPr>
      <c:txPr>
        <a:bodyPr/>
        <a:lstStyle/>
        <a:p>
          <a:pPr>
            <a:defRPr sz="850"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FFFFFF"/>
    </a:solidFill>
    <a:ln w="25400">
      <a:solidFill>
        <a:srgbClr val="008000"/>
      </a:solidFill>
      <a:prstDash val="solid"/>
    </a:ln>
  </c:spPr>
  <c:txPr>
    <a:bodyPr/>
    <a:lstStyle/>
    <a:p>
      <a:pPr>
        <a:defRPr sz="1050"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75" b="1" i="0" u="sng" strike="noStrike" baseline="0">
                <a:solidFill>
                  <a:srgbClr val="424242"/>
                </a:solidFill>
                <a:latin typeface="Arial"/>
                <a:ea typeface="Arial"/>
                <a:cs typeface="Arial"/>
              </a:defRPr>
            </a:pPr>
            <a:r>
              <a:rPr lang="de-CH"/>
              <a:t>Gliederung der Arbeitskosten</a:t>
            </a:r>
          </a:p>
        </c:rich>
      </c:tx>
      <c:layout>
        <c:manualLayout>
          <c:xMode val="edge"/>
          <c:yMode val="edge"/>
          <c:x val="0.32432454518383091"/>
          <c:y val="4.0191570881226053E-2"/>
        </c:manualLayout>
      </c:layout>
      <c:overlay val="0"/>
      <c:spPr>
        <a:noFill/>
        <a:ln w="25400">
          <a:noFill/>
        </a:ln>
      </c:spPr>
    </c:title>
    <c:autoTitleDeleted val="0"/>
    <c:plotArea>
      <c:layout>
        <c:manualLayout>
          <c:layoutTarget val="inner"/>
          <c:xMode val="edge"/>
          <c:yMode val="edge"/>
          <c:x val="0.24386503067484663"/>
          <c:y val="0.11988304093567251"/>
          <c:w val="0.69325153374233128"/>
          <c:h val="0.74269005847953218"/>
        </c:manualLayout>
      </c:layout>
      <c:barChart>
        <c:barDir val="bar"/>
        <c:grouping val="clustered"/>
        <c:varyColors val="0"/>
        <c:ser>
          <c:idx val="0"/>
          <c:order val="0"/>
          <c:tx>
            <c:strRef>
              <c:f>'Standard Ertragsphase'!$B$146</c:f>
              <c:strCache>
                <c:ptCount val="1"/>
                <c:pt idx="0">
                  <c:v>Standard</c:v>
                </c:pt>
              </c:strCache>
            </c:strRef>
          </c:tx>
          <c:spPr>
            <a:solidFill>
              <a:srgbClr val="000080"/>
            </a:solidFill>
            <a:ln w="12700">
              <a:solidFill>
                <a:srgbClr val="000000"/>
              </a:solidFill>
              <a:prstDash val="solid"/>
            </a:ln>
          </c:spPr>
          <c:invertIfNegative val="0"/>
          <c:cat>
            <c:strRef>
              <c:f>Eingabeseite!$G$112:$G$115</c:f>
              <c:strCache>
                <c:ptCount val="4"/>
                <c:pt idx="0">
                  <c:v>Ernte baumfallend und auflesen</c:v>
                </c:pt>
                <c:pt idx="1">
                  <c:v>Baumerziehung</c:v>
                </c:pt>
                <c:pt idx="2">
                  <c:v>Behangsregulierung</c:v>
                </c:pt>
                <c:pt idx="3">
                  <c:v>übrige Arbeiten</c:v>
                </c:pt>
              </c:strCache>
            </c:strRef>
          </c:cat>
          <c:val>
            <c:numRef>
              <c:f>Eingabeseite!$H$112:$H$115</c:f>
              <c:numCache>
                <c:formatCode>#,##0\ "Fr."</c:formatCode>
                <c:ptCount val="4"/>
                <c:pt idx="0">
                  <c:v>5383.7860824742274</c:v>
                </c:pt>
                <c:pt idx="1">
                  <c:v>3924.0000000000005</c:v>
                </c:pt>
                <c:pt idx="2">
                  <c:v>4551</c:v>
                </c:pt>
                <c:pt idx="3">
                  <c:v>4710.0750000000007</c:v>
                </c:pt>
              </c:numCache>
            </c:numRef>
          </c:val>
          <c:extLst>
            <c:ext xmlns:c16="http://schemas.microsoft.com/office/drawing/2014/chart" uri="{C3380CC4-5D6E-409C-BE32-E72D297353CC}">
              <c16:uniqueId val="{00000000-2B7B-48EA-875D-017EE13DE418}"/>
            </c:ext>
          </c:extLst>
        </c:ser>
        <c:ser>
          <c:idx val="1"/>
          <c:order val="1"/>
          <c:tx>
            <c:strRef>
              <c:f>Eingabeseite!$J$111</c:f>
              <c:strCache>
                <c:ptCount val="1"/>
                <c:pt idx="0">
                  <c:v>Variante </c:v>
                </c:pt>
              </c:strCache>
            </c:strRef>
          </c:tx>
          <c:spPr>
            <a:solidFill>
              <a:srgbClr val="339933"/>
            </a:solidFill>
            <a:ln w="12700">
              <a:solidFill>
                <a:srgbClr val="000000"/>
              </a:solidFill>
              <a:prstDash val="solid"/>
            </a:ln>
          </c:spPr>
          <c:invertIfNegative val="0"/>
          <c:cat>
            <c:strRef>
              <c:f>Eingabeseite!$G$112:$G$115</c:f>
              <c:strCache>
                <c:ptCount val="4"/>
                <c:pt idx="0">
                  <c:v>Ernte baumfallend und auflesen</c:v>
                </c:pt>
                <c:pt idx="1">
                  <c:v>Baumerziehung</c:v>
                </c:pt>
                <c:pt idx="2">
                  <c:v>Behangsregulierung</c:v>
                </c:pt>
                <c:pt idx="3">
                  <c:v>übrige Arbeiten</c:v>
                </c:pt>
              </c:strCache>
            </c:strRef>
          </c:cat>
          <c:val>
            <c:numRef>
              <c:f>Eingabeseite!$J$112:$J$115</c:f>
              <c:numCache>
                <c:formatCode>#,##0\ "Fr."</c:formatCode>
                <c:ptCount val="4"/>
                <c:pt idx="0">
                  <c:v>5383.7860824742274</c:v>
                </c:pt>
                <c:pt idx="1">
                  <c:v>3924.0000000000005</c:v>
                </c:pt>
                <c:pt idx="2">
                  <c:v>4551</c:v>
                </c:pt>
                <c:pt idx="3">
                  <c:v>4710.0750000000007</c:v>
                </c:pt>
              </c:numCache>
            </c:numRef>
          </c:val>
          <c:extLst>
            <c:ext xmlns:c16="http://schemas.microsoft.com/office/drawing/2014/chart" uri="{C3380CC4-5D6E-409C-BE32-E72D297353CC}">
              <c16:uniqueId val="{00000001-2B7B-48EA-875D-017EE13DE418}"/>
            </c:ext>
          </c:extLst>
        </c:ser>
        <c:dLbls>
          <c:showLegendKey val="0"/>
          <c:showVal val="0"/>
          <c:showCatName val="0"/>
          <c:showSerName val="0"/>
          <c:showPercent val="0"/>
          <c:showBubbleSize val="0"/>
        </c:dLbls>
        <c:gapWidth val="150"/>
        <c:axId val="419765464"/>
        <c:axId val="1"/>
      </c:barChart>
      <c:catAx>
        <c:axId val="41976546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424242"/>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0\ &quot;Fr.&quot;"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424242"/>
                </a:solidFill>
                <a:latin typeface="Arial"/>
                <a:ea typeface="Arial"/>
                <a:cs typeface="Arial"/>
              </a:defRPr>
            </a:pPr>
            <a:endParaRPr lang="de-DE"/>
          </a:p>
        </c:txPr>
        <c:crossAx val="419765464"/>
        <c:crosses val="max"/>
        <c:crossBetween val="between"/>
      </c:valAx>
      <c:spPr>
        <a:noFill/>
        <a:ln w="3175">
          <a:solidFill>
            <a:srgbClr val="000000"/>
          </a:solidFill>
          <a:prstDash val="solid"/>
        </a:ln>
      </c:spPr>
    </c:plotArea>
    <c:legend>
      <c:legendPos val="r"/>
      <c:layout>
        <c:manualLayout>
          <c:xMode val="edge"/>
          <c:yMode val="edge"/>
          <c:x val="0.73350923482849606"/>
          <c:y val="0.59064500558119892"/>
          <c:w val="0.15171503957783639"/>
          <c:h val="0.23976679639183029"/>
        </c:manualLayout>
      </c:layout>
      <c:overlay val="0"/>
      <c:spPr>
        <a:solidFill>
          <a:srgbClr val="FFFFFF"/>
        </a:solidFill>
        <a:ln w="3175">
          <a:solidFill>
            <a:srgbClr val="000000"/>
          </a:solidFill>
          <a:prstDash val="solid"/>
        </a:ln>
      </c:spPr>
      <c:txPr>
        <a:bodyPr/>
        <a:lstStyle/>
        <a:p>
          <a:pPr>
            <a:defRPr sz="850"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FFFFFF"/>
    </a:solidFill>
    <a:ln w="25400">
      <a:solidFill>
        <a:srgbClr val="008000"/>
      </a:solidFill>
      <a:prstDash val="solid"/>
    </a:ln>
  </c:spPr>
  <c:txPr>
    <a:bodyPr/>
    <a:lstStyle/>
    <a:p>
      <a:pPr>
        <a:defRPr sz="1150"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75" b="1" i="0" u="sng" strike="noStrike" baseline="0">
                <a:solidFill>
                  <a:srgbClr val="424242"/>
                </a:solidFill>
                <a:latin typeface="Arial"/>
                <a:ea typeface="Arial"/>
                <a:cs typeface="Arial"/>
              </a:defRPr>
            </a:pPr>
            <a:r>
              <a:rPr lang="de-CH"/>
              <a:t>Gliederung der Pflanzenschutzkosten</a:t>
            </a:r>
          </a:p>
        </c:rich>
      </c:tx>
      <c:layout>
        <c:manualLayout>
          <c:xMode val="edge"/>
          <c:yMode val="edge"/>
          <c:x val="0.26204367311228954"/>
          <c:y val="3.0589970501474925E-2"/>
        </c:manualLayout>
      </c:layout>
      <c:overlay val="0"/>
      <c:spPr>
        <a:noFill/>
        <a:ln w="25400">
          <a:noFill/>
        </a:ln>
      </c:spPr>
    </c:title>
    <c:autoTitleDeleted val="0"/>
    <c:plotArea>
      <c:layout>
        <c:manualLayout>
          <c:layoutTarget val="inner"/>
          <c:xMode val="edge"/>
          <c:yMode val="edge"/>
          <c:x val="0.14769734699384904"/>
          <c:y val="9.3954977061773179E-2"/>
          <c:w val="0.80360061912782388"/>
          <c:h val="0.79315480635868985"/>
        </c:manualLayout>
      </c:layout>
      <c:barChart>
        <c:barDir val="bar"/>
        <c:grouping val="clustered"/>
        <c:varyColors val="0"/>
        <c:ser>
          <c:idx val="0"/>
          <c:order val="0"/>
          <c:tx>
            <c:strRef>
              <c:f>'Standard Ertragsphase'!$B$190</c:f>
              <c:strCache>
                <c:ptCount val="1"/>
                <c:pt idx="0">
                  <c:v>Standard</c:v>
                </c:pt>
              </c:strCache>
            </c:strRef>
          </c:tx>
          <c:spPr>
            <a:solidFill>
              <a:srgbClr val="000080"/>
            </a:solidFill>
            <a:ln w="12700">
              <a:solidFill>
                <a:srgbClr val="000000"/>
              </a:solidFill>
              <a:prstDash val="solid"/>
            </a:ln>
          </c:spPr>
          <c:invertIfNegative val="0"/>
          <c:cat>
            <c:strRef>
              <c:f>Eingabeseite!$G$206:$G$208</c:f>
              <c:strCache>
                <c:ptCount val="3"/>
                <c:pt idx="0">
                  <c:v>Material</c:v>
                </c:pt>
                <c:pt idx="1">
                  <c:v>Maschinen</c:v>
                </c:pt>
                <c:pt idx="2">
                  <c:v>Arbeit</c:v>
                </c:pt>
              </c:strCache>
            </c:strRef>
          </c:cat>
          <c:val>
            <c:numRef>
              <c:f>'Standard Ertragsphase'!$B$191:$B$193</c:f>
              <c:numCache>
                <c:formatCode>\ #,##0\ "Fr."</c:formatCode>
                <c:ptCount val="3"/>
                <c:pt idx="0">
                  <c:v>4547.3526000000002</c:v>
                </c:pt>
                <c:pt idx="1">
                  <c:v>991</c:v>
                </c:pt>
                <c:pt idx="2">
                  <c:v>2125.5</c:v>
                </c:pt>
              </c:numCache>
            </c:numRef>
          </c:val>
          <c:extLst>
            <c:ext xmlns:c16="http://schemas.microsoft.com/office/drawing/2014/chart" uri="{C3380CC4-5D6E-409C-BE32-E72D297353CC}">
              <c16:uniqueId val="{00000000-603B-4225-9757-D44D3414ADDF}"/>
            </c:ext>
          </c:extLst>
        </c:ser>
        <c:ser>
          <c:idx val="1"/>
          <c:order val="1"/>
          <c:tx>
            <c:strRef>
              <c:f>Eingabeseite!$J$205</c:f>
              <c:strCache>
                <c:ptCount val="1"/>
                <c:pt idx="0">
                  <c:v>Variante </c:v>
                </c:pt>
              </c:strCache>
            </c:strRef>
          </c:tx>
          <c:spPr>
            <a:solidFill>
              <a:srgbClr val="339933"/>
            </a:solidFill>
            <a:ln w="12700">
              <a:solidFill>
                <a:srgbClr val="000000"/>
              </a:solidFill>
              <a:prstDash val="solid"/>
            </a:ln>
          </c:spPr>
          <c:invertIfNegative val="0"/>
          <c:cat>
            <c:strRef>
              <c:f>Eingabeseite!$G$206:$G$208</c:f>
              <c:strCache>
                <c:ptCount val="3"/>
                <c:pt idx="0">
                  <c:v>Material</c:v>
                </c:pt>
                <c:pt idx="1">
                  <c:v>Maschinen</c:v>
                </c:pt>
                <c:pt idx="2">
                  <c:v>Arbeit</c:v>
                </c:pt>
              </c:strCache>
            </c:strRef>
          </c:cat>
          <c:val>
            <c:numRef>
              <c:f>Eingabeseite!$J$206:$J$208</c:f>
              <c:numCache>
                <c:formatCode>#,##0\ "Fr."</c:formatCode>
                <c:ptCount val="3"/>
                <c:pt idx="0">
                  <c:v>4547.3526000000002</c:v>
                </c:pt>
                <c:pt idx="1">
                  <c:v>991</c:v>
                </c:pt>
                <c:pt idx="2">
                  <c:v>2125.5</c:v>
                </c:pt>
              </c:numCache>
            </c:numRef>
          </c:val>
          <c:extLst>
            <c:ext xmlns:c16="http://schemas.microsoft.com/office/drawing/2014/chart" uri="{C3380CC4-5D6E-409C-BE32-E72D297353CC}">
              <c16:uniqueId val="{00000001-603B-4225-9757-D44D3414ADDF}"/>
            </c:ext>
          </c:extLst>
        </c:ser>
        <c:dLbls>
          <c:showLegendKey val="0"/>
          <c:showVal val="0"/>
          <c:showCatName val="0"/>
          <c:showSerName val="0"/>
          <c:showPercent val="0"/>
          <c:showBubbleSize val="0"/>
        </c:dLbls>
        <c:gapWidth val="100"/>
        <c:axId val="419763496"/>
        <c:axId val="1"/>
      </c:barChart>
      <c:catAx>
        <c:axId val="41976349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424242"/>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max val="3000"/>
        </c:scaling>
        <c:delete val="0"/>
        <c:axPos val="b"/>
        <c:majorGridlines>
          <c:spPr>
            <a:ln w="3175">
              <a:solidFill>
                <a:srgbClr val="000000"/>
              </a:solidFill>
              <a:prstDash val="solid"/>
            </a:ln>
          </c:spPr>
        </c:majorGridlines>
        <c:numFmt formatCode="\ #,##0\ &quot;Fr.&quot;" sourceLinked="1"/>
        <c:majorTickMark val="out"/>
        <c:minorTickMark val="out"/>
        <c:tickLblPos val="nextTo"/>
        <c:spPr>
          <a:ln w="3175">
            <a:solidFill>
              <a:srgbClr val="000000"/>
            </a:solidFill>
            <a:prstDash val="solid"/>
          </a:ln>
        </c:spPr>
        <c:txPr>
          <a:bodyPr rot="0" vert="horz"/>
          <a:lstStyle/>
          <a:p>
            <a:pPr>
              <a:defRPr sz="925" b="0" i="0" u="none" strike="noStrike" baseline="0">
                <a:solidFill>
                  <a:srgbClr val="424242"/>
                </a:solidFill>
                <a:latin typeface="Arial"/>
                <a:ea typeface="Arial"/>
                <a:cs typeface="Arial"/>
              </a:defRPr>
            </a:pPr>
            <a:endParaRPr lang="de-DE"/>
          </a:p>
        </c:txPr>
        <c:crossAx val="419763496"/>
        <c:crosses val="max"/>
        <c:crossBetween val="between"/>
        <c:majorUnit val="500"/>
        <c:minorUnit val="100"/>
      </c:valAx>
      <c:spPr>
        <a:noFill/>
        <a:ln w="3175">
          <a:solidFill>
            <a:srgbClr val="000000"/>
          </a:solidFill>
          <a:prstDash val="solid"/>
        </a:ln>
      </c:spPr>
    </c:plotArea>
    <c:legend>
      <c:legendPos val="r"/>
      <c:layout>
        <c:manualLayout>
          <c:xMode val="edge"/>
          <c:yMode val="edge"/>
          <c:x val="0.75782412912671626"/>
          <c:y val="0.1091313032773558"/>
          <c:w val="0.16734722445408612"/>
          <c:h val="0.18262815599377508"/>
        </c:manualLayout>
      </c:layout>
      <c:overlay val="0"/>
      <c:spPr>
        <a:solidFill>
          <a:srgbClr val="FFFFFF"/>
        </a:solidFill>
        <a:ln w="3175">
          <a:solidFill>
            <a:srgbClr val="000000"/>
          </a:solidFill>
          <a:prstDash val="solid"/>
        </a:ln>
      </c:spPr>
      <c:txPr>
        <a:bodyPr/>
        <a:lstStyle/>
        <a:p>
          <a:pPr>
            <a:defRPr sz="850"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75" b="1" i="0" u="sng" strike="noStrike" baseline="0">
                <a:solidFill>
                  <a:srgbClr val="424242"/>
                </a:solidFill>
                <a:latin typeface="Arial"/>
                <a:ea typeface="Arial"/>
                <a:cs typeface="Arial"/>
              </a:defRPr>
            </a:pPr>
            <a:r>
              <a:rPr lang="de-CH"/>
              <a:t>Anteil der Pflanzenschutzmittelkosten</a:t>
            </a:r>
          </a:p>
        </c:rich>
      </c:tx>
      <c:layout>
        <c:manualLayout>
          <c:xMode val="edge"/>
          <c:yMode val="edge"/>
          <c:x val="0.26045558590890427"/>
          <c:y val="3.3361891939673344E-2"/>
        </c:manualLayout>
      </c:layout>
      <c:overlay val="0"/>
      <c:spPr>
        <a:noFill/>
        <a:ln w="25400">
          <a:noFill/>
        </a:ln>
      </c:spPr>
    </c:title>
    <c:autoTitleDeleted val="0"/>
    <c:plotArea>
      <c:layout>
        <c:manualLayout>
          <c:layoutTarget val="inner"/>
          <c:xMode val="edge"/>
          <c:yMode val="edge"/>
          <c:x val="0.25092667553793707"/>
          <c:y val="0.15911061656366379"/>
          <c:w val="0.69560686003554717"/>
          <c:h val="0.72369667533795468"/>
        </c:manualLayout>
      </c:layout>
      <c:barChart>
        <c:barDir val="bar"/>
        <c:grouping val="clustered"/>
        <c:varyColors val="0"/>
        <c:ser>
          <c:idx val="0"/>
          <c:order val="0"/>
          <c:tx>
            <c:strRef>
              <c:f>'Standard Ertragsphase'!$B$190</c:f>
              <c:strCache>
                <c:ptCount val="1"/>
                <c:pt idx="0">
                  <c:v>Standard</c:v>
                </c:pt>
              </c:strCache>
            </c:strRef>
          </c:tx>
          <c:spPr>
            <a:solidFill>
              <a:srgbClr val="000080"/>
            </a:solidFill>
            <a:ln w="12700">
              <a:solidFill>
                <a:srgbClr val="000000"/>
              </a:solidFill>
              <a:prstDash val="solid"/>
            </a:ln>
          </c:spPr>
          <c:invertIfNegative val="0"/>
          <c:cat>
            <c:strRef>
              <c:f>Eingabeseite!$G$188:$G$189</c:f>
              <c:strCache>
                <c:ptCount val="2"/>
                <c:pt idx="0">
                  <c:v>Pflanzenschutz (Material, Maschinen, Arbeit&gt;)</c:v>
                </c:pt>
                <c:pt idx="1">
                  <c:v>übrige Produktionskosten</c:v>
                </c:pt>
              </c:strCache>
            </c:strRef>
          </c:cat>
          <c:val>
            <c:numRef>
              <c:f>'Standard Ertragsphase'!$B$187:$B$188</c:f>
              <c:numCache>
                <c:formatCode>\ #,##0\ "Fr."</c:formatCode>
                <c:ptCount val="2"/>
                <c:pt idx="0">
                  <c:v>7663.8526000000002</c:v>
                </c:pt>
                <c:pt idx="1">
                  <c:v>44240.796880669368</c:v>
                </c:pt>
              </c:numCache>
            </c:numRef>
          </c:val>
          <c:extLst>
            <c:ext xmlns:c16="http://schemas.microsoft.com/office/drawing/2014/chart" uri="{C3380CC4-5D6E-409C-BE32-E72D297353CC}">
              <c16:uniqueId val="{00000000-4610-41A1-9B27-0E1C316BB07B}"/>
            </c:ext>
          </c:extLst>
        </c:ser>
        <c:ser>
          <c:idx val="1"/>
          <c:order val="1"/>
          <c:tx>
            <c:strRef>
              <c:f>Eingabeseite!$J$187</c:f>
              <c:strCache>
                <c:ptCount val="1"/>
                <c:pt idx="0">
                  <c:v>Variante </c:v>
                </c:pt>
              </c:strCache>
            </c:strRef>
          </c:tx>
          <c:spPr>
            <a:solidFill>
              <a:srgbClr val="008000"/>
            </a:solidFill>
            <a:ln w="12700">
              <a:solidFill>
                <a:srgbClr val="000000"/>
              </a:solidFill>
              <a:prstDash val="solid"/>
            </a:ln>
          </c:spPr>
          <c:invertIfNegative val="0"/>
          <c:cat>
            <c:strRef>
              <c:f>Eingabeseite!$G$188:$G$189</c:f>
              <c:strCache>
                <c:ptCount val="2"/>
                <c:pt idx="0">
                  <c:v>Pflanzenschutz (Material, Maschinen, Arbeit&gt;)</c:v>
                </c:pt>
                <c:pt idx="1">
                  <c:v>übrige Produktionskosten</c:v>
                </c:pt>
              </c:strCache>
            </c:strRef>
          </c:cat>
          <c:val>
            <c:numRef>
              <c:f>Eingabeseite!$J$188:$J$189</c:f>
              <c:numCache>
                <c:formatCode>#,##0\ "Fr."</c:formatCode>
                <c:ptCount val="2"/>
                <c:pt idx="0">
                  <c:v>7663.8526000000002</c:v>
                </c:pt>
                <c:pt idx="1">
                  <c:v>44240.825614960406</c:v>
                </c:pt>
              </c:numCache>
            </c:numRef>
          </c:val>
          <c:extLst>
            <c:ext xmlns:c16="http://schemas.microsoft.com/office/drawing/2014/chart" uri="{C3380CC4-5D6E-409C-BE32-E72D297353CC}">
              <c16:uniqueId val="{00000001-4610-41A1-9B27-0E1C316BB07B}"/>
            </c:ext>
          </c:extLst>
        </c:ser>
        <c:dLbls>
          <c:showLegendKey val="0"/>
          <c:showVal val="0"/>
          <c:showCatName val="0"/>
          <c:showSerName val="0"/>
          <c:showPercent val="0"/>
          <c:showBubbleSize val="0"/>
        </c:dLbls>
        <c:gapWidth val="150"/>
        <c:axId val="419763168"/>
        <c:axId val="1"/>
      </c:barChart>
      <c:catAx>
        <c:axId val="419763168"/>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424242"/>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 #,##0\ &quot;Fr.&quot;"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424242"/>
                </a:solidFill>
                <a:latin typeface="Arial"/>
                <a:ea typeface="Arial"/>
                <a:cs typeface="Arial"/>
              </a:defRPr>
            </a:pPr>
            <a:endParaRPr lang="de-DE"/>
          </a:p>
        </c:txPr>
        <c:crossAx val="419763168"/>
        <c:crosses val="max"/>
        <c:crossBetween val="between"/>
      </c:valAx>
      <c:spPr>
        <a:noFill/>
        <a:ln w="3175">
          <a:solidFill>
            <a:srgbClr val="000000"/>
          </a:solidFill>
          <a:prstDash val="solid"/>
        </a:ln>
      </c:spPr>
    </c:plotArea>
    <c:legend>
      <c:legendPos val="r"/>
      <c:layout>
        <c:manualLayout>
          <c:xMode val="edge"/>
          <c:yMode val="edge"/>
          <c:x val="0.72653161211991357"/>
          <c:y val="0.18701317775692547"/>
          <c:w val="0.16326559180102485"/>
          <c:h val="0.21298736621652861"/>
        </c:manualLayout>
      </c:layout>
      <c:overlay val="0"/>
      <c:spPr>
        <a:solidFill>
          <a:srgbClr val="FFFFFF"/>
        </a:solidFill>
        <a:ln w="3175">
          <a:solidFill>
            <a:srgbClr val="000000"/>
          </a:solidFill>
          <a:prstDash val="solid"/>
        </a:ln>
      </c:spPr>
      <c:txPr>
        <a:bodyPr/>
        <a:lstStyle/>
        <a:p>
          <a:pPr>
            <a:defRPr sz="850" b="0" i="0" u="none" strike="noStrike" baseline="0">
              <a:solidFill>
                <a:srgbClr val="424242"/>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424242"/>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microsoft.com/office/2007/relationships/hdphoto" Target="../media/hdphoto1.wdp"/><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chart" Target="../charts/chart14.xml"/><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chart" Target="../charts/chart13.xml"/><Relationship Id="rId4" Type="http://schemas.microsoft.com/office/2007/relationships/hdphoto" Target="../media/hdphoto1.wdp"/></Relationships>
</file>

<file path=xl/drawings/_rels/drawing9.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66675</xdr:colOff>
      <xdr:row>10</xdr:row>
      <xdr:rowOff>76200</xdr:rowOff>
    </xdr:from>
    <xdr:to>
      <xdr:col>9</xdr:col>
      <xdr:colOff>1647825</xdr:colOff>
      <xdr:row>29</xdr:row>
      <xdr:rowOff>180975</xdr:rowOff>
    </xdr:to>
    <xdr:graphicFrame macro="">
      <xdr:nvGraphicFramePr>
        <xdr:cNvPr id="1858849"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xdr:row>
      <xdr:rowOff>0</xdr:rowOff>
    </xdr:from>
    <xdr:to>
      <xdr:col>0</xdr:col>
      <xdr:colOff>870857</xdr:colOff>
      <xdr:row>8</xdr:row>
      <xdr:rowOff>231321</xdr:rowOff>
    </xdr:to>
    <xdr:sp macro="" textlink="">
      <xdr:nvSpPr>
        <xdr:cNvPr id="22598" name="Text Box 70"/>
        <xdr:cNvSpPr txBox="1">
          <a:spLocks noChangeArrowheads="1"/>
        </xdr:cNvSpPr>
      </xdr:nvSpPr>
      <xdr:spPr bwMode="auto">
        <a:xfrm>
          <a:off x="0" y="1578429"/>
          <a:ext cx="870857" cy="1197428"/>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endParaRPr lang="de-CH" sz="1400" b="1" i="0" u="none" strike="noStrike" baseline="0">
            <a:solidFill>
              <a:srgbClr val="000000"/>
            </a:solidFill>
            <a:latin typeface="Arial"/>
            <a:cs typeface="Arial"/>
          </a:endParaRPr>
        </a:p>
        <a:p>
          <a:pPr algn="l" rtl="0">
            <a:defRPr sz="1000"/>
          </a:pPr>
          <a:r>
            <a:rPr lang="de-CH" sz="1400" b="1" i="0" u="none" strike="noStrike" baseline="0">
              <a:solidFill>
                <a:srgbClr val="000000"/>
              </a:solidFill>
              <a:latin typeface="Arial"/>
              <a:cs typeface="Arial"/>
            </a:rPr>
            <a:t>Preis</a:t>
          </a:r>
        </a:p>
      </xdr:txBody>
    </xdr:sp>
    <xdr:clientData/>
  </xdr:twoCellAnchor>
  <xdr:twoCellAnchor>
    <xdr:from>
      <xdr:col>0</xdr:col>
      <xdr:colOff>0</xdr:colOff>
      <xdr:row>9</xdr:row>
      <xdr:rowOff>0</xdr:rowOff>
    </xdr:from>
    <xdr:to>
      <xdr:col>0</xdr:col>
      <xdr:colOff>887734</xdr:colOff>
      <xdr:row>14</xdr:row>
      <xdr:rowOff>19094</xdr:rowOff>
    </xdr:to>
    <xdr:sp macro="" textlink="">
      <xdr:nvSpPr>
        <xdr:cNvPr id="22599" name="Text Box 71"/>
        <xdr:cNvSpPr txBox="1">
          <a:spLocks noChangeArrowheads="1"/>
        </xdr:cNvSpPr>
      </xdr:nvSpPr>
      <xdr:spPr bwMode="auto">
        <a:xfrm>
          <a:off x="0" y="2543175"/>
          <a:ext cx="885825" cy="87630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endParaRPr lang="de-CH" sz="1400" b="1" i="0" u="none" strike="noStrike" baseline="0">
            <a:solidFill>
              <a:srgbClr val="000000"/>
            </a:solidFill>
            <a:latin typeface="Arial"/>
            <a:cs typeface="Arial"/>
          </a:endParaRPr>
        </a:p>
        <a:p>
          <a:pPr algn="l" rtl="0">
            <a:defRPr sz="1000"/>
          </a:pPr>
          <a:r>
            <a:rPr lang="de-CH" sz="1400" b="1" i="0" u="none" strike="noStrike" baseline="0">
              <a:solidFill>
                <a:srgbClr val="000000"/>
              </a:solidFill>
              <a:latin typeface="Arial"/>
              <a:cs typeface="Arial"/>
            </a:rPr>
            <a:t>Qualität</a:t>
          </a:r>
        </a:p>
      </xdr:txBody>
    </xdr:sp>
    <xdr:clientData/>
  </xdr:twoCellAnchor>
  <xdr:twoCellAnchor>
    <xdr:from>
      <xdr:col>0</xdr:col>
      <xdr:colOff>66675</xdr:colOff>
      <xdr:row>128</xdr:row>
      <xdr:rowOff>95250</xdr:rowOff>
    </xdr:from>
    <xdr:to>
      <xdr:col>5</xdr:col>
      <xdr:colOff>161925</xdr:colOff>
      <xdr:row>150</xdr:row>
      <xdr:rowOff>76200</xdr:rowOff>
    </xdr:to>
    <xdr:graphicFrame macro="">
      <xdr:nvGraphicFramePr>
        <xdr:cNvPr id="1858852" name="Chart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285</xdr:row>
      <xdr:rowOff>123825</xdr:rowOff>
    </xdr:from>
    <xdr:to>
      <xdr:col>4</xdr:col>
      <xdr:colOff>9525</xdr:colOff>
      <xdr:row>339</xdr:row>
      <xdr:rowOff>85725</xdr:rowOff>
    </xdr:to>
    <xdr:graphicFrame macro="">
      <xdr:nvGraphicFramePr>
        <xdr:cNvPr id="1858853"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75</xdr:row>
      <xdr:rowOff>209550</xdr:rowOff>
    </xdr:from>
    <xdr:to>
      <xdr:col>5</xdr:col>
      <xdr:colOff>171450</xdr:colOff>
      <xdr:row>87</xdr:row>
      <xdr:rowOff>190500</xdr:rowOff>
    </xdr:to>
    <xdr:graphicFrame macro="">
      <xdr:nvGraphicFramePr>
        <xdr:cNvPr id="1858854" name="Chart 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9525</xdr:colOff>
      <xdr:row>285</xdr:row>
      <xdr:rowOff>123825</xdr:rowOff>
    </xdr:from>
    <xdr:to>
      <xdr:col>9</xdr:col>
      <xdr:colOff>1581150</xdr:colOff>
      <xdr:row>339</xdr:row>
      <xdr:rowOff>66675</xdr:rowOff>
    </xdr:to>
    <xdr:graphicFrame macro="">
      <xdr:nvGraphicFramePr>
        <xdr:cNvPr id="1858855"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57150</xdr:colOff>
      <xdr:row>91</xdr:row>
      <xdr:rowOff>114300</xdr:rowOff>
    </xdr:from>
    <xdr:to>
      <xdr:col>5</xdr:col>
      <xdr:colOff>114300</xdr:colOff>
      <xdr:row>104</xdr:row>
      <xdr:rowOff>104775</xdr:rowOff>
    </xdr:to>
    <xdr:graphicFrame macro="">
      <xdr:nvGraphicFramePr>
        <xdr:cNvPr id="1858856" name="Chart 1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38100</xdr:colOff>
      <xdr:row>108</xdr:row>
      <xdr:rowOff>28575</xdr:rowOff>
    </xdr:from>
    <xdr:to>
      <xdr:col>5</xdr:col>
      <xdr:colOff>133350</xdr:colOff>
      <xdr:row>125</xdr:row>
      <xdr:rowOff>38100</xdr:rowOff>
    </xdr:to>
    <xdr:graphicFrame macro="">
      <xdr:nvGraphicFramePr>
        <xdr:cNvPr id="1858857" name="Chart 1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204</xdr:row>
      <xdr:rowOff>142875</xdr:rowOff>
    </xdr:from>
    <xdr:to>
      <xdr:col>4</xdr:col>
      <xdr:colOff>28575</xdr:colOff>
      <xdr:row>226</xdr:row>
      <xdr:rowOff>95250</xdr:rowOff>
    </xdr:to>
    <xdr:graphicFrame macro="">
      <xdr:nvGraphicFramePr>
        <xdr:cNvPr id="1858858" name="Chart 1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38100</xdr:colOff>
      <xdr:row>181</xdr:row>
      <xdr:rowOff>133350</xdr:rowOff>
    </xdr:from>
    <xdr:to>
      <xdr:col>4</xdr:col>
      <xdr:colOff>38100</xdr:colOff>
      <xdr:row>197</xdr:row>
      <xdr:rowOff>152400</xdr:rowOff>
    </xdr:to>
    <xdr:graphicFrame macro="">
      <xdr:nvGraphicFramePr>
        <xdr:cNvPr id="1858859" name="Chart 1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95250</xdr:colOff>
      <xdr:row>230</xdr:row>
      <xdr:rowOff>133350</xdr:rowOff>
    </xdr:from>
    <xdr:to>
      <xdr:col>4</xdr:col>
      <xdr:colOff>76200</xdr:colOff>
      <xdr:row>252</xdr:row>
      <xdr:rowOff>66675</xdr:rowOff>
    </xdr:to>
    <xdr:graphicFrame macro="">
      <xdr:nvGraphicFramePr>
        <xdr:cNvPr id="1858860" name="Chart 1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256</xdr:row>
      <xdr:rowOff>142875</xdr:rowOff>
    </xdr:from>
    <xdr:to>
      <xdr:col>4</xdr:col>
      <xdr:colOff>57150</xdr:colOff>
      <xdr:row>278</xdr:row>
      <xdr:rowOff>38100</xdr:rowOff>
    </xdr:to>
    <xdr:graphicFrame macro="">
      <xdr:nvGraphicFramePr>
        <xdr:cNvPr id="1858861" name="Chart 1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76200</xdr:colOff>
      <xdr:row>154</xdr:row>
      <xdr:rowOff>114300</xdr:rowOff>
    </xdr:from>
    <xdr:to>
      <xdr:col>4</xdr:col>
      <xdr:colOff>76200</xdr:colOff>
      <xdr:row>177</xdr:row>
      <xdr:rowOff>28575</xdr:rowOff>
    </xdr:to>
    <xdr:graphicFrame macro="">
      <xdr:nvGraphicFramePr>
        <xdr:cNvPr id="1858862" name="Chart 1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0</xdr:colOff>
      <xdr:row>5</xdr:row>
      <xdr:rowOff>13024</xdr:rowOff>
    </xdr:from>
    <xdr:to>
      <xdr:col>8</xdr:col>
      <xdr:colOff>9525</xdr:colOff>
      <xdr:row>9</xdr:row>
      <xdr:rowOff>229378</xdr:rowOff>
    </xdr:to>
    <xdr:sp macro="" textlink="">
      <xdr:nvSpPr>
        <xdr:cNvPr id="1858863" name="Rectangle 234"/>
        <xdr:cNvSpPr>
          <a:spLocks noChangeArrowheads="1"/>
        </xdr:cNvSpPr>
      </xdr:nvSpPr>
      <xdr:spPr bwMode="auto">
        <a:xfrm>
          <a:off x="11181184" y="1575901"/>
          <a:ext cx="1533525" cy="1452661"/>
        </a:xfrm>
        <a:prstGeom prst="rect">
          <a:avLst/>
        </a:prstGeom>
        <a:noFill/>
        <a:ln w="38100">
          <a:solidFill>
            <a:srgbClr val="000080"/>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xdr:colOff>
      <xdr:row>5</xdr:row>
      <xdr:rowOff>9525</xdr:rowOff>
    </xdr:from>
    <xdr:to>
      <xdr:col>10</xdr:col>
      <xdr:colOff>0</xdr:colOff>
      <xdr:row>9</xdr:row>
      <xdr:rowOff>323850</xdr:rowOff>
    </xdr:to>
    <xdr:sp macro="" textlink="">
      <xdr:nvSpPr>
        <xdr:cNvPr id="1858864" name="Rectangle 235"/>
        <xdr:cNvSpPr>
          <a:spLocks noChangeArrowheads="1"/>
        </xdr:cNvSpPr>
      </xdr:nvSpPr>
      <xdr:spPr bwMode="auto">
        <a:xfrm>
          <a:off x="12725400" y="1581150"/>
          <a:ext cx="1381125" cy="1285875"/>
        </a:xfrm>
        <a:prstGeom prst="rect">
          <a:avLst/>
        </a:prstGeom>
        <a:noFill/>
        <a:ln w="38100">
          <a:solidFill>
            <a:srgbClr val="339933"/>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2</xdr:col>
      <xdr:colOff>885629</xdr:colOff>
      <xdr:row>4</xdr:row>
      <xdr:rowOff>303243</xdr:rowOff>
    </xdr:from>
    <xdr:to>
      <xdr:col>3</xdr:col>
      <xdr:colOff>1433026</xdr:colOff>
      <xdr:row>35</xdr:row>
      <xdr:rowOff>15550</xdr:rowOff>
    </xdr:to>
    <xdr:sp macro="" textlink="">
      <xdr:nvSpPr>
        <xdr:cNvPr id="1858865" name="Rectangle 236"/>
        <xdr:cNvSpPr>
          <a:spLocks noChangeArrowheads="1"/>
        </xdr:cNvSpPr>
      </xdr:nvSpPr>
      <xdr:spPr bwMode="auto">
        <a:xfrm>
          <a:off x="5908609" y="1523999"/>
          <a:ext cx="1433804" cy="7767735"/>
        </a:xfrm>
        <a:prstGeom prst="rect">
          <a:avLst/>
        </a:prstGeom>
        <a:noFill/>
        <a:ln w="38100">
          <a:solidFill>
            <a:srgbClr val="339933"/>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txBody>
        <a:bodyPr/>
        <a:lstStyle/>
        <a:p>
          <a:endParaRPr lang="de-CH"/>
        </a:p>
      </xdr:txBody>
    </xdr:sp>
    <xdr:clientData/>
  </xdr:twoCellAnchor>
  <xdr:twoCellAnchor>
    <xdr:from>
      <xdr:col>1</xdr:col>
      <xdr:colOff>7774</xdr:colOff>
      <xdr:row>5</xdr:row>
      <xdr:rowOff>1748</xdr:rowOff>
    </xdr:from>
    <xdr:to>
      <xdr:col>2</xdr:col>
      <xdr:colOff>17299</xdr:colOff>
      <xdr:row>34</xdr:row>
      <xdr:rowOff>295468</xdr:rowOff>
    </xdr:to>
    <xdr:sp macro="" textlink="">
      <xdr:nvSpPr>
        <xdr:cNvPr id="1858866" name="Rectangle 237"/>
        <xdr:cNvSpPr>
          <a:spLocks noChangeArrowheads="1"/>
        </xdr:cNvSpPr>
      </xdr:nvSpPr>
      <xdr:spPr bwMode="auto">
        <a:xfrm>
          <a:off x="3607835" y="1564625"/>
          <a:ext cx="1432444" cy="7703782"/>
        </a:xfrm>
        <a:prstGeom prst="rect">
          <a:avLst/>
        </a:prstGeom>
        <a:noFill/>
        <a:ln w="38100">
          <a:solidFill>
            <a:srgbClr val="000080"/>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39</xdr:row>
      <xdr:rowOff>28575</xdr:rowOff>
    </xdr:from>
    <xdr:to>
      <xdr:col>1</xdr:col>
      <xdr:colOff>1323975</xdr:colOff>
      <xdr:row>52</xdr:row>
      <xdr:rowOff>276225</xdr:rowOff>
    </xdr:to>
    <xdr:sp macro="" textlink="">
      <xdr:nvSpPr>
        <xdr:cNvPr id="1858867" name="Rectangle 238"/>
        <xdr:cNvSpPr>
          <a:spLocks noChangeArrowheads="1"/>
        </xdr:cNvSpPr>
      </xdr:nvSpPr>
      <xdr:spPr bwMode="auto">
        <a:xfrm>
          <a:off x="3390900" y="10429875"/>
          <a:ext cx="1323975" cy="5553075"/>
        </a:xfrm>
        <a:prstGeom prst="rect">
          <a:avLst/>
        </a:prstGeom>
        <a:noFill/>
        <a:ln w="38100">
          <a:solidFill>
            <a:srgbClr val="000080"/>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39</xdr:row>
      <xdr:rowOff>0</xdr:rowOff>
    </xdr:from>
    <xdr:to>
      <xdr:col>3</xdr:col>
      <xdr:colOff>1276350</xdr:colOff>
      <xdr:row>53</xdr:row>
      <xdr:rowOff>0</xdr:rowOff>
    </xdr:to>
    <xdr:sp macro="" textlink="">
      <xdr:nvSpPr>
        <xdr:cNvPr id="1858868" name="Rectangle 239"/>
        <xdr:cNvSpPr>
          <a:spLocks noChangeArrowheads="1"/>
        </xdr:cNvSpPr>
      </xdr:nvSpPr>
      <xdr:spPr bwMode="auto">
        <a:xfrm>
          <a:off x="5638800" y="10401300"/>
          <a:ext cx="1276350" cy="5591175"/>
        </a:xfrm>
        <a:prstGeom prst="rect">
          <a:avLst/>
        </a:prstGeom>
        <a:noFill/>
        <a:ln w="38100">
          <a:solidFill>
            <a:srgbClr val="339933"/>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39</xdr:row>
      <xdr:rowOff>28575</xdr:rowOff>
    </xdr:from>
    <xdr:to>
      <xdr:col>8</xdr:col>
      <xdr:colOff>9525</xdr:colOff>
      <xdr:row>53</xdr:row>
      <xdr:rowOff>0</xdr:rowOff>
    </xdr:to>
    <xdr:sp macro="" textlink="">
      <xdr:nvSpPr>
        <xdr:cNvPr id="1858869" name="Rectangle 240"/>
        <xdr:cNvSpPr>
          <a:spLocks noChangeArrowheads="1"/>
        </xdr:cNvSpPr>
      </xdr:nvSpPr>
      <xdr:spPr bwMode="auto">
        <a:xfrm>
          <a:off x="10544175" y="10429875"/>
          <a:ext cx="1447800" cy="5562600"/>
        </a:xfrm>
        <a:prstGeom prst="rect">
          <a:avLst/>
        </a:prstGeom>
        <a:noFill/>
        <a:ln w="38100">
          <a:solidFill>
            <a:srgbClr val="000080"/>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xdr:colOff>
      <xdr:row>39</xdr:row>
      <xdr:rowOff>0</xdr:rowOff>
    </xdr:from>
    <xdr:to>
      <xdr:col>10</xdr:col>
      <xdr:colOff>28575</xdr:colOff>
      <xdr:row>53</xdr:row>
      <xdr:rowOff>0</xdr:rowOff>
    </xdr:to>
    <xdr:sp macro="" textlink="">
      <xdr:nvSpPr>
        <xdr:cNvPr id="1858870" name="Rectangle 241"/>
        <xdr:cNvSpPr>
          <a:spLocks noChangeArrowheads="1"/>
        </xdr:cNvSpPr>
      </xdr:nvSpPr>
      <xdr:spPr bwMode="auto">
        <a:xfrm>
          <a:off x="12725400" y="10401300"/>
          <a:ext cx="1409700" cy="5591175"/>
        </a:xfrm>
        <a:prstGeom prst="rect">
          <a:avLst/>
        </a:prstGeom>
        <a:noFill/>
        <a:ln w="38100">
          <a:solidFill>
            <a:srgbClr val="339933"/>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78</xdr:row>
      <xdr:rowOff>28575</xdr:rowOff>
    </xdr:from>
    <xdr:to>
      <xdr:col>8</xdr:col>
      <xdr:colOff>0</xdr:colOff>
      <xdr:row>85</xdr:row>
      <xdr:rowOff>228600</xdr:rowOff>
    </xdr:to>
    <xdr:sp macro="" textlink="">
      <xdr:nvSpPr>
        <xdr:cNvPr id="1858871" name="Rectangle 242"/>
        <xdr:cNvSpPr>
          <a:spLocks noChangeArrowheads="1"/>
        </xdr:cNvSpPr>
      </xdr:nvSpPr>
      <xdr:spPr bwMode="auto">
        <a:xfrm>
          <a:off x="10544175" y="23660100"/>
          <a:ext cx="1438275" cy="1809750"/>
        </a:xfrm>
        <a:prstGeom prst="rect">
          <a:avLst/>
        </a:prstGeom>
        <a:noFill/>
        <a:ln w="38100">
          <a:solidFill>
            <a:srgbClr val="000080"/>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93</xdr:row>
      <xdr:rowOff>28575</xdr:rowOff>
    </xdr:from>
    <xdr:to>
      <xdr:col>7</xdr:col>
      <xdr:colOff>1343025</xdr:colOff>
      <xdr:row>99</xdr:row>
      <xdr:rowOff>0</xdr:rowOff>
    </xdr:to>
    <xdr:sp macro="" textlink="">
      <xdr:nvSpPr>
        <xdr:cNvPr id="1858872" name="Rectangle 243"/>
        <xdr:cNvSpPr>
          <a:spLocks noChangeArrowheads="1"/>
        </xdr:cNvSpPr>
      </xdr:nvSpPr>
      <xdr:spPr bwMode="auto">
        <a:xfrm>
          <a:off x="10544175" y="26908125"/>
          <a:ext cx="1343025" cy="1543050"/>
        </a:xfrm>
        <a:prstGeom prst="rect">
          <a:avLst/>
        </a:prstGeom>
        <a:noFill/>
        <a:ln w="38100">
          <a:solidFill>
            <a:srgbClr val="000080"/>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111</xdr:row>
      <xdr:rowOff>28575</xdr:rowOff>
    </xdr:from>
    <xdr:to>
      <xdr:col>8</xdr:col>
      <xdr:colOff>0</xdr:colOff>
      <xdr:row>120</xdr:row>
      <xdr:rowOff>161925</xdr:rowOff>
    </xdr:to>
    <xdr:sp macro="" textlink="">
      <xdr:nvSpPr>
        <xdr:cNvPr id="1858873" name="Rectangle 244"/>
        <xdr:cNvSpPr>
          <a:spLocks noChangeArrowheads="1"/>
        </xdr:cNvSpPr>
      </xdr:nvSpPr>
      <xdr:spPr bwMode="auto">
        <a:xfrm>
          <a:off x="10544175" y="30603825"/>
          <a:ext cx="1438275" cy="1962150"/>
        </a:xfrm>
        <a:prstGeom prst="rect">
          <a:avLst/>
        </a:prstGeom>
        <a:noFill/>
        <a:ln w="38100">
          <a:solidFill>
            <a:srgbClr val="000080"/>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133</xdr:row>
      <xdr:rowOff>28575</xdr:rowOff>
    </xdr:from>
    <xdr:to>
      <xdr:col>8</xdr:col>
      <xdr:colOff>0</xdr:colOff>
      <xdr:row>143</xdr:row>
      <xdr:rowOff>38100</xdr:rowOff>
    </xdr:to>
    <xdr:sp macro="" textlink="">
      <xdr:nvSpPr>
        <xdr:cNvPr id="1858874" name="Rectangle 245"/>
        <xdr:cNvSpPr>
          <a:spLocks noChangeArrowheads="1"/>
        </xdr:cNvSpPr>
      </xdr:nvSpPr>
      <xdr:spPr bwMode="auto">
        <a:xfrm>
          <a:off x="10544175" y="34661475"/>
          <a:ext cx="1438275" cy="1819275"/>
        </a:xfrm>
        <a:prstGeom prst="rect">
          <a:avLst/>
        </a:prstGeom>
        <a:noFill/>
        <a:ln w="38100">
          <a:solidFill>
            <a:srgbClr val="000080"/>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156</xdr:row>
      <xdr:rowOff>28575</xdr:rowOff>
    </xdr:from>
    <xdr:to>
      <xdr:col>8</xdr:col>
      <xdr:colOff>28575</xdr:colOff>
      <xdr:row>162</xdr:row>
      <xdr:rowOff>0</xdr:rowOff>
    </xdr:to>
    <xdr:sp macro="" textlink="">
      <xdr:nvSpPr>
        <xdr:cNvPr id="1858875" name="Rectangle 246"/>
        <xdr:cNvSpPr>
          <a:spLocks noChangeArrowheads="1"/>
        </xdr:cNvSpPr>
      </xdr:nvSpPr>
      <xdr:spPr bwMode="auto">
        <a:xfrm>
          <a:off x="10544175" y="39452550"/>
          <a:ext cx="1466850" cy="1000125"/>
        </a:xfrm>
        <a:prstGeom prst="rect">
          <a:avLst/>
        </a:prstGeom>
        <a:noFill/>
        <a:ln w="38100">
          <a:solidFill>
            <a:srgbClr val="000080"/>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187</xdr:row>
      <xdr:rowOff>28575</xdr:rowOff>
    </xdr:from>
    <xdr:to>
      <xdr:col>7</xdr:col>
      <xdr:colOff>1333500</xdr:colOff>
      <xdr:row>193</xdr:row>
      <xdr:rowOff>9525</xdr:rowOff>
    </xdr:to>
    <xdr:sp macro="" textlink="">
      <xdr:nvSpPr>
        <xdr:cNvPr id="1858876" name="Rectangle 247"/>
        <xdr:cNvSpPr>
          <a:spLocks noChangeArrowheads="1"/>
        </xdr:cNvSpPr>
      </xdr:nvSpPr>
      <xdr:spPr bwMode="auto">
        <a:xfrm>
          <a:off x="10544175" y="44757975"/>
          <a:ext cx="1333500" cy="1914525"/>
        </a:xfrm>
        <a:prstGeom prst="rect">
          <a:avLst/>
        </a:prstGeom>
        <a:noFill/>
        <a:ln w="38100">
          <a:solidFill>
            <a:srgbClr val="000080"/>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205</xdr:row>
      <xdr:rowOff>28575</xdr:rowOff>
    </xdr:from>
    <xdr:to>
      <xdr:col>8</xdr:col>
      <xdr:colOff>38100</xdr:colOff>
      <xdr:row>226</xdr:row>
      <xdr:rowOff>152400</xdr:rowOff>
    </xdr:to>
    <xdr:sp macro="" textlink="">
      <xdr:nvSpPr>
        <xdr:cNvPr id="1858877" name="Rectangle 248"/>
        <xdr:cNvSpPr>
          <a:spLocks noChangeArrowheads="1"/>
        </xdr:cNvSpPr>
      </xdr:nvSpPr>
      <xdr:spPr bwMode="auto">
        <a:xfrm>
          <a:off x="10544175" y="48720375"/>
          <a:ext cx="1476375" cy="4210050"/>
        </a:xfrm>
        <a:prstGeom prst="rect">
          <a:avLst/>
        </a:prstGeom>
        <a:noFill/>
        <a:ln w="38100">
          <a:solidFill>
            <a:srgbClr val="000080"/>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235</xdr:row>
      <xdr:rowOff>28575</xdr:rowOff>
    </xdr:from>
    <xdr:to>
      <xdr:col>8</xdr:col>
      <xdr:colOff>0</xdr:colOff>
      <xdr:row>242</xdr:row>
      <xdr:rowOff>0</xdr:rowOff>
    </xdr:to>
    <xdr:sp macro="" textlink="">
      <xdr:nvSpPr>
        <xdr:cNvPr id="1858878" name="Rectangle 249"/>
        <xdr:cNvSpPr>
          <a:spLocks noChangeArrowheads="1"/>
        </xdr:cNvSpPr>
      </xdr:nvSpPr>
      <xdr:spPr bwMode="auto">
        <a:xfrm>
          <a:off x="10544175" y="54540150"/>
          <a:ext cx="1438275" cy="1609725"/>
        </a:xfrm>
        <a:prstGeom prst="rect">
          <a:avLst/>
        </a:prstGeom>
        <a:noFill/>
        <a:ln w="38100">
          <a:solidFill>
            <a:srgbClr val="000080"/>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258</xdr:row>
      <xdr:rowOff>28575</xdr:rowOff>
    </xdr:from>
    <xdr:to>
      <xdr:col>8</xdr:col>
      <xdr:colOff>28575</xdr:colOff>
      <xdr:row>264</xdr:row>
      <xdr:rowOff>219075</xdr:rowOff>
    </xdr:to>
    <xdr:sp macro="" textlink="">
      <xdr:nvSpPr>
        <xdr:cNvPr id="1858879" name="Rectangle 250"/>
        <xdr:cNvSpPr>
          <a:spLocks noChangeArrowheads="1"/>
        </xdr:cNvSpPr>
      </xdr:nvSpPr>
      <xdr:spPr bwMode="auto">
        <a:xfrm>
          <a:off x="10544175" y="59026425"/>
          <a:ext cx="1466850" cy="1209675"/>
        </a:xfrm>
        <a:prstGeom prst="rect">
          <a:avLst/>
        </a:prstGeom>
        <a:noFill/>
        <a:ln w="38100">
          <a:solidFill>
            <a:srgbClr val="000080"/>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xdr:colOff>
      <xdr:row>78</xdr:row>
      <xdr:rowOff>0</xdr:rowOff>
    </xdr:from>
    <xdr:to>
      <xdr:col>10</xdr:col>
      <xdr:colOff>28575</xdr:colOff>
      <xdr:row>85</xdr:row>
      <xdr:rowOff>228600</xdr:rowOff>
    </xdr:to>
    <xdr:sp macro="" textlink="">
      <xdr:nvSpPr>
        <xdr:cNvPr id="1858880" name="Rectangle 251"/>
        <xdr:cNvSpPr>
          <a:spLocks noChangeArrowheads="1"/>
        </xdr:cNvSpPr>
      </xdr:nvSpPr>
      <xdr:spPr bwMode="auto">
        <a:xfrm>
          <a:off x="12725400" y="23631525"/>
          <a:ext cx="1409700" cy="1838325"/>
        </a:xfrm>
        <a:prstGeom prst="rect">
          <a:avLst/>
        </a:prstGeom>
        <a:noFill/>
        <a:ln w="38100">
          <a:solidFill>
            <a:srgbClr val="339933"/>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xdr:colOff>
      <xdr:row>93</xdr:row>
      <xdr:rowOff>9525</xdr:rowOff>
    </xdr:from>
    <xdr:to>
      <xdr:col>10</xdr:col>
      <xdr:colOff>0</xdr:colOff>
      <xdr:row>99</xdr:row>
      <xdr:rowOff>0</xdr:rowOff>
    </xdr:to>
    <xdr:sp macro="" textlink="">
      <xdr:nvSpPr>
        <xdr:cNvPr id="1858881" name="Rectangle 252"/>
        <xdr:cNvSpPr>
          <a:spLocks noChangeArrowheads="1"/>
        </xdr:cNvSpPr>
      </xdr:nvSpPr>
      <xdr:spPr bwMode="auto">
        <a:xfrm>
          <a:off x="12725400" y="26889075"/>
          <a:ext cx="1381125" cy="1562100"/>
        </a:xfrm>
        <a:prstGeom prst="rect">
          <a:avLst/>
        </a:prstGeom>
        <a:noFill/>
        <a:ln w="38100">
          <a:solidFill>
            <a:srgbClr val="339933"/>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xdr:colOff>
      <xdr:row>111</xdr:row>
      <xdr:rowOff>9525</xdr:rowOff>
    </xdr:from>
    <xdr:to>
      <xdr:col>10</xdr:col>
      <xdr:colOff>0</xdr:colOff>
      <xdr:row>121</xdr:row>
      <xdr:rowOff>38100</xdr:rowOff>
    </xdr:to>
    <xdr:sp macro="" textlink="">
      <xdr:nvSpPr>
        <xdr:cNvPr id="1858882" name="Rectangle 253"/>
        <xdr:cNvSpPr>
          <a:spLocks noChangeArrowheads="1"/>
        </xdr:cNvSpPr>
      </xdr:nvSpPr>
      <xdr:spPr bwMode="auto">
        <a:xfrm>
          <a:off x="12725400" y="30584775"/>
          <a:ext cx="1381125" cy="2057400"/>
        </a:xfrm>
        <a:prstGeom prst="rect">
          <a:avLst/>
        </a:prstGeom>
        <a:noFill/>
        <a:ln w="38100">
          <a:solidFill>
            <a:srgbClr val="339933"/>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xdr:colOff>
      <xdr:row>133</xdr:row>
      <xdr:rowOff>9525</xdr:rowOff>
    </xdr:from>
    <xdr:to>
      <xdr:col>10</xdr:col>
      <xdr:colOff>0</xdr:colOff>
      <xdr:row>143</xdr:row>
      <xdr:rowOff>38100</xdr:rowOff>
    </xdr:to>
    <xdr:sp macro="" textlink="">
      <xdr:nvSpPr>
        <xdr:cNvPr id="1858883" name="Rectangle 254"/>
        <xdr:cNvSpPr>
          <a:spLocks noChangeArrowheads="1"/>
        </xdr:cNvSpPr>
      </xdr:nvSpPr>
      <xdr:spPr bwMode="auto">
        <a:xfrm>
          <a:off x="12725400" y="34642425"/>
          <a:ext cx="1381125" cy="1838325"/>
        </a:xfrm>
        <a:prstGeom prst="rect">
          <a:avLst/>
        </a:prstGeom>
        <a:noFill/>
        <a:ln w="38100">
          <a:solidFill>
            <a:srgbClr val="339933"/>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xdr:colOff>
      <xdr:row>156</xdr:row>
      <xdr:rowOff>9525</xdr:rowOff>
    </xdr:from>
    <xdr:to>
      <xdr:col>9</xdr:col>
      <xdr:colOff>1628775</xdr:colOff>
      <xdr:row>162</xdr:row>
      <xdr:rowOff>0</xdr:rowOff>
    </xdr:to>
    <xdr:sp macro="" textlink="">
      <xdr:nvSpPr>
        <xdr:cNvPr id="1858884" name="Rectangle 255"/>
        <xdr:cNvSpPr>
          <a:spLocks noChangeArrowheads="1"/>
        </xdr:cNvSpPr>
      </xdr:nvSpPr>
      <xdr:spPr bwMode="auto">
        <a:xfrm>
          <a:off x="12725400" y="39433500"/>
          <a:ext cx="1381125" cy="1019175"/>
        </a:xfrm>
        <a:prstGeom prst="rect">
          <a:avLst/>
        </a:prstGeom>
        <a:noFill/>
        <a:ln w="38100">
          <a:solidFill>
            <a:srgbClr val="339933"/>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xdr:colOff>
      <xdr:row>187</xdr:row>
      <xdr:rowOff>9525</xdr:rowOff>
    </xdr:from>
    <xdr:to>
      <xdr:col>10</xdr:col>
      <xdr:colOff>28575</xdr:colOff>
      <xdr:row>193</xdr:row>
      <xdr:rowOff>9525</xdr:rowOff>
    </xdr:to>
    <xdr:sp macro="" textlink="">
      <xdr:nvSpPr>
        <xdr:cNvPr id="1858885" name="Rectangle 256"/>
        <xdr:cNvSpPr>
          <a:spLocks noChangeArrowheads="1"/>
        </xdr:cNvSpPr>
      </xdr:nvSpPr>
      <xdr:spPr bwMode="auto">
        <a:xfrm>
          <a:off x="12725400" y="44738925"/>
          <a:ext cx="1409700" cy="1933575"/>
        </a:xfrm>
        <a:prstGeom prst="rect">
          <a:avLst/>
        </a:prstGeom>
        <a:noFill/>
        <a:ln w="38100">
          <a:solidFill>
            <a:srgbClr val="339933"/>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xdr:colOff>
      <xdr:row>205</xdr:row>
      <xdr:rowOff>9525</xdr:rowOff>
    </xdr:from>
    <xdr:to>
      <xdr:col>10</xdr:col>
      <xdr:colOff>0</xdr:colOff>
      <xdr:row>227</xdr:row>
      <xdr:rowOff>0</xdr:rowOff>
    </xdr:to>
    <xdr:sp macro="" textlink="">
      <xdr:nvSpPr>
        <xdr:cNvPr id="1858886" name="Rectangle 257"/>
        <xdr:cNvSpPr>
          <a:spLocks noChangeArrowheads="1"/>
        </xdr:cNvSpPr>
      </xdr:nvSpPr>
      <xdr:spPr bwMode="auto">
        <a:xfrm>
          <a:off x="12725400" y="48701325"/>
          <a:ext cx="1381125" cy="4238625"/>
        </a:xfrm>
        <a:prstGeom prst="rect">
          <a:avLst/>
        </a:prstGeom>
        <a:noFill/>
        <a:ln w="38100">
          <a:solidFill>
            <a:srgbClr val="339933"/>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xdr:colOff>
      <xdr:row>235</xdr:row>
      <xdr:rowOff>9525</xdr:rowOff>
    </xdr:from>
    <xdr:to>
      <xdr:col>10</xdr:col>
      <xdr:colOff>28575</xdr:colOff>
      <xdr:row>242</xdr:row>
      <xdr:rowOff>0</xdr:rowOff>
    </xdr:to>
    <xdr:sp macro="" textlink="">
      <xdr:nvSpPr>
        <xdr:cNvPr id="1858887" name="Rectangle 258"/>
        <xdr:cNvSpPr>
          <a:spLocks noChangeArrowheads="1"/>
        </xdr:cNvSpPr>
      </xdr:nvSpPr>
      <xdr:spPr bwMode="auto">
        <a:xfrm>
          <a:off x="12725400" y="54521100"/>
          <a:ext cx="1409700" cy="1628775"/>
        </a:xfrm>
        <a:prstGeom prst="rect">
          <a:avLst/>
        </a:prstGeom>
        <a:noFill/>
        <a:ln w="38100">
          <a:solidFill>
            <a:srgbClr val="339933"/>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xdr:colOff>
      <xdr:row>258</xdr:row>
      <xdr:rowOff>9525</xdr:rowOff>
    </xdr:from>
    <xdr:to>
      <xdr:col>9</xdr:col>
      <xdr:colOff>1600200</xdr:colOff>
      <xdr:row>264</xdr:row>
      <xdr:rowOff>219075</xdr:rowOff>
    </xdr:to>
    <xdr:sp macro="" textlink="">
      <xdr:nvSpPr>
        <xdr:cNvPr id="1858888" name="Rectangle 259"/>
        <xdr:cNvSpPr>
          <a:spLocks noChangeArrowheads="1"/>
        </xdr:cNvSpPr>
      </xdr:nvSpPr>
      <xdr:spPr bwMode="auto">
        <a:xfrm>
          <a:off x="12725400" y="59007375"/>
          <a:ext cx="1381125" cy="1228725"/>
        </a:xfrm>
        <a:prstGeom prst="rect">
          <a:avLst/>
        </a:prstGeom>
        <a:noFill/>
        <a:ln w="38100">
          <a:solidFill>
            <a:srgbClr val="339933"/>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59</xdr:row>
      <xdr:rowOff>9525</xdr:rowOff>
    </xdr:from>
    <xdr:to>
      <xdr:col>4</xdr:col>
      <xdr:colOff>0</xdr:colOff>
      <xdr:row>71</xdr:row>
      <xdr:rowOff>228600</xdr:rowOff>
    </xdr:to>
    <xdr:sp macro="" textlink="">
      <xdr:nvSpPr>
        <xdr:cNvPr id="1858889" name="Rectangle 311"/>
        <xdr:cNvSpPr>
          <a:spLocks noChangeArrowheads="1"/>
        </xdr:cNvSpPr>
      </xdr:nvSpPr>
      <xdr:spPr bwMode="auto">
        <a:xfrm>
          <a:off x="5638800" y="18030825"/>
          <a:ext cx="1362075" cy="3848100"/>
        </a:xfrm>
        <a:prstGeom prst="rect">
          <a:avLst/>
        </a:prstGeom>
        <a:noFill/>
        <a:ln w="38100">
          <a:solidFill>
            <a:srgbClr val="339933"/>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59</xdr:row>
      <xdr:rowOff>28575</xdr:rowOff>
    </xdr:from>
    <xdr:to>
      <xdr:col>1</xdr:col>
      <xdr:colOff>1323975</xdr:colOff>
      <xdr:row>72</xdr:row>
      <xdr:rowOff>0</xdr:rowOff>
    </xdr:to>
    <xdr:sp macro="" textlink="">
      <xdr:nvSpPr>
        <xdr:cNvPr id="1858890" name="Rectangle 312"/>
        <xdr:cNvSpPr>
          <a:spLocks noChangeArrowheads="1"/>
        </xdr:cNvSpPr>
      </xdr:nvSpPr>
      <xdr:spPr bwMode="auto">
        <a:xfrm>
          <a:off x="3390900" y="18049875"/>
          <a:ext cx="1323975" cy="3829050"/>
        </a:xfrm>
        <a:prstGeom prst="rect">
          <a:avLst/>
        </a:prstGeom>
        <a:noFill/>
        <a:ln w="38100">
          <a:solidFill>
            <a:srgbClr val="000080"/>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xdr:colOff>
      <xdr:row>59</xdr:row>
      <xdr:rowOff>9525</xdr:rowOff>
    </xdr:from>
    <xdr:to>
      <xdr:col>10</xdr:col>
      <xdr:colOff>0</xdr:colOff>
      <xdr:row>69</xdr:row>
      <xdr:rowOff>333375</xdr:rowOff>
    </xdr:to>
    <xdr:sp macro="" textlink="">
      <xdr:nvSpPr>
        <xdr:cNvPr id="1858891" name="Rectangle 313"/>
        <xdr:cNvSpPr>
          <a:spLocks noChangeArrowheads="1"/>
        </xdr:cNvSpPr>
      </xdr:nvSpPr>
      <xdr:spPr bwMode="auto">
        <a:xfrm>
          <a:off x="12725400" y="18030825"/>
          <a:ext cx="1381125" cy="3381375"/>
        </a:xfrm>
        <a:prstGeom prst="rect">
          <a:avLst/>
        </a:prstGeom>
        <a:noFill/>
        <a:ln w="38100">
          <a:solidFill>
            <a:srgbClr val="339933"/>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6</xdr:col>
      <xdr:colOff>2895600</xdr:colOff>
      <xdr:row>59</xdr:row>
      <xdr:rowOff>0</xdr:rowOff>
    </xdr:from>
    <xdr:to>
      <xdr:col>8</xdr:col>
      <xdr:colOff>0</xdr:colOff>
      <xdr:row>70</xdr:row>
      <xdr:rowOff>0</xdr:rowOff>
    </xdr:to>
    <xdr:sp macro="" textlink="">
      <xdr:nvSpPr>
        <xdr:cNvPr id="1858892" name="Rectangle 314"/>
        <xdr:cNvSpPr>
          <a:spLocks noChangeArrowheads="1"/>
        </xdr:cNvSpPr>
      </xdr:nvSpPr>
      <xdr:spPr bwMode="auto">
        <a:xfrm>
          <a:off x="10534650" y="18021300"/>
          <a:ext cx="1447800" cy="3400425"/>
        </a:xfrm>
        <a:prstGeom prst="rect">
          <a:avLst/>
        </a:prstGeom>
        <a:noFill/>
        <a:ln w="38100">
          <a:solidFill>
            <a:srgbClr val="000080"/>
          </a:solidFill>
          <a:miter lim="800000"/>
          <a:headEnd/>
          <a:tailEnd/>
        </a:ln>
        <a:effectLst>
          <a:outerShdw sx="999" sy="999"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304800</xdr:rowOff>
    </xdr:to>
    <xdr:sp macro="" textlink="">
      <xdr:nvSpPr>
        <xdr:cNvPr id="22850" name="AutoShape 322" descr="data:image/jpeg;base64,/9j/4AAQSkZJRgABAQAAAQABAAD/4gHYSUNDX1BST0ZJTEUAAQEAAAHIAAAAAAQwAABtbnRyUkdCIFhZWiAAAAAAAAAAAAAAAABhY3NwAAAAAAAAAAAAAAAAAAAAAAAAAAAAAAAAAAAAAQAA9tYAAQAAAADTLQAAAAAAAAAAAAAAAAAAAAAAAAAAAAAAAAAAAAAAAAAAAAAAAAAAAAAAAAAAAAAAAAAAAAlkZXNjAAAA8AAAACRyWFlaAAABFAAAABRnWFlaAAABKAAAABRiWFlaAAABPAAAABR3dHB0AAABUAAAABRyVFJDAAABZAAAAChnVFJDAAABZAAAAChiVFJDAAABZAAAAChjcHJ0AAABjAAAADxtbHVjAAAAAAAAAAEAAAAMZW5VUwAAAAgAAAAcAHMAUgBHAEJYWVogAAAAAAAAb6IAADj1AAADkFhZWiAAAAAAAABimQAAt4UAABjaWFlaIAAAAAAAACSgAAAPhAAAts9YWVogAAAAAAAA9tYAAQAAAADTLXBhcmEAAAAAAAQAAAACZmYAAPKnAAANWQAAE9AAAApbAAAAAAAAAABtbHVjAAAAAAAAAAEAAAAMZW5VUwAAACAAAAAcAEcAbwBvAGcAbABlACAASQBuAGMALgAgADIAMAAxADb/2wBDABALDA4MChAODQ4SERATGCgaGBYWGDEjJR0oOjM9PDkzODdASFxOQERXRTc4UG1RV19iZ2hnPk1xeXBkeFxlZ2P/2wBDARESEhgVGC8aGi9jQjhCY2NjY2NjY2NjY2NjY2NjY2NjY2NjY2NjY2NjY2NjY2NjY2NjY2NjY2NjY2NjY2NjY2P/wAARCAIOBOcDASIAAhEBAxEB/8QAGwABAAIDAQEAAAAAAAAAAAAAAAQFAQMGAgf/xAA8EAEAAQIBCQUHBAEEAgMBAAAAAQIDBAURFTRTcXKRsSExMlGBEhMUIjNBUmGSotEjQmKhwUOC4fDxY//EABkBAQADAQEAAAAAAAAAAAAAAAACBAUDAf/EACYRAQACAQMEAwEBAQEBAAAAAAABAgMxMlEEERITFCFxQSJCgTP/2gAMAwEAAhEDEQA/APn4AAAAAAAAAAAAAAAAAAAAAAAAAAAAAAAAAAAAAAAAAAAAJmDwFeI+arPRb8/vO57ETM9oRtaKx3lFooquVRTRTNVU/aE+xkm5Vmm9VFEeUdsrOzYt2KPZt0xEffzlsWa4YjVRv1Vp+q/SLbyfhrf/AI/anzqnOkU26KPDRTTujM9DrFYjRWm9rayMVUU1eKmJ3wyPUUe5gcNc77VMfrT2Id7JH3s3PSr+1oIzjrP8da5r10lzd6xcsVezcommerW6auim5TNNdMVUz9pVWMybNuJrsZ6qfvT94V74pj7hcxdTFvq31KuAcVoAAAAAAAAAAAAAAAAAAAAAAAAAAAAAAAAAAAAAAAAAAAAAAAAAAAAAAAAAAAAAAAAAAAAAAAAAAAAAAAAAAAAAAAAAAAAAAAAAAAAAAAAAAAAAAAAAAAAAAAAAAAAAAAAAAAAAAAAAAAAAABJwOGnE3s0+Cntql7ETM9oeWtFY7y3ZOwPvp97dj/HHdH5LmIiIzRGaIYiIppiIjNEdkRDK7SkVjsysmSck95AEnIAAAAAAABW5RwEVRN6zHzd9VMff9VS6hTZUwnuq/e0R8lU9seUq+XH/ANQvdPm7/wCLIACuugAAAAAAAAAAAAAAAAAAAAAAAAAAAAAAAAAAAAAAAAAAAAAAAAAAAAAAAAAAAAAAAAAAAAAAAAAAAAAAAAAAAAAAAAAAAAAAAAALHRFza08jRFza08luLnqozPk5OVRoi5taeRoi5taeS3D1UPk5OVRoi5taeRoi5taeS3D1UPk5OVRoi5taeRoi5taeS3D1UPk5OVRoi5taeRoi5taeS3D1UPk5OVRoi5taeRoi5taeS3D1UPk5OVRoi5taeRoi5taeS3D1UPk5OVRoi5taeRoi5taeS3D1UPk5OVRoi5taeRoi5taeS3D1UPk5OVRoi5taeRoi5taeS3D1UPk5OVRoi5taeRoi5taeS3D1UPk5OVRoi5taeRoi5taeS3D1UPk5OVRoi5taeRoi5taeS3D1UPk5OVRoi5taeRoi5taeS3D1UPk5OVRoi5taeRoi5taeS3D1UPk5OVRoi5taeRoi5taeS3D1UPk5OVRoi5taeRoi5taeS3D1UPk5OVRoi5taeSvmM0zHk6dzFfjne45aRXt2Weny2v38mAHFaAAAAHQYHD/D4ammY+ae2reqMn2vfYuiJ7qfmn0X6xhr/wBKPV30qALCkAAAAAAAAAAPF63TetVW6u6qMz2D2J7fcOZuUTbuVUVd9M5peVhli17N+m5EdlcZp3wr1G0eM9mvjt51iwAimAAAAAAm4fJ1d+zTdi5TEVZ+yY/Vs0Rc2tPJNyZqFr16ylLVcVZiJZ1+oyRaYiVRoi5taeRoi5taeS3EvVRH5OTlUaIubWnkaIubWnktw9VD5OTlUaIubWnkaIubWnktw9VD5OTlUaIubWnkaIubWnktw9VD5OTlUaIubWnkaIubWnktw9VD5OTlUaIubWnkaIubWnktw9VD5OTlUaIubWnkaIubWnktw9VD5OTlUaIubWnkaIubWnktw9VD5OTlUaIubWnkaIubWnktw9VD5OTlUaIubWnkaIubWnktw9VD5OTlUaIubWnkaIubWnktw9VD5OTlUTki59rtHKWJyRf+1dvnP9LgPTU+TkUk5LxMd0UzuqaqsDiae+zPpml0Aj6apR1V3M12rlHjoqp3xmeXUNVzC2LnjtUzPnmzSjODiXSOr5hzgubuSbNX06qqJ5whXsmYi320xFyP9ve5zjtDvXPjt/UMZqpmmc1UTEx9phhzdgAAAAAAAAAAAAAAAAABmIzzEebDNHjjeCw0Rc2tPI0Rc2tPJbi56qMz5OTlUaIubWnkaIubWnktw9VD5OTlUaIubWnkaIubWnktw9VD5OTlUaIubWnkaIubWnktw9VD5OTlUaIubWnkaIubWnktw9VD5OTlUaIubWnkaIubWnktw9VD5OTlUaIubWnkaIubWnktw9VD5OTlUaIubWnk83cl12rVVyblMxTGfNmXLTjNTvcEvJxV7Pa9RkmYju50BUaQAAAAAAAAAAAAAAAAADqAGgxAAAAAAAAAAAAAAAAAAAAAAAAAAAAAAAABzFfjne6dzFfjner5/wCLvSf1gBXXgAAAFpkWj6tzdELRAyPGbCVT51z0hPXccdqwys898kgCbiAAAAAAAAAAAAhZWo9rBzV+ExP/AEpHQ42M+Dux/tmXPKuaP9NHpZ/x2AHFaAAAAAAX2TNQtevWUpFyZqFr16ylL1NsMjJvn9AEnMAAAAAAAAAAAAAAAAAAAAAAAAAAAB4u2bd6nNcoiqP1VuIyVPbVh6s/+2r+1qI2pFtXSmW1NJczXRVbqmmumaao+0vLpL9i3fo9m5Tn8p+8KbGYC5h89VPz2/Py3q18U1+4X8XUVv8AU/UogDksAAAAAAAAAAAAAADNHjjewzR443hLpwGgxAAAAAAAAAAAABpxmp3uCW5pxmp3uCXltJSpuhzoCg2QAAAAAAAAAAAAAAAAAHUANBiAAAAAAAAAAAAAAAAAAAAAAAAAAAAAAAADmK/HO907mK/HO9Xz/wAXek/rACuvAAAALrJGqTxz/wBJytyNVntXKPKqJ5//AIsl3Hthk547ZJAE3IAAAAAAAAAAABpxc5sJe4J6OdX+UavZwVz9c0f8qBWz6w0Okj/MyAOC2AAAAAAvsmaha9espSLkzULXr1lKXqbYZGTfP6AJOYAAAAAAAAAAAAAAAAAAAAAAAAAAAAAAd/eAKrH5O9nPdsR2feiPtuVjqFVlLA+znv2o7O+qPL9VfJj/ALC9gz9/82VgCuugAAAAAAAAAAADNHjjewzR443hLpwGgxAAAAAAAAAAAABpxmp3uCW5pxmp3uCXltJSpuhzoCg2QAAAAAAAAAAAAAAAAAHUANBiAAAAAAAAAAAAAAAAAAAAAAAAAAAAAAAADmK/HO907mK/HO9Xz/xd6T+sAK68AAAAm5Juexi/ZnurjN6rtzNFc266a6e+mc8OjtXIu2qblPdVGdaw2+uzP6qna0WewHZUAAAAAAAAAAAAVuWbmai3aj7z7Uqlvxt73+Jrrjw91O5oUslvK3drYaeFIgAQdQAAAAAF9kzULXr1lKRcmaha9espS9TbDIyb5/QBJzAAAAAAAAAAAAAAAAAAAAAAAAAAAAAAAACYzxmkAUWUML8Pdz0x/jq7v0/REdHiLNOIs1W6vv3T5S56uiq3XVRVGaqmc0qmWnjPeGn0+Xzr2nWHkByWAAAAAAAAAABmjxxvYZo8cbwl04DQYgAAAAAAAAAAAA04zU73BLc04zU73BLy2kpU3Q50BQbIAAAAAAAAAAAAAAAAADqAGgxAAAAAAAAAAAAAAAAAAAAAAAAAAAAAAAABzFfjne6dzFfjner5/wCLvSf1gBXXgAAABZ5JxPszNiueye2n+lYzEzExMTmmO6Uq28Z7oZKRevjLpxFwGLjE281XZcp748/1Sl2JiY7wybVms9pAHqIAAAAAAAAg5UxPurPuqZ+euOUJGJxFGGtTXX3/AGjzlQXrtV65VcrnPMuWW/aO0LXT4vKfKdHgBUaIAAAAAAAC+yZqFr16ylIuTNQtevWUpepthkZN8/oAk5gAAAAAAAAAAAAAAAAAAAAAAAAAAAAAAAAACpyvYzV036Y7KuyretmrE2ov4eu395js3o3r5V7OuK/heJc4E9k5pFFrAAAAAAAAAADNHjjewzR443hLpwGgxAAAAAAAAAAAABpxmp3uCW5pxmp3uCXltJSpuhzoCg2QAAAAAAAAAAAAAAAAAHUANBiAAAAAAAAAAAAAAAAAAAAAAAAAAAAAAAADmK/HO907mK/HO9Xz/wAXek/rACuvAAAAAAPVu5Variuic1Ud0rvB46jExFNWam55ee5RETMTnic0p0vNXLLijJH3q6gVGGypXRmpvx7cflHes7N+1fjPbrir9Put1vFtGdfFamrYAk5AAAPNy5Rap9q5VFMfrI9iO700YrFW8NRnqnPVPdTHfKFicq99OHj/ANp/pWV11V1TVXM1VT3zLjfNEfVVrF00z93bMRfrxFya653R9oagVZnuvxERHaAAegAAAAAAAL7JmoWvXrKUi5M1C169ZSl6m2GRk3z+gCTmAAAAAAAAAAAAAAAAAAAAAAAAAAAAAAAAAAAAoMo2vdYyvN3VfNHqjLXLNvst3N9M/wD3mqlLJHa0tbDbypEgCDqAAAAAAAAM0eON7DNHjjeEunAaDEAAAAAAAAAAAAGnGane4JbmnGane4JeW0lKm6HOgKDZAAAAAAAAAAAAAAAAAAdQA0GIAAAAAAAAAAAAAAAAAAAAAAAAAAAAAAAAOYr8c73TuYr8c71fP/F3pP6wArrwAAAAAAAAzEzE54mYnzhgBKt5QxNvs957UeVUZ0inK9yPFapndOZWicZLR/XKcNJ1haaY/wD4fz/+HmrLFX+mzEb6s6tHvtvy8+Pj4S7mUsTX3VRRH+2EWququc9dU1T5zOdgQm0zq6VpWukADxIAAAAAAAAAAABfZM1C169ZSkXJmoWvXrKUvU2wyMm+f0AScwAAAAAAAAAAAESvKOHorqoqmrPTOaex50phvOr9qpxWtXuOrq1Ks5rd2jHTUmO670phvOr9rMZTw0/6qo/9ZUYe6z34tF/TlDC1f+WI3xMNtF+1c8FyirdLmx7Gef7CM9JX+S6gc7axd+z4LlWbynthYYfKtNUxTfp9n/dT3Olc1Z1cL9Nev3H2shimqmumKqZiYnumGXVWAAAAAAAAAAAAAARMqUe3gq5/GYlROjxVPt4a7T50y5xWzx992h0k/wCZgAcFsAAAAAAAAZo8cb2GaPHG8JdOA0GIAAAAAAAAAAAANOM1O9wS3NOM1O9wS8tpKVN0OdAUGyAAAAAAAAAAAAAAAAAA6gBoMQAAAAAAAAAAAAasTObC3pjv9ieja1YrVb3BV0J0Sruhz3vbn51cz3tz86ubyKHdsdoeve3Pzq5nvbn51c3kO52h697c/Orme9ufnVzeQ7naHr3tz86uZ725+dXN5Dudoeve3Pzq5nvbn51c3kO52h697c/Orme9ufnVzeQ7naHr3tz86uZ725+dXN5Dudoeve3Pzq5nvbn51c3kO52h697c/Orme9ufnVzeQ7naHr3tz86ubyDx72AAAAAAAAAAAAAAAAAAAAAAAAAAAAAAAAX2TNQtevWUpFyZqFr16ylL1NsMjJvn9AEnMAAAAAAAAAAABzmK1q9x1dWptxWtXuOrq1KE6tmu2AB4kAAAAkYTF3MNX2TnonvpXtq7RetxXROemXNJuTMT7m/7uqfkr7N0u2LJ2ntKr1GGLR5RquwFpnAAAAAAAAAAAAMTGeJifu5h1DmbkZrlUeUyr5/4u9J/XkBXXgAAAAAAABmjxxvYZo8cbwl04DQYgAAAAAAAAAAAA04zU73BLc04zU73BLy2kpU3Q50BQbIAAAAAAAAAAAAAAAAADqAGgxAAAAAAAAAAAABqxWq3uCro2tWK1W9wVdHk6JV3Q5wBQbIAAAAAAAAAAAAAAAAAAAAAAAAAAAAAAAAAAAAAAAAAAAAAAAAAC+yZqFr16ylIuTNQtevWUpepthkZN8/oAk5gAAAAAAAAAAAOcxWtXuOrq1NuK1q9x1dWpQnVs12wAPEgAAAAAHR4W777DW7n3mO3e2oGR6s+Fqp/GpPXqT3rEsfJXxvMACSAAAAAAAAAAA5m79Wvil0zmbk57lU/rLhn/i70msvICsvAAAAAAAADNHjjewzR443hLpwGgxAAAAAAAAAAAABpxmp3uCW5pxmp3uCXltJSpuhzoCg2QAAAAAAAAAAAAAAAAAHUANBiAAAAAAAAAAAADVitVvcFXRtasVqt7gq6PJ0SruhzgCg2QAAAAAAAAAAAAAAAAAAAAAAAAAAAAAAAAAAAAAAAAAAAAAAAAAF9kzULXr1lKRcmaha9espS9TbDIyb5/QBJzAAAAAAAAAAAAc5itavcdXVqbcVrV7jq6tShOrZrtgAeJAAAAAALbIs/Jdj9YWSuyNH+G5V51Zv+Fiu49kMrP/8ASQBNxAAAAAAAAAAJnNGdy8znnO6TEVexh7lXlTPRzavn/i90kfUyAK66AAAAAAAAM0eON7DNHjjeEunAaDEAAAAAAAAAAAAGnGane4JbmnGane4JeW0lKm6HOgKDZAAAAAAAAAAAAAAAAAAdQA0GIAAAAAAAAAAAANWK1W9wVdG1qxWq3uCro8nRKu6HOAKDZAAAAAAAAAAAAAAAAAAAAAAAAFxgMLYuYO3XXbpqqnPnmd8qdfZM1C169ZdsMRNvtW6qZikduXr4LDbGk+Cw2xpSBZ8Y4UPO3KP8FhtjSfBYbY0pAeMcHnblH+Cw2xpPgsNsaUgPGODztyj/AAWG2NJ8FhtjSkB4xweduUf4LDbGk+Cw2xpSA8Y4PO3KP8FhtjSfBYbY0pAeMcHnblH+Cw2xpebmDw8W6pizTniJSni79KvhkmscPYvbvq5oBQa4AAAAAAAC+yZqFr16ylIuTNQtevWUpepthkZN8/oAk5gAAAAAAAAAAAOcxWtXuOrq1NuK1q9x1dWpQnVs12wAPEgAAAAG3DWZxF+m3H3ntnyh7Ed/p5MxEd5XOTbfu8FRn76vmSmIiKYiIjNEdkMr0R2jsx7W8rTIA9RAAAAAAAAAARcp1+xgq/OrNChWuWbny27f6+1P/wB5qpUzT3s0+mr2x9+QByWAAAAAAAABmjxxvYZo8cbwl04DQYgAAAAAAAAAAAA04zU73BLc04zU73BLy2kpU3Q50BQbIAAAAAAAAAAAAAAAAADqAGgxAAAAAAAAAAAABqxWq3uCro2tWK1W9wVdHk6JV3Q5wBQbIAAAAAAAAAAAAAAAAAAAAAAAAvsmaha9esqFfZM1C169ZdsG5V6vZH6lALTOAAAAAAAAAAHi79Kvhl7eLv0q+GSXsauaAZ7aAAAAAAAAX2TNQtevWUpFyZqFr16ylL1NsMjJvn9AEnMAAAAAAAAAAABzmK1q9x1dWptxWtXuOrq1KE6tmu2AB4kAAA34fCXsRPyU/L+U9kPYiZ0eTMVjvLTTE1VRTTEzM90QvMBhPhreer6lXf8Ap+j1hMFbw0Z/Fc+9U/8ASSs48fj9yz8+fz/zXQAdlUAAAAAAAAAABoxt/wCHw1Vf+qeyneTPaO72sTae0KfKF332LrmO6n5Y9EYFCZ7z3bNa+MREADx6AAAAAAAAM0eON7DNHjjeEunAaDEAAAAAAAAAAAAGnGane4JbmnGane4JeW0lKm6HOgKDZAAAAAAAAAAAAAAAAAAdQA0GIAAAAAAAAAAAAMVUxXTNNUZ4mM0wyAjfAYXYxzk+AwuxjnKSPPGvCfsvzKN8BhdjHOT4DC7GOcpIeNeD2X5lG+AwuxjnJ8BhdjHOUkPGvB7L8yjfAYXYxzk+AwuxjnKSHjXg9l+ZRvgMLsY5yfAYXYxzlJDxrwey/Mo3wGF2Mc5PgMLsY5ykh414PZfmUb4DC7GOcnwGF2Mc5SQ8a8HsvzKN8BhdjHOT4DC7GOcpIeNeD2X5lG+AwuxjnKpyhbotYuqi3T7NMRHZ6L9RZU16vdHRxzViK/Sz01rTf7lEAVl8AAAAAAX2TNQtevWVCvsmaha9esu2Dcq9Xsj9SgFpnAAAAAAAAAADxd+lXwy9vF36VfDJL2NXNAM9tAAAAAAAAL7JmoWvXrKUi5M1C169ZSl6m2GRk3z+gCTmAAAAAAAAAAAAp7+TsRXfuV0xTmqqmY7f1a9F4nyp/cvBy9NVmOpvEdlHovE+VP7mYyXiZ/CPVdh6anyrqenJN6fFXbjdnltoyRT/AK7szwxmWY9jFWEZ6jJP9RrWAw9rti3FU+dXakg6RERo5TabayACIAAAAAAAAAAAAo8p4n39/wBimfko7N8p2UsX7m37uif8lUcoUqvmv/zC902L/uQBXXQAAAAAAAAABmjxxvYZo8cbwl04DQYgAAAAAAAAAAAA04zU73BLc04zU73BLy2kpU3Q50BQbIAAAAAAAAAAAAAAAAADqAGgxAAAAAAAAAAAAAAAAAAAAAAAAAAAAAABRZU16vdHReqLKmvV7o6OWbatdLv/APEQBUaIAAAAAAvsmaha9esqFfZM1C169ZdsG5V6vZH6lALTOAAAAAAAAAAHi79Kvhl7eLv0q+GSXsauaAZ7aAAAAAAAAX2TNQtevWUpFyZqFr16ylL1NsMjJvn9AEnMAAAAAAAAAAAAAAAAAAAAAAAAAAAAAAAARsbi6cLR53J7qf8At5xuOow0TTTmqueXlvUly5Vdrmuuqaqp75ccmTx+o1WsOCbf6toV11XK5rrnPVPbMvIKrRAAAAAAAAAAAAGaPHG9hmjxxvCXTgNBiAAAAAAAAAAAADTjNTvcEtzTjNTvcEvLaSlTdDnQFBsgAAAAAAAAAAAAAAAAAOoAaDEAAAAAAAAAAAAAAAAAAAAAAAAAAAAAAFFlTXq90dF6osqa9Xujo5Ztq10u/wD8RAFRogAAAAAC+yZqFr16yoV9kzULXr1l2wblXq9kfqUAtM4AAAAAAAAAAeLv0q+GXt4u/Sr4ZJexq5oBntoAAAAAAABfZM1C169ZSkXJmoWvXrKUvU2wyMm+f0AScwAAAAAAAAAAAAAAAAAAAAAAAAAAAAAGKqqaKZqqmIiO+ZVeLynnz0Yfsj71/wBLG9Yt36fZu054j9ZhDuZJsz4K66Z/Xtc7+c7XfDOOJ73U8zMznntkT7mSr1PgqprjlKJdw92z9S3VT+ubsVZraNYaNclLaS1gIpgAAAAAAAAAAADNHjjewzR443hLpwGgxAAAAAAAAAAAABpxmp3uCW5pxmp3uCXltJSpuhzoCg2QAAAAAAAAAAAAAAAAAHUANBiAAAAAAAAAAAAAAAAAAAAAAAAAAAAAACiypr1e6Oi9UWVNer3R0cs21a6Xf/4iAKjRAAAAAAF9kzULXr1lQr7JmoWvXrLtg3KvV7I/UoBaZwAAAAAAAAAA8XfpV8Mvbxd+lXwyS9jVzQDPbQAAAAAAAC+yZqFr16ylIuTNQtevWUpepthkZN8/oAk5gAAAAAAAAAAAAAAAAAAAAAAAAAAAAAAAAAI17AYe930ezPnT2K+/ku7bzzan3keXdK5ELY62dqZ70/rmJiaZmKomJjviWHRYjC2sRTmuU9v2qjvhTYvBXMNOefmo+1Uf9q18c1+17Fnrf60lGAc3cAAAAAAAAZo8cb2GaPHG8JdOA0GIAAAAAAAAAAAANOM1O9wS3NOM1O9wS8tpKVN0OdAUGyAAAAAAAAAAAAAAAAAA6gBoMQAAAAAAAAAAAAAAAAAAAAAAAAAAAAAAUWVNer3R0Xqiypr1e6Ojlm2rXS7/APxEAVGiAAAAAAL7JmoWvXrKhX2TNQtevWXbBuVer2R+pQC0zgAAAAAAAAAB4u/Sr4Ze3i79Kvhkl7GrmgGe2gAAAAAAAF9kzULXr1lKRcmaha9espS9TbDIyb5/QBJzAAAAAAAAAAAAAAAAAAAAAAAAAAAAAAAAAAAAGKoiqJiqImJ74lkBTY/ATZz3LUZ7f3j8f/hAdR396lyjgvcVe8tx/jq/jKtlx9vuGhgz+X+baoIDgtgAAAAADNHjjewzR443hLpwGgxAAAAAAAAAAAABpxmp3uCW5pxmp3uCXltJSpuhzoCg2QAAAAAAAAAAAAAAAAAHUANBiAAAAAAAAAAAAAAAAAAAAAAAAAAAAAACiypr1e6Oi9UWVNer3R0cs21a6Xf/AOIgCo0QAAAAABfZM1C169ZUK+yZqFr16y7YNyr1eyP1KAWmcAAAAAAAAAAPF36VfDL28XfpV8MkvY1c0Az20AAAAAAAAvsmaha9espSLkzULXr1lKXqbYZGTfP6AJOYAAAAAAAAAAAAAAAAAAAAAAAAAAAAAAAAAAAAAA810U3KJorjPTMZph6Ac7irFWGvzbnu74nzhpXuUsP7/DzVTHz0dsfr+iiU8lPGWrhyeyvf+gDm7AAAADNHjjewzR443hLpwGgxAAAAAAAAAAAABpxmp3uCW5pxmp3uCXltJSpuhzoCg2QAAAAAAAAAAAAAAAAAHUANBiAAAAAAAAAAAAAMV1RRRVXV3UxnkGRE0lhfzn9smksL+c/tlHzry6eq/EpYiaSwv5z+2TSWF/Of2yedeT1X4lLETSWF/Of2yaSwv5z+2Tzryeq/EpYiaSwv5z+2TSWF/Of2yedeT1X4lLETSWF/Of2yaSwv5z+2Tzryeq/EpYiaSwv5z+2TSWF/Of2yedeT1X4lLETSWF/Of2yaSwv5z+2Tzryeq/EpYiaSwv5z+2TSWF/Of2yedeT1X4lLUWVNer3R0WWksL+c/tlVY67RexVVduc9MxH2cstomv1Kx01LVv3mEcBWXwAAAAABfZM1C169ZUK+yZqFr16y7YNyr1eyP1KAWmcAAAAAAAAAAPF36VfDL28XfpV8MkvY1c0Az20AAAAAAAAvsmaha9espSLkzULXr1lKXqbYZGTfP6AJOYAAAAAAAAAAACvu5Vpt3a6PdTPs1TGf2njTFOxn9yvxWtXuOrq1Kk5bd9WnXp8cxH0tdMU7Gf3GmKdjP7lUPPbfl78fHwtdMU7Gf3Mxlej72auapD235PjY+FvGV7f3tV84eoytYnvouR6R/amHvus8+NjXlOU8NPfVVTvpbqMVYueG7RM+WfM50exnt/UJ6Sn8l1A5yzib1mf8dyYjy+yxw+Vaavlv0+zP5R3Otc1Z1cL9Nev3H2shimqKqYqpmJie6YZdVYAAAAAAAAAAAAAAUGPse4xVURHy1fNSv0HK1n28NFyI7aJ/4c8te9Vjp7+N+3KlAU2mAAAAM0eON7DNHjjeEunAaDEAAAAAAAAAAAAGnGane4JbmnGane4JeW0lKm6HOgKDZAAAAAAAAAAAAAAAAAAdQA0GIAAAAAAAAAAAANWK1W9wVdG1qxWq3uCro8nRKu6HOAKDZAAAAAAAAAAAAAAAAAAAAAAAAF9kzULXr1lQr7JmoWvXrLtg3KvV7I/UoBaZwAAAAAAAAAA8XfpV8Mvbxd+lXwyS9jVzQDPbQAAAAAAAC+yZqFr16ylIuTNQtevWUpepthkZN8/oAk5gAAAAAAAAAAAOcxWtXuOrq1NuK1q9x1dWpQnVs12wAPEgAAAAAAAEnCYyvC19nzUT30ry1cou24ronPTLmkzJ2K9xe9iqf8dff+k+btiydp7Sq58MWjyjVeALTOAAAAAAAAAAAAHm5RFy3VRPdVGaXoBzFdM0VzTPfE5pYS8p2/d42vyq+ZEULR2ns2aW8qxIA8SAAGaPHG9hmjxxvCXTgNBiAAAAAAAAAAAADTjNTvcEtzTjNTvcEvLaSlTdDnQFBsgAAAAAAAAAAAAAAAAAOoAaDEAAAAAAAAAAAAGrFare4Kuja1YrVb3BV0eTolXdDnAFBsgAAAAAAAAAAAAAAAAAAAAAAAC+yZqFr16yoV9kzULXr1l2wblXq9kfqUAtM4AAAAAAAAAAeLv0q+GXt4u/Sr4ZJexq5oBntoAAAAAAABfZM1C169ZSkXJmoWvXrKUvU2wyMm+f0AScwAAAAAAAAAAAHOYrWr3HV1am3Fa1e46urUoTq2a7YAHiQAAAAAAAAAC+ydf99hac8/NT8spSoyPczXq7f2qpz8luu47d6srPXxvMACbiAAAAAAAAAAAAqstUfNar3xKsXWV6c+EifxqhSqmWO1mn0098cADksAADNHjjewzR443hLpwGgxAAAAAAAAAAAABpxmp3uCW5pxmp3uCXltJSpuhzoCg2QAAAAAAAAAAAAAAAAAHUANBiAAAAAAAAAAAADVitVvcFXRtasVqt7gq6PJ0SruhzgCg2QAAAAAAAAAAAAAAAAAAAAAAABfZM1C169ZUK+yZqFr16y7YNyr1eyP1KAWmcAAAAAAAAAAPF36VfDL28XfpV8MkvY1c0Az20AAAAAAAAvsmaha9espSLkzULXr1lKXqbYZGTfP6AJOYAAAAAAAAAAADnMVrV7jq6tTbitavcdXVqUJ1bNdsADxIAAAAAAAAABKybObHW/wBc8f8AC+UWTKc+Oo/TPP8AwvVrDtZ3Vb4/AB2VQAAAAAAAAAAAEXKUZ8Dc/TNP/KhdDjYz4O7wy55Wz7mh0myQBwWwABmjxxvYZo8cbwl04DQYgAAAAAAAAAAAA04zU73BLc04zU73BLy2kpU3Q50BQbIAAAAAAAAAAAAAAAAADqAGgxAAAAAAAAAAAABqxWq3uCro2tWK1W9wVdHk6JV3Q5wBQbIAAAAAAAAAAAAAAAAAAAAAAAAvsmaha9esqFfZM1C169ZdsG5V6vZH6lALTOAAAAAAAAAAHi79Kvhl7eLv0q+GSXsauaAZ7aAAAAAAAAX2TNQtevWUpFyZqFr16ylL1NsMjJvn9AEnMAAAAAAAAAAABzmK1q9x1dWptxWtXuOrq1KE6tmu2AB4kAAAAAAAAAzETMxERnmQWWRrfz3Ls/aPZhatOEsfD4emj799W9uXqV8a9mTmv53mQBJyAAAAAAAAAAAAacZqd7glzrocdObBXeFzytn1hodJtkAcFsAAZo8cb2GaPHG8JdOA0GIAAAAAAAAAAAANOM1O9wS3NOM1O9wS8tpKVN0OdAUGyAAAAAAAAAAAAAAAAAA6gBoMQAAAAAAAAAAAAasVqt7gq6NrVitVvcFXR5OiVd0OcAUGyAAAAAAAAAAAAAAAAAAAAAAAAL7JmoWvXrKhX2TNQtevWXbBuVer2R+pQC0zgAAAAAAAAAB4u/Sr4Ze3i79Kvhkl7GrmgGe2gAAAAAAAF9kzULXr1lKRcmaha9espS9TbDIyb5/QBJzAAAAAAAAAAAAc5itavcdXVqbcVrV7jq6tShOrZrtgAeJAAAAAAAACzyXg5mYv3I7I8ET1ecFk2a5i5fjNT9qfvO9bxERGaIzRCxix/wBlSz547eNQBYUQAAAAAAAAAAAAAETKdWbA1/rmj/lRLjLFWbD0U+dSnVc0/wCml0sdqADisgADNHjjewzR443hLpwGgxAAAAAAAAAAAABpxmp3uCW5pxmp3uCXltJSpuhzoCg2QAAAAAAAAAAAAAAAAAHUANBiAAAAAAAAAAAADVitVvcFXRtasVqt7gq6PJ0SruhzgCg2QAAAAAAAAAAAAAAAAAAAAAAABfZM1C169ZUK+yZqFr16y7YNyr1eyP1KAWmcAAAAAAAAAAPF36VfDL28XfpV8MkvY1c0Az20AAAAAAAAvsmaha9espSLkzULXr1lKXqbYZGTfP6AJOYAAAAAAAAAAADnMVrV7jq6tS8rybYuXKq6prz1TMz2vOisP5181WcNu7Rr1NIjspRdaKw/nXzNFYfzr5vPTZ78rGpRdxkvDR+c+rMZMw0f6ap/9nvpsfKooxfRk7Cx/wCLnVLZThMPT3WaPWM730SjPV1/kOdiM85obqMJiLnhtVb5jM6Gmimnw0xG6GUowcyhPVz/ACFRayTcq7btdNMeUdsp+HwVjD9tNOer8qu2UgdK4610V75r31kATcgAAAAAAAAAAAAAAAFRlmvPfoo/GnPz/wDxXN2Mue9xdyv7Z80boaVG897TLXxV8aRAAi6AADNHjjewzR443hLpwGgxAAAAAAAAAAAAB5ropuUTRVGemYzTD0Ai6Owmy/lP9mjsJsv5T/aUI+FeHT2X5lF0dhNl/Kf7NHYTZfyn+0oPCvB7L8yi6Owmy/lP9mjsJsv5T/aUHhXg9l+ZRdHYTZfyn+zR2E2X8p/tKDwrwey/MoujsJsv5T/Zo7CbL+U/2lB4V4PZfmUXR2E2X8p/s0dhNl/Kf7Sg8K8HsvzKLo7CbL+U/wBmjsJsv5T/AGlB4V4PZfmUXR2E2X8p/s0dhNl/Kf7Sg8K8HsvzKLo7CbL+U/2aOwmy/lP9pQeFeD2X5lF0dhNl/Kf7EoPCvB7L8yAJOYAAAAAAAAAAAA1YrVb3BV0bWrFare4KujydEq7oc4AoNkAAAAAAAAAAAAAAAAAAAAAAAAX2TNQtevWVCvsmaha9esu2Dcq9Xsj9SgFpnAAAAAAAAAADxd+lXwy9vF36VfDJL2NXNAM9tAAAAAAAAL7JmoWvXrKUi5M1C169ZSl6m2GRk3z+gCTmAAAAAAAAAAAAAAAAAAAAAAAAAAAAAAAAAAAAAAAANOMu+4w1df3zZo3typyxf9qumzE9lPbO9G9vGvd1w087xCtAUWsAAAAM0eON7DNHjjeEunAaDEAAAAAAAAAAAAAAAAAAAAAAAAAAAAAAAAAAAAAAAAAAAAAAAAGrFare4Kuja1YrVb3BV0eTolXdDnAFBsgAAAAAAAAAAAAAAAAAAAAAAAC+yZqFr16yoV9kzULXr1l2wblXq9kfqUAtM4AAAAAAAAAAeLv0q+GXt4u/Sr4ZJexq5oBntoAAAAAAABfZM1C169ZSkXJmoWvXrKUvU2wyMm+f0AScwAAAAAAAAAAAAAAAAAAAAAAAAAAAAAAAAAAAAAAAGu/dps2arlXdTHNztyuq5cqrqnPNU55TcqYr3tz3VE/JR3/rKAq5b957Q0umx+Ne86yAOKyAAAAM0eON7DNHjjeEunAaDEAAAAAAAAAAAAAAAAAAAAAAAAAAAAAAAAAAAAAAAAAAAAAAAAGrFare4Kuja1YrVb3BV0eTolXdDnAFBsgAAAAAAAAAAAAAAAAAAAAAAAC+yZqFr16yoV9kzULXr1l2wblXq9kfqUAtM4AAAAAAAAAAeLv0q+GXt4u/Sr4ZJexq5oBntoAAAAAAABfZM1C169ZSkXJmoWvXrKUvU2wyMm+f0AScwAAAAAAAAAAAAAAAAAAAAAAAAAAAAAAAAAAAAABCyji/cW/Yon/JVHKPNtxmKpwtvPPbXPhp81DcuVXa5rrnPVPfLjlydvqFrp8PlPlOjyAqtEAAAAAAZo8cb2GaPHG8JdOA0GIAAAAAAAAAAAAAAAAAAAAAAAAAAAAAAAAAAAAAAAAAAAAAAAANWK1W9wVdG1qxWq3uCro8nRKu6HOAKDZAAAAAAAAAAAAAAAAAAAAAAAAF9kzULXr1lQr7JmoWvXrLtg3KvV7I/UoBaZwAAAAAAAAAA8XfpV8Mvbxd+lXwyS9jVzQDPbQAAAAAAAC+yZqFr16ylIuTNQtevWUpepthkZN8/oAk5gAAAAAAAAAAAAAAAAAAAAAAAAAAAAAAAAAAACPi8XRhaO35q57qWjGZRptZ6LOaqvz+0Kiuuq5XNVczVVPfMuOTL2+oW8PTzb7tozdu13rk13Jz1S8Aqr8R2+oAB6AAAAAAM0eON7DNHjjeEunAaDEAAAAAAAAAAAAAAAAAAAAAAAAAAAAAAAAAAAAAAAAAAAAAAAAGrFare4Kuja1YrVb3BV0eTolXdDnAFBsgAAAAAAAAAAAAAAAAAAAAAAAC+yZqFr16yoV9kzULXr1l2wblXq9kfqUAtM4AAAAAAAAAAeLv0q+GXt4u/Sr4ZJexq5oBntoAAAAAAABfZM1C169ZSkXJmoWvXrKUvU2wyMm+f0AScwAAAAAAAAAAAAAAAAAAAAAAAAAAAAAAAAab+Ks2PqVxn8o7ZVuIyrcrzxZp9iPOe2ULZK11daYb30hZ38Taw9Oe5Vm8o+8qjFZRuX89NHyUeUd8olVU1VTVVMzM98ywr3yzbRex9PWn3P3IA5LAAAAAAAAAAAzR443sM0eON4S6cBoMQAAAAAAAAAAAAAAAAAAAAAAAAAAAAAAAAAAAAAAAAAAAAAAAAasVqt7gq6NrVitVvcFXR5OiVd0OcAUGyAAAAAAAAAAAAAAAAAAAAAAAAL7JmoWvXrKhX2TNQtevWXbBuVer2R+pQC0zgAAAAAAAAAB4u/Sr4Ze3i79Kvhkl7GrmgGe2gAAAAAAAF9kzULXr1lKRcmaha9espS9TbDIyb5/QBJzAAAAAAAAAAAAAAAAAAAAAAB5qrinvztdWJop74qO72ImW4Qq8qWaO+i5yj+2qrK9H+mzVO+cyM3rGqcYrzpCyFRVle7Pht0Rvzy015RxNX+v2d0ITmq6x0uSdV60XMZh7Xiu05/KO2VDXduXPHcqq3zneEJz8Q616SP8AqVtdyvRHZatzV+tXYhXsfiL3ZNfsx5U9iMOU5LT/AFYrhpXSABB1AAAAAAAAAAAAAAGaPHG9hmjxxvCXTgNBiAAAAAAAAAAAAAAAAAAAAAAAAAAAAAAAAAAP/9k="/>
        <xdr:cNvSpPr>
          <a:spLocks noChangeAspect="1" noChangeArrowheads="1"/>
        </xdr:cNvSpPr>
      </xdr:nvSpPr>
      <xdr:spPr bwMode="auto">
        <a:xfrm>
          <a:off x="8028214"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1321836</xdr:colOff>
      <xdr:row>0</xdr:row>
      <xdr:rowOff>77757</xdr:rowOff>
    </xdr:from>
    <xdr:to>
      <xdr:col>7</xdr:col>
      <xdr:colOff>747869</xdr:colOff>
      <xdr:row>0</xdr:row>
      <xdr:rowOff>458756</xdr:rowOff>
    </xdr:to>
    <xdr:grpSp>
      <xdr:nvGrpSpPr>
        <xdr:cNvPr id="5" name="Gruppieren 4"/>
        <xdr:cNvGrpSpPr/>
      </xdr:nvGrpSpPr>
      <xdr:grpSpPr>
        <a:xfrm>
          <a:off x="7154765" y="77757"/>
          <a:ext cx="4369961" cy="380999"/>
          <a:chOff x="7032948" y="23328"/>
          <a:chExt cx="5728086" cy="551392"/>
        </a:xfrm>
      </xdr:grpSpPr>
      <xdr:pic>
        <xdr:nvPicPr>
          <xdr:cNvPr id="51" name="Grafik 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7032948" y="23328"/>
            <a:ext cx="4482583" cy="551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Grafik 3"/>
          <xdr:cNvPicPr>
            <a:picLocks noChangeAspect="1"/>
          </xdr:cNvPicPr>
        </xdr:nvPicPr>
        <xdr:blipFill>
          <a:blip xmlns:r="http://schemas.openxmlformats.org/officeDocument/2006/relationships" r:embed="rId14">
            <a:extLst>
              <a:ext uri="{BEBA8EAE-BF5A-486C-A8C5-ECC9F3942E4B}">
                <a14:imgProps xmlns:a14="http://schemas.microsoft.com/office/drawing/2010/main">
                  <a14:imgLayer r:embed="rId15">
                    <a14:imgEffect>
                      <a14:colorTemperature colorTemp="4700"/>
                    </a14:imgEffect>
                  </a14:imgLayer>
                </a14:imgProps>
              </a:ext>
            </a:extLst>
          </a:blip>
          <a:stretch>
            <a:fillRect/>
          </a:stretch>
        </xdr:blipFill>
        <xdr:spPr>
          <a:xfrm>
            <a:off x="11577735" y="27104"/>
            <a:ext cx="1183299" cy="495949"/>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606358</xdr:colOff>
      <xdr:row>0</xdr:row>
      <xdr:rowOff>344563</xdr:rowOff>
    </xdr:to>
    <xdr:grpSp>
      <xdr:nvGrpSpPr>
        <xdr:cNvPr id="5" name="Gruppieren 4"/>
        <xdr:cNvGrpSpPr/>
      </xdr:nvGrpSpPr>
      <xdr:grpSpPr>
        <a:xfrm>
          <a:off x="5657850" y="0"/>
          <a:ext cx="3654358" cy="344563"/>
          <a:chOff x="7032948" y="23328"/>
          <a:chExt cx="5728086" cy="551392"/>
        </a:xfrm>
      </xdr:grpSpPr>
      <xdr:pic>
        <xdr:nvPicPr>
          <xdr:cNvPr id="6"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2948" y="23328"/>
            <a:ext cx="4482583" cy="551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Grafik 6"/>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colorTemperature colorTemp="4700"/>
                    </a14:imgEffect>
                  </a14:imgLayer>
                </a14:imgProps>
              </a:ext>
            </a:extLst>
          </a:blip>
          <a:stretch>
            <a:fillRect/>
          </a:stretch>
        </xdr:blipFill>
        <xdr:spPr>
          <a:xfrm>
            <a:off x="11577735" y="27104"/>
            <a:ext cx="1183299" cy="495949"/>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0</xdr:row>
      <xdr:rowOff>0</xdr:rowOff>
    </xdr:from>
    <xdr:to>
      <xdr:col>6</xdr:col>
      <xdr:colOff>1143000</xdr:colOff>
      <xdr:row>0</xdr:row>
      <xdr:rowOff>293914</xdr:rowOff>
    </xdr:to>
    <xdr:grpSp>
      <xdr:nvGrpSpPr>
        <xdr:cNvPr id="5" name="Gruppieren 4"/>
        <xdr:cNvGrpSpPr/>
      </xdr:nvGrpSpPr>
      <xdr:grpSpPr>
        <a:xfrm>
          <a:off x="5867400" y="0"/>
          <a:ext cx="2660650" cy="293914"/>
          <a:chOff x="7032948" y="23328"/>
          <a:chExt cx="5728086" cy="551392"/>
        </a:xfrm>
      </xdr:grpSpPr>
      <xdr:pic>
        <xdr:nvPicPr>
          <xdr:cNvPr id="6"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2948" y="23328"/>
            <a:ext cx="4482583" cy="551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Grafik 6"/>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colorTemperature colorTemp="4700"/>
                    </a14:imgEffect>
                  </a14:imgLayer>
                </a14:imgProps>
              </a:ext>
            </a:extLst>
          </a:blip>
          <a:stretch>
            <a:fillRect/>
          </a:stretch>
        </xdr:blipFill>
        <xdr:spPr>
          <a:xfrm>
            <a:off x="11577735" y="27104"/>
            <a:ext cx="1183299" cy="495949"/>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3497943</xdr:colOff>
      <xdr:row>0</xdr:row>
      <xdr:rowOff>87086</xdr:rowOff>
    </xdr:from>
    <xdr:to>
      <xdr:col>3</xdr:col>
      <xdr:colOff>823686</xdr:colOff>
      <xdr:row>0</xdr:row>
      <xdr:rowOff>381000</xdr:rowOff>
    </xdr:to>
    <xdr:grpSp>
      <xdr:nvGrpSpPr>
        <xdr:cNvPr id="6" name="Gruppieren 5"/>
        <xdr:cNvGrpSpPr/>
      </xdr:nvGrpSpPr>
      <xdr:grpSpPr>
        <a:xfrm>
          <a:off x="5750076" y="87086"/>
          <a:ext cx="2642810" cy="293914"/>
          <a:chOff x="7032948" y="23328"/>
          <a:chExt cx="5728086" cy="551392"/>
        </a:xfrm>
      </xdr:grpSpPr>
      <xdr:pic>
        <xdr:nvPicPr>
          <xdr:cNvPr id="7"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2948" y="23328"/>
            <a:ext cx="4482583" cy="551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Grafik 7"/>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colorTemperature colorTemp="4700"/>
                    </a14:imgEffect>
                  </a14:imgLayer>
                </a14:imgProps>
              </a:ext>
            </a:extLst>
          </a:blip>
          <a:stretch>
            <a:fillRect/>
          </a:stretch>
        </xdr:blipFill>
        <xdr:spPr>
          <a:xfrm>
            <a:off x="11577735" y="27104"/>
            <a:ext cx="1183299" cy="495949"/>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99</xdr:col>
      <xdr:colOff>1590675</xdr:colOff>
      <xdr:row>92</xdr:row>
      <xdr:rowOff>95250</xdr:rowOff>
    </xdr:from>
    <xdr:to>
      <xdr:col>103</xdr:col>
      <xdr:colOff>38100</xdr:colOff>
      <xdr:row>98</xdr:row>
      <xdr:rowOff>95250</xdr:rowOff>
    </xdr:to>
    <xdr:sp macro="" textlink="">
      <xdr:nvSpPr>
        <xdr:cNvPr id="291291" name="Line 300"/>
        <xdr:cNvSpPr>
          <a:spLocks noChangeShapeType="1"/>
        </xdr:cNvSpPr>
      </xdr:nvSpPr>
      <xdr:spPr bwMode="auto">
        <a:xfrm flipV="1">
          <a:off x="132397500" y="16078200"/>
          <a:ext cx="3133725" cy="1390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89</xdr:row>
      <xdr:rowOff>0</xdr:rowOff>
    </xdr:from>
    <xdr:to>
      <xdr:col>12</xdr:col>
      <xdr:colOff>1177738</xdr:colOff>
      <xdr:row>90</xdr:row>
      <xdr:rowOff>130629</xdr:rowOff>
    </xdr:to>
    <xdr:pic>
      <xdr:nvPicPr>
        <xdr:cNvPr id="7"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92285" y="15875000"/>
          <a:ext cx="2121168" cy="293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0</xdr:row>
      <xdr:rowOff>0</xdr:rowOff>
    </xdr:from>
    <xdr:to>
      <xdr:col>5</xdr:col>
      <xdr:colOff>859972</xdr:colOff>
      <xdr:row>0</xdr:row>
      <xdr:rowOff>293914</xdr:rowOff>
    </xdr:to>
    <xdr:grpSp>
      <xdr:nvGrpSpPr>
        <xdr:cNvPr id="9" name="Gruppieren 8"/>
        <xdr:cNvGrpSpPr/>
      </xdr:nvGrpSpPr>
      <xdr:grpSpPr>
        <a:xfrm>
          <a:off x="5404556" y="0"/>
          <a:ext cx="2687360" cy="293914"/>
          <a:chOff x="7032948" y="23328"/>
          <a:chExt cx="5728086" cy="551392"/>
        </a:xfrm>
      </xdr:grpSpPr>
      <xdr:pic>
        <xdr:nvPicPr>
          <xdr:cNvPr id="10"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2948" y="23328"/>
            <a:ext cx="4482583" cy="551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Grafik 10"/>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colorTemperature colorTemp="4700"/>
                    </a14:imgEffect>
                  </a14:imgLayer>
                </a14:imgProps>
              </a:ext>
            </a:extLst>
          </a:blip>
          <a:stretch>
            <a:fillRect/>
          </a:stretch>
        </xdr:blipFill>
        <xdr:spPr>
          <a:xfrm>
            <a:off x="11577735" y="27104"/>
            <a:ext cx="1183299" cy="495949"/>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602342</xdr:colOff>
      <xdr:row>0</xdr:row>
      <xdr:rowOff>101600</xdr:rowOff>
    </xdr:from>
    <xdr:to>
      <xdr:col>5</xdr:col>
      <xdr:colOff>65314</xdr:colOff>
      <xdr:row>0</xdr:row>
      <xdr:rowOff>370114</xdr:rowOff>
    </xdr:to>
    <xdr:grpSp>
      <xdr:nvGrpSpPr>
        <xdr:cNvPr id="5" name="Gruppieren 4"/>
        <xdr:cNvGrpSpPr/>
      </xdr:nvGrpSpPr>
      <xdr:grpSpPr>
        <a:xfrm>
          <a:off x="5788175" y="101600"/>
          <a:ext cx="2906083" cy="268514"/>
          <a:chOff x="7032948" y="23328"/>
          <a:chExt cx="5728086" cy="551392"/>
        </a:xfrm>
      </xdr:grpSpPr>
      <xdr:pic>
        <xdr:nvPicPr>
          <xdr:cNvPr id="6"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2948" y="23328"/>
            <a:ext cx="4482583" cy="551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Grafik 6"/>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colorTemperature colorTemp="4700"/>
                    </a14:imgEffect>
                  </a14:imgLayer>
                </a14:imgProps>
              </a:ext>
            </a:extLst>
          </a:blip>
          <a:stretch>
            <a:fillRect/>
          </a:stretch>
        </xdr:blipFill>
        <xdr:spPr>
          <a:xfrm>
            <a:off x="11577735" y="27104"/>
            <a:ext cx="1183299" cy="495949"/>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400050</xdr:colOff>
      <xdr:row>3</xdr:row>
      <xdr:rowOff>285750</xdr:rowOff>
    </xdr:from>
    <xdr:to>
      <xdr:col>4</xdr:col>
      <xdr:colOff>1419225</xdr:colOff>
      <xdr:row>14</xdr:row>
      <xdr:rowOff>390525</xdr:rowOff>
    </xdr:to>
    <xdr:graphicFrame macro="">
      <xdr:nvGraphicFramePr>
        <xdr:cNvPr id="155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544286</xdr:colOff>
      <xdr:row>0</xdr:row>
      <xdr:rowOff>29028</xdr:rowOff>
    </xdr:from>
    <xdr:to>
      <xdr:col>6</xdr:col>
      <xdr:colOff>693058</xdr:colOff>
      <xdr:row>0</xdr:row>
      <xdr:rowOff>322942</xdr:rowOff>
    </xdr:to>
    <xdr:grpSp>
      <xdr:nvGrpSpPr>
        <xdr:cNvPr id="6" name="Gruppieren 5"/>
        <xdr:cNvGrpSpPr/>
      </xdr:nvGrpSpPr>
      <xdr:grpSpPr>
        <a:xfrm>
          <a:off x="6139543" y="29028"/>
          <a:ext cx="2710543" cy="293914"/>
          <a:chOff x="7032948" y="23328"/>
          <a:chExt cx="5728086" cy="551392"/>
        </a:xfrm>
      </xdr:grpSpPr>
      <xdr:pic>
        <xdr:nvPicPr>
          <xdr:cNvPr id="7" name="Grafik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32948" y="23328"/>
            <a:ext cx="4482583" cy="551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Grafik 7"/>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4700"/>
                    </a14:imgEffect>
                  </a14:imgLayer>
                </a14:imgProps>
              </a:ext>
            </a:extLst>
          </a:blip>
          <a:stretch>
            <a:fillRect/>
          </a:stretch>
        </xdr:blipFill>
        <xdr:spPr>
          <a:xfrm>
            <a:off x="11577735" y="27104"/>
            <a:ext cx="1183299" cy="49594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1166327</xdr:colOff>
      <xdr:row>0</xdr:row>
      <xdr:rowOff>31102</xdr:rowOff>
    </xdr:from>
    <xdr:to>
      <xdr:col>6</xdr:col>
      <xdr:colOff>254127</xdr:colOff>
      <xdr:row>1</xdr:row>
      <xdr:rowOff>22657</xdr:rowOff>
    </xdr:to>
    <xdr:grpSp>
      <xdr:nvGrpSpPr>
        <xdr:cNvPr id="5" name="Gruppieren 4"/>
        <xdr:cNvGrpSpPr/>
      </xdr:nvGrpSpPr>
      <xdr:grpSpPr>
        <a:xfrm>
          <a:off x="6284427" y="31102"/>
          <a:ext cx="5641000" cy="550355"/>
          <a:chOff x="7032948" y="23328"/>
          <a:chExt cx="5728086" cy="551392"/>
        </a:xfrm>
      </xdr:grpSpPr>
      <xdr:pic>
        <xdr:nvPicPr>
          <xdr:cNvPr id="6"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2948" y="23328"/>
            <a:ext cx="4482583" cy="551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Grafik 6"/>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colorTemperature colorTemp="4700"/>
                    </a14:imgEffect>
                  </a14:imgLayer>
                </a14:imgProps>
              </a:ext>
            </a:extLst>
          </a:blip>
          <a:stretch>
            <a:fillRect/>
          </a:stretch>
        </xdr:blipFill>
        <xdr:spPr>
          <a:xfrm>
            <a:off x="11577735" y="27104"/>
            <a:ext cx="1183299" cy="495949"/>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772885</xdr:colOff>
      <xdr:row>0</xdr:row>
      <xdr:rowOff>65314</xdr:rowOff>
    </xdr:from>
    <xdr:to>
      <xdr:col>9</xdr:col>
      <xdr:colOff>306999</xdr:colOff>
      <xdr:row>0</xdr:row>
      <xdr:rowOff>409877</xdr:rowOff>
    </xdr:to>
    <xdr:grpSp>
      <xdr:nvGrpSpPr>
        <xdr:cNvPr id="5" name="Gruppieren 4"/>
        <xdr:cNvGrpSpPr/>
      </xdr:nvGrpSpPr>
      <xdr:grpSpPr>
        <a:xfrm>
          <a:off x="5871935" y="65314"/>
          <a:ext cx="3642564" cy="344563"/>
          <a:chOff x="7032948" y="23328"/>
          <a:chExt cx="5728086" cy="551392"/>
        </a:xfrm>
      </xdr:grpSpPr>
      <xdr:pic>
        <xdr:nvPicPr>
          <xdr:cNvPr id="6"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2948" y="23328"/>
            <a:ext cx="4482583" cy="551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Grafik 6"/>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colorTemperature colorTemp="4700"/>
                    </a14:imgEffect>
                  </a14:imgLayer>
                </a14:imgProps>
              </a:ext>
            </a:extLst>
          </a:blip>
          <a:stretch>
            <a:fillRect/>
          </a:stretch>
        </xdr:blipFill>
        <xdr:spPr>
          <a:xfrm>
            <a:off x="11577735" y="27104"/>
            <a:ext cx="1183299" cy="495949"/>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103413</xdr:colOff>
      <xdr:row>0</xdr:row>
      <xdr:rowOff>76200</xdr:rowOff>
    </xdr:from>
    <xdr:to>
      <xdr:col>8</xdr:col>
      <xdr:colOff>470285</xdr:colOff>
      <xdr:row>0</xdr:row>
      <xdr:rowOff>420763</xdr:rowOff>
    </xdr:to>
    <xdr:grpSp>
      <xdr:nvGrpSpPr>
        <xdr:cNvPr id="6" name="Gruppieren 5"/>
        <xdr:cNvGrpSpPr/>
      </xdr:nvGrpSpPr>
      <xdr:grpSpPr>
        <a:xfrm>
          <a:off x="5799363" y="76200"/>
          <a:ext cx="3675222" cy="344563"/>
          <a:chOff x="7032948" y="23328"/>
          <a:chExt cx="5728086" cy="551392"/>
        </a:xfrm>
      </xdr:grpSpPr>
      <xdr:pic>
        <xdr:nvPicPr>
          <xdr:cNvPr id="7"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2948" y="23328"/>
            <a:ext cx="4482583" cy="551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Grafik 7"/>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colorTemperature colorTemp="4700"/>
                    </a14:imgEffect>
                  </a14:imgLayer>
                </a14:imgProps>
              </a:ext>
            </a:extLst>
          </a:blip>
          <a:stretch>
            <a:fillRect/>
          </a:stretch>
        </xdr:blipFill>
        <xdr:spPr>
          <a:xfrm>
            <a:off x="11577735" y="27104"/>
            <a:ext cx="1183299" cy="495949"/>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3425372</xdr:colOff>
      <xdr:row>0</xdr:row>
      <xdr:rowOff>65315</xdr:rowOff>
    </xdr:from>
    <xdr:to>
      <xdr:col>3</xdr:col>
      <xdr:colOff>1012757</xdr:colOff>
      <xdr:row>0</xdr:row>
      <xdr:rowOff>409878</xdr:rowOff>
    </xdr:to>
    <xdr:grpSp>
      <xdr:nvGrpSpPr>
        <xdr:cNvPr id="8" name="Gruppieren 7"/>
        <xdr:cNvGrpSpPr/>
      </xdr:nvGrpSpPr>
      <xdr:grpSpPr>
        <a:xfrm>
          <a:off x="5872239" y="65315"/>
          <a:ext cx="3666451" cy="344563"/>
          <a:chOff x="7032948" y="23328"/>
          <a:chExt cx="5728086" cy="551392"/>
        </a:xfrm>
      </xdr:grpSpPr>
      <xdr:pic>
        <xdr:nvPicPr>
          <xdr:cNvPr id="9"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2948" y="23328"/>
            <a:ext cx="4482583" cy="551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Grafik 9"/>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colorTemperature colorTemp="4700"/>
                    </a14:imgEffect>
                  </a14:imgLayer>
                </a14:imgProps>
              </a:ext>
            </a:extLst>
          </a:blip>
          <a:stretch>
            <a:fillRect/>
          </a:stretch>
        </xdr:blipFill>
        <xdr:spPr>
          <a:xfrm>
            <a:off x="11577735" y="27104"/>
            <a:ext cx="1183299" cy="495949"/>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99</xdr:col>
      <xdr:colOff>1590675</xdr:colOff>
      <xdr:row>91</xdr:row>
      <xdr:rowOff>95250</xdr:rowOff>
    </xdr:from>
    <xdr:to>
      <xdr:col>103</xdr:col>
      <xdr:colOff>38100</xdr:colOff>
      <xdr:row>97</xdr:row>
      <xdr:rowOff>104775</xdr:rowOff>
    </xdr:to>
    <xdr:sp macro="" textlink="">
      <xdr:nvSpPr>
        <xdr:cNvPr id="72391" name="Line 14"/>
        <xdr:cNvSpPr>
          <a:spLocks noChangeShapeType="1"/>
        </xdr:cNvSpPr>
      </xdr:nvSpPr>
      <xdr:spPr bwMode="auto">
        <a:xfrm flipV="1">
          <a:off x="131311650" y="15935325"/>
          <a:ext cx="3133725" cy="1400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0</xdr:row>
      <xdr:rowOff>0</xdr:rowOff>
    </xdr:from>
    <xdr:to>
      <xdr:col>6</xdr:col>
      <xdr:colOff>330585</xdr:colOff>
      <xdr:row>0</xdr:row>
      <xdr:rowOff>344563</xdr:rowOff>
    </xdr:to>
    <xdr:grpSp>
      <xdr:nvGrpSpPr>
        <xdr:cNvPr id="9" name="Gruppieren 8"/>
        <xdr:cNvGrpSpPr/>
      </xdr:nvGrpSpPr>
      <xdr:grpSpPr>
        <a:xfrm>
          <a:off x="5746750" y="0"/>
          <a:ext cx="3696085" cy="344563"/>
          <a:chOff x="7032948" y="23328"/>
          <a:chExt cx="5728086" cy="551392"/>
        </a:xfrm>
      </xdr:grpSpPr>
      <xdr:pic>
        <xdr:nvPicPr>
          <xdr:cNvPr id="10"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2948" y="23328"/>
            <a:ext cx="4482583" cy="551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Grafik 10"/>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colorTemperature colorTemp="4700"/>
                    </a14:imgEffect>
                  </a14:imgLayer>
                </a14:imgProps>
              </a:ext>
            </a:extLst>
          </a:blip>
          <a:stretch>
            <a:fillRect/>
          </a:stretch>
        </xdr:blipFill>
        <xdr:spPr>
          <a:xfrm>
            <a:off x="11577735" y="27104"/>
            <a:ext cx="1183299" cy="495949"/>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391885</xdr:colOff>
      <xdr:row>0</xdr:row>
      <xdr:rowOff>58057</xdr:rowOff>
    </xdr:from>
    <xdr:to>
      <xdr:col>6</xdr:col>
      <xdr:colOff>352357</xdr:colOff>
      <xdr:row>0</xdr:row>
      <xdr:rowOff>402620</xdr:rowOff>
    </xdr:to>
    <xdr:grpSp>
      <xdr:nvGrpSpPr>
        <xdr:cNvPr id="8" name="Gruppieren 7"/>
        <xdr:cNvGrpSpPr/>
      </xdr:nvGrpSpPr>
      <xdr:grpSpPr>
        <a:xfrm>
          <a:off x="5675085" y="58057"/>
          <a:ext cx="3694272" cy="344563"/>
          <a:chOff x="7032948" y="23328"/>
          <a:chExt cx="5728086" cy="551392"/>
        </a:xfrm>
      </xdr:grpSpPr>
      <xdr:pic>
        <xdr:nvPicPr>
          <xdr:cNvPr id="9"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2948" y="23328"/>
            <a:ext cx="4482583" cy="551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Grafik 9"/>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colorTemperature colorTemp="4700"/>
                    </a14:imgEffect>
                  </a14:imgLayer>
                </a14:imgProps>
              </a:ext>
            </a:extLst>
          </a:blip>
          <a:stretch>
            <a:fillRect/>
          </a:stretch>
        </xdr:blipFill>
        <xdr:spPr>
          <a:xfrm>
            <a:off x="11577735" y="27104"/>
            <a:ext cx="1183299" cy="495949"/>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428625</xdr:colOff>
      <xdr:row>4</xdr:row>
      <xdr:rowOff>333375</xdr:rowOff>
    </xdr:from>
    <xdr:to>
      <xdr:col>4</xdr:col>
      <xdr:colOff>1447800</xdr:colOff>
      <xdr:row>14</xdr:row>
      <xdr:rowOff>295275</xdr:rowOff>
    </xdr:to>
    <xdr:graphicFrame macro="">
      <xdr:nvGraphicFramePr>
        <xdr:cNvPr id="742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457200</xdr:colOff>
      <xdr:row>0</xdr:row>
      <xdr:rowOff>21772</xdr:rowOff>
    </xdr:from>
    <xdr:to>
      <xdr:col>7</xdr:col>
      <xdr:colOff>715215</xdr:colOff>
      <xdr:row>0</xdr:row>
      <xdr:rowOff>366335</xdr:rowOff>
    </xdr:to>
    <xdr:grpSp>
      <xdr:nvGrpSpPr>
        <xdr:cNvPr id="6" name="Gruppieren 5"/>
        <xdr:cNvGrpSpPr/>
      </xdr:nvGrpSpPr>
      <xdr:grpSpPr>
        <a:xfrm>
          <a:off x="5798457" y="21772"/>
          <a:ext cx="3741443" cy="344563"/>
          <a:chOff x="7032948" y="23328"/>
          <a:chExt cx="5728086" cy="551392"/>
        </a:xfrm>
      </xdr:grpSpPr>
      <xdr:pic>
        <xdr:nvPicPr>
          <xdr:cNvPr id="7" name="Grafik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32948" y="23328"/>
            <a:ext cx="4482583" cy="551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Grafik 7"/>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4700"/>
                    </a14:imgEffect>
                  </a14:imgLayer>
                </a14:imgProps>
              </a:ext>
            </a:extLst>
          </a:blip>
          <a:stretch>
            <a:fillRect/>
          </a:stretch>
        </xdr:blipFill>
        <xdr:spPr>
          <a:xfrm>
            <a:off x="11577735" y="27104"/>
            <a:ext cx="1183299" cy="495949"/>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870857</xdr:colOff>
      <xdr:row>0</xdr:row>
      <xdr:rowOff>10886</xdr:rowOff>
    </xdr:from>
    <xdr:to>
      <xdr:col>4</xdr:col>
      <xdr:colOff>1194184</xdr:colOff>
      <xdr:row>0</xdr:row>
      <xdr:rowOff>355449</xdr:rowOff>
    </xdr:to>
    <xdr:grpSp>
      <xdr:nvGrpSpPr>
        <xdr:cNvPr id="8" name="Gruppieren 7"/>
        <xdr:cNvGrpSpPr/>
      </xdr:nvGrpSpPr>
      <xdr:grpSpPr>
        <a:xfrm>
          <a:off x="6022295" y="10886"/>
          <a:ext cx="3696764" cy="344563"/>
          <a:chOff x="7032948" y="23328"/>
          <a:chExt cx="5728086" cy="551392"/>
        </a:xfrm>
      </xdr:grpSpPr>
      <xdr:pic>
        <xdr:nvPicPr>
          <xdr:cNvPr id="9"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2948" y="23328"/>
            <a:ext cx="4482583" cy="551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Grafik 9"/>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colorTemperature colorTemp="4700"/>
                    </a14:imgEffect>
                  </a14:imgLayer>
                </a14:imgProps>
              </a:ext>
            </a:extLst>
          </a:blip>
          <a:stretch>
            <a:fillRect/>
          </a:stretch>
        </xdr:blipFill>
        <xdr:spPr>
          <a:xfrm>
            <a:off x="11577735" y="27104"/>
            <a:ext cx="1183299" cy="495949"/>
          </a:xfrm>
          <a:prstGeom prst="rect">
            <a:avLst/>
          </a:prstGeom>
        </xdr:spPr>
      </xdr:pic>
    </xdr:grp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Eingabeseite">
    <tabColor indexed="32"/>
  </sheetPr>
  <dimension ref="A1:M285"/>
  <sheetViews>
    <sheetView tabSelected="1" zoomScale="70" zoomScaleNormal="70" workbookViewId="0">
      <selection activeCell="D28" sqref="D28"/>
    </sheetView>
  </sheetViews>
  <sheetFormatPr baseColWidth="10" defaultRowHeight="13" x14ac:dyDescent="0.3"/>
  <cols>
    <col min="1" max="1" width="50.81640625" customWidth="1"/>
    <col min="2" max="2" width="20.1796875" style="10" customWidth="1"/>
    <col min="3" max="3" width="12.54296875" style="10" customWidth="1"/>
    <col min="4" max="4" width="20.36328125" style="49" customWidth="1"/>
    <col min="5" max="5" width="1.81640625" customWidth="1"/>
    <col min="6" max="6" width="7.7265625" customWidth="1"/>
    <col min="7" max="7" width="40.7265625" customWidth="1"/>
    <col min="8" max="8" width="17.7265625" customWidth="1"/>
    <col min="9" max="9" width="11" customWidth="1"/>
    <col min="10" max="10" width="17.54296875" customWidth="1"/>
    <col min="11" max="11" width="9.36328125" customWidth="1"/>
    <col min="12" max="12" width="6" customWidth="1"/>
    <col min="13" max="13" width="11.1796875" customWidth="1"/>
  </cols>
  <sheetData>
    <row r="1" spans="1:13" s="13" customFormat="1" ht="42" customHeight="1" x14ac:dyDescent="0.3">
      <c r="A1" s="1287" t="s">
        <v>690</v>
      </c>
      <c r="B1" s="1284" t="s">
        <v>656</v>
      </c>
      <c r="C1" s="1284"/>
      <c r="D1" s="1284"/>
      <c r="E1" s="1284"/>
      <c r="F1" s="1284"/>
      <c r="G1"/>
      <c r="H1" s="1284"/>
      <c r="I1" s="771"/>
      <c r="J1" s="1"/>
      <c r="L1" s="697"/>
      <c r="M1" s="87"/>
    </row>
    <row r="2" spans="1:13" s="13" customFormat="1" ht="20" x14ac:dyDescent="0.4">
      <c r="A2" s="1410" t="s">
        <v>611</v>
      </c>
      <c r="B2" s="1410"/>
      <c r="C2" s="1410"/>
      <c r="D2" s="1410"/>
      <c r="E2" s="1410"/>
      <c r="F2" s="1410"/>
      <c r="G2" s="1410"/>
      <c r="H2" s="833"/>
      <c r="I2" s="833"/>
      <c r="J2" s="1381"/>
      <c r="K2" s="19"/>
      <c r="L2" s="925"/>
      <c r="M2" s="87"/>
    </row>
    <row r="3" spans="1:13" s="13" customFormat="1" ht="18" customHeight="1" x14ac:dyDescent="0.25">
      <c r="A3" s="1416" t="s">
        <v>688</v>
      </c>
      <c r="B3" s="1416"/>
      <c r="C3" s="1416"/>
      <c r="D3" s="1416"/>
      <c r="E3" s="1416"/>
      <c r="F3" s="1416"/>
      <c r="G3" s="1416"/>
      <c r="H3" s="833"/>
      <c r="I3" s="833"/>
      <c r="J3" s="833"/>
    </row>
    <row r="4" spans="1:13" s="13" customFormat="1" ht="21.25" customHeight="1" x14ac:dyDescent="0.25">
      <c r="A4" s="1004" t="s">
        <v>691</v>
      </c>
      <c r="B4" s="834"/>
      <c r="C4" s="1414"/>
      <c r="D4" s="1415"/>
      <c r="E4" s="833"/>
      <c r="F4" s="833"/>
      <c r="G4" s="833"/>
      <c r="H4" s="771"/>
      <c r="I4" s="771"/>
      <c r="J4" s="771"/>
      <c r="K4" s="117"/>
    </row>
    <row r="5" spans="1:13" s="13" customFormat="1" ht="27" customHeight="1" thickBot="1" x14ac:dyDescent="0.45">
      <c r="A5" s="835" t="s">
        <v>289</v>
      </c>
      <c r="B5" s="836" t="s">
        <v>323</v>
      </c>
      <c r="C5" s="118" t="s">
        <v>112</v>
      </c>
      <c r="D5" s="837" t="s">
        <v>206</v>
      </c>
      <c r="E5" s="19"/>
      <c r="F5" s="1324">
        <f>D10+D11+D12+D13+D14</f>
        <v>1</v>
      </c>
      <c r="G5" s="833"/>
      <c r="H5" s="235" t="s">
        <v>323</v>
      </c>
      <c r="I5" s="118" t="s">
        <v>111</v>
      </c>
      <c r="J5" s="837" t="s">
        <v>109</v>
      </c>
      <c r="K5" s="926"/>
    </row>
    <row r="6" spans="1:13" ht="31.75" customHeight="1" x14ac:dyDescent="0.25">
      <c r="A6" s="1310" t="s">
        <v>628</v>
      </c>
      <c r="B6" s="496">
        <f>'Standard Vorgaben'!B69</f>
        <v>2.3999999999999995</v>
      </c>
      <c r="C6" s="274">
        <f t="shared" ref="C6:C12" si="0">IF(OR(B6=0,B6=""),0,(D6/B6)-1)</f>
        <v>2.2204460492503131E-16</v>
      </c>
      <c r="D6" s="484">
        <v>2.4</v>
      </c>
      <c r="E6" s="1"/>
      <c r="F6" s="1413" t="s">
        <v>267</v>
      </c>
      <c r="G6" s="1413"/>
      <c r="H6" s="476">
        <f>H67</f>
        <v>27.845889800168688</v>
      </c>
      <c r="I6" s="480">
        <f>I67</f>
        <v>-3.0306474542163286E-6</v>
      </c>
      <c r="J6" s="476">
        <f>J67</f>
        <v>27.845805409093654</v>
      </c>
      <c r="K6" s="13"/>
    </row>
    <row r="7" spans="1:13" ht="24" customHeight="1" x14ac:dyDescent="0.25">
      <c r="A7" s="1311" t="s">
        <v>629</v>
      </c>
      <c r="B7" s="497">
        <f>'Standard Vorgaben'!C69</f>
        <v>0.59999999999999987</v>
      </c>
      <c r="C7" s="186">
        <f t="shared" si="0"/>
        <v>2.2204460492503131E-16</v>
      </c>
      <c r="D7" s="485">
        <v>0.6</v>
      </c>
      <c r="E7" s="1"/>
      <c r="F7" s="1411" t="s">
        <v>301</v>
      </c>
      <c r="G7" s="1411"/>
      <c r="H7" s="477">
        <f>H64</f>
        <v>24.275662808765972</v>
      </c>
      <c r="I7" s="481">
        <f>I64</f>
        <v>-1.663392384165796E-6</v>
      </c>
      <c r="J7" s="477">
        <f>J64</f>
        <v>24.275622428813335</v>
      </c>
      <c r="K7" s="13"/>
    </row>
    <row r="8" spans="1:13" ht="21.25" customHeight="1" x14ac:dyDescent="0.25">
      <c r="A8" s="1309" t="s">
        <v>630</v>
      </c>
      <c r="B8" s="498">
        <f>'Standard Vorgaben'!D69</f>
        <v>0.33</v>
      </c>
      <c r="C8" s="186">
        <f t="shared" si="0"/>
        <v>0</v>
      </c>
      <c r="D8" s="485">
        <v>0.33</v>
      </c>
      <c r="E8" s="1"/>
      <c r="F8" s="1413" t="s">
        <v>628</v>
      </c>
      <c r="G8" s="1413"/>
      <c r="H8" s="478">
        <f>B49</f>
        <v>2.6529507334276023</v>
      </c>
      <c r="I8" s="482">
        <f>C49</f>
        <v>5.5359763173612464E-7</v>
      </c>
      <c r="J8" s="478">
        <f>D49</f>
        <v>2.6529522020948457</v>
      </c>
      <c r="K8" s="13"/>
    </row>
    <row r="9" spans="1:13" ht="21.25" customHeight="1" x14ac:dyDescent="0.25">
      <c r="A9" s="1312" t="s">
        <v>657</v>
      </c>
      <c r="B9" s="498">
        <f>'Standard Vorgaben'!E69</f>
        <v>0</v>
      </c>
      <c r="C9" s="186">
        <f>IF(OR(B9=0,B9=""),0,(D9/B9)-1)</f>
        <v>0</v>
      </c>
      <c r="D9" s="485">
        <v>0</v>
      </c>
      <c r="E9" s="1"/>
      <c r="F9" s="1305"/>
      <c r="G9" s="1305"/>
      <c r="H9" s="478"/>
      <c r="I9" s="482"/>
      <c r="J9" s="478"/>
      <c r="K9" s="13"/>
    </row>
    <row r="10" spans="1:13" ht="19.5" customHeight="1" x14ac:dyDescent="0.25">
      <c r="A10" s="509" t="s">
        <v>628</v>
      </c>
      <c r="B10" s="499">
        <f>'Standard Vorgaben'!B89</f>
        <v>0.73000000000000009</v>
      </c>
      <c r="C10" s="187">
        <f t="shared" si="0"/>
        <v>-1.1102230246251565E-16</v>
      </c>
      <c r="D10" s="486">
        <v>0.73</v>
      </c>
      <c r="E10" s="1"/>
      <c r="F10" s="1411" t="s">
        <v>291</v>
      </c>
      <c r="G10" s="1412"/>
      <c r="H10" s="479">
        <f>B47</f>
        <v>2.0354764502223279</v>
      </c>
      <c r="I10" s="483">
        <f>C47</f>
        <v>5.5359763195816925E-7</v>
      </c>
      <c r="J10" s="479">
        <f>D47</f>
        <v>2.0354775770572706</v>
      </c>
      <c r="K10" s="13"/>
    </row>
    <row r="11" spans="1:13" ht="16.5" customHeight="1" x14ac:dyDescent="0.25">
      <c r="A11" s="508" t="s">
        <v>629</v>
      </c>
      <c r="B11" s="500">
        <f>'Standard Vorgaben'!C89</f>
        <v>4.9999999999999996E-2</v>
      </c>
      <c r="C11" s="186">
        <f t="shared" si="0"/>
        <v>2.2204460492503131E-16</v>
      </c>
      <c r="D11" s="487">
        <v>0.05</v>
      </c>
      <c r="E11" s="1"/>
      <c r="K11" s="13"/>
    </row>
    <row r="12" spans="1:13" ht="12.5" x14ac:dyDescent="0.25">
      <c r="A12" s="510" t="s">
        <v>359</v>
      </c>
      <c r="B12" s="465">
        <f>'Standard Vorgaben'!D89</f>
        <v>0.12000000000000004</v>
      </c>
      <c r="C12" s="186">
        <f t="shared" si="0"/>
        <v>-3.3306690738754696E-16</v>
      </c>
      <c r="D12" s="487">
        <v>0.12</v>
      </c>
      <c r="E12" s="1"/>
      <c r="K12" s="13"/>
    </row>
    <row r="13" spans="1:13" ht="12.5" x14ac:dyDescent="0.25">
      <c r="A13" s="510" t="s">
        <v>360</v>
      </c>
      <c r="B13" s="465">
        <f>'Standard Vorgaben'!F89</f>
        <v>6.0000000000000019E-2</v>
      </c>
      <c r="C13" s="186">
        <f>IF(OR(B13=0,B13=""),0,(D13/B13)-1)</f>
        <v>-3.3306690738754696E-16</v>
      </c>
      <c r="D13" s="488">
        <v>0.06</v>
      </c>
      <c r="E13" s="1"/>
      <c r="K13" s="13"/>
    </row>
    <row r="14" spans="1:13" ht="10.75" customHeight="1" x14ac:dyDescent="0.25">
      <c r="A14" s="1334" t="str">
        <f>A9</f>
        <v>Sortierabgang faul</v>
      </c>
      <c r="B14" s="198">
        <f>'Standard Vorgaben'!E90</f>
        <v>0.04</v>
      </c>
      <c r="C14" s="186">
        <f>IF(OR(B14=0,B14=""),0,(D14/B14)-1)</f>
        <v>0</v>
      </c>
      <c r="D14" s="488">
        <v>0.04</v>
      </c>
      <c r="E14" s="1"/>
      <c r="K14" s="13"/>
    </row>
    <row r="15" spans="1:13" ht="29.25" customHeight="1" x14ac:dyDescent="0.25">
      <c r="A15" s="511" t="s">
        <v>446</v>
      </c>
      <c r="B15" s="501">
        <f>'Standard Vorgaben'!F68</f>
        <v>25500</v>
      </c>
      <c r="C15" s="187">
        <f>IF(OR(B15=0,B15=""),0,(D15/B15)-1)</f>
        <v>0</v>
      </c>
      <c r="D15" s="489">
        <v>25500</v>
      </c>
      <c r="E15" s="1"/>
      <c r="F15" s="13"/>
      <c r="G15" s="13"/>
      <c r="H15" s="13"/>
      <c r="I15" s="13"/>
      <c r="J15" s="13"/>
      <c r="K15" s="13"/>
      <c r="M15" s="1291"/>
    </row>
    <row r="16" spans="1:13" x14ac:dyDescent="0.25">
      <c r="A16" s="512" t="s">
        <v>680</v>
      </c>
      <c r="B16" s="1336">
        <f>'Standard Vorgaben'!I46</f>
        <v>0</v>
      </c>
      <c r="C16" s="187">
        <f t="shared" ref="C16:C17" si="1">IF(OR(B16=0,B16=""),0,(D16/B16)-1)</f>
        <v>0</v>
      </c>
      <c r="D16" s="1137">
        <v>0</v>
      </c>
      <c r="E16" s="1"/>
      <c r="F16" s="13"/>
      <c r="G16" s="13"/>
      <c r="H16" s="13"/>
      <c r="I16" s="13"/>
      <c r="J16" s="13"/>
      <c r="K16" s="13"/>
    </row>
    <row r="17" spans="1:11" x14ac:dyDescent="0.25">
      <c r="A17" s="512" t="s">
        <v>681</v>
      </c>
      <c r="B17" s="1336">
        <f>'Standard Vorgaben'!I47</f>
        <v>0</v>
      </c>
      <c r="C17" s="187">
        <f t="shared" si="1"/>
        <v>0</v>
      </c>
      <c r="D17" s="1137">
        <v>0</v>
      </c>
      <c r="E17" s="1"/>
      <c r="F17" s="13"/>
      <c r="G17" s="13"/>
      <c r="H17" s="13"/>
      <c r="I17" s="13"/>
      <c r="J17" s="13"/>
      <c r="K17" s="13"/>
    </row>
    <row r="18" spans="1:11" ht="26.5" customHeight="1" x14ac:dyDescent="0.25">
      <c r="A18" s="512" t="s">
        <v>447</v>
      </c>
      <c r="B18" s="502">
        <f>'Standard Vorgaben'!H89</f>
        <v>97</v>
      </c>
      <c r="C18" s="187">
        <f t="shared" ref="C18:C23" si="2">IF(OR(B18=0,B18=""),0,(D18/B18)-1)</f>
        <v>0</v>
      </c>
      <c r="D18" s="490">
        <v>97</v>
      </c>
      <c r="E18" s="1"/>
      <c r="F18" s="13"/>
      <c r="G18" s="13"/>
      <c r="H18" s="13"/>
      <c r="I18" s="13"/>
      <c r="J18" s="13"/>
      <c r="K18" s="13"/>
    </row>
    <row r="19" spans="1:11" ht="18.75" customHeight="1" x14ac:dyDescent="0.25">
      <c r="A19" s="512" t="s">
        <v>435</v>
      </c>
      <c r="B19" s="503">
        <f>'Standard Vorgaben'!C32</f>
        <v>41.4</v>
      </c>
      <c r="C19" s="187">
        <f t="shared" si="2"/>
        <v>0</v>
      </c>
      <c r="D19" s="491">
        <v>41.4</v>
      </c>
      <c r="E19" s="1"/>
      <c r="F19" s="13"/>
      <c r="G19" s="13"/>
      <c r="H19" s="13"/>
      <c r="I19" s="13"/>
      <c r="J19" s="13"/>
      <c r="K19" s="13"/>
    </row>
    <row r="20" spans="1:11" ht="31.75" customHeight="1" x14ac:dyDescent="0.25">
      <c r="A20" s="512" t="s">
        <v>448</v>
      </c>
      <c r="B20" s="503">
        <f>'Standard Vorgaben'!C33</f>
        <v>24</v>
      </c>
      <c r="C20" s="187">
        <f t="shared" si="2"/>
        <v>0</v>
      </c>
      <c r="D20" s="491">
        <v>24</v>
      </c>
      <c r="E20" s="1"/>
      <c r="F20" s="13"/>
      <c r="G20" s="13"/>
      <c r="H20" s="13"/>
      <c r="I20" s="13"/>
      <c r="J20" s="13"/>
      <c r="K20" s="13"/>
    </row>
    <row r="21" spans="1:11" ht="34.5" customHeight="1" x14ac:dyDescent="0.25">
      <c r="A21" s="512" t="s">
        <v>449</v>
      </c>
      <c r="B21" s="503">
        <f>'Standard Vorgaben'!C34</f>
        <v>21</v>
      </c>
      <c r="C21" s="187">
        <f t="shared" si="2"/>
        <v>0</v>
      </c>
      <c r="D21" s="491">
        <v>21</v>
      </c>
      <c r="E21" s="1"/>
      <c r="F21" s="13"/>
      <c r="G21" s="13"/>
      <c r="H21" s="13"/>
      <c r="I21" s="13"/>
      <c r="J21" s="13"/>
      <c r="K21" s="13"/>
    </row>
    <row r="22" spans="1:11" ht="33.75" customHeight="1" x14ac:dyDescent="0.25">
      <c r="A22" s="513" t="s">
        <v>176</v>
      </c>
      <c r="B22" s="504">
        <f>'Standard Vorgaben'!G34</f>
        <v>0.85</v>
      </c>
      <c r="C22" s="186">
        <f t="shared" si="2"/>
        <v>0</v>
      </c>
      <c r="D22" s="487">
        <v>0.85</v>
      </c>
      <c r="E22" s="1"/>
      <c r="F22" s="13"/>
      <c r="G22" s="13"/>
      <c r="H22" s="13"/>
      <c r="I22" s="13"/>
      <c r="J22" s="13"/>
      <c r="K22" s="13"/>
    </row>
    <row r="23" spans="1:11" ht="12.5" x14ac:dyDescent="0.25">
      <c r="A23" s="513" t="s">
        <v>290</v>
      </c>
      <c r="B23" s="505">
        <f>'Standard Vorgaben'!E96</f>
        <v>200</v>
      </c>
      <c r="C23" s="186">
        <f t="shared" si="2"/>
        <v>0</v>
      </c>
      <c r="D23" s="492">
        <v>200</v>
      </c>
      <c r="E23" s="1"/>
      <c r="F23" s="13"/>
      <c r="G23" s="13"/>
      <c r="H23" s="13"/>
      <c r="I23" s="13"/>
      <c r="J23" s="13"/>
      <c r="K23" s="13"/>
    </row>
    <row r="24" spans="1:11" ht="22.75" customHeight="1" x14ac:dyDescent="0.25">
      <c r="A24" s="512" t="s">
        <v>450</v>
      </c>
      <c r="B24" s="506">
        <f>'Standard Vorgaben'!B24</f>
        <v>3000</v>
      </c>
      <c r="C24" s="186">
        <f t="shared" ref="C24:C35" si="3">IF(OR(B24=0,B24=""),0,(D24/B24)-1)</f>
        <v>0</v>
      </c>
      <c r="D24" s="493">
        <v>3000</v>
      </c>
      <c r="E24" s="1"/>
      <c r="F24" s="13"/>
      <c r="G24" s="13"/>
      <c r="H24" s="13"/>
      <c r="I24" s="13"/>
      <c r="J24" s="13"/>
      <c r="K24" s="13"/>
    </row>
    <row r="25" spans="1:11" ht="8.25" customHeight="1" x14ac:dyDescent="0.25">
      <c r="A25" s="512"/>
      <c r="B25" s="506"/>
      <c r="C25" s="186"/>
      <c r="D25" s="493"/>
      <c r="E25" s="1"/>
      <c r="F25" s="13"/>
      <c r="G25" s="13"/>
      <c r="H25" s="13"/>
      <c r="I25" s="13"/>
      <c r="J25" s="13"/>
      <c r="K25" s="13"/>
    </row>
    <row r="26" spans="1:11" ht="19.5" customHeight="1" x14ac:dyDescent="0.25">
      <c r="A26" s="512" t="s">
        <v>9</v>
      </c>
      <c r="B26" s="498">
        <f>'Standard Vorgaben'!C31</f>
        <v>12</v>
      </c>
      <c r="C26" s="186">
        <f t="shared" si="3"/>
        <v>0</v>
      </c>
      <c r="D26" s="494">
        <v>12</v>
      </c>
      <c r="E26" s="1"/>
      <c r="F26" s="13"/>
      <c r="G26" s="13"/>
      <c r="H26" s="13"/>
      <c r="I26" s="13"/>
      <c r="J26" s="13"/>
      <c r="K26" s="13"/>
    </row>
    <row r="27" spans="1:11" ht="19.5" customHeight="1" x14ac:dyDescent="0.25">
      <c r="A27" s="512" t="s">
        <v>268</v>
      </c>
      <c r="B27" s="507">
        <f>'Standard Ertragsphase'!F76</f>
        <v>7984.4259664948459</v>
      </c>
      <c r="C27" s="186">
        <f>IF(OR(B27=0,B27=""),0,(D27/B27)-1)</f>
        <v>0</v>
      </c>
      <c r="D27" s="1362">
        <v>7984.4259664948459</v>
      </c>
      <c r="E27" s="1"/>
      <c r="F27" s="13"/>
      <c r="G27" s="13"/>
      <c r="H27" s="13"/>
      <c r="I27" s="13"/>
      <c r="J27" s="13"/>
      <c r="K27" s="13"/>
    </row>
    <row r="28" spans="1:11" ht="23" customHeight="1" x14ac:dyDescent="0.25">
      <c r="A28" s="512" t="s">
        <v>324</v>
      </c>
      <c r="B28" s="507">
        <f>'Standard Ertragsphase'!F37</f>
        <v>4547.3526000000002</v>
      </c>
      <c r="C28" s="186">
        <f>IF(OR(B28=0,B28=""),0,(D28/B28)-1)</f>
        <v>0</v>
      </c>
      <c r="D28" s="1362">
        <v>4547.3526000000002</v>
      </c>
      <c r="E28" s="1"/>
      <c r="F28" s="13"/>
      <c r="G28" s="13"/>
      <c r="H28" s="13"/>
      <c r="I28" s="13"/>
      <c r="J28" s="13"/>
      <c r="K28" s="13"/>
    </row>
    <row r="29" spans="1:11" ht="19.25" customHeight="1" x14ac:dyDescent="0.25">
      <c r="A29" s="238" t="s">
        <v>269</v>
      </c>
      <c r="B29" s="507">
        <f>'Standard Ertragsphase'!F21</f>
        <v>819.66666666666663</v>
      </c>
      <c r="C29" s="186">
        <f t="shared" si="3"/>
        <v>4.0666937779598733E-4</v>
      </c>
      <c r="D29" s="1362">
        <v>820</v>
      </c>
      <c r="E29" s="1"/>
      <c r="F29" s="13"/>
      <c r="G29" s="13"/>
      <c r="H29" s="13"/>
      <c r="I29" s="13"/>
      <c r="J29" s="13"/>
      <c r="K29" s="13"/>
    </row>
    <row r="30" spans="1:11" ht="15.75" customHeight="1" x14ac:dyDescent="0.25">
      <c r="A30" s="512" t="s">
        <v>10</v>
      </c>
      <c r="B30" s="236">
        <f>'Standard Vorgaben'!C40</f>
        <v>1.4999999999999999E-2</v>
      </c>
      <c r="C30" s="186">
        <f t="shared" si="3"/>
        <v>0</v>
      </c>
      <c r="D30" s="495">
        <v>1.4999999999999999E-2</v>
      </c>
      <c r="E30" s="1"/>
      <c r="F30" s="13"/>
      <c r="G30" s="13"/>
      <c r="H30" s="13"/>
      <c r="I30" s="13"/>
      <c r="J30" s="13"/>
      <c r="K30" s="13"/>
    </row>
    <row r="31" spans="1:11" ht="15.75" customHeight="1" x14ac:dyDescent="0.25">
      <c r="A31" s="512" t="s">
        <v>548</v>
      </c>
      <c r="B31" s="1136">
        <f>'Standard Vorgaben'!C231</f>
        <v>1</v>
      </c>
      <c r="C31" s="186">
        <f t="shared" si="3"/>
        <v>0</v>
      </c>
      <c r="D31" s="1137">
        <v>1</v>
      </c>
      <c r="E31" s="1"/>
      <c r="F31" s="13"/>
      <c r="G31" s="13"/>
      <c r="H31" s="13"/>
      <c r="I31" s="13"/>
      <c r="J31" s="13"/>
      <c r="K31" s="13"/>
    </row>
    <row r="32" spans="1:11" ht="16.5" customHeight="1" x14ac:dyDescent="0.25">
      <c r="A32" s="512" t="s">
        <v>549</v>
      </c>
      <c r="B32" s="1136">
        <f>'Standard Vorgaben'!C232</f>
        <v>0</v>
      </c>
      <c r="C32" s="186">
        <f t="shared" si="3"/>
        <v>0</v>
      </c>
      <c r="D32" s="1137">
        <v>0</v>
      </c>
      <c r="E32" s="1"/>
      <c r="F32" s="13"/>
      <c r="G32" s="13"/>
      <c r="H32" s="13"/>
      <c r="I32" s="13"/>
      <c r="J32" s="13"/>
      <c r="K32" s="13"/>
    </row>
    <row r="33" spans="1:11" ht="15.75" customHeight="1" x14ac:dyDescent="0.25">
      <c r="A33" s="512" t="s">
        <v>550</v>
      </c>
      <c r="B33" s="1136">
        <f>'Standard Vorgaben'!C235</f>
        <v>2</v>
      </c>
      <c r="C33" s="186">
        <f t="shared" si="3"/>
        <v>0</v>
      </c>
      <c r="D33" s="1137">
        <v>2</v>
      </c>
      <c r="E33" s="1"/>
      <c r="F33" s="13"/>
      <c r="G33" s="13"/>
      <c r="H33" s="13"/>
      <c r="I33" s="13"/>
      <c r="J33" s="13"/>
      <c r="K33" s="13"/>
    </row>
    <row r="34" spans="1:11" ht="30" customHeight="1" x14ac:dyDescent="0.25">
      <c r="A34" s="512" t="s">
        <v>551</v>
      </c>
      <c r="B34" s="1136">
        <f>'Standard Vorgaben'!C236</f>
        <v>1</v>
      </c>
      <c r="C34" s="186">
        <f t="shared" si="3"/>
        <v>0</v>
      </c>
      <c r="D34" s="1137">
        <v>1</v>
      </c>
      <c r="E34" s="1"/>
      <c r="F34" s="13"/>
      <c r="G34" s="13"/>
      <c r="H34" s="13"/>
      <c r="I34" s="13"/>
      <c r="J34" s="13"/>
      <c r="K34" s="13"/>
    </row>
    <row r="35" spans="1:11" ht="24" customHeight="1" x14ac:dyDescent="0.25">
      <c r="A35" s="512" t="s">
        <v>685</v>
      </c>
      <c r="B35" s="1136">
        <f>'Standard Vorgaben'!C237</f>
        <v>0</v>
      </c>
      <c r="C35" s="186">
        <f t="shared" si="3"/>
        <v>0</v>
      </c>
      <c r="D35" s="1137">
        <v>0</v>
      </c>
      <c r="E35" s="1"/>
      <c r="F35" s="1"/>
      <c r="G35" s="1"/>
      <c r="H35" s="1"/>
      <c r="I35" s="1"/>
      <c r="J35" s="1"/>
    </row>
    <row r="36" spans="1:11" x14ac:dyDescent="0.3">
      <c r="B36" s="35"/>
      <c r="C36" s="35"/>
      <c r="D36" s="75"/>
      <c r="E36" s="1"/>
      <c r="F36" s="1"/>
      <c r="G36" s="1"/>
      <c r="H36" s="1"/>
      <c r="I36" s="1"/>
      <c r="J36" s="1"/>
    </row>
    <row r="37" spans="1:11" s="169" customFormat="1" ht="54" customHeight="1" x14ac:dyDescent="0.25">
      <c r="A37" s="1408" t="s">
        <v>325</v>
      </c>
      <c r="B37" s="1409"/>
      <c r="C37" s="1409"/>
      <c r="D37" s="1409"/>
      <c r="E37" s="515"/>
      <c r="F37" s="239"/>
      <c r="G37" s="1408" t="s">
        <v>473</v>
      </c>
      <c r="H37" s="1408"/>
      <c r="I37" s="1408"/>
      <c r="J37" s="1408"/>
    </row>
    <row r="38" spans="1:11" s="169" customFormat="1" ht="33" customHeight="1" x14ac:dyDescent="0.25">
      <c r="A38" s="965"/>
      <c r="B38" s="836" t="s">
        <v>323</v>
      </c>
      <c r="C38" s="189" t="s">
        <v>111</v>
      </c>
      <c r="D38" s="190" t="s">
        <v>109</v>
      </c>
      <c r="E38" s="172"/>
      <c r="F38" s="931"/>
      <c r="G38" s="924"/>
      <c r="H38" s="836" t="s">
        <v>323</v>
      </c>
      <c r="I38" s="189" t="s">
        <v>111</v>
      </c>
      <c r="J38" s="190" t="s">
        <v>109</v>
      </c>
      <c r="K38" s="938"/>
    </row>
    <row r="39" spans="1:11" s="1" customFormat="1" ht="6.75" customHeight="1" x14ac:dyDescent="0.4">
      <c r="A39" s="87"/>
      <c r="B39" s="188"/>
      <c r="C39" s="966"/>
      <c r="D39" s="967"/>
      <c r="F39" s="19"/>
      <c r="G39" s="44"/>
      <c r="H39" s="19"/>
      <c r="I39" s="19"/>
      <c r="J39" s="19"/>
      <c r="K39" s="19"/>
    </row>
    <row r="40" spans="1:11" s="169" customFormat="1" ht="46.5" customHeight="1" x14ac:dyDescent="0.25">
      <c r="A40" s="950" t="s">
        <v>326</v>
      </c>
      <c r="B40" s="948">
        <f>'Standard Ertragsphase'!F16</f>
        <v>49655.7</v>
      </c>
      <c r="C40" s="949">
        <f>IF(OR(B40=0,B40=""),0,(D40/B40)-1)</f>
        <v>0</v>
      </c>
      <c r="D40" s="948">
        <f>'Variante Ertragsphase'!F16</f>
        <v>49655.7</v>
      </c>
      <c r="E40" s="931"/>
      <c r="F40" s="931"/>
      <c r="G40" s="959" t="s">
        <v>330</v>
      </c>
      <c r="H40" s="960">
        <f>'Standard Ertragsphase'!$F$124</f>
        <v>38244.369161640898</v>
      </c>
      <c r="I40" s="954">
        <f>IF(OR(H40=0,H40=""),0,(J40/H40)-1)</f>
        <v>0</v>
      </c>
      <c r="J40" s="960">
        <f>'Variante Ertragsphase'!F124</f>
        <v>38244.369161640898</v>
      </c>
      <c r="K40" s="938"/>
    </row>
    <row r="41" spans="1:11" s="169" customFormat="1" ht="12.25" customHeight="1" x14ac:dyDescent="0.25">
      <c r="A41" s="924"/>
      <c r="B41" s="197"/>
      <c r="C41" s="931"/>
      <c r="D41" s="197"/>
      <c r="E41" s="172"/>
      <c r="F41" s="931"/>
      <c r="G41" s="728"/>
      <c r="H41" s="197"/>
      <c r="I41" s="197"/>
      <c r="J41" s="197"/>
      <c r="K41" s="938"/>
    </row>
    <row r="42" spans="1:11" s="169" customFormat="1" ht="20.25" customHeight="1" x14ac:dyDescent="0.25">
      <c r="A42" s="968" t="s">
        <v>252</v>
      </c>
      <c r="B42" s="855">
        <f>'Standard Ertragsphase'!F9</f>
        <v>44676</v>
      </c>
      <c r="C42" s="186">
        <f t="shared" ref="C42:C62" si="4">IF(OR(B42=0,B42=""),0,(D42/B42)-1)</f>
        <v>0</v>
      </c>
      <c r="D42" s="855">
        <f>'Variante Ertragsphase'!F9</f>
        <v>44676</v>
      </c>
      <c r="E42" s="172"/>
      <c r="F42" s="931"/>
      <c r="G42" s="961" t="s">
        <v>258</v>
      </c>
      <c r="H42" s="979">
        <f>'Standard Ertragsphase'!$F$108</f>
        <v>-2248.9494806693692</v>
      </c>
      <c r="I42" s="980">
        <f>((J42+ABS(H42)))/ABS(H42)</f>
        <v>-1.2776761454545113E-5</v>
      </c>
      <c r="J42" s="979">
        <f>'Variante Ertragsphase'!F108</f>
        <v>-2248.9782149604071</v>
      </c>
      <c r="K42" s="938"/>
    </row>
    <row r="43" spans="1:11" s="169" customFormat="1" ht="20.25" customHeight="1" x14ac:dyDescent="0.25">
      <c r="A43" s="968" t="s">
        <v>612</v>
      </c>
      <c r="B43" s="855">
        <f>'Standard Ertragsphase'!F10</f>
        <v>764.99999999999989</v>
      </c>
      <c r="C43" s="186">
        <f t="shared" si="4"/>
        <v>0</v>
      </c>
      <c r="D43" s="855">
        <f>'Variante Ertragsphase'!F10</f>
        <v>764.99999999999989</v>
      </c>
      <c r="E43" s="172"/>
      <c r="F43" s="931"/>
      <c r="G43" s="728"/>
      <c r="H43" s="197"/>
      <c r="I43" s="197"/>
      <c r="J43" s="197"/>
      <c r="K43" s="938"/>
    </row>
    <row r="44" spans="1:11" s="169" customFormat="1" ht="29.25" customHeight="1" x14ac:dyDescent="0.25">
      <c r="A44" s="968" t="s">
        <v>253</v>
      </c>
      <c r="B44" s="855">
        <f>'Standard Ertragsphase'!F11</f>
        <v>1514.6999999999998</v>
      </c>
      <c r="C44" s="186">
        <f t="shared" si="4"/>
        <v>0</v>
      </c>
      <c r="D44" s="855">
        <f>'Variante Ertragsphase'!F11</f>
        <v>1514.6999999999998</v>
      </c>
      <c r="E44" s="172"/>
      <c r="F44" s="931"/>
      <c r="G44" s="963" t="s">
        <v>335</v>
      </c>
      <c r="H44" s="981">
        <f>'Standard Ertragsphase'!$F$110</f>
        <v>0.95667152166190939</v>
      </c>
      <c r="I44" s="954">
        <f>IF(OR(H44=0,H44=""),0,(J44/H44)-1)</f>
        <v>-5.5359732553661445E-7</v>
      </c>
      <c r="J44" s="982">
        <f>'Variante Ertragsphase'!F110</f>
        <v>0.95667099205111361</v>
      </c>
      <c r="K44" s="938"/>
    </row>
    <row r="45" spans="1:11" s="169" customFormat="1" ht="20.25" customHeight="1" x14ac:dyDescent="0.25">
      <c r="A45" s="968" t="s">
        <v>254</v>
      </c>
      <c r="B45" s="855">
        <f>'Standard Ertragsphase'!F15</f>
        <v>2700</v>
      </c>
      <c r="C45" s="186">
        <f t="shared" si="4"/>
        <v>0</v>
      </c>
      <c r="D45" s="855">
        <f>'Variante Ertragsphase'!F15</f>
        <v>2700</v>
      </c>
      <c r="E45" s="172"/>
      <c r="F45" s="931"/>
      <c r="G45" s="728"/>
      <c r="H45" s="197"/>
      <c r="I45" s="197"/>
      <c r="J45" s="197"/>
      <c r="K45" s="938"/>
    </row>
    <row r="46" spans="1:11" s="169" customFormat="1" ht="42" customHeight="1" x14ac:dyDescent="0.25">
      <c r="A46" s="952" t="s">
        <v>336</v>
      </c>
      <c r="B46" s="953">
        <f>'Standard Ertragsphase'!$F$102</f>
        <v>51904.649480669366</v>
      </c>
      <c r="C46" s="954">
        <f t="shared" si="4"/>
        <v>5.5359763195816925E-7</v>
      </c>
      <c r="D46" s="953">
        <f>'Variante Ertragsphase'!F102</f>
        <v>51904.678214960404</v>
      </c>
      <c r="E46" s="172"/>
      <c r="F46" s="931"/>
      <c r="G46" s="728"/>
      <c r="H46" s="197"/>
      <c r="I46" s="197"/>
      <c r="J46" s="197"/>
      <c r="K46" s="938"/>
    </row>
    <row r="47" spans="1:11" s="169" customFormat="1" ht="44.25" customHeight="1" x14ac:dyDescent="0.25">
      <c r="A47" s="957" t="s">
        <v>467</v>
      </c>
      <c r="B47" s="956">
        <f>'Standard Ertragsphase'!F104</f>
        <v>2.0354764502223279</v>
      </c>
      <c r="C47" s="954">
        <f t="shared" si="4"/>
        <v>5.5359763195816925E-7</v>
      </c>
      <c r="D47" s="958">
        <f>'Variante Ertragsphase'!F104</f>
        <v>2.0354775770572706</v>
      </c>
      <c r="E47" s="172"/>
      <c r="F47" s="931"/>
      <c r="G47" s="964" t="s">
        <v>331</v>
      </c>
      <c r="H47" s="983">
        <f>'Standard Ertragsphase'!$F$129</f>
        <v>-3.7660513269792795E-3</v>
      </c>
      <c r="I47" s="980">
        <f>IF(OR(H47=0,H47=""),0,(J47/H47)-1)</f>
        <v>3.7322126404948364E-5</v>
      </c>
      <c r="J47" s="983">
        <f>'Variante Ertragsphase'!F129</f>
        <v>-3.7661918840229528E-3</v>
      </c>
      <c r="K47" s="938"/>
    </row>
    <row r="48" spans="1:11" s="172" customFormat="1" ht="12" customHeight="1" x14ac:dyDescent="0.35">
      <c r="A48" s="944"/>
      <c r="B48" s="932"/>
      <c r="C48" s="186"/>
      <c r="D48" s="478"/>
      <c r="F48" s="931"/>
      <c r="G48" s="951"/>
      <c r="H48" s="984"/>
      <c r="I48" s="483"/>
      <c r="J48" s="984"/>
      <c r="K48" s="931"/>
    </row>
    <row r="49" spans="1:11" s="169" customFormat="1" ht="51" customHeight="1" x14ac:dyDescent="0.25">
      <c r="A49" s="955" t="s">
        <v>255</v>
      </c>
      <c r="B49" s="956">
        <f>'Standard Ertragsphase'!F106</f>
        <v>2.6529507334276023</v>
      </c>
      <c r="C49" s="954">
        <f t="shared" si="4"/>
        <v>5.5359763173612464E-7</v>
      </c>
      <c r="D49" s="956">
        <f>'Variante Ertragsphase'!F106</f>
        <v>2.6529522020948457</v>
      </c>
      <c r="E49" s="172"/>
      <c r="F49" s="931"/>
      <c r="G49" s="943"/>
      <c r="H49" s="938"/>
      <c r="I49" s="938"/>
      <c r="J49" s="197"/>
      <c r="K49" s="938"/>
    </row>
    <row r="50" spans="1:11" s="169" customFormat="1" ht="29" customHeight="1" x14ac:dyDescent="0.25">
      <c r="A50" s="937" t="s">
        <v>271</v>
      </c>
      <c r="B50" s="934">
        <f>'Standard Erstellung'!E156</f>
        <v>124765.91649999999</v>
      </c>
      <c r="C50" s="935">
        <f t="shared" si="4"/>
        <v>0</v>
      </c>
      <c r="D50" s="934">
        <f>'Variante Erstellung'!E155</f>
        <v>124765.91649999999</v>
      </c>
      <c r="E50" s="172"/>
      <c r="F50" s="931"/>
      <c r="G50" s="931"/>
      <c r="H50" s="938"/>
      <c r="I50" s="938"/>
      <c r="J50" s="197"/>
      <c r="K50" s="938"/>
    </row>
    <row r="51" spans="1:11" s="169" customFormat="1" ht="63" customHeight="1" x14ac:dyDescent="0.25">
      <c r="A51" s="937" t="s">
        <v>270</v>
      </c>
      <c r="B51" s="934">
        <f>'Standard Ertragsphase'!C51</f>
        <v>176166.41380068139</v>
      </c>
      <c r="C51" s="935">
        <f t="shared" si="4"/>
        <v>1.7665212188600066E-6</v>
      </c>
      <c r="D51" s="934">
        <f>'Variante Ertragsphase'!C51</f>
        <v>176166.7250023894</v>
      </c>
      <c r="E51" s="172"/>
      <c r="F51" s="931"/>
      <c r="G51" s="931"/>
      <c r="H51" s="938"/>
      <c r="I51" s="197"/>
      <c r="J51" s="197"/>
      <c r="K51" s="938"/>
    </row>
    <row r="52" spans="1:11" s="169" customFormat="1" ht="28" x14ac:dyDescent="0.25">
      <c r="A52" s="944" t="s">
        <v>256</v>
      </c>
      <c r="B52" s="969">
        <f>'Standard Ertragsphase'!$F$51</f>
        <v>14680.534483390116</v>
      </c>
      <c r="C52" s="970">
        <f t="shared" si="4"/>
        <v>1.766521218637962E-6</v>
      </c>
      <c r="D52" s="969">
        <f>'Variante Ertragsphase'!F51</f>
        <v>14680.560416865783</v>
      </c>
      <c r="E52" s="172"/>
      <c r="F52" s="931"/>
      <c r="G52" s="961" t="s">
        <v>332</v>
      </c>
      <c r="H52" s="979">
        <f>'Standard Ertragsphase'!F115</f>
        <v>12431.585002720747</v>
      </c>
      <c r="I52" s="954">
        <f>IF(OR(H52=0,H52=""),0,(J52/H52)-1)</f>
        <v>-2.2529833243467579E-7</v>
      </c>
      <c r="J52" s="979">
        <f>'Variante Ertragsphase'!F115</f>
        <v>12431.582201905376</v>
      </c>
      <c r="K52" s="938"/>
    </row>
    <row r="53" spans="1:11" ht="22.75" customHeight="1" x14ac:dyDescent="0.25">
      <c r="A53" s="944" t="s">
        <v>257</v>
      </c>
      <c r="B53" s="969">
        <f>'Standard Ertragsphase'!$F$98</f>
        <v>2245.4977242061323</v>
      </c>
      <c r="C53" s="970">
        <f t="shared" si="4"/>
        <v>1.2473026991255409E-6</v>
      </c>
      <c r="D53" s="969">
        <f>'Variante Ertragsphase'!F98</f>
        <v>2245.5005250215045</v>
      </c>
      <c r="E53" s="1"/>
      <c r="F53" s="13"/>
      <c r="G53" s="221"/>
      <c r="H53" s="145"/>
      <c r="I53" s="145"/>
      <c r="J53" s="145"/>
      <c r="K53" s="13"/>
    </row>
    <row r="54" spans="1:11" ht="22.75" customHeight="1" x14ac:dyDescent="0.25">
      <c r="A54" s="944"/>
      <c r="B54" s="969"/>
      <c r="C54" s="970"/>
      <c r="D54" s="969"/>
      <c r="E54" s="1"/>
      <c r="F54" s="13"/>
      <c r="G54" s="221"/>
      <c r="H54" s="145"/>
      <c r="I54" s="145"/>
      <c r="J54" s="145"/>
      <c r="K54" s="13"/>
    </row>
    <row r="55" spans="1:11" ht="22.75" customHeight="1" x14ac:dyDescent="0.25">
      <c r="A55" s="944"/>
      <c r="B55" s="969"/>
      <c r="C55" s="970"/>
      <c r="D55" s="969"/>
      <c r="E55" s="1"/>
      <c r="F55" s="13"/>
      <c r="G55" s="221"/>
      <c r="H55" s="145"/>
      <c r="I55" s="145"/>
      <c r="J55" s="145"/>
      <c r="K55" s="13"/>
    </row>
    <row r="56" spans="1:11" ht="22.75" customHeight="1" x14ac:dyDescent="0.25">
      <c r="A56" s="944"/>
      <c r="B56" s="969"/>
      <c r="C56" s="970"/>
      <c r="D56" s="969"/>
      <c r="E56" s="1"/>
      <c r="F56" s="13"/>
      <c r="G56" s="221"/>
      <c r="H56" s="145"/>
      <c r="I56" s="145"/>
      <c r="J56" s="145"/>
      <c r="K56" s="13"/>
    </row>
    <row r="57" spans="1:11" ht="53.25" customHeight="1" x14ac:dyDescent="0.25">
      <c r="A57" s="1408" t="s">
        <v>325</v>
      </c>
      <c r="B57" s="1409"/>
      <c r="C57" s="1409"/>
      <c r="D57" s="1409"/>
      <c r="E57" s="515"/>
      <c r="F57" s="239"/>
      <c r="G57" s="1408" t="s">
        <v>473</v>
      </c>
      <c r="H57" s="1408"/>
      <c r="I57" s="1408"/>
      <c r="J57" s="1408"/>
      <c r="K57" s="13"/>
    </row>
    <row r="58" spans="1:11" s="169" customFormat="1" ht="33" customHeight="1" thickBot="1" x14ac:dyDescent="0.3">
      <c r="A58" s="965"/>
      <c r="B58" s="836" t="s">
        <v>323</v>
      </c>
      <c r="C58" s="189" t="s">
        <v>111</v>
      </c>
      <c r="D58" s="190" t="s">
        <v>109</v>
      </c>
      <c r="E58" s="172"/>
      <c r="F58" s="931"/>
      <c r="G58" s="924"/>
      <c r="H58" s="940" t="s">
        <v>323</v>
      </c>
      <c r="I58" s="189" t="s">
        <v>111</v>
      </c>
      <c r="J58" s="514" t="s">
        <v>109</v>
      </c>
    </row>
    <row r="59" spans="1:11" s="1" customFormat="1" ht="6" customHeight="1" x14ac:dyDescent="0.25">
      <c r="A59" s="239"/>
      <c r="B59" s="939"/>
      <c r="C59" s="939"/>
      <c r="D59" s="939"/>
      <c r="E59" s="515"/>
      <c r="F59" s="239"/>
      <c r="G59" s="239"/>
      <c r="H59" s="239"/>
      <c r="I59" s="239"/>
      <c r="J59" s="239"/>
    </row>
    <row r="60" spans="1:11" s="169" customFormat="1" ht="51.75" customHeight="1" x14ac:dyDescent="0.25">
      <c r="A60" s="959" t="s">
        <v>327</v>
      </c>
      <c r="B60" s="960">
        <f>'Standard Ertragsphase'!F113</f>
        <v>27654.435292505837</v>
      </c>
      <c r="C60" s="985">
        <f t="shared" si="4"/>
        <v>-9.3776912790666245E-7</v>
      </c>
      <c r="D60" s="960">
        <f>'Variante Ertragsphase'!F113</f>
        <v>27654.409359030171</v>
      </c>
      <c r="E60" s="172"/>
      <c r="F60" s="931"/>
      <c r="G60" s="961" t="s">
        <v>333</v>
      </c>
      <c r="H60" s="979">
        <f>'Standard Cashflow'!C40</f>
        <v>-39349.449768352679</v>
      </c>
      <c r="I60" s="986">
        <f>IF(OR(H60=0,H60=""),0,J60/H60-1)</f>
        <v>1.1584046486001753E-4</v>
      </c>
      <c r="J60" s="962">
        <f>'Variante Cashflow'!C40</f>
        <v>-39354.008026905831</v>
      </c>
    </row>
    <row r="61" spans="1:11" s="172" customFormat="1" ht="15.5" x14ac:dyDescent="0.25">
      <c r="A61" s="933" t="s">
        <v>259</v>
      </c>
      <c r="B61" s="191">
        <f>'Standard Ertragsphase'!F57</f>
        <v>22001.26470749416</v>
      </c>
      <c r="C61" s="970">
        <f t="shared" si="4"/>
        <v>1.1787265874474429E-6</v>
      </c>
      <c r="D61" s="191">
        <f>'Variante Ertragsphase'!F57</f>
        <v>22001.290640969826</v>
      </c>
      <c r="F61" s="931"/>
      <c r="G61" s="942"/>
      <c r="H61" s="945"/>
      <c r="I61" s="186"/>
      <c r="J61" s="518"/>
    </row>
    <row r="62" spans="1:11" s="172" customFormat="1" ht="15.5" x14ac:dyDescent="0.25">
      <c r="A62" s="933" t="s">
        <v>260</v>
      </c>
      <c r="B62" s="191">
        <f>'Standard Ertragsphase'!F100</f>
        <v>29903.384773175203</v>
      </c>
      <c r="C62" s="970">
        <f t="shared" si="4"/>
        <v>9.3662152256257514E-8</v>
      </c>
      <c r="D62" s="191">
        <f>'Variante Ertragsphase'!F100</f>
        <v>29903.387573990578</v>
      </c>
      <c r="F62" s="931"/>
      <c r="G62" s="942"/>
      <c r="H62" s="945"/>
      <c r="I62" s="186"/>
      <c r="J62" s="518"/>
    </row>
    <row r="63" spans="1:11" ht="15.5" x14ac:dyDescent="0.25">
      <c r="A63" s="971" t="s">
        <v>67</v>
      </c>
      <c r="B63" s="191">
        <f>'Standard Ertragsphase'!F117</f>
        <v>32381.18839819514</v>
      </c>
      <c r="C63" s="970">
        <f t="shared" ref="C63:C68" si="5">IF(OR(B63=0,B63=""),0,(D63/B63)-1)</f>
        <v>8.8737604952981997E-7</v>
      </c>
      <c r="D63" s="191">
        <f>'Variante Ertragsphase'!F117</f>
        <v>32381.217132486177</v>
      </c>
      <c r="E63" s="1"/>
      <c r="F63" s="13"/>
      <c r="G63" s="221"/>
      <c r="H63" s="145"/>
      <c r="I63" s="69"/>
      <c r="J63" s="462"/>
    </row>
    <row r="64" spans="1:11" ht="33.5" x14ac:dyDescent="0.25">
      <c r="A64" s="950" t="s">
        <v>328</v>
      </c>
      <c r="B64" s="987">
        <f>'Standard Ertragsphase'!F119</f>
        <v>17274.511601804857</v>
      </c>
      <c r="C64" s="985">
        <f t="shared" si="5"/>
        <v>-1.663392384165796E-6</v>
      </c>
      <c r="D64" s="987">
        <f>'Variante Ertragsphase'!F119</f>
        <v>17274.48286751382</v>
      </c>
      <c r="E64" s="1"/>
      <c r="F64" s="13"/>
      <c r="G64" s="952" t="s">
        <v>265</v>
      </c>
      <c r="H64" s="988">
        <f>'Standard Ertragsphase'!$F$120</f>
        <v>24.275662808765972</v>
      </c>
      <c r="I64" s="954">
        <f>IF(OR(H64=0,H64=""),0,(J64/H64)-1)</f>
        <v>-1.663392384165796E-6</v>
      </c>
      <c r="J64" s="989">
        <f>'Variante Ertragsphase'!F120</f>
        <v>24.275622428813335</v>
      </c>
    </row>
    <row r="65" spans="1:11" s="169" customFormat="1" ht="15.5" x14ac:dyDescent="0.25">
      <c r="A65" s="972" t="s">
        <v>148</v>
      </c>
      <c r="B65" s="973">
        <f>'Standard Ertragsphase'!$D$93</f>
        <v>711.59793814432987</v>
      </c>
      <c r="C65" s="935">
        <f t="shared" si="5"/>
        <v>0</v>
      </c>
      <c r="D65" s="973">
        <f>'Variante Ertragsphase'!D93</f>
        <v>711.59793814432987</v>
      </c>
      <c r="E65" s="172"/>
      <c r="F65" s="931"/>
      <c r="G65" s="728"/>
      <c r="H65" s="197"/>
      <c r="I65" s="196"/>
      <c r="J65" s="517"/>
    </row>
    <row r="66" spans="1:11" s="170" customFormat="1" ht="15.5" x14ac:dyDescent="0.35">
      <c r="A66" s="311" t="s">
        <v>261</v>
      </c>
      <c r="B66" s="974">
        <f>'Standard Ertragsphase'!B93*'Standard Vorgaben'!C34</f>
        <v>7793.2731958762897</v>
      </c>
      <c r="C66" s="975">
        <f t="shared" si="5"/>
        <v>0</v>
      </c>
      <c r="D66" s="974">
        <f>'Variante Ertragsphase'!B93*'Variante Vorgaben'!C34</f>
        <v>7793.2731958762897</v>
      </c>
      <c r="E66" s="151"/>
      <c r="F66" s="943"/>
      <c r="G66" s="728"/>
      <c r="H66" s="728"/>
      <c r="I66" s="237"/>
      <c r="J66" s="519"/>
    </row>
    <row r="67" spans="1:11" s="169" customFormat="1" ht="33.5" x14ac:dyDescent="0.25">
      <c r="A67" s="950" t="s">
        <v>329</v>
      </c>
      <c r="B67" s="987">
        <f>B64-B66</f>
        <v>9481.2384059285687</v>
      </c>
      <c r="C67" s="985">
        <f t="shared" si="5"/>
        <v>-3.0306474542163286E-6</v>
      </c>
      <c r="D67" s="987">
        <f>D64-D66</f>
        <v>9481.2096716375308</v>
      </c>
      <c r="E67" s="172"/>
      <c r="F67" s="931"/>
      <c r="G67" s="959" t="s">
        <v>337</v>
      </c>
      <c r="H67" s="988">
        <f>'Standard Ertragsphase'!F122</f>
        <v>27.845889800168688</v>
      </c>
      <c r="I67" s="954">
        <f>IF(OR(H67=0,H67=""),0,(J67/H67)-1)</f>
        <v>-3.0306474542163286E-6</v>
      </c>
      <c r="J67" s="989">
        <f>'Variante Ertragsphase'!F122</f>
        <v>27.845805409093654</v>
      </c>
    </row>
    <row r="68" spans="1:11" s="169" customFormat="1" ht="15.5" x14ac:dyDescent="0.35">
      <c r="A68" s="311" t="s">
        <v>149</v>
      </c>
      <c r="B68" s="976">
        <f>'Standard Ertragsphase'!$D$93-'Standard Ertragsphase'!$B$93</f>
        <v>340.48969072164942</v>
      </c>
      <c r="C68" s="970">
        <f t="shared" si="5"/>
        <v>0</v>
      </c>
      <c r="D68" s="976">
        <f>'Variante Ertragsphase'!D93-'Variante Ertragsphase'!B93</f>
        <v>340.48969072164942</v>
      </c>
      <c r="E68" s="172"/>
      <c r="F68" s="931"/>
      <c r="G68" s="728"/>
      <c r="H68" s="197"/>
      <c r="I68" s="196"/>
      <c r="J68" s="517"/>
    </row>
    <row r="69" spans="1:11" s="169" customFormat="1" ht="31" x14ac:dyDescent="0.25">
      <c r="A69" s="971" t="s">
        <v>266</v>
      </c>
      <c r="B69" s="977">
        <f>'Standard Vorgaben'!$G$34</f>
        <v>0.85</v>
      </c>
      <c r="C69" s="970">
        <f>IF(OR(B69=0,B69=""),0,(D69/B69)-1)</f>
        <v>0</v>
      </c>
      <c r="D69" s="977">
        <f>'Variante Vorgaben'!F34</f>
        <v>0.85</v>
      </c>
      <c r="E69" s="172"/>
      <c r="F69" s="931"/>
      <c r="G69" s="936" t="s">
        <v>334</v>
      </c>
      <c r="H69" s="946">
        <f>'Standard Ertragsphase'!$F$127</f>
        <v>26.15943498732344</v>
      </c>
      <c r="I69" s="186">
        <f>IF(OR(H69=0,H69=""),0,(J69/H69)-1)</f>
        <v>0</v>
      </c>
      <c r="J69" s="520">
        <f>'Variante Ertragsphase'!F127</f>
        <v>26.15943498732344</v>
      </c>
    </row>
    <row r="70" spans="1:11" s="169" customFormat="1" ht="27" customHeight="1" x14ac:dyDescent="0.25">
      <c r="A70" s="968" t="s">
        <v>264</v>
      </c>
      <c r="B70" s="978">
        <f>'Standard Ertragsphase'!B93</f>
        <v>371.10824742268045</v>
      </c>
      <c r="C70" s="970">
        <f>IF(OR(B70=0,B70=""),0,(D70/B70)-1)</f>
        <v>0</v>
      </c>
      <c r="D70" s="978">
        <f>'Variante Ertragsphase'!B93</f>
        <v>371.10824742268045</v>
      </c>
      <c r="E70" s="172"/>
      <c r="F70" s="931"/>
      <c r="G70" s="944" t="s">
        <v>274</v>
      </c>
      <c r="H70" s="947">
        <f>'Standard Ertragsphase'!$F$126</f>
        <v>69.780556320173844</v>
      </c>
      <c r="I70" s="186">
        <f>IF(OR(H70=0,H70=""),0,(J70/H70)-1)</f>
        <v>0</v>
      </c>
      <c r="J70" s="941">
        <f>'Variante Ertragsphase'!F126</f>
        <v>69.780556320173844</v>
      </c>
    </row>
    <row r="71" spans="1:11" ht="18" customHeight="1" x14ac:dyDescent="0.25">
      <c r="A71" s="968" t="s">
        <v>263</v>
      </c>
      <c r="B71" s="516">
        <f>B72/B65</f>
        <v>0.33248822890257157</v>
      </c>
      <c r="C71" s="970">
        <f>IF(OR(B71=0,B71=""),0,(D71/B71)-1)</f>
        <v>0</v>
      </c>
      <c r="D71" s="516">
        <f>D72/D65</f>
        <v>0.33248822890257157</v>
      </c>
      <c r="E71" s="1"/>
      <c r="F71" s="1"/>
      <c r="H71" s="13"/>
      <c r="I71" s="69"/>
    </row>
    <row r="72" spans="1:11" ht="18" customHeight="1" x14ac:dyDescent="0.25">
      <c r="A72" s="968" t="s">
        <v>262</v>
      </c>
      <c r="B72" s="978">
        <f>'Standard Ertragsphase'!$D$91</f>
        <v>236.59793814432993</v>
      </c>
      <c r="C72" s="970">
        <f>IF(OR(B72=0,B72=""),0,(D72/B72)-1)</f>
        <v>0</v>
      </c>
      <c r="D72" s="978">
        <f>'Variante Ertragsphase'!D91</f>
        <v>236.59793814432993</v>
      </c>
      <c r="E72" s="1"/>
      <c r="F72" s="1"/>
      <c r="H72" s="13"/>
    </row>
    <row r="73" spans="1:11" ht="23.25" customHeight="1" x14ac:dyDescent="0.3">
      <c r="A73" s="13"/>
      <c r="B73" s="11"/>
      <c r="C73" s="11"/>
      <c r="D73" s="72"/>
      <c r="E73" s="1"/>
    </row>
    <row r="74" spans="1:11" ht="23.25" customHeight="1" x14ac:dyDescent="0.3">
      <c r="E74" s="1"/>
    </row>
    <row r="75" spans="1:11" ht="27" customHeight="1" x14ac:dyDescent="0.5">
      <c r="A75" s="1407" t="s">
        <v>186</v>
      </c>
      <c r="B75" s="1407"/>
      <c r="C75" s="1407"/>
      <c r="D75" s="1407"/>
      <c r="E75" s="1407"/>
      <c r="F75" s="1407"/>
      <c r="G75" s="1407"/>
      <c r="H75" s="1407"/>
      <c r="I75" s="1407"/>
      <c r="J75" s="1407"/>
      <c r="K75" s="14"/>
    </row>
    <row r="76" spans="1:11" s="1" customFormat="1" ht="27" customHeight="1" x14ac:dyDescent="0.5">
      <c r="A76" s="408"/>
      <c r="B76" s="408"/>
      <c r="C76" s="408"/>
      <c r="D76" s="408"/>
      <c r="E76" s="408"/>
      <c r="F76" s="408"/>
      <c r="G76" s="408"/>
      <c r="H76" s="408"/>
      <c r="I76" s="408"/>
      <c r="J76" s="408"/>
      <c r="K76" s="124"/>
    </row>
    <row r="77" spans="1:11" s="1" customFormat="1" ht="18.5" thickBot="1" x14ac:dyDescent="0.45">
      <c r="A77" s="98"/>
      <c r="F77" s="184"/>
      <c r="J77" s="35"/>
      <c r="K77" s="124"/>
    </row>
    <row r="78" spans="1:11" s="1" customFormat="1" ht="18.5" thickBot="1" x14ac:dyDescent="0.45">
      <c r="A78" s="98"/>
      <c r="F78" s="184"/>
      <c r="G78" s="396"/>
      <c r="H78" s="397" t="s">
        <v>323</v>
      </c>
      <c r="I78" s="398" t="s">
        <v>111</v>
      </c>
      <c r="J78" s="409" t="s">
        <v>109</v>
      </c>
      <c r="K78" s="124"/>
    </row>
    <row r="79" spans="1:11" s="1" customFormat="1" ht="18" x14ac:dyDescent="0.4">
      <c r="A79" s="98"/>
      <c r="F79" s="184"/>
      <c r="G79" s="380" t="str">
        <f>'Standard Ertragsphase'!A136</f>
        <v>Arbeitskosten</v>
      </c>
      <c r="H79" s="199">
        <f>'Standard Ertragsphase'!B136</f>
        <v>19523.461082474227</v>
      </c>
      <c r="I79" s="241">
        <f>IF(OR(H79=0,H79=""),0,(J79/H79)-1)</f>
        <v>0</v>
      </c>
      <c r="J79" s="400">
        <f>'Variante Ertragsphase'!B136</f>
        <v>19523.461082474227</v>
      </c>
      <c r="K79" s="124"/>
    </row>
    <row r="80" spans="1:11" s="1" customFormat="1" ht="18" x14ac:dyDescent="0.4">
      <c r="A80" s="98"/>
      <c r="F80" s="184"/>
      <c r="G80" s="380" t="str">
        <f>'Standard Ertragsphase'!A137</f>
        <v>Kapitalkosten (Zinsanspruch)</v>
      </c>
      <c r="H80" s="199">
        <f>'Standard Ertragsphase'!B137</f>
        <v>2245.4977242061323</v>
      </c>
      <c r="I80" s="241">
        <f>IF(OR(H80=0,H80=""),0,(J80/H80)-1)</f>
        <v>1.2473026991255409E-6</v>
      </c>
      <c r="J80" s="400">
        <f>'Variante Ertragsphase'!B137</f>
        <v>2245.5005250215045</v>
      </c>
      <c r="K80" s="124"/>
    </row>
    <row r="81" spans="1:11" s="1" customFormat="1" ht="18.5" thickBot="1" x14ac:dyDescent="0.45">
      <c r="A81" s="98"/>
      <c r="F81" s="184"/>
      <c r="G81" s="401" t="str">
        <f>'Standard Ertragsphase'!A164</f>
        <v>Sachkosten</v>
      </c>
      <c r="H81" s="194">
        <f>'Standard Ertragsphase'!B164</f>
        <v>30135.690673989007</v>
      </c>
      <c r="I81" s="242">
        <f>IF(OR(H81=0,H81=""),0,(J81/H81)-1)</f>
        <v>8.6055687087416288E-7</v>
      </c>
      <c r="J81" s="402">
        <f>'Variante Ertragsphase'!B138</f>
        <v>30135.716607464674</v>
      </c>
      <c r="K81" s="124"/>
    </row>
    <row r="82" spans="1:11" s="1" customFormat="1" ht="18" x14ac:dyDescent="0.4">
      <c r="A82" s="98"/>
      <c r="F82" s="184"/>
      <c r="G82" s="403" t="s">
        <v>293</v>
      </c>
      <c r="H82" s="418">
        <f>B46</f>
        <v>51904.649480669366</v>
      </c>
      <c r="I82" s="241">
        <f>IF(OR(H82=0,H82=""),0,(J82/H82)-1)</f>
        <v>5.5359763195816925E-7</v>
      </c>
      <c r="J82" s="419">
        <f>D46</f>
        <v>51904.678214960404</v>
      </c>
      <c r="K82" s="124"/>
    </row>
    <row r="83" spans="1:11" s="1" customFormat="1" ht="18" x14ac:dyDescent="0.4">
      <c r="A83" s="98"/>
      <c r="F83" s="184"/>
      <c r="G83" s="384"/>
      <c r="H83" s="19"/>
      <c r="I83" s="145"/>
      <c r="J83" s="136"/>
      <c r="K83" s="124"/>
    </row>
    <row r="84" spans="1:11" s="1" customFormat="1" ht="18" x14ac:dyDescent="0.4">
      <c r="A84" s="98"/>
      <c r="F84" s="184"/>
      <c r="G84" s="380" t="str">
        <f>'Standard Ertragsphase'!A136</f>
        <v>Arbeitskosten</v>
      </c>
      <c r="H84" s="132">
        <f>'Standard Ertragsphase'!C136</f>
        <v>0.37614089061029626</v>
      </c>
      <c r="I84" s="195"/>
      <c r="J84" s="404">
        <f>'Variante Ertragsphase'!C136</f>
        <v>0.37614068237970522</v>
      </c>
      <c r="K84" s="124"/>
    </row>
    <row r="85" spans="1:11" s="1" customFormat="1" ht="18" x14ac:dyDescent="0.4">
      <c r="A85" s="98"/>
      <c r="F85" s="184"/>
      <c r="G85" s="380" t="str">
        <f>'Standard Ertragsphase'!A137</f>
        <v>Kapitalkosten (Zinsanspruch)</v>
      </c>
      <c r="H85" s="132">
        <f>'Standard Ertragsphase'!C137</f>
        <v>4.3261976464023973E-2</v>
      </c>
      <c r="I85" s="195"/>
      <c r="J85" s="404">
        <f>'Variante Ertragsphase'!C137</f>
        <v>4.326200647505965E-2</v>
      </c>
      <c r="K85" s="124"/>
    </row>
    <row r="86" spans="1:11" s="1" customFormat="1" ht="18.5" thickBot="1" x14ac:dyDescent="0.45">
      <c r="A86" s="98"/>
      <c r="F86" s="184"/>
      <c r="G86" s="401" t="str">
        <f>'Standard Ertragsphase'!A138</f>
        <v>Sachkosten</v>
      </c>
      <c r="H86" s="405">
        <f>'Standard Ertragsphase'!C138</f>
        <v>0.58059713292567972</v>
      </c>
      <c r="I86" s="406"/>
      <c r="J86" s="407">
        <f>'Variante Ertragsphase'!C138</f>
        <v>0.58059731114523516</v>
      </c>
      <c r="K86" s="124"/>
    </row>
    <row r="87" spans="1:11" s="1" customFormat="1" ht="18" x14ac:dyDescent="0.4">
      <c r="A87" s="98"/>
      <c r="F87" s="184"/>
      <c r="K87" s="124"/>
    </row>
    <row r="88" spans="1:11" s="1" customFormat="1" ht="18" x14ac:dyDescent="0.4">
      <c r="A88" s="98"/>
      <c r="F88" s="184"/>
      <c r="J88" s="35"/>
      <c r="K88" s="124"/>
    </row>
    <row r="89" spans="1:11" ht="9.75" customHeight="1" x14ac:dyDescent="0.3"/>
    <row r="90" spans="1:11" ht="9.75" customHeight="1" x14ac:dyDescent="0.3">
      <c r="A90" s="1"/>
      <c r="B90" s="35"/>
      <c r="C90" s="35"/>
      <c r="D90" s="75"/>
      <c r="E90" s="1"/>
      <c r="F90" s="1"/>
      <c r="G90" s="1"/>
      <c r="H90" s="1"/>
      <c r="I90" s="1"/>
      <c r="J90" s="1"/>
    </row>
    <row r="92" spans="1:11" ht="21.25" customHeight="1" thickBot="1" x14ac:dyDescent="0.35">
      <c r="G92" s="1"/>
      <c r="I92" s="69"/>
    </row>
    <row r="93" spans="1:11" ht="21.25" customHeight="1" thickBot="1" x14ac:dyDescent="0.4">
      <c r="G93" s="396"/>
      <c r="H93" s="397" t="s">
        <v>323</v>
      </c>
      <c r="I93" s="398" t="s">
        <v>111</v>
      </c>
      <c r="J93" s="399" t="s">
        <v>109</v>
      </c>
    </row>
    <row r="94" spans="1:11" ht="21.25" customHeight="1" x14ac:dyDescent="0.3">
      <c r="G94" s="380" t="str">
        <f>'Standard Ertragsphase'!A142</f>
        <v>für Boden</v>
      </c>
      <c r="H94" s="199">
        <f>'Standard Ertragsphase'!B142</f>
        <v>660</v>
      </c>
      <c r="I94" s="241">
        <f>IF(OR(H94=0,H94=""),0,(J94/H94)-1)</f>
        <v>0</v>
      </c>
      <c r="J94" s="400">
        <f>'Variante Ertragsphase'!B142</f>
        <v>660</v>
      </c>
    </row>
    <row r="95" spans="1:11" ht="21.25" customHeight="1" thickBot="1" x14ac:dyDescent="0.35">
      <c r="G95" s="401" t="str">
        <f>'Standard Ertragsphase'!A143</f>
        <v xml:space="preserve">für Investition Obstanlage </v>
      </c>
      <c r="H95" s="194">
        <f>'Standard Ertragsphase'!B143</f>
        <v>1585.4977242061323</v>
      </c>
      <c r="I95" s="242">
        <f>IF(OR(H95=0,H95=""),0,(J95/H95)-1)</f>
        <v>1.7665212188600066E-6</v>
      </c>
      <c r="J95" s="402">
        <f>'Variante Ertragsphase'!B143</f>
        <v>1585.5005250215047</v>
      </c>
    </row>
    <row r="96" spans="1:11" ht="19.5" customHeight="1" x14ac:dyDescent="0.3">
      <c r="G96" s="410" t="str">
        <f>'Standard Ertragsphase'!A144</f>
        <v>Kapitalkosten</v>
      </c>
      <c r="H96" s="418">
        <f>'Standard Ertragsphase'!B144</f>
        <v>2245.4977242061323</v>
      </c>
      <c r="I96" s="241">
        <f>IF(OR(H96=0,H96=""),0,(J96/H96)-1)</f>
        <v>1.2473026991255409E-6</v>
      </c>
      <c r="J96" s="419">
        <f>'Variante Ertragsphase'!B144</f>
        <v>2245.5005250215045</v>
      </c>
    </row>
    <row r="97" spans="1:10" ht="20.25" customHeight="1" x14ac:dyDescent="0.3">
      <c r="G97" s="379"/>
      <c r="H97" s="13"/>
      <c r="I97" s="241"/>
      <c r="J97" s="411"/>
    </row>
    <row r="98" spans="1:10" ht="21.25" customHeight="1" x14ac:dyDescent="0.3">
      <c r="G98" s="412" t="str">
        <f>'Standard Ertragsphase'!A142</f>
        <v>für Boden</v>
      </c>
      <c r="H98" s="413">
        <f>'Standard Ertragsphase'!C142</f>
        <v>0.29392147357144832</v>
      </c>
      <c r="I98" s="241"/>
      <c r="J98" s="414">
        <f>'Variante Ertragsphase'!C142</f>
        <v>0.29392110696285828</v>
      </c>
    </row>
    <row r="99" spans="1:10" ht="21.25" customHeight="1" thickBot="1" x14ac:dyDescent="0.35">
      <c r="G99" s="415" t="str">
        <f>'Standard Ertragsphase'!A143</f>
        <v xml:space="preserve">für Investition Obstanlage </v>
      </c>
      <c r="H99" s="416">
        <f>'Standard Ertragsphase'!C143</f>
        <v>0.70607852642855173</v>
      </c>
      <c r="I99" s="242"/>
      <c r="J99" s="417">
        <f>'Variante Ertragsphase'!C143</f>
        <v>0.70607889303714189</v>
      </c>
    </row>
    <row r="100" spans="1:10" ht="20.25" customHeight="1" x14ac:dyDescent="0.3">
      <c r="I100" s="69"/>
    </row>
    <row r="101" spans="1:10" x14ac:dyDescent="0.3">
      <c r="I101" s="69"/>
    </row>
    <row r="102" spans="1:10" x14ac:dyDescent="0.3">
      <c r="I102" s="69"/>
    </row>
    <row r="103" spans="1:10" x14ac:dyDescent="0.3">
      <c r="I103" s="69"/>
    </row>
    <row r="104" spans="1:10" x14ac:dyDescent="0.3">
      <c r="I104" s="69"/>
    </row>
    <row r="105" spans="1:10" x14ac:dyDescent="0.3">
      <c r="I105" s="69"/>
    </row>
    <row r="106" spans="1:10" x14ac:dyDescent="0.3">
      <c r="I106" s="69"/>
    </row>
    <row r="107" spans="1:10" x14ac:dyDescent="0.3">
      <c r="A107" s="1"/>
      <c r="B107" s="35"/>
      <c r="C107" s="35"/>
      <c r="D107" s="75"/>
      <c r="E107" s="1"/>
      <c r="F107" s="1"/>
      <c r="G107" s="1"/>
      <c r="H107" s="1"/>
      <c r="I107" s="69"/>
      <c r="J107" s="1"/>
    </row>
    <row r="108" spans="1:10" x14ac:dyDescent="0.3">
      <c r="I108" s="69"/>
    </row>
    <row r="109" spans="1:10" x14ac:dyDescent="0.3">
      <c r="I109" s="69"/>
    </row>
    <row r="110" spans="1:10" ht="13.5" thickBot="1" x14ac:dyDescent="0.35">
      <c r="I110" s="69"/>
    </row>
    <row r="111" spans="1:10" ht="18.5" thickBot="1" x14ac:dyDescent="0.4">
      <c r="G111" s="396"/>
      <c r="H111" s="397" t="s">
        <v>323</v>
      </c>
      <c r="I111" s="398" t="s">
        <v>111</v>
      </c>
      <c r="J111" s="399" t="s">
        <v>109</v>
      </c>
    </row>
    <row r="112" spans="1:10" ht="15.75" customHeight="1" x14ac:dyDescent="0.3">
      <c r="G112" s="380" t="s">
        <v>432</v>
      </c>
      <c r="H112" s="199">
        <f>'Standard Ertragsphase'!B152</f>
        <v>5383.7860824742274</v>
      </c>
      <c r="I112" s="241">
        <f>IF(OR(H112=0,H112=""),0,(J112/H112)-1)</f>
        <v>0</v>
      </c>
      <c r="J112" s="400">
        <f>'Variante Ertragsphase'!B152</f>
        <v>5383.7860824742274</v>
      </c>
    </row>
    <row r="113" spans="1:10" ht="15.75" customHeight="1" x14ac:dyDescent="0.3">
      <c r="G113" s="380" t="s">
        <v>285</v>
      </c>
      <c r="H113" s="199">
        <f>'Standard Ertragsphase'!B149</f>
        <v>3924.0000000000005</v>
      </c>
      <c r="I113" s="241">
        <f>IF(OR(H113=0,H113=""),0,(J113/H113)-1)</f>
        <v>0</v>
      </c>
      <c r="J113" s="400">
        <f>'Variante Ertragsphase'!B149</f>
        <v>3924.0000000000005</v>
      </c>
    </row>
    <row r="114" spans="1:10" ht="15.75" customHeight="1" x14ac:dyDescent="0.3">
      <c r="G114" s="420" t="s">
        <v>286</v>
      </c>
      <c r="H114" s="199">
        <f>'Standard Ertragsphase'!B151</f>
        <v>4551</v>
      </c>
      <c r="I114" s="241">
        <f>IF(OR(H114=0,H114=""),0,(J114/H114)-1)</f>
        <v>0</v>
      </c>
      <c r="J114" s="400">
        <f>'Variante Ertragsphase'!B151</f>
        <v>4551</v>
      </c>
    </row>
    <row r="115" spans="1:10" ht="15.75" customHeight="1" thickBot="1" x14ac:dyDescent="0.35">
      <c r="G115" s="421" t="s">
        <v>127</v>
      </c>
      <c r="H115" s="194">
        <f>H116-H112-H113-H114</f>
        <v>4710.0750000000007</v>
      </c>
      <c r="I115" s="242">
        <f>IF(OR(H115=0,H115=""),0,(J115/H115)-1)</f>
        <v>0</v>
      </c>
      <c r="J115" s="402">
        <f>J116-J112-J113-J114</f>
        <v>4710.0750000000007</v>
      </c>
    </row>
    <row r="116" spans="1:10" ht="21.25" customHeight="1" x14ac:dyDescent="0.35">
      <c r="G116" s="422" t="str">
        <f>'Standard Ertragsphase'!A156</f>
        <v>Arbeitskosten</v>
      </c>
      <c r="H116" s="423">
        <f>'Standard Ertragsphase'!B156</f>
        <v>18568.861082474228</v>
      </c>
      <c r="I116" s="243">
        <f>IF(OR(H116=0,H116=""),0,(J116/H116)-1)</f>
        <v>0</v>
      </c>
      <c r="J116" s="424">
        <f>'Variante Ertragsphase'!B156</f>
        <v>18568.861082474228</v>
      </c>
    </row>
    <row r="117" spans="1:10" x14ac:dyDescent="0.3">
      <c r="G117" s="379"/>
      <c r="H117" s="13"/>
      <c r="I117" s="145"/>
      <c r="J117" s="411"/>
    </row>
    <row r="118" spans="1:10" ht="15.75" customHeight="1" x14ac:dyDescent="0.3">
      <c r="G118" s="380" t="s">
        <v>432</v>
      </c>
      <c r="H118" s="413">
        <f>H112/H116</f>
        <v>0.28993625718680099</v>
      </c>
      <c r="I118" s="241"/>
      <c r="J118" s="414">
        <f>J112/J116</f>
        <v>0.28993625718680099</v>
      </c>
    </row>
    <row r="119" spans="1:10" ht="15.75" customHeight="1" x14ac:dyDescent="0.3">
      <c r="G119" s="380" t="s">
        <v>285</v>
      </c>
      <c r="H119" s="413">
        <f>H113/H116</f>
        <v>0.21132152276714339</v>
      </c>
      <c r="I119" s="241"/>
      <c r="J119" s="414">
        <f>J113/J116</f>
        <v>0.21132152276714339</v>
      </c>
    </row>
    <row r="120" spans="1:10" ht="15.75" customHeight="1" x14ac:dyDescent="0.3">
      <c r="G120" s="420" t="s">
        <v>286</v>
      </c>
      <c r="H120" s="413">
        <f>H114/H116</f>
        <v>0.24508772938666398</v>
      </c>
      <c r="I120" s="241"/>
      <c r="J120" s="414">
        <f>J114/J116</f>
        <v>0.24508772938666398</v>
      </c>
    </row>
    <row r="121" spans="1:10" ht="15.75" customHeight="1" thickBot="1" x14ac:dyDescent="0.35">
      <c r="G121" s="421" t="s">
        <v>127</v>
      </c>
      <c r="H121" s="416">
        <f>H115/H116</f>
        <v>0.25365449065939166</v>
      </c>
      <c r="I121" s="242"/>
      <c r="J121" s="417">
        <f>J115/J116</f>
        <v>0.25365449065939166</v>
      </c>
    </row>
    <row r="126" spans="1:10" x14ac:dyDescent="0.3">
      <c r="I126" s="69"/>
    </row>
    <row r="127" spans="1:10" x14ac:dyDescent="0.3">
      <c r="A127" s="1"/>
      <c r="B127" s="35"/>
      <c r="C127" s="35"/>
      <c r="D127" s="75"/>
      <c r="E127" s="1"/>
      <c r="F127" s="1"/>
      <c r="G127" s="1"/>
      <c r="H127" s="1"/>
      <c r="I127" s="69"/>
      <c r="J127" s="1"/>
    </row>
    <row r="128" spans="1:10" x14ac:dyDescent="0.3">
      <c r="A128" s="1"/>
      <c r="B128" s="35"/>
      <c r="C128" s="35"/>
      <c r="D128" s="75"/>
      <c r="E128" s="1"/>
      <c r="F128" s="1"/>
      <c r="G128" s="1"/>
      <c r="H128" s="1"/>
      <c r="I128" s="69"/>
      <c r="J128" s="1"/>
    </row>
    <row r="129" spans="7:11" x14ac:dyDescent="0.3">
      <c r="I129" s="69"/>
    </row>
    <row r="130" spans="7:11" x14ac:dyDescent="0.3">
      <c r="I130" s="69"/>
    </row>
    <row r="131" spans="7:11" x14ac:dyDescent="0.3">
      <c r="I131" s="69"/>
    </row>
    <row r="132" spans="7:11" ht="13.5" thickBot="1" x14ac:dyDescent="0.35">
      <c r="I132" s="69"/>
    </row>
    <row r="133" spans="7:11" ht="18.5" thickBot="1" x14ac:dyDescent="0.4">
      <c r="G133" s="396"/>
      <c r="H133" s="397" t="s">
        <v>323</v>
      </c>
      <c r="I133" s="398" t="s">
        <v>111</v>
      </c>
      <c r="J133" s="399" t="s">
        <v>109</v>
      </c>
    </row>
    <row r="134" spans="7:11" ht="15" customHeight="1" x14ac:dyDescent="0.3">
      <c r="G134" s="380" t="str">
        <f>'Standard Ertragsphase'!A160</f>
        <v xml:space="preserve">Abzüge   </v>
      </c>
      <c r="H134" s="199">
        <f>'Standard Ertragsphase'!B160</f>
        <v>803.63099999999997</v>
      </c>
      <c r="I134" s="241">
        <f>IF(OR(H134=0,H134=""),0,(J134/H134)-1)</f>
        <v>0</v>
      </c>
      <c r="J134" s="425">
        <f>'Variante Ertragsphase'!B160</f>
        <v>803.63099999999997</v>
      </c>
    </row>
    <row r="135" spans="7:11" ht="15" customHeight="1" x14ac:dyDescent="0.3">
      <c r="G135" s="380" t="str">
        <f>'Standard Ertragsphase'!A161</f>
        <v xml:space="preserve">Abschreibung Obstanlage </v>
      </c>
      <c r="H135" s="199">
        <f>'Standard Ertragsphase'!B161</f>
        <v>14680.534483390116</v>
      </c>
      <c r="I135" s="241">
        <f>IF(OR(H135=0,H135=""),0,(J135/H135)-1)</f>
        <v>1.766521218637962E-6</v>
      </c>
      <c r="J135" s="425">
        <f>'Variante Ertragsphase'!B161</f>
        <v>14680.560416865783</v>
      </c>
      <c r="K135" s="14"/>
    </row>
    <row r="136" spans="7:11" ht="15" customHeight="1" x14ac:dyDescent="0.3">
      <c r="G136" s="380" t="str">
        <f>'Standard Ertragsphase'!A162</f>
        <v>Maschinen und Geräte</v>
      </c>
      <c r="H136" s="199">
        <f>'Standard Ertragsphase'!B162</f>
        <v>7984.4259664948459</v>
      </c>
      <c r="I136" s="241">
        <f>IF(OR(H136=0,H136=""),0,(J136/H136)-1)</f>
        <v>0</v>
      </c>
      <c r="J136" s="425">
        <f>'Variante Ertragsphase'!B162</f>
        <v>7984.4259664948459</v>
      </c>
    </row>
    <row r="137" spans="7:11" ht="15" customHeight="1" thickBot="1" x14ac:dyDescent="0.35">
      <c r="G137" s="401" t="s">
        <v>287</v>
      </c>
      <c r="H137" s="194">
        <f>'Standard Ertragsphase'!B163</f>
        <v>6667.099224104044</v>
      </c>
      <c r="I137" s="242">
        <f>IF(OR(H137=0,H137=""),0,(J137/H137)-1)</f>
        <v>0</v>
      </c>
      <c r="J137" s="426">
        <f>'Variante Ertragsphase'!B163</f>
        <v>6667.099224104044</v>
      </c>
    </row>
    <row r="138" spans="7:11" ht="15.5" x14ac:dyDescent="0.35">
      <c r="G138" s="422" t="str">
        <f>'Standard Ertragsphase'!A164</f>
        <v>Sachkosten</v>
      </c>
      <c r="H138" s="418">
        <f>'Standard Ertragsphase'!B164</f>
        <v>30135.690673989007</v>
      </c>
      <c r="I138" s="241">
        <f>IF(OR(H138=0,H138=""),0,(J138/H138)-1)</f>
        <v>8.6055687087416288E-7</v>
      </c>
      <c r="J138" s="425">
        <f>'Variante Ertragsphase'!B164</f>
        <v>30135.716607464674</v>
      </c>
    </row>
    <row r="139" spans="7:11" x14ac:dyDescent="0.3">
      <c r="G139" s="379"/>
      <c r="H139" s="13"/>
      <c r="I139" s="145"/>
      <c r="J139" s="411"/>
    </row>
    <row r="140" spans="7:11" ht="13.75" customHeight="1" x14ac:dyDescent="0.3">
      <c r="G140" s="412" t="str">
        <f>'Standard Ertragsphase'!A160</f>
        <v xml:space="preserve">Abzüge   </v>
      </c>
      <c r="H140" s="413">
        <f>'Standard Ertragsphase'!C160</f>
        <v>2.6667084179146996E-2</v>
      </c>
      <c r="I140" s="241"/>
      <c r="J140" s="414">
        <f>'Variante Ertragsphase'!C160</f>
        <v>2.666706123062423E-2</v>
      </c>
    </row>
    <row r="141" spans="7:11" ht="13.75" customHeight="1" x14ac:dyDescent="0.3">
      <c r="G141" s="412" t="str">
        <f>'Standard Ertragsphase'!A161</f>
        <v xml:space="preserve">Abschreibung Obstanlage </v>
      </c>
      <c r="H141" s="413">
        <f>'Standard Ertragsphase'!C161</f>
        <v>0.48714776914209945</v>
      </c>
      <c r="I141" s="241"/>
      <c r="J141" s="414">
        <f>'Variante Ertragsphase'!C161</f>
        <v>0.48714821048023066</v>
      </c>
    </row>
    <row r="142" spans="7:11" ht="13.75" customHeight="1" x14ac:dyDescent="0.3">
      <c r="G142" s="412" t="str">
        <f>'Standard Ertragsphase'!A162</f>
        <v>Maschinen und Geräte</v>
      </c>
      <c r="H142" s="413">
        <f>'Standard Ertragsphase'!C162</f>
        <v>0.264949161207924</v>
      </c>
      <c r="I142" s="241"/>
      <c r="J142" s="414">
        <f>'Variante Ertragsphase'!C162</f>
        <v>0.26494893320429913</v>
      </c>
    </row>
    <row r="143" spans="7:11" ht="13.75" customHeight="1" thickBot="1" x14ac:dyDescent="0.35">
      <c r="G143" s="401" t="s">
        <v>287</v>
      </c>
      <c r="H143" s="416">
        <f>'Standard Ertragsphase'!C163</f>
        <v>0.22123598547082948</v>
      </c>
      <c r="I143" s="242"/>
      <c r="J143" s="417">
        <f>'Variante Ertragsphase'!C163</f>
        <v>0.22123579508484598</v>
      </c>
    </row>
    <row r="144" spans="7:11" ht="13.75" customHeight="1" x14ac:dyDescent="0.3">
      <c r="G144" s="197"/>
      <c r="H144" s="198"/>
      <c r="I144" s="241"/>
      <c r="J144" s="198"/>
    </row>
    <row r="145" spans="1:10" ht="13.75" customHeight="1" x14ac:dyDescent="0.3">
      <c r="G145" s="197"/>
      <c r="H145" s="198"/>
      <c r="I145" s="241"/>
      <c r="J145" s="198"/>
    </row>
    <row r="146" spans="1:10" ht="13.75" customHeight="1" x14ac:dyDescent="0.3">
      <c r="G146" s="197"/>
      <c r="H146" s="198"/>
      <c r="I146" s="241"/>
      <c r="J146" s="198"/>
    </row>
    <row r="147" spans="1:10" ht="13.75" customHeight="1" x14ac:dyDescent="0.3">
      <c r="G147" s="197"/>
      <c r="H147" s="198"/>
      <c r="I147" s="241"/>
      <c r="J147" s="198"/>
    </row>
    <row r="148" spans="1:10" ht="13.75" customHeight="1" x14ac:dyDescent="0.3">
      <c r="G148" s="197"/>
      <c r="H148" s="198"/>
      <c r="I148" s="241"/>
      <c r="J148" s="198"/>
    </row>
    <row r="149" spans="1:10" ht="13.75" customHeight="1" x14ac:dyDescent="0.3">
      <c r="G149" s="197"/>
      <c r="H149" s="198"/>
      <c r="I149" s="241"/>
      <c r="J149" s="198"/>
    </row>
    <row r="150" spans="1:10" x14ac:dyDescent="0.3">
      <c r="I150" s="69"/>
    </row>
    <row r="151" spans="1:10" ht="60" customHeight="1" x14ac:dyDescent="0.3">
      <c r="I151" s="69"/>
    </row>
    <row r="152" spans="1:10" ht="23" x14ac:dyDescent="0.5">
      <c r="A152" s="525" t="s">
        <v>191</v>
      </c>
      <c r="B152" s="522"/>
      <c r="C152" s="522"/>
      <c r="D152" s="523"/>
      <c r="E152" s="524"/>
      <c r="F152" s="524"/>
      <c r="G152" s="524"/>
      <c r="H152" s="524"/>
      <c r="I152" s="524"/>
      <c r="J152" s="524"/>
    </row>
    <row r="153" spans="1:10" x14ac:dyDescent="0.3">
      <c r="I153" s="69"/>
    </row>
    <row r="154" spans="1:10" x14ac:dyDescent="0.3">
      <c r="I154" s="69"/>
    </row>
    <row r="155" spans="1:10" ht="13.5" thickBot="1" x14ac:dyDescent="0.35">
      <c r="I155" s="69"/>
    </row>
    <row r="156" spans="1:10" ht="18.5" thickBot="1" x14ac:dyDescent="0.4">
      <c r="G156" s="427"/>
      <c r="H156" s="397" t="s">
        <v>323</v>
      </c>
      <c r="I156" s="398" t="s">
        <v>111</v>
      </c>
      <c r="J156" s="399" t="s">
        <v>109</v>
      </c>
    </row>
    <row r="157" spans="1:10" x14ac:dyDescent="0.3">
      <c r="G157" s="428" t="s">
        <v>214</v>
      </c>
      <c r="H157" s="199">
        <f>'Standard Ertragsphase'!B168</f>
        <v>22001.26470749416</v>
      </c>
      <c r="I157" s="241">
        <f>IF(OR(H157=0,H157=""),0,(J157/H157)-1)</f>
        <v>1.1787265874474429E-6</v>
      </c>
      <c r="J157" s="400">
        <f>'Variante Ertragsphase'!B168</f>
        <v>22001.290640969826</v>
      </c>
    </row>
    <row r="158" spans="1:10" ht="13.5" thickBot="1" x14ac:dyDescent="0.35">
      <c r="G158" s="432" t="s">
        <v>35</v>
      </c>
      <c r="H158" s="194">
        <f>'Standard Ertragsphase'!B169</f>
        <v>29903.384773175203</v>
      </c>
      <c r="I158" s="242">
        <f>IF(OR(H158=0,H158=""),0,(J158/H158)-1)</f>
        <v>9.3662152256257514E-8</v>
      </c>
      <c r="J158" s="402">
        <f>'Variante Ertragsphase'!B169</f>
        <v>29903.387573990578</v>
      </c>
    </row>
    <row r="159" spans="1:10" ht="15.5" x14ac:dyDescent="0.3">
      <c r="G159" s="379" t="s">
        <v>219</v>
      </c>
      <c r="H159" s="418">
        <f>'Standard Ertragsphase'!B170</f>
        <v>51904.649480669366</v>
      </c>
      <c r="I159" s="241">
        <f>IF(OR(H159=0,H159=""),0,(J159/H159)-1)</f>
        <v>5.5359763195816925E-7</v>
      </c>
      <c r="J159" s="419">
        <f>'Variante Ertragsphase'!B170</f>
        <v>51904.678214960404</v>
      </c>
    </row>
    <row r="160" spans="1:10" x14ac:dyDescent="0.3">
      <c r="G160" s="379"/>
      <c r="H160" s="13"/>
      <c r="I160" s="145"/>
      <c r="J160" s="411"/>
    </row>
    <row r="161" spans="7:10" x14ac:dyDescent="0.3">
      <c r="G161" s="429" t="s">
        <v>214</v>
      </c>
      <c r="H161" s="413">
        <f>'Standard Ertragsphase'!C168</f>
        <v>0.42387849504095004</v>
      </c>
      <c r="I161" s="145"/>
      <c r="J161" s="414">
        <f>'Variante Ertragsphase'!C168</f>
        <v>0.42387876001952418</v>
      </c>
    </row>
    <row r="162" spans="7:10" ht="13.5" thickBot="1" x14ac:dyDescent="0.35">
      <c r="G162" s="430" t="s">
        <v>35</v>
      </c>
      <c r="H162" s="416">
        <f>'Standard Ertragsphase'!C169</f>
        <v>0.5761215049590499</v>
      </c>
      <c r="I162" s="431"/>
      <c r="J162" s="417">
        <f>'Variante Ertragsphase'!C169</f>
        <v>0.57612123998047582</v>
      </c>
    </row>
    <row r="164" spans="7:10" x14ac:dyDescent="0.3">
      <c r="G164" s="57"/>
    </row>
    <row r="180" spans="1:10" ht="23" x14ac:dyDescent="0.5">
      <c r="A180" s="525" t="s">
        <v>282</v>
      </c>
      <c r="B180" s="522"/>
      <c r="C180" s="522"/>
      <c r="D180" s="523"/>
      <c r="E180" s="524"/>
      <c r="F180" s="524"/>
      <c r="G180" s="524"/>
      <c r="H180" s="524"/>
      <c r="I180" s="524"/>
      <c r="J180" s="524"/>
    </row>
    <row r="186" spans="1:10" ht="13.5" thickBot="1" x14ac:dyDescent="0.35"/>
    <row r="187" spans="1:10" ht="19.5" customHeight="1" thickBot="1" x14ac:dyDescent="0.4">
      <c r="G187" s="427"/>
      <c r="H187" s="397" t="s">
        <v>323</v>
      </c>
      <c r="I187" s="398" t="s">
        <v>111</v>
      </c>
      <c r="J187" s="399" t="s">
        <v>109</v>
      </c>
    </row>
    <row r="188" spans="1:10" ht="39.25" customHeight="1" x14ac:dyDescent="0.3">
      <c r="G188" s="433" t="str">
        <f>'Standard Ertragsphase'!A194</f>
        <v>Pflanzenschutz (Material, Maschinen, Arbeit&gt;)</v>
      </c>
      <c r="H188" s="434">
        <f>'Standard Ertragsphase'!B194</f>
        <v>7663.8526000000002</v>
      </c>
      <c r="I188" s="193">
        <f>IF(OR(H188=0,H188=""),0,(J188/H188)-1)</f>
        <v>0</v>
      </c>
      <c r="J188" s="434">
        <f>'Variante Ertragsphase'!B194</f>
        <v>7663.8526000000002</v>
      </c>
    </row>
    <row r="189" spans="1:10" s="169" customFormat="1" ht="20.25" customHeight="1" thickBot="1" x14ac:dyDescent="0.3">
      <c r="B189" s="170"/>
      <c r="C189" s="170"/>
      <c r="D189" s="168"/>
      <c r="G189" s="415" t="str">
        <f>'Standard Ertragsphase'!A188</f>
        <v>übrige Produktionskosten</v>
      </c>
      <c r="H189" s="205">
        <f>'Standard Ertragsphase'!B188</f>
        <v>44240.796880669368</v>
      </c>
      <c r="I189" s="244">
        <f>IF(OR(H189=0,H189=""),0,(J189/H189)-1)</f>
        <v>6.4949759193133616E-7</v>
      </c>
      <c r="J189" s="436">
        <f>'Variante Ertragsphase'!B188</f>
        <v>44240.825614960406</v>
      </c>
    </row>
    <row r="190" spans="1:10" ht="28.5" customHeight="1" x14ac:dyDescent="0.3">
      <c r="G190" s="403" t="s">
        <v>293</v>
      </c>
      <c r="H190" s="204">
        <f>'Standard Ertragsphase'!B170</f>
        <v>51904.649480669366</v>
      </c>
      <c r="I190" s="193">
        <f>IF(OR(H190=0,H190=""),0,(J190/H190)-1)</f>
        <v>5.5359763195816925E-7</v>
      </c>
      <c r="J190" s="441">
        <f>'Variante Ertragsphase'!B170</f>
        <v>51904.678214960404</v>
      </c>
    </row>
    <row r="191" spans="1:10" ht="17.5" customHeight="1" x14ac:dyDescent="0.3">
      <c r="G191" s="379"/>
      <c r="H191" s="13"/>
      <c r="I191" s="145"/>
      <c r="J191" s="411"/>
    </row>
    <row r="192" spans="1:10" ht="30.75" customHeight="1" x14ac:dyDescent="0.3">
      <c r="G192" s="437" t="str">
        <f>G188</f>
        <v>Pflanzenschutz (Material, Maschinen, Arbeit&gt;)</v>
      </c>
      <c r="H192" s="456">
        <f>'Standard Ertragsphase'!C187</f>
        <v>0.14765252586580355</v>
      </c>
      <c r="I192" s="193"/>
      <c r="J192" s="457">
        <f>'Variante Ertragsphase'!C187</f>
        <v>0.14765244412576012</v>
      </c>
    </row>
    <row r="193" spans="1:10" ht="16.5" customHeight="1" thickBot="1" x14ac:dyDescent="0.35">
      <c r="G193" s="438" t="str">
        <f>G189</f>
        <v>übrige Produktionskosten</v>
      </c>
      <c r="H193" s="439">
        <f>'Standard Ertragsphase'!C188</f>
        <v>0.85234747413419654</v>
      </c>
      <c r="I193" s="244"/>
      <c r="J193" s="440">
        <f>'Variante Ertragsphase'!C188</f>
        <v>0.85234755587423994</v>
      </c>
    </row>
    <row r="194" spans="1:10" x14ac:dyDescent="0.3">
      <c r="I194" s="69"/>
    </row>
    <row r="195" spans="1:10" x14ac:dyDescent="0.3">
      <c r="I195" s="69"/>
    </row>
    <row r="196" spans="1:10" x14ac:dyDescent="0.3">
      <c r="I196" s="69"/>
    </row>
    <row r="197" spans="1:10" x14ac:dyDescent="0.3">
      <c r="I197" s="69"/>
    </row>
    <row r="198" spans="1:10" x14ac:dyDescent="0.3">
      <c r="I198" s="69"/>
    </row>
    <row r="199" spans="1:10" x14ac:dyDescent="0.3">
      <c r="I199" s="69"/>
    </row>
    <row r="200" spans="1:10" x14ac:dyDescent="0.3">
      <c r="A200" s="1"/>
      <c r="B200" s="35"/>
      <c r="C200" s="35"/>
      <c r="D200" s="75"/>
      <c r="E200" s="1"/>
      <c r="F200" s="1"/>
      <c r="G200" s="1"/>
      <c r="H200" s="1"/>
      <c r="I200" s="69"/>
      <c r="J200" s="1"/>
    </row>
    <row r="201" spans="1:10" x14ac:dyDescent="0.3">
      <c r="A201" s="1"/>
      <c r="B201" s="35"/>
      <c r="C201" s="35"/>
      <c r="D201" s="75"/>
      <c r="E201" s="1"/>
      <c r="F201" s="1"/>
      <c r="G201" s="1"/>
      <c r="H201" s="1"/>
      <c r="I201" s="69"/>
      <c r="J201" s="1"/>
    </row>
    <row r="202" spans="1:10" x14ac:dyDescent="0.3">
      <c r="I202" s="69"/>
    </row>
    <row r="203" spans="1:10" x14ac:dyDescent="0.3">
      <c r="I203" s="69"/>
    </row>
    <row r="204" spans="1:10" ht="13.5" thickBot="1" x14ac:dyDescent="0.35">
      <c r="I204" s="69"/>
    </row>
    <row r="205" spans="1:10" ht="18.5" thickBot="1" x14ac:dyDescent="0.4">
      <c r="G205" s="427"/>
      <c r="H205" s="397" t="s">
        <v>323</v>
      </c>
      <c r="I205" s="398" t="s">
        <v>111</v>
      </c>
      <c r="J205" s="399" t="s">
        <v>109</v>
      </c>
    </row>
    <row r="206" spans="1:10" x14ac:dyDescent="0.3">
      <c r="G206" s="379" t="str">
        <f>'Standard Ertragsphase'!A191</f>
        <v>Material</v>
      </c>
      <c r="H206" s="201">
        <f>'Standard Ertragsphase'!B191</f>
        <v>4547.3526000000002</v>
      </c>
      <c r="I206" s="193">
        <f>IF(OR(H206=0,H206=""),0,(J206/H206)-1)</f>
        <v>0</v>
      </c>
      <c r="J206" s="435">
        <f>'Variante Ertragsphase'!B191</f>
        <v>4547.3526000000002</v>
      </c>
    </row>
    <row r="207" spans="1:10" x14ac:dyDescent="0.3">
      <c r="G207" s="379" t="str">
        <f>'Standard Ertragsphase'!A192</f>
        <v>Maschinen</v>
      </c>
      <c r="H207" s="201">
        <f>'Standard Ertragsphase'!B192</f>
        <v>991</v>
      </c>
      <c r="I207" s="193">
        <f>IF(OR(H207=0,H207=""),0,(J207/H207)-1)</f>
        <v>0</v>
      </c>
      <c r="J207" s="435">
        <f>'Variante Ertragsphase'!B192</f>
        <v>991</v>
      </c>
    </row>
    <row r="208" spans="1:10" ht="13.5" thickBot="1" x14ac:dyDescent="0.35">
      <c r="G208" s="421" t="str">
        <f>'Standard Ertragsphase'!A193</f>
        <v>Arbeit</v>
      </c>
      <c r="H208" s="200">
        <f>'Standard Ertragsphase'!B193</f>
        <v>2125.5</v>
      </c>
      <c r="I208" s="244">
        <f>IF(OR(H208=0,H208=""),0,(J208/H208)-1)</f>
        <v>0</v>
      </c>
      <c r="J208" s="449">
        <f>'Variante Ertragsphase'!B193</f>
        <v>2125.5</v>
      </c>
    </row>
    <row r="209" spans="2:10" ht="31" x14ac:dyDescent="0.3">
      <c r="G209" s="444" t="str">
        <f>'Standard Ertragsphase'!A194</f>
        <v>Pflanzenschutz (Material, Maschinen, Arbeit&gt;)</v>
      </c>
      <c r="H209" s="206">
        <f>'Standard Ertragsphase'!B194</f>
        <v>7663.8526000000002</v>
      </c>
      <c r="I209" s="193">
        <f>IF(OR(H209=0,H209=""),0,(J209/H209)-1)</f>
        <v>0</v>
      </c>
      <c r="J209" s="435">
        <f>'Variante Ertragsphase'!B194</f>
        <v>7663.8526000000002</v>
      </c>
    </row>
    <row r="210" spans="2:10" ht="24" customHeight="1" x14ac:dyDescent="0.3">
      <c r="G210" s="379"/>
      <c r="H210" s="13"/>
      <c r="I210" s="145"/>
      <c r="J210" s="411"/>
    </row>
    <row r="211" spans="2:10" x14ac:dyDescent="0.3">
      <c r="G211" s="437" t="str">
        <f>'Standard Ertragsphase'!A191</f>
        <v>Material</v>
      </c>
      <c r="H211" s="445">
        <f>'Standard Ertragsphase'!C191</f>
        <v>0.593350738504548</v>
      </c>
      <c r="I211" s="193"/>
      <c r="J211" s="446">
        <f>'Variante Ertragsphase'!C191</f>
        <v>0.593350738504548</v>
      </c>
    </row>
    <row r="212" spans="2:10" x14ac:dyDescent="0.3">
      <c r="G212" s="437" t="str">
        <f>'Standard Ertragsphase'!A192</f>
        <v>Maschinen</v>
      </c>
      <c r="H212" s="445">
        <f>'Standard Ertragsphase'!C192</f>
        <v>0.12930833246975548</v>
      </c>
      <c r="I212" s="202"/>
      <c r="J212" s="446">
        <f>'Variante Ertragsphase'!C192</f>
        <v>0.12930833246975548</v>
      </c>
    </row>
    <row r="213" spans="2:10" ht="13.5" thickBot="1" x14ac:dyDescent="0.35">
      <c r="G213" s="438" t="str">
        <f>'Standard Ertragsphase'!A193</f>
        <v>Arbeit</v>
      </c>
      <c r="H213" s="439">
        <f>'Standard Ertragsphase'!C193</f>
        <v>0.27734092902569657</v>
      </c>
      <c r="I213" s="447"/>
      <c r="J213" s="448">
        <f>'Variante Ertragsphase'!C193</f>
        <v>0.27734092902569657</v>
      </c>
    </row>
    <row r="214" spans="2:10" x14ac:dyDescent="0.3">
      <c r="B214" s="115"/>
    </row>
    <row r="215" spans="2:10" x14ac:dyDescent="0.3">
      <c r="B215" s="115"/>
    </row>
    <row r="216" spans="2:10" x14ac:dyDescent="0.3">
      <c r="B216" s="115"/>
      <c r="G216" s="249" t="s">
        <v>296</v>
      </c>
      <c r="H216" s="208"/>
      <c r="I216" s="208"/>
      <c r="J216" s="209"/>
    </row>
    <row r="217" spans="2:10" x14ac:dyDescent="0.3">
      <c r="B217" s="115"/>
      <c r="G217" s="442" t="s">
        <v>638</v>
      </c>
      <c r="H217" s="210">
        <f>'Standard Ertragsphase'!C61</f>
        <v>25</v>
      </c>
      <c r="I217" s="13"/>
      <c r="J217" s="211">
        <f>'Variante Ertragsphase'!C61</f>
        <v>25</v>
      </c>
    </row>
    <row r="218" spans="2:10" ht="31.75" customHeight="1" x14ac:dyDescent="0.3">
      <c r="B218" s="115"/>
      <c r="G218" s="442" t="s">
        <v>65</v>
      </c>
      <c r="H218" s="210"/>
      <c r="I218" s="13"/>
      <c r="J218" s="211"/>
    </row>
    <row r="219" spans="2:10" x14ac:dyDescent="0.3">
      <c r="B219" s="115"/>
      <c r="G219" s="240"/>
      <c r="H219" s="13"/>
      <c r="I219" s="13"/>
      <c r="J219" s="52"/>
    </row>
    <row r="220" spans="2:10" ht="15" customHeight="1" x14ac:dyDescent="0.3">
      <c r="B220" s="115"/>
      <c r="G220" s="330" t="s">
        <v>297</v>
      </c>
      <c r="H220" s="13"/>
      <c r="I220" s="13"/>
      <c r="J220" s="52"/>
    </row>
    <row r="221" spans="2:10" ht="15.75" customHeight="1" x14ac:dyDescent="0.3">
      <c r="B221" s="115"/>
      <c r="G221" s="442" t="s">
        <v>298</v>
      </c>
      <c r="H221" s="213">
        <f>'Standard Vorgaben'!C119+'Standard Vorgaben'!C120</f>
        <v>16</v>
      </c>
      <c r="I221" s="13"/>
      <c r="J221" s="214">
        <f>'Variante Vorgaben'!C119+'Variante Vorgaben'!C120</f>
        <v>16</v>
      </c>
    </row>
    <row r="222" spans="2:10" x14ac:dyDescent="0.3">
      <c r="B222" s="115"/>
      <c r="G222" s="442" t="s">
        <v>299</v>
      </c>
      <c r="H222" s="11">
        <f>SUM('Standard Vorgaben'!C127:C130)</f>
        <v>13</v>
      </c>
      <c r="I222" s="13"/>
      <c r="J222" s="39">
        <f>SUM('Variante Vorgaben'!C126:C129)</f>
        <v>13</v>
      </c>
    </row>
    <row r="223" spans="2:10" x14ac:dyDescent="0.3">
      <c r="B223" s="115"/>
      <c r="G223" s="442" t="s">
        <v>138</v>
      </c>
      <c r="H223" s="11"/>
      <c r="I223" s="13"/>
      <c r="J223" s="39"/>
    </row>
    <row r="224" spans="2:10" x14ac:dyDescent="0.3">
      <c r="B224" s="115"/>
      <c r="G224" s="442" t="s">
        <v>300</v>
      </c>
      <c r="H224" s="11"/>
      <c r="I224" s="13"/>
      <c r="J224" s="39"/>
    </row>
    <row r="225" spans="1:10" x14ac:dyDescent="0.3">
      <c r="B225" s="115"/>
      <c r="G225" s="442" t="s">
        <v>286</v>
      </c>
      <c r="H225" s="31"/>
      <c r="I225" s="13"/>
      <c r="J225" s="215"/>
    </row>
    <row r="226" spans="1:10" x14ac:dyDescent="0.3">
      <c r="B226" s="115"/>
      <c r="G226" s="240"/>
      <c r="H226" s="216">
        <f>SUM(H221:H225)</f>
        <v>29</v>
      </c>
      <c r="I226" s="13"/>
      <c r="J226" s="217">
        <f>SUM(J221:J225)</f>
        <v>29</v>
      </c>
    </row>
    <row r="227" spans="1:10" x14ac:dyDescent="0.3">
      <c r="B227" s="115"/>
      <c r="G227" s="443" t="s">
        <v>140</v>
      </c>
      <c r="H227" s="1288">
        <f>'Standard Vorgaben'!B133</f>
        <v>26</v>
      </c>
      <c r="I227" s="32"/>
      <c r="J227" s="218">
        <f>'Variante Vorgaben'!B133</f>
        <v>26</v>
      </c>
    </row>
    <row r="228" spans="1:10" x14ac:dyDescent="0.3">
      <c r="B228" s="115"/>
    </row>
    <row r="229" spans="1:10" ht="17.5" customHeight="1" x14ac:dyDescent="0.3">
      <c r="B229" s="115"/>
    </row>
    <row r="230" spans="1:10" ht="23" x14ac:dyDescent="0.5">
      <c r="A230" s="1407" t="s">
        <v>281</v>
      </c>
      <c r="B230" s="1407"/>
      <c r="C230" s="1407"/>
      <c r="D230" s="1407"/>
      <c r="E230" s="1407"/>
      <c r="F230" s="1407"/>
      <c r="G230" s="1407"/>
      <c r="H230" s="1407"/>
      <c r="I230" s="1407"/>
      <c r="J230" s="1407"/>
    </row>
    <row r="231" spans="1:10" x14ac:dyDescent="0.3">
      <c r="B231" s="115"/>
    </row>
    <row r="232" spans="1:10" x14ac:dyDescent="0.3">
      <c r="B232" s="115"/>
      <c r="I232" s="69"/>
    </row>
    <row r="233" spans="1:10" x14ac:dyDescent="0.3">
      <c r="B233" s="115"/>
      <c r="I233" s="69"/>
    </row>
    <row r="234" spans="1:10" ht="13.5" thickBot="1" x14ac:dyDescent="0.35">
      <c r="B234" s="115"/>
      <c r="I234" s="69"/>
    </row>
    <row r="235" spans="1:10" ht="18.75" customHeight="1" thickBot="1" x14ac:dyDescent="0.4">
      <c r="B235" s="115"/>
      <c r="G235" s="427"/>
      <c r="H235" s="397" t="s">
        <v>323</v>
      </c>
      <c r="I235" s="398" t="s">
        <v>111</v>
      </c>
      <c r="J235" s="399" t="s">
        <v>109</v>
      </c>
    </row>
    <row r="236" spans="1:10" ht="17.5" customHeight="1" x14ac:dyDescent="0.3">
      <c r="B236" s="115"/>
      <c r="G236" s="429" t="str">
        <f>'Standard Ertragsphase'!A207</f>
        <v>Total Ernte</v>
      </c>
      <c r="H236" s="201">
        <f>'Standard Ertragsphase'!B207</f>
        <v>7314.0918170103096</v>
      </c>
      <c r="I236" s="245">
        <f>IF(OR(H236=0,H236=""),0,(J236/H236)-1)</f>
        <v>0</v>
      </c>
      <c r="J236" s="435">
        <f>'Variante Ertragsphase'!B207</f>
        <v>7314.0918170103096</v>
      </c>
    </row>
    <row r="237" spans="1:10" s="169" customFormat="1" ht="18" customHeight="1" thickBot="1" x14ac:dyDescent="0.35">
      <c r="B237" s="207"/>
      <c r="C237" s="170"/>
      <c r="D237" s="168"/>
      <c r="G237" s="450" t="str">
        <f>'Standard Ertragsphase'!A208</f>
        <v>übrige Produktionskosten</v>
      </c>
      <c r="H237" s="203">
        <f>'Standard Ertragsphase'!B208</f>
        <v>44590.557663659056</v>
      </c>
      <c r="I237" s="244">
        <f>IF(OR(H237=0,H237=""),0,(J237/H237)-1)</f>
        <v>6.4440304270441118E-7</v>
      </c>
      <c r="J237" s="449">
        <f>'Variante Ertragsphase'!B208</f>
        <v>44590.586397950094</v>
      </c>
    </row>
    <row r="238" spans="1:10" ht="31.75" customHeight="1" x14ac:dyDescent="0.3">
      <c r="B238" s="115"/>
      <c r="G238" s="403" t="s">
        <v>293</v>
      </c>
      <c r="H238" s="451">
        <f>SUM(H236:H237)</f>
        <v>51904.649480669366</v>
      </c>
      <c r="I238" s="193">
        <f>IF(OR(H238=0,H238=""),0,(J238/H238)-1)</f>
        <v>5.5359763195816925E-7</v>
      </c>
      <c r="J238" s="435">
        <f>SUM(J236:J237)</f>
        <v>51904.678214960404</v>
      </c>
    </row>
    <row r="239" spans="1:10" x14ac:dyDescent="0.3">
      <c r="B239" s="115"/>
      <c r="G239" s="379"/>
      <c r="H239" s="13"/>
      <c r="I239" s="145"/>
      <c r="J239" s="411"/>
    </row>
    <row r="240" spans="1:10" ht="15" customHeight="1" x14ac:dyDescent="0.3">
      <c r="B240" s="115"/>
      <c r="G240" s="437"/>
      <c r="H240" s="445"/>
      <c r="I240" s="193"/>
      <c r="J240" s="446"/>
    </row>
    <row r="241" spans="2:10" ht="17.5" customHeight="1" x14ac:dyDescent="0.3">
      <c r="B241" s="115"/>
      <c r="G241" s="437" t="str">
        <f>G236</f>
        <v>Total Ernte</v>
      </c>
      <c r="H241" s="445">
        <f>'Standard Ertragsphase'!C207</f>
        <v>0.14091400077240221</v>
      </c>
      <c r="I241" s="193"/>
      <c r="J241" s="446">
        <f>'Variante Ertragsphase'!C207</f>
        <v>0.14091392276278827</v>
      </c>
    </row>
    <row r="242" spans="2:10" ht="17.5" customHeight="1" thickBot="1" x14ac:dyDescent="0.35">
      <c r="B242" s="115"/>
      <c r="G242" s="438" t="str">
        <f>G237</f>
        <v>übrige Produktionskosten</v>
      </c>
      <c r="H242" s="439">
        <f>'Standard Ertragsphase'!C208</f>
        <v>0.85908599922759776</v>
      </c>
      <c r="I242" s="244"/>
      <c r="J242" s="448">
        <f>'Variante Ertragsphase'!C208</f>
        <v>0.85908607723721175</v>
      </c>
    </row>
    <row r="243" spans="2:10" ht="26.5" customHeight="1" x14ac:dyDescent="0.3">
      <c r="B243" s="115"/>
      <c r="I243" s="69"/>
    </row>
    <row r="244" spans="2:10" x14ac:dyDescent="0.3">
      <c r="B244" s="115"/>
      <c r="I244" s="69"/>
    </row>
    <row r="245" spans="2:10" x14ac:dyDescent="0.3">
      <c r="B245" s="115"/>
      <c r="I245" s="69"/>
    </row>
    <row r="246" spans="2:10" x14ac:dyDescent="0.3">
      <c r="B246" s="115"/>
      <c r="I246" s="69"/>
    </row>
    <row r="247" spans="2:10" x14ac:dyDescent="0.3">
      <c r="B247" s="115"/>
      <c r="I247" s="69"/>
    </row>
    <row r="248" spans="2:10" x14ac:dyDescent="0.3">
      <c r="B248" s="115"/>
      <c r="I248" s="69"/>
    </row>
    <row r="249" spans="2:10" x14ac:dyDescent="0.3">
      <c r="B249" s="115"/>
      <c r="I249" s="69"/>
    </row>
    <row r="250" spans="2:10" x14ac:dyDescent="0.3">
      <c r="B250" s="115"/>
      <c r="I250" s="69"/>
    </row>
    <row r="251" spans="2:10" x14ac:dyDescent="0.3">
      <c r="B251" s="115"/>
      <c r="I251" s="69"/>
    </row>
    <row r="252" spans="2:10" x14ac:dyDescent="0.3">
      <c r="B252" s="115"/>
      <c r="I252" s="69"/>
    </row>
    <row r="253" spans="2:10" x14ac:dyDescent="0.3">
      <c r="B253" s="115"/>
      <c r="I253" s="69"/>
    </row>
    <row r="254" spans="2:10" x14ac:dyDescent="0.3">
      <c r="B254" s="115"/>
      <c r="I254" s="69"/>
    </row>
    <row r="255" spans="2:10" x14ac:dyDescent="0.3">
      <c r="B255" s="115"/>
      <c r="I255" s="69"/>
    </row>
    <row r="256" spans="2:10" x14ac:dyDescent="0.3">
      <c r="B256" s="115"/>
      <c r="I256" s="69"/>
    </row>
    <row r="257" spans="2:10" ht="13.5" thickBot="1" x14ac:dyDescent="0.35">
      <c r="B257" s="115"/>
      <c r="I257" s="69"/>
    </row>
    <row r="258" spans="2:10" ht="18.5" thickBot="1" x14ac:dyDescent="0.4">
      <c r="B258" s="115"/>
      <c r="G258" s="427"/>
      <c r="H258" s="397" t="s">
        <v>323</v>
      </c>
      <c r="I258" s="398" t="s">
        <v>111</v>
      </c>
      <c r="J258" s="399" t="s">
        <v>109</v>
      </c>
    </row>
    <row r="259" spans="2:10" x14ac:dyDescent="0.3">
      <c r="B259" s="115"/>
      <c r="G259" s="428" t="str">
        <f>'Standard Ertragsphase'!A211</f>
        <v>Maschinen</v>
      </c>
      <c r="H259" s="201">
        <f>'Standard Ertragsphase'!B211</f>
        <v>274.30573453608253</v>
      </c>
      <c r="I259" s="193">
        <f>IF(OR(H259=0,H259=""),0,(J259/H259)-1)</f>
        <v>0</v>
      </c>
      <c r="J259" s="435">
        <f>'Variante Ertragsphase'!B211</f>
        <v>274.30573453608253</v>
      </c>
    </row>
    <row r="260" spans="2:10" ht="13.5" thickBot="1" x14ac:dyDescent="0.35">
      <c r="B260" s="115"/>
      <c r="G260" s="452" t="str">
        <f>'Standard Ertragsphase'!A212</f>
        <v>Arbeit</v>
      </c>
      <c r="H260" s="203">
        <f>'Standard Ertragsphase'!B212</f>
        <v>7039.7860824742274</v>
      </c>
      <c r="I260" s="244">
        <f>IF(OR(H260=0,H260=""),0,(J260/H260)-1)</f>
        <v>0</v>
      </c>
      <c r="J260" s="449">
        <f>'Variante Ertragsphase'!B212</f>
        <v>7039.7860824742274</v>
      </c>
    </row>
    <row r="261" spans="2:10" ht="15.5" x14ac:dyDescent="0.35">
      <c r="B261" s="115"/>
      <c r="G261" s="453" t="str">
        <f>'Standard Ertragsphase'!A213</f>
        <v>Total Ernte</v>
      </c>
      <c r="H261" s="454">
        <f>'Standard Ertragsphase'!B213</f>
        <v>7314.0918170103096</v>
      </c>
      <c r="I261" s="193">
        <f>IF(OR(H261=0,H261=""),0,(J261/H261)-1)</f>
        <v>0</v>
      </c>
      <c r="J261" s="455">
        <f>'Variante Ertragsphase'!B213</f>
        <v>7314.0918170103096</v>
      </c>
    </row>
    <row r="262" spans="2:10" x14ac:dyDescent="0.3">
      <c r="B262" s="115"/>
      <c r="G262" s="379"/>
      <c r="H262" s="13"/>
      <c r="I262" s="193"/>
      <c r="J262" s="411"/>
    </row>
    <row r="263" spans="2:10" x14ac:dyDescent="0.3">
      <c r="B263" s="115"/>
      <c r="G263" s="379"/>
      <c r="H263" s="13"/>
      <c r="I263" s="193"/>
      <c r="J263" s="411"/>
    </row>
    <row r="264" spans="2:10" x14ac:dyDescent="0.3">
      <c r="B264" s="115"/>
      <c r="G264" s="379" t="str">
        <f>'Standard Ertragsphase'!A211</f>
        <v>Maschinen</v>
      </c>
      <c r="H264" s="413">
        <f>'Standard Ertragsphase'!C211</f>
        <v>3.7503731344762786E-2</v>
      </c>
      <c r="I264" s="202"/>
      <c r="J264" s="414">
        <f>'Variante Ertragsphase'!C211</f>
        <v>3.7503731344762786E-2</v>
      </c>
    </row>
    <row r="265" spans="2:10" ht="18" customHeight="1" thickBot="1" x14ac:dyDescent="0.35">
      <c r="B265" s="115"/>
      <c r="G265" s="421" t="str">
        <f>'Standard Ertragsphase'!A212</f>
        <v>Arbeit</v>
      </c>
      <c r="H265" s="416">
        <f>'Standard Ertragsphase'!C212</f>
        <v>0.9624962686552373</v>
      </c>
      <c r="I265" s="447"/>
      <c r="J265" s="417">
        <f>'Variante Ertragsphase'!C212</f>
        <v>0.9624962686552373</v>
      </c>
    </row>
    <row r="266" spans="2:10" ht="15.75" customHeight="1" x14ac:dyDescent="0.3">
      <c r="B266" s="115"/>
    </row>
    <row r="267" spans="2:10" ht="15.75" customHeight="1" x14ac:dyDescent="0.3">
      <c r="B267" s="115"/>
    </row>
    <row r="268" spans="2:10" ht="19.5" customHeight="1" x14ac:dyDescent="0.3">
      <c r="B268" s="115"/>
    </row>
    <row r="269" spans="2:10" x14ac:dyDescent="0.3">
      <c r="B269" s="115"/>
    </row>
    <row r="270" spans="2:10" x14ac:dyDescent="0.3">
      <c r="B270" s="115"/>
    </row>
    <row r="271" spans="2:10" ht="15.75" customHeight="1" x14ac:dyDescent="0.3">
      <c r="B271" s="115"/>
    </row>
    <row r="272" spans="2:10" ht="15.75" customHeight="1" x14ac:dyDescent="0.3">
      <c r="B272" s="115"/>
    </row>
    <row r="273" spans="1:10" x14ac:dyDescent="0.3">
      <c r="B273" s="115"/>
    </row>
    <row r="274" spans="1:10" x14ac:dyDescent="0.3">
      <c r="B274" s="115"/>
    </row>
    <row r="275" spans="1:10" x14ac:dyDescent="0.3">
      <c r="B275" s="115"/>
    </row>
    <row r="276" spans="1:10" x14ac:dyDescent="0.3">
      <c r="B276" s="115"/>
    </row>
    <row r="277" spans="1:10" x14ac:dyDescent="0.3">
      <c r="B277" s="115"/>
    </row>
    <row r="278" spans="1:10" x14ac:dyDescent="0.3">
      <c r="B278" s="115"/>
    </row>
    <row r="279" spans="1:10" x14ac:dyDescent="0.3">
      <c r="B279" s="115"/>
    </row>
    <row r="280" spans="1:10" x14ac:dyDescent="0.3">
      <c r="B280" s="115"/>
    </row>
    <row r="281" spans="1:10" x14ac:dyDescent="0.3">
      <c r="B281" s="115"/>
    </row>
    <row r="282" spans="1:10" x14ac:dyDescent="0.3">
      <c r="B282" s="115"/>
    </row>
    <row r="283" spans="1:10" x14ac:dyDescent="0.3">
      <c r="B283" s="115"/>
    </row>
    <row r="284" spans="1:10" x14ac:dyDescent="0.3">
      <c r="B284" s="115"/>
    </row>
    <row r="285" spans="1:10" ht="23" x14ac:dyDescent="0.5">
      <c r="A285" s="525" t="s">
        <v>272</v>
      </c>
      <c r="B285" s="524"/>
      <c r="C285" s="524"/>
      <c r="D285" s="524"/>
      <c r="E285" s="524"/>
      <c r="F285" s="528"/>
      <c r="G285" s="524"/>
      <c r="H285" s="524"/>
      <c r="I285" s="524"/>
      <c r="J285" s="522"/>
    </row>
  </sheetData>
  <protectedRanges>
    <protectedRange password="91C9" sqref="C31:C35 C14 B15:C30 B6:C13" name="Bereich1"/>
  </protectedRanges>
  <dataConsolidate/>
  <mergeCells count="13">
    <mergeCell ref="A230:J230"/>
    <mergeCell ref="A57:D57"/>
    <mergeCell ref="A2:G2"/>
    <mergeCell ref="A37:D37"/>
    <mergeCell ref="G37:J37"/>
    <mergeCell ref="F10:G10"/>
    <mergeCell ref="F8:G8"/>
    <mergeCell ref="F7:G7"/>
    <mergeCell ref="F6:G6"/>
    <mergeCell ref="G57:J57"/>
    <mergeCell ref="C4:D4"/>
    <mergeCell ref="A75:J75"/>
    <mergeCell ref="A3:G3"/>
  </mergeCells>
  <phoneticPr fontId="23" type="noConversion"/>
  <pageMargins left="0.39370078740157483" right="0.39370078740157483" top="0.59055118110236227" bottom="0.78740157480314965" header="0.51181102362204722" footer="0.51181102362204722"/>
  <pageSetup paperSize="9" scale="60" orientation="landscape" r:id="rId1"/>
  <headerFooter alignWithMargins="0"/>
  <rowBreaks count="9" manualBreakCount="9">
    <brk id="32" max="9" man="1"/>
    <brk id="54" max="9" man="1"/>
    <brk id="74" max="9" man="1"/>
    <brk id="107" max="9" man="1"/>
    <brk id="151" max="9" man="1"/>
    <brk id="200" max="9" man="1"/>
    <brk id="254" max="9" man="1"/>
    <brk id="284" max="9" man="1"/>
    <brk id="340" max="16383" man="1"/>
  </rowBreaks>
  <colBreaks count="1" manualBreakCount="1">
    <brk id="11" max="1048575"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tandardVorgaben">
    <tabColor indexed="10"/>
  </sheetPr>
  <dimension ref="A1:S292"/>
  <sheetViews>
    <sheetView topLeftCell="A10" zoomScale="80" zoomScaleNormal="80" workbookViewId="0">
      <selection activeCell="A203" sqref="A203"/>
    </sheetView>
  </sheetViews>
  <sheetFormatPr baseColWidth="10" defaultRowHeight="12.5" x14ac:dyDescent="0.25"/>
  <cols>
    <col min="1" max="1" width="34.54296875" customWidth="1"/>
    <col min="2" max="2" width="39.1796875" customWidth="1"/>
    <col min="3" max="3" width="26" style="93" customWidth="1"/>
    <col min="4" max="5" width="22.26953125" style="10" customWidth="1"/>
    <col min="6" max="6" width="22.1796875" style="10" customWidth="1"/>
    <col min="7" max="7" width="17" style="10" customWidth="1"/>
    <col min="8" max="8" width="14.54296875" customWidth="1"/>
    <col min="9" max="9" width="17" customWidth="1"/>
  </cols>
  <sheetData>
    <row r="1" spans="1:9" ht="44.25" customHeight="1" x14ac:dyDescent="0.35">
      <c r="A1" s="1287" t="str">
        <f>Eingabeseite!$A$1</f>
        <v>Arbokost 2023</v>
      </c>
      <c r="B1" s="1284" t="str">
        <f>Eingabeseite!B1</f>
        <v>BIO- Tafelapfel, Gala auf M9, 3000 Bäume /ha</v>
      </c>
      <c r="C1" s="773"/>
      <c r="D1" s="774"/>
      <c r="E1" s="774"/>
      <c r="F1" s="775"/>
      <c r="G1" s="776"/>
      <c r="H1" s="777"/>
      <c r="I1" s="771"/>
    </row>
    <row r="2" spans="1:9" ht="27" customHeight="1" x14ac:dyDescent="0.5">
      <c r="A2" s="992" t="s">
        <v>468</v>
      </c>
      <c r="B2" s="819"/>
      <c r="C2" s="773"/>
      <c r="D2" s="774"/>
      <c r="E2" s="774"/>
      <c r="F2" s="775"/>
      <c r="G2" s="776"/>
      <c r="H2" s="777"/>
      <c r="I2" s="771"/>
    </row>
    <row r="3" spans="1:9" s="1" customFormat="1" ht="48.65" customHeight="1" x14ac:dyDescent="0.25">
      <c r="A3" s="820" t="s">
        <v>155</v>
      </c>
      <c r="B3" s="1424" t="s">
        <v>209</v>
      </c>
      <c r="C3" s="1424"/>
      <c r="D3" s="1424"/>
      <c r="E3" s="1424"/>
      <c r="F3" s="1424"/>
      <c r="G3" s="1424"/>
      <c r="H3" s="1424"/>
      <c r="I3" s="1424"/>
    </row>
    <row r="4" spans="1:9" s="1" customFormat="1" ht="38.25" customHeight="1" x14ac:dyDescent="0.25">
      <c r="A4" s="1451" t="s">
        <v>648</v>
      </c>
      <c r="B4" s="1451"/>
      <c r="C4" s="1451"/>
      <c r="D4" s="1451"/>
      <c r="E4" s="1451"/>
      <c r="F4" s="1451"/>
      <c r="G4" s="1451"/>
      <c r="H4" s="1451"/>
      <c r="I4" s="1451"/>
    </row>
    <row r="5" spans="1:9" s="1" customFormat="1" ht="13.5" customHeight="1" x14ac:dyDescent="0.25">
      <c r="A5" s="145"/>
      <c r="C5" s="95"/>
      <c r="D5" s="35"/>
      <c r="E5" s="1332"/>
      <c r="F5" s="35"/>
      <c r="G5" s="35"/>
      <c r="I5" s="529" t="s">
        <v>451</v>
      </c>
    </row>
    <row r="6" spans="1:9" ht="25" x14ac:dyDescent="0.5">
      <c r="A6" s="1418" t="s">
        <v>117</v>
      </c>
      <c r="B6" s="1418"/>
      <c r="C6" s="1418"/>
      <c r="D6" s="1418"/>
      <c r="E6" s="1418"/>
      <c r="F6" s="1418"/>
      <c r="G6" s="1418"/>
      <c r="H6" s="1418"/>
      <c r="I6" s="1418"/>
    </row>
    <row r="7" spans="1:9" s="1" customFormat="1" ht="15.5" x14ac:dyDescent="0.35">
      <c r="A7" s="2" t="s">
        <v>119</v>
      </c>
      <c r="B7" s="530" t="s">
        <v>273</v>
      </c>
      <c r="C7" s="726"/>
      <c r="D7" s="19"/>
      <c r="E7" s="19"/>
      <c r="F7" s="19"/>
      <c r="G7" s="19"/>
      <c r="H7" s="19"/>
    </row>
    <row r="8" spans="1:9" s="1" customFormat="1" ht="15.5" x14ac:dyDescent="0.35">
      <c r="A8" s="2" t="s">
        <v>160</v>
      </c>
      <c r="B8" s="530" t="s">
        <v>554</v>
      </c>
      <c r="C8" s="531"/>
      <c r="D8" s="19"/>
      <c r="E8" s="19"/>
      <c r="F8" s="19"/>
      <c r="G8" s="19"/>
      <c r="H8" s="19"/>
    </row>
    <row r="9" spans="1:9" s="1" customFormat="1" ht="15.5" x14ac:dyDescent="0.35">
      <c r="A9" s="2" t="s">
        <v>120</v>
      </c>
      <c r="B9" s="530" t="s">
        <v>555</v>
      </c>
      <c r="C9" s="535"/>
      <c r="D9" s="19"/>
      <c r="E9" s="19"/>
      <c r="F9" s="19"/>
      <c r="G9" s="19"/>
      <c r="H9" s="19"/>
    </row>
    <row r="10" spans="1:9" s="1" customFormat="1" ht="19.5" customHeight="1" x14ac:dyDescent="0.35">
      <c r="A10" s="2" t="s">
        <v>7</v>
      </c>
      <c r="B10" s="247">
        <f>B24</f>
        <v>3000</v>
      </c>
      <c r="C10" s="19"/>
      <c r="D10" s="130"/>
      <c r="E10" s="130"/>
      <c r="F10" s="43"/>
    </row>
    <row r="11" spans="1:9" s="1" customFormat="1" ht="20.25" customHeight="1" x14ac:dyDescent="0.35">
      <c r="A11" s="2" t="s">
        <v>121</v>
      </c>
      <c r="B11" s="530" t="s">
        <v>3</v>
      </c>
      <c r="C11" s="531"/>
      <c r="D11" s="531"/>
      <c r="E11" s="531"/>
      <c r="F11" s="531"/>
      <c r="G11" s="531"/>
    </row>
    <row r="12" spans="1:9" s="1" customFormat="1" ht="20.25" customHeight="1" x14ac:dyDescent="0.35">
      <c r="A12" s="2" t="s">
        <v>204</v>
      </c>
      <c r="B12" s="1452" t="s">
        <v>438</v>
      </c>
      <c r="C12" s="1433"/>
      <c r="D12" s="1433"/>
      <c r="E12" s="1433"/>
      <c r="F12" s="1433"/>
      <c r="G12" s="1433"/>
      <c r="H12" s="995"/>
    </row>
    <row r="13" spans="1:9" ht="15.5" x14ac:dyDescent="0.35">
      <c r="A13" s="2" t="s">
        <v>178</v>
      </c>
      <c r="B13" s="532" t="s">
        <v>179</v>
      </c>
      <c r="C13" s="533"/>
      <c r="D13" s="534"/>
      <c r="E13" s="534"/>
      <c r="F13" s="535"/>
      <c r="G13" s="536"/>
      <c r="H13" s="19"/>
    </row>
    <row r="14" spans="1:9" ht="15.5" x14ac:dyDescent="0.35">
      <c r="A14" s="2" t="s">
        <v>169</v>
      </c>
      <c r="B14" s="1428" t="s">
        <v>338</v>
      </c>
      <c r="C14" s="1428"/>
      <c r="D14" s="1428"/>
      <c r="E14" s="1330"/>
      <c r="F14" s="537"/>
      <c r="G14" s="538"/>
      <c r="H14" s="1"/>
    </row>
    <row r="15" spans="1:9" ht="13" x14ac:dyDescent="0.3">
      <c r="B15" s="1"/>
      <c r="C15" s="19"/>
      <c r="D15" s="41"/>
      <c r="E15" s="41"/>
      <c r="F15" s="19"/>
      <c r="G15" s="133"/>
      <c r="H15" s="19"/>
    </row>
    <row r="16" spans="1:9" s="1" customFormat="1" ht="18.5" thickBot="1" x14ac:dyDescent="0.45">
      <c r="A16" s="691" t="s">
        <v>122</v>
      </c>
      <c r="B16" s="692"/>
      <c r="C16" s="692"/>
      <c r="D16" s="692"/>
      <c r="E16" s="692"/>
      <c r="F16" s="702"/>
      <c r="G16" s="702"/>
      <c r="H16" s="702"/>
      <c r="I16" s="702"/>
    </row>
    <row r="17" spans="1:7" s="1" customFormat="1" x14ac:dyDescent="0.25">
      <c r="A17" s="160"/>
      <c r="B17" s="154" t="s">
        <v>157</v>
      </c>
      <c r="C17" s="159" t="s">
        <v>158</v>
      </c>
      <c r="D17" s="137" t="s">
        <v>159</v>
      </c>
      <c r="E17" s="19"/>
      <c r="F17" s="35"/>
      <c r="G17" s="35"/>
    </row>
    <row r="18" spans="1:7" s="1" customFormat="1" ht="13" x14ac:dyDescent="0.3">
      <c r="A18" s="161" t="s">
        <v>0</v>
      </c>
      <c r="B18" s="539">
        <v>125</v>
      </c>
      <c r="C18" s="541">
        <v>120</v>
      </c>
      <c r="D18" s="543">
        <f>1-(C20/B20)</f>
        <v>9.9999999999999978E-2</v>
      </c>
      <c r="E18" s="556"/>
      <c r="F18" s="35"/>
      <c r="G18" s="35"/>
    </row>
    <row r="19" spans="1:7" s="1" customFormat="1" x14ac:dyDescent="0.25">
      <c r="A19" s="161" t="s">
        <v>1</v>
      </c>
      <c r="B19" s="540">
        <v>80</v>
      </c>
      <c r="C19" s="542">
        <v>75</v>
      </c>
      <c r="D19" s="138"/>
      <c r="E19" s="11"/>
      <c r="F19" s="35"/>
      <c r="G19" s="35"/>
    </row>
    <row r="20" spans="1:7" s="1" customFormat="1" ht="13.5" thickBot="1" x14ac:dyDescent="0.35">
      <c r="A20" s="162" t="s">
        <v>59</v>
      </c>
      <c r="B20" s="545">
        <f>B18*B19</f>
        <v>10000</v>
      </c>
      <c r="C20" s="546">
        <f>C18*C19</f>
        <v>9000</v>
      </c>
      <c r="D20" s="544">
        <f>B20-C20</f>
        <v>1000</v>
      </c>
      <c r="E20" s="1333"/>
      <c r="F20" s="35"/>
      <c r="G20" s="35"/>
    </row>
    <row r="21" spans="1:7" s="1" customFormat="1" ht="13" x14ac:dyDescent="0.3">
      <c r="A21" s="163" t="s">
        <v>4</v>
      </c>
      <c r="B21" s="88"/>
      <c r="C21" s="549">
        <v>3</v>
      </c>
      <c r="D21" s="155"/>
      <c r="E21" s="41"/>
      <c r="F21" s="35"/>
      <c r="G21" s="35"/>
    </row>
    <row r="22" spans="1:7" s="1" customFormat="1" ht="13" x14ac:dyDescent="0.3">
      <c r="A22" s="163" t="s">
        <v>5</v>
      </c>
      <c r="B22" s="88"/>
      <c r="C22" s="549">
        <v>1</v>
      </c>
      <c r="D22" s="155"/>
      <c r="E22" s="41"/>
      <c r="F22" s="35"/>
      <c r="G22" s="35"/>
    </row>
    <row r="23" spans="1:7" s="1" customFormat="1" ht="13" x14ac:dyDescent="0.3">
      <c r="A23" s="163" t="s">
        <v>6</v>
      </c>
      <c r="B23" s="88"/>
      <c r="C23" s="547">
        <f>ROUND((C19/C21),0)</f>
        <v>25</v>
      </c>
      <c r="D23" s="136"/>
      <c r="E23" s="19"/>
      <c r="F23" s="35"/>
      <c r="G23" s="35"/>
    </row>
    <row r="24" spans="1:7" s="1" customFormat="1" ht="16" thickBot="1" x14ac:dyDescent="0.4">
      <c r="A24" s="164" t="s">
        <v>116</v>
      </c>
      <c r="B24" s="990">
        <v>3000</v>
      </c>
      <c r="C24" s="548">
        <f>ROUND(((C18/C22)+1),0)*ROUND(C23,0)</f>
        <v>3025</v>
      </c>
      <c r="D24" s="139"/>
      <c r="E24" s="70"/>
      <c r="F24" s="35"/>
      <c r="G24" s="35"/>
    </row>
    <row r="25" spans="1:7" s="1" customFormat="1" x14ac:dyDescent="0.25">
      <c r="A25" s="19"/>
      <c r="B25" s="19"/>
      <c r="C25" s="19"/>
      <c r="D25" s="35"/>
      <c r="E25" s="1332"/>
      <c r="F25" s="35"/>
      <c r="G25" s="35"/>
    </row>
    <row r="26" spans="1:7" s="1" customFormat="1" x14ac:dyDescent="0.25">
      <c r="A26" s="19" t="s">
        <v>77</v>
      </c>
      <c r="B26" s="779">
        <v>15</v>
      </c>
      <c r="C26" s="19"/>
      <c r="D26" s="35"/>
      <c r="E26" s="1332"/>
      <c r="F26" s="35"/>
      <c r="G26" s="35"/>
    </row>
    <row r="27" spans="1:7" s="1" customFormat="1" x14ac:dyDescent="0.25">
      <c r="A27" s="19" t="s">
        <v>73</v>
      </c>
      <c r="B27" s="779">
        <v>3</v>
      </c>
      <c r="C27" s="19"/>
      <c r="D27" s="35"/>
      <c r="E27" s="1332"/>
      <c r="F27" s="35"/>
      <c r="G27" s="35"/>
    </row>
    <row r="28" spans="1:7" s="1" customFormat="1" ht="13" thickBot="1" x14ac:dyDescent="0.3">
      <c r="A28" s="19" t="s">
        <v>78</v>
      </c>
      <c r="B28" s="781">
        <f>B26-B27</f>
        <v>12</v>
      </c>
      <c r="C28" s="19"/>
      <c r="D28" s="35"/>
      <c r="E28" s="1332"/>
      <c r="F28" s="35"/>
      <c r="G28" s="35"/>
    </row>
    <row r="29" spans="1:7" s="1" customFormat="1" ht="15.5" x14ac:dyDescent="0.35">
      <c r="A29" s="153" t="s">
        <v>180</v>
      </c>
      <c r="B29" s="780">
        <f>B28</f>
        <v>12</v>
      </c>
      <c r="C29" s="19"/>
      <c r="D29" s="35"/>
      <c r="E29" s="1332"/>
      <c r="F29" s="35"/>
      <c r="G29" s="35"/>
    </row>
    <row r="30" spans="1:7" s="1" customFormat="1" x14ac:dyDescent="0.25">
      <c r="C30" s="19"/>
      <c r="D30" s="35"/>
      <c r="E30" s="1332"/>
      <c r="F30" s="35"/>
      <c r="G30" s="35"/>
    </row>
    <row r="31" spans="1:7" s="1" customFormat="1" ht="13" x14ac:dyDescent="0.3">
      <c r="A31" s="41" t="s">
        <v>8</v>
      </c>
      <c r="B31" s="145" t="s">
        <v>114</v>
      </c>
      <c r="C31" s="1337">
        <v>12</v>
      </c>
      <c r="D31" s="87" t="s">
        <v>161</v>
      </c>
      <c r="E31" s="87"/>
      <c r="F31" s="19"/>
      <c r="G31" s="19"/>
    </row>
    <row r="32" spans="1:7" s="1" customFormat="1" ht="13" x14ac:dyDescent="0.3">
      <c r="A32" s="41" t="s">
        <v>81</v>
      </c>
      <c r="B32" s="145" t="s">
        <v>434</v>
      </c>
      <c r="C32" s="551">
        <v>41.4</v>
      </c>
      <c r="D32" s="87"/>
      <c r="E32" s="87"/>
      <c r="F32" s="19"/>
      <c r="G32" s="19"/>
    </row>
    <row r="33" spans="1:9" s="1" customFormat="1" ht="13" x14ac:dyDescent="0.3">
      <c r="A33" s="41"/>
      <c r="B33" s="13" t="s">
        <v>110</v>
      </c>
      <c r="C33" s="551">
        <v>24</v>
      </c>
      <c r="D33" s="13"/>
      <c r="E33" s="13"/>
      <c r="F33" s="13"/>
      <c r="G33" s="19"/>
    </row>
    <row r="34" spans="1:9" s="1" customFormat="1" ht="13.5" thickBot="1" x14ac:dyDescent="0.35">
      <c r="A34" s="19"/>
      <c r="B34" s="19" t="s">
        <v>115</v>
      </c>
      <c r="C34" s="552">
        <v>21</v>
      </c>
      <c r="D34" s="150" t="s">
        <v>176</v>
      </c>
      <c r="E34" s="150"/>
      <c r="F34" s="19"/>
      <c r="G34" s="782">
        <v>0.85</v>
      </c>
      <c r="H34" s="147"/>
    </row>
    <row r="35" spans="1:9" s="1" customFormat="1" ht="14" x14ac:dyDescent="0.3">
      <c r="A35" s="19"/>
      <c r="B35" s="13" t="s">
        <v>441</v>
      </c>
      <c r="C35" s="783">
        <f>(G34*C34)+(((1-G34)/2)*C33)+ (((1-G34)/2)*C32)</f>
        <v>22.754999999999999</v>
      </c>
      <c r="D35" s="11"/>
      <c r="E35" s="11"/>
      <c r="F35" s="44"/>
      <c r="G35" s="44"/>
    </row>
    <row r="36" spans="1:9" s="1" customFormat="1" ht="14" x14ac:dyDescent="0.3">
      <c r="A36" s="19"/>
      <c r="B36" s="13" t="s">
        <v>442</v>
      </c>
      <c r="C36" s="550">
        <f>AVERAGE(C32:C33)</f>
        <v>32.700000000000003</v>
      </c>
      <c r="D36" s="11"/>
      <c r="E36" s="11"/>
      <c r="F36" s="44"/>
      <c r="G36" s="44"/>
    </row>
    <row r="37" spans="1:9" s="1" customFormat="1" ht="14" x14ac:dyDescent="0.3">
      <c r="A37" s="19"/>
      <c r="B37" s="29" t="s">
        <v>636</v>
      </c>
      <c r="C37" s="550">
        <f>AVERAGE(C33:C34)</f>
        <v>22.5</v>
      </c>
      <c r="D37" s="11"/>
      <c r="E37" s="11"/>
      <c r="F37" s="44"/>
      <c r="G37" s="44"/>
      <c r="H37" s="19"/>
    </row>
    <row r="38" spans="1:9" s="1" customFormat="1" ht="13" x14ac:dyDescent="0.3">
      <c r="A38" s="87" t="s">
        <v>118</v>
      </c>
      <c r="B38" s="19"/>
      <c r="C38" s="788">
        <v>6000</v>
      </c>
      <c r="D38" s="19"/>
      <c r="E38" s="19"/>
      <c r="F38" s="87" t="s">
        <v>631</v>
      </c>
      <c r="G38" s="1143" t="s">
        <v>597</v>
      </c>
      <c r="H38" s="1144">
        <v>325</v>
      </c>
    </row>
    <row r="39" spans="1:9" s="1" customFormat="1" ht="13" x14ac:dyDescent="0.3">
      <c r="A39" s="41" t="s">
        <v>557</v>
      </c>
      <c r="B39" s="19"/>
      <c r="C39" s="784">
        <v>2700</v>
      </c>
      <c r="D39" s="19"/>
      <c r="E39" s="19"/>
      <c r="F39" s="19"/>
      <c r="G39" s="19" t="s">
        <v>342</v>
      </c>
      <c r="H39" s="1145">
        <v>1.1499999999999999</v>
      </c>
    </row>
    <row r="40" spans="1:9" s="1" customFormat="1" ht="13" x14ac:dyDescent="0.3">
      <c r="A40" s="41" t="s">
        <v>10</v>
      </c>
      <c r="B40" s="19"/>
      <c r="C40" s="785">
        <v>1.4999999999999999E-2</v>
      </c>
      <c r="D40" s="19"/>
      <c r="E40" s="19"/>
      <c r="F40" s="19"/>
      <c r="G40" s="42" t="s">
        <v>564</v>
      </c>
      <c r="H40" s="1144">
        <v>100</v>
      </c>
    </row>
    <row r="41" spans="1:9" s="1" customFormat="1" x14ac:dyDescent="0.25">
      <c r="A41" s="19" t="s">
        <v>150</v>
      </c>
      <c r="B41" s="19"/>
      <c r="C41" s="566">
        <v>0.6</v>
      </c>
      <c r="D41" s="19"/>
      <c r="E41" s="19"/>
      <c r="F41" s="19"/>
      <c r="G41" s="42" t="s">
        <v>565</v>
      </c>
      <c r="H41" s="1145">
        <v>0.85</v>
      </c>
    </row>
    <row r="42" spans="1:9" ht="13" x14ac:dyDescent="0.3">
      <c r="A42" s="87" t="s">
        <v>143</v>
      </c>
      <c r="B42" s="19"/>
      <c r="C42" s="789">
        <v>660</v>
      </c>
      <c r="D42" s="44"/>
      <c r="E42" s="44"/>
      <c r="F42" s="1141"/>
      <c r="G42" s="1140"/>
      <c r="H42" s="466"/>
      <c r="I42" s="1"/>
    </row>
    <row r="43" spans="1:9" ht="13" x14ac:dyDescent="0.3">
      <c r="D43" s="44"/>
      <c r="E43" s="44"/>
      <c r="F43" s="234" t="s">
        <v>80</v>
      </c>
      <c r="G43" s="251" t="str">
        <f>G38</f>
        <v xml:space="preserve">Tafelobst </v>
      </c>
      <c r="H43" s="786">
        <v>0</v>
      </c>
      <c r="I43" s="1"/>
    </row>
    <row r="44" spans="1:9" ht="13" x14ac:dyDescent="0.3">
      <c r="A44" s="49"/>
      <c r="B44" s="1"/>
      <c r="C44" s="248"/>
      <c r="D44" s="44"/>
      <c r="E44" s="44"/>
      <c r="F44" s="234" t="s">
        <v>203</v>
      </c>
      <c r="G44" s="252" t="str">
        <f>G38</f>
        <v xml:space="preserve">Tafelobst </v>
      </c>
      <c r="H44" s="787">
        <v>0</v>
      </c>
      <c r="I44" s="1"/>
    </row>
    <row r="45" spans="1:9" ht="13" x14ac:dyDescent="0.3">
      <c r="A45" s="49"/>
      <c r="B45" s="1"/>
      <c r="C45" s="248"/>
      <c r="D45" s="35"/>
      <c r="E45" s="1332"/>
      <c r="F45" s="44"/>
      <c r="G45" s="150" t="s">
        <v>207</v>
      </c>
      <c r="H45" s="787">
        <v>12</v>
      </c>
      <c r="I45" s="87" t="s">
        <v>682</v>
      </c>
    </row>
    <row r="46" spans="1:9" ht="13" x14ac:dyDescent="0.3">
      <c r="A46" s="49"/>
      <c r="B46" s="1"/>
      <c r="C46" s="248"/>
      <c r="D46" s="35"/>
      <c r="E46" s="1332"/>
      <c r="F46" s="234" t="s">
        <v>622</v>
      </c>
      <c r="H46" s="786">
        <v>5</v>
      </c>
      <c r="I46" s="1335">
        <v>0</v>
      </c>
    </row>
    <row r="47" spans="1:9" ht="13" x14ac:dyDescent="0.3">
      <c r="A47" s="49"/>
      <c r="B47" s="1"/>
      <c r="C47" s="248"/>
      <c r="D47" s="35"/>
      <c r="E47" s="1332"/>
      <c r="F47" s="234" t="s">
        <v>621</v>
      </c>
      <c r="H47" s="1145">
        <v>15</v>
      </c>
      <c r="I47" s="1335">
        <v>0</v>
      </c>
    </row>
    <row r="48" spans="1:9" ht="13" x14ac:dyDescent="0.3">
      <c r="A48" s="49"/>
      <c r="B48" s="1"/>
      <c r="C48" s="248"/>
      <c r="D48" s="35"/>
      <c r="E48" s="1332"/>
      <c r="F48" s="998" t="s">
        <v>558</v>
      </c>
      <c r="G48" s="1146" t="s">
        <v>559</v>
      </c>
      <c r="H48" s="1144">
        <v>43</v>
      </c>
    </row>
    <row r="49" spans="1:9" s="1" customFormat="1" ht="25" x14ac:dyDescent="0.5">
      <c r="A49" s="1418" t="s">
        <v>649</v>
      </c>
      <c r="B49" s="1418"/>
      <c r="C49" s="1418"/>
      <c r="D49" s="1418"/>
      <c r="E49" s="1418"/>
      <c r="F49" s="1418"/>
      <c r="G49" s="1418"/>
      <c r="H49" s="1418"/>
      <c r="I49" s="1418"/>
    </row>
    <row r="50" spans="1:9" s="1" customFormat="1" ht="13" x14ac:dyDescent="0.3">
      <c r="A50" s="80" t="s">
        <v>135</v>
      </c>
      <c r="B50" s="177" t="str">
        <f>Eingabeseite!A6</f>
        <v>Tafeläpfel BIO</v>
      </c>
      <c r="C50" s="86" t="str">
        <f>Eingabeseite!A7</f>
        <v>Kochobst BIO</v>
      </c>
      <c r="D50" s="38" t="str">
        <f>Eingabeseite!A8</f>
        <v>Mostobst BIO</v>
      </c>
      <c r="E50" s="38" t="s">
        <v>689</v>
      </c>
      <c r="F50" s="80" t="s">
        <v>36</v>
      </c>
      <c r="G50" s="80" t="s">
        <v>37</v>
      </c>
      <c r="H50" s="80" t="s">
        <v>135</v>
      </c>
      <c r="I50" s="792"/>
    </row>
    <row r="51" spans="1:9" s="1" customFormat="1" ht="13" x14ac:dyDescent="0.3">
      <c r="A51" s="458">
        <v>1</v>
      </c>
      <c r="B51" s="1147">
        <v>2.4</v>
      </c>
      <c r="C51" s="553">
        <v>0.6</v>
      </c>
      <c r="D51" s="1148">
        <v>0.33</v>
      </c>
      <c r="E51" s="1148">
        <v>0</v>
      </c>
      <c r="F51" s="1149">
        <v>0</v>
      </c>
      <c r="G51" s="36">
        <f>F51/'Standard Vorgaben'!$B$24</f>
        <v>0</v>
      </c>
      <c r="H51" s="1265">
        <v>1</v>
      </c>
    </row>
    <row r="52" spans="1:9" s="1" customFormat="1" ht="13" x14ac:dyDescent="0.3">
      <c r="A52" s="458">
        <v>2</v>
      </c>
      <c r="B52" s="48">
        <f>B51</f>
        <v>2.4</v>
      </c>
      <c r="C52" s="48">
        <f>C51</f>
        <v>0.6</v>
      </c>
      <c r="D52" s="48">
        <f>$D$51</f>
        <v>0.33</v>
      </c>
      <c r="E52" s="48">
        <f>$E$51</f>
        <v>0</v>
      </c>
      <c r="F52" s="1149">
        <v>2487.8048780487807</v>
      </c>
      <c r="G52" s="36">
        <f>F52/'Standard Vorgaben'!$B$24</f>
        <v>0.8292682926829269</v>
      </c>
      <c r="H52" s="1265">
        <v>2</v>
      </c>
    </row>
    <row r="53" spans="1:9" s="1" customFormat="1" ht="13" x14ac:dyDescent="0.3">
      <c r="A53" s="458">
        <v>3</v>
      </c>
      <c r="B53" s="48">
        <f t="shared" ref="B53:B65" si="0">B52</f>
        <v>2.4</v>
      </c>
      <c r="C53" s="48">
        <f t="shared" ref="C53:C65" si="1">C52</f>
        <v>0.6</v>
      </c>
      <c r="D53" s="48">
        <f>$D$51</f>
        <v>0.33</v>
      </c>
      <c r="E53" s="48">
        <f>$E$51</f>
        <v>0</v>
      </c>
      <c r="F53" s="1149">
        <v>9121.9512195121952</v>
      </c>
      <c r="G53" s="36">
        <f>F53/'Standard Vorgaben'!$B$24</f>
        <v>3.0406504065040649</v>
      </c>
      <c r="H53" s="1265">
        <v>3</v>
      </c>
    </row>
    <row r="54" spans="1:9" s="1" customFormat="1" ht="13" x14ac:dyDescent="0.3">
      <c r="A54" s="178">
        <v>4</v>
      </c>
      <c r="B54" s="48">
        <f t="shared" si="0"/>
        <v>2.4</v>
      </c>
      <c r="C54" s="48">
        <f t="shared" si="1"/>
        <v>0.6</v>
      </c>
      <c r="D54" s="48">
        <f t="shared" ref="D54:D65" si="2">$D$51</f>
        <v>0.33</v>
      </c>
      <c r="E54" s="48">
        <f t="shared" ref="E54:E65" si="3">$E$51</f>
        <v>0</v>
      </c>
      <c r="F54" s="1149">
        <v>12439.024390243902</v>
      </c>
      <c r="G54" s="36">
        <f>F54/'Standard Vorgaben'!$B$24</f>
        <v>4.1463414634146343</v>
      </c>
      <c r="H54" s="1265">
        <v>4</v>
      </c>
    </row>
    <row r="55" spans="1:9" s="1" customFormat="1" ht="13" x14ac:dyDescent="0.3">
      <c r="A55" s="178">
        <v>5</v>
      </c>
      <c r="B55" s="48">
        <f t="shared" si="0"/>
        <v>2.4</v>
      </c>
      <c r="C55" s="48">
        <f t="shared" si="1"/>
        <v>0.6</v>
      </c>
      <c r="D55" s="48">
        <f t="shared" si="2"/>
        <v>0.33</v>
      </c>
      <c r="E55" s="48">
        <f t="shared" si="3"/>
        <v>0</v>
      </c>
      <c r="F55" s="1149">
        <v>27365.853658536584</v>
      </c>
      <c r="G55" s="36">
        <f>F55/'Standard Vorgaben'!$B$24</f>
        <v>9.1219512195121943</v>
      </c>
      <c r="H55" s="1265">
        <v>5</v>
      </c>
    </row>
    <row r="56" spans="1:9" s="1" customFormat="1" ht="13" x14ac:dyDescent="0.3">
      <c r="A56" s="178">
        <v>6</v>
      </c>
      <c r="B56" s="48">
        <f t="shared" si="0"/>
        <v>2.4</v>
      </c>
      <c r="C56" s="48">
        <f t="shared" si="1"/>
        <v>0.6</v>
      </c>
      <c r="D56" s="48">
        <f t="shared" si="2"/>
        <v>0.33</v>
      </c>
      <c r="E56" s="48">
        <f t="shared" si="3"/>
        <v>0</v>
      </c>
      <c r="F56" s="1149">
        <v>27365.853658536584</v>
      </c>
      <c r="G56" s="36">
        <f>F56/'Standard Vorgaben'!$B$24</f>
        <v>9.1219512195121943</v>
      </c>
      <c r="H56" s="1265">
        <v>6</v>
      </c>
    </row>
    <row r="57" spans="1:9" s="1" customFormat="1" ht="13" x14ac:dyDescent="0.3">
      <c r="A57" s="178">
        <v>7</v>
      </c>
      <c r="B57" s="48">
        <f t="shared" si="0"/>
        <v>2.4</v>
      </c>
      <c r="C57" s="48">
        <f t="shared" si="1"/>
        <v>0.6</v>
      </c>
      <c r="D57" s="48">
        <f t="shared" si="2"/>
        <v>0.33</v>
      </c>
      <c r="E57" s="48">
        <f t="shared" si="3"/>
        <v>0</v>
      </c>
      <c r="F57" s="1149">
        <v>27365.853658536584</v>
      </c>
      <c r="G57" s="36">
        <f>F57/'Standard Vorgaben'!$B$24</f>
        <v>9.1219512195121943</v>
      </c>
      <c r="H57" s="1265">
        <v>7</v>
      </c>
    </row>
    <row r="58" spans="1:9" s="1" customFormat="1" ht="13" x14ac:dyDescent="0.3">
      <c r="A58" s="178">
        <v>8</v>
      </c>
      <c r="B58" s="48">
        <f t="shared" si="0"/>
        <v>2.4</v>
      </c>
      <c r="C58" s="48">
        <f t="shared" si="1"/>
        <v>0.6</v>
      </c>
      <c r="D58" s="48">
        <f t="shared" si="2"/>
        <v>0.33</v>
      </c>
      <c r="E58" s="48">
        <f t="shared" si="3"/>
        <v>0</v>
      </c>
      <c r="F58" s="1149">
        <v>27365.853658536584</v>
      </c>
      <c r="G58" s="36">
        <f>F58/'Standard Vorgaben'!$B$24</f>
        <v>9.1219512195121943</v>
      </c>
      <c r="H58" s="1265">
        <v>8</v>
      </c>
    </row>
    <row r="59" spans="1:9" s="1" customFormat="1" ht="13" x14ac:dyDescent="0.3">
      <c r="A59" s="178">
        <v>9</v>
      </c>
      <c r="B59" s="48">
        <f t="shared" si="0"/>
        <v>2.4</v>
      </c>
      <c r="C59" s="48">
        <f t="shared" si="1"/>
        <v>0.6</v>
      </c>
      <c r="D59" s="48">
        <f t="shared" si="2"/>
        <v>0.33</v>
      </c>
      <c r="E59" s="48">
        <f t="shared" si="3"/>
        <v>0</v>
      </c>
      <c r="F59" s="1149">
        <v>27365.853658536584</v>
      </c>
      <c r="G59" s="36">
        <f>F59/'Standard Vorgaben'!$B$24</f>
        <v>9.1219512195121943</v>
      </c>
      <c r="H59" s="1265">
        <v>9</v>
      </c>
    </row>
    <row r="60" spans="1:9" s="1" customFormat="1" ht="13" x14ac:dyDescent="0.3">
      <c r="A60" s="178">
        <v>10</v>
      </c>
      <c r="B60" s="48">
        <f t="shared" si="0"/>
        <v>2.4</v>
      </c>
      <c r="C60" s="48">
        <f t="shared" si="1"/>
        <v>0.6</v>
      </c>
      <c r="D60" s="48">
        <f t="shared" si="2"/>
        <v>0.33</v>
      </c>
      <c r="E60" s="48">
        <f t="shared" si="3"/>
        <v>0</v>
      </c>
      <c r="F60" s="1149">
        <v>27365.853658536584</v>
      </c>
      <c r="G60" s="36">
        <f>F60/'Standard Vorgaben'!$B$24</f>
        <v>9.1219512195121943</v>
      </c>
      <c r="H60" s="1265">
        <v>10</v>
      </c>
    </row>
    <row r="61" spans="1:9" s="1" customFormat="1" ht="13" x14ac:dyDescent="0.3">
      <c r="A61" s="178">
        <v>11</v>
      </c>
      <c r="B61" s="48">
        <f t="shared" si="0"/>
        <v>2.4</v>
      </c>
      <c r="C61" s="48">
        <f t="shared" si="1"/>
        <v>0.6</v>
      </c>
      <c r="D61" s="48">
        <f t="shared" si="2"/>
        <v>0.33</v>
      </c>
      <c r="E61" s="48">
        <f t="shared" si="3"/>
        <v>0</v>
      </c>
      <c r="F61" s="1149">
        <v>27365.853658536584</v>
      </c>
      <c r="G61" s="36">
        <f>F61/'Standard Vorgaben'!$B$24</f>
        <v>9.1219512195121943</v>
      </c>
      <c r="H61" s="1265">
        <v>11</v>
      </c>
    </row>
    <row r="62" spans="1:9" s="1" customFormat="1" ht="13" x14ac:dyDescent="0.3">
      <c r="A62" s="178">
        <v>12</v>
      </c>
      <c r="B62" s="48">
        <f t="shared" si="0"/>
        <v>2.4</v>
      </c>
      <c r="C62" s="48">
        <f t="shared" si="1"/>
        <v>0.6</v>
      </c>
      <c r="D62" s="48">
        <f t="shared" si="2"/>
        <v>0.33</v>
      </c>
      <c r="E62" s="48">
        <f t="shared" si="3"/>
        <v>0</v>
      </c>
      <c r="F62" s="1149">
        <v>27365.853658536584</v>
      </c>
      <c r="G62" s="36">
        <f>F62/'Standard Vorgaben'!$B$24</f>
        <v>9.1219512195121943</v>
      </c>
      <c r="H62" s="1265">
        <v>12</v>
      </c>
    </row>
    <row r="63" spans="1:9" s="1" customFormat="1" ht="13" x14ac:dyDescent="0.3">
      <c r="A63" s="178">
        <v>13</v>
      </c>
      <c r="B63" s="48">
        <f t="shared" si="0"/>
        <v>2.4</v>
      </c>
      <c r="C63" s="48">
        <f t="shared" si="1"/>
        <v>0.6</v>
      </c>
      <c r="D63" s="48">
        <f t="shared" si="2"/>
        <v>0.33</v>
      </c>
      <c r="E63" s="48">
        <f t="shared" si="3"/>
        <v>0</v>
      </c>
      <c r="F63" s="1149">
        <v>24878.048780487803</v>
      </c>
      <c r="G63" s="36">
        <f>F63/'Standard Vorgaben'!$B$24</f>
        <v>8.2926829268292686</v>
      </c>
      <c r="H63" s="1265">
        <v>13</v>
      </c>
    </row>
    <row r="64" spans="1:9" s="1" customFormat="1" ht="13" x14ac:dyDescent="0.3">
      <c r="A64" s="178">
        <v>14</v>
      </c>
      <c r="B64" s="48">
        <f t="shared" si="0"/>
        <v>2.4</v>
      </c>
      <c r="C64" s="48">
        <f t="shared" si="1"/>
        <v>0.6</v>
      </c>
      <c r="D64" s="48">
        <f t="shared" si="2"/>
        <v>0.33</v>
      </c>
      <c r="E64" s="48">
        <f t="shared" si="3"/>
        <v>0</v>
      </c>
      <c r="F64" s="1149">
        <v>24878.048780487803</v>
      </c>
      <c r="G64" s="36">
        <f>F64/'Standard Vorgaben'!$B$24</f>
        <v>8.2926829268292686</v>
      </c>
      <c r="H64" s="1265">
        <v>14</v>
      </c>
    </row>
    <row r="65" spans="1:9" s="1" customFormat="1" ht="13" x14ac:dyDescent="0.3">
      <c r="A65" s="178">
        <v>15</v>
      </c>
      <c r="B65" s="48">
        <f t="shared" si="0"/>
        <v>2.4</v>
      </c>
      <c r="C65" s="48">
        <f t="shared" si="1"/>
        <v>0.6</v>
      </c>
      <c r="D65" s="48">
        <f t="shared" si="2"/>
        <v>0.33</v>
      </c>
      <c r="E65" s="48">
        <f t="shared" si="3"/>
        <v>0</v>
      </c>
      <c r="F65" s="1149">
        <v>24878.048780487803</v>
      </c>
      <c r="G65" s="36">
        <f>F65/'Standard Vorgaben'!$B$24</f>
        <v>8.2926829268292686</v>
      </c>
      <c r="H65" s="1265">
        <v>15</v>
      </c>
    </row>
    <row r="66" spans="1:9" s="1" customFormat="1" ht="13" x14ac:dyDescent="0.3">
      <c r="A66" s="50" t="s">
        <v>196</v>
      </c>
      <c r="B66"/>
      <c r="C66"/>
      <c r="F66" s="64">
        <f>SUM(F51:F53)</f>
        <v>11609.756097560976</v>
      </c>
      <c r="G66" s="79">
        <f>SUM(G51:G53)</f>
        <v>3.8699186991869921</v>
      </c>
    </row>
    <row r="67" spans="1:9" s="1" customFormat="1" ht="13" x14ac:dyDescent="0.3">
      <c r="A67" s="50" t="s">
        <v>197</v>
      </c>
      <c r="B67"/>
      <c r="C67"/>
      <c r="F67" s="64">
        <f>SUM(F51:F65)</f>
        <v>317609.75609756098</v>
      </c>
      <c r="G67" s="79">
        <f>SUM(G51:G65)</f>
        <v>105.86991869918701</v>
      </c>
    </row>
    <row r="68" spans="1:9" s="1" customFormat="1" ht="13" x14ac:dyDescent="0.3">
      <c r="A68" s="50" t="s">
        <v>198</v>
      </c>
      <c r="B68" s="554">
        <f t="shared" ref="B68:G68" si="4">AVERAGE(B54:B65)</f>
        <v>2.3999999999999995</v>
      </c>
      <c r="C68" s="554">
        <f t="shared" si="4"/>
        <v>0.59999999999999987</v>
      </c>
      <c r="D68" s="554">
        <f t="shared" si="4"/>
        <v>0.33</v>
      </c>
      <c r="E68" s="554">
        <f t="shared" si="4"/>
        <v>0</v>
      </c>
      <c r="F68" s="64">
        <f t="shared" si="4"/>
        <v>25500</v>
      </c>
      <c r="G68" s="79">
        <f t="shared" si="4"/>
        <v>8.5000000000000018</v>
      </c>
    </row>
    <row r="69" spans="1:9" s="1" customFormat="1" ht="13" x14ac:dyDescent="0.3">
      <c r="A69" s="50" t="s">
        <v>199</v>
      </c>
      <c r="B69" s="554">
        <f t="shared" ref="B69:G69" si="5">AVERAGE(B51:B65)</f>
        <v>2.3999999999999995</v>
      </c>
      <c r="C69" s="554">
        <f t="shared" si="5"/>
        <v>0.59999999999999987</v>
      </c>
      <c r="D69" s="554">
        <f t="shared" si="5"/>
        <v>0.33</v>
      </c>
      <c r="E69" s="554">
        <f t="shared" si="5"/>
        <v>0</v>
      </c>
      <c r="F69" s="64">
        <f t="shared" si="5"/>
        <v>21173.9837398374</v>
      </c>
      <c r="G69" s="79">
        <f t="shared" si="5"/>
        <v>7.0579945799458006</v>
      </c>
      <c r="H69" s="555">
        <v>0</v>
      </c>
    </row>
    <row r="70" spans="1:9" s="1" customFormat="1" ht="13" x14ac:dyDescent="0.3">
      <c r="B70" s="78"/>
      <c r="C70" s="78"/>
      <c r="D70" s="78"/>
      <c r="E70" s="78"/>
      <c r="F70" s="64"/>
      <c r="G70" s="79"/>
    </row>
    <row r="71" spans="1:9" s="1" customFormat="1" ht="32.5" customHeight="1" x14ac:dyDescent="0.5">
      <c r="A71" s="1418" t="s">
        <v>650</v>
      </c>
      <c r="B71" s="1418"/>
      <c r="C71" s="1418"/>
      <c r="D71" s="1418"/>
      <c r="E71" s="1418"/>
      <c r="F71" s="1418"/>
      <c r="G71" s="1418"/>
      <c r="H71" s="1418"/>
      <c r="I71" s="1418"/>
    </row>
    <row r="72" spans="1:9" s="1" customFormat="1" ht="13" x14ac:dyDescent="0.3">
      <c r="A72" s="796"/>
      <c r="B72" s="797"/>
      <c r="C72" s="794"/>
      <c r="D72" s="1430" t="s">
        <v>342</v>
      </c>
      <c r="E72" s="1430"/>
      <c r="F72" s="1430"/>
      <c r="G72" s="798"/>
      <c r="H72" s="1292" t="s">
        <v>343</v>
      </c>
      <c r="I72" s="1292"/>
    </row>
    <row r="73" spans="1:9" s="1" customFormat="1" x14ac:dyDescent="0.25">
      <c r="A73" s="793" t="s">
        <v>135</v>
      </c>
      <c r="B73" s="1150" t="str">
        <f>B50</f>
        <v>Tafeläpfel BIO</v>
      </c>
      <c r="C73" s="1150" t="str">
        <f>C50</f>
        <v>Kochobst BIO</v>
      </c>
      <c r="D73" s="94" t="s">
        <v>340</v>
      </c>
      <c r="E73" s="1331" t="s">
        <v>689</v>
      </c>
      <c r="F73" s="94" t="s">
        <v>341</v>
      </c>
      <c r="G73" s="795" t="s">
        <v>342</v>
      </c>
      <c r="H73" s="86" t="s">
        <v>344</v>
      </c>
      <c r="I73" s="86"/>
    </row>
    <row r="74" spans="1:9" s="1" customFormat="1" ht="13" x14ac:dyDescent="0.3">
      <c r="A74" s="255">
        <v>1</v>
      </c>
      <c r="B74" s="1151">
        <v>0.73</v>
      </c>
      <c r="C74" s="1151">
        <v>0.05</v>
      </c>
      <c r="D74" s="1151">
        <v>0.12</v>
      </c>
      <c r="E74" s="1151">
        <v>0.04</v>
      </c>
      <c r="F74" s="1151">
        <v>0.06</v>
      </c>
      <c r="G74" s="63">
        <f>D74+F74</f>
        <v>0.18</v>
      </c>
      <c r="H74" s="1152">
        <v>97</v>
      </c>
      <c r="I74" s="1152"/>
    </row>
    <row r="75" spans="1:9" s="1" customFormat="1" ht="13" x14ac:dyDescent="0.3">
      <c r="A75" s="255">
        <v>2</v>
      </c>
      <c r="B75" s="63">
        <f>B74</f>
        <v>0.73</v>
      </c>
      <c r="C75" s="63">
        <f>C74</f>
        <v>0.05</v>
      </c>
      <c r="D75" s="63">
        <f>D74</f>
        <v>0.12</v>
      </c>
      <c r="E75" s="63">
        <f>E74</f>
        <v>0.04</v>
      </c>
      <c r="F75" s="63">
        <f>F74</f>
        <v>0.06</v>
      </c>
      <c r="G75" s="132">
        <f t="shared" ref="G75:G88" si="6">$G$74</f>
        <v>0.18</v>
      </c>
      <c r="H75" s="254">
        <f>H74</f>
        <v>97</v>
      </c>
      <c r="I75" s="254"/>
    </row>
    <row r="76" spans="1:9" s="1" customFormat="1" ht="13" x14ac:dyDescent="0.3">
      <c r="A76" s="255">
        <v>3</v>
      </c>
      <c r="B76" s="63">
        <f>B74</f>
        <v>0.73</v>
      </c>
      <c r="C76" s="63">
        <f>C74</f>
        <v>0.05</v>
      </c>
      <c r="D76" s="63">
        <f>D74</f>
        <v>0.12</v>
      </c>
      <c r="E76" s="63">
        <f t="shared" ref="E76:E90" si="7">E75</f>
        <v>0.04</v>
      </c>
      <c r="F76" s="63">
        <f>F74</f>
        <v>0.06</v>
      </c>
      <c r="G76" s="132">
        <f t="shared" si="6"/>
        <v>0.18</v>
      </c>
      <c r="H76" s="254">
        <f>H74</f>
        <v>97</v>
      </c>
      <c r="I76" s="254"/>
    </row>
    <row r="77" spans="1:9" s="1" customFormat="1" ht="13" x14ac:dyDescent="0.3">
      <c r="A77" s="255">
        <v>4</v>
      </c>
      <c r="B77" s="63">
        <f>B74</f>
        <v>0.73</v>
      </c>
      <c r="C77" s="63">
        <f>C74</f>
        <v>0.05</v>
      </c>
      <c r="D77" s="63">
        <f>D74</f>
        <v>0.12</v>
      </c>
      <c r="E77" s="63">
        <f t="shared" si="7"/>
        <v>0.04</v>
      </c>
      <c r="F77" s="63">
        <f>F74</f>
        <v>0.06</v>
      </c>
      <c r="G77" s="132">
        <f t="shared" si="6"/>
        <v>0.18</v>
      </c>
      <c r="H77" s="254">
        <f>H74</f>
        <v>97</v>
      </c>
      <c r="I77" s="254"/>
    </row>
    <row r="78" spans="1:9" s="1" customFormat="1" ht="13" x14ac:dyDescent="0.3">
      <c r="A78" s="256">
        <v>5</v>
      </c>
      <c r="B78" s="63">
        <f>B74</f>
        <v>0.73</v>
      </c>
      <c r="C78" s="63">
        <f>C74</f>
        <v>0.05</v>
      </c>
      <c r="D78" s="63">
        <f>D74</f>
        <v>0.12</v>
      </c>
      <c r="E78" s="63">
        <f t="shared" si="7"/>
        <v>0.04</v>
      </c>
      <c r="F78" s="63">
        <f>F74</f>
        <v>0.06</v>
      </c>
      <c r="G78" s="132">
        <f t="shared" si="6"/>
        <v>0.18</v>
      </c>
      <c r="H78" s="254">
        <f>H74</f>
        <v>97</v>
      </c>
      <c r="I78" s="254"/>
    </row>
    <row r="79" spans="1:9" s="1" customFormat="1" ht="13" x14ac:dyDescent="0.3">
      <c r="A79" s="256">
        <v>6</v>
      </c>
      <c r="B79" s="63">
        <f>B74</f>
        <v>0.73</v>
      </c>
      <c r="C79" s="63">
        <f>C74</f>
        <v>0.05</v>
      </c>
      <c r="D79" s="63">
        <f>D74</f>
        <v>0.12</v>
      </c>
      <c r="E79" s="63">
        <f t="shared" si="7"/>
        <v>0.04</v>
      </c>
      <c r="F79" s="63">
        <f>F74</f>
        <v>0.06</v>
      </c>
      <c r="G79" s="132">
        <f t="shared" si="6"/>
        <v>0.18</v>
      </c>
      <c r="H79" s="254">
        <f>H74</f>
        <v>97</v>
      </c>
      <c r="I79" s="254"/>
    </row>
    <row r="80" spans="1:9" s="1" customFormat="1" ht="13" x14ac:dyDescent="0.3">
      <c r="A80" s="256">
        <v>7</v>
      </c>
      <c r="B80" s="63">
        <f>B74</f>
        <v>0.73</v>
      </c>
      <c r="C80" s="63">
        <f>C74</f>
        <v>0.05</v>
      </c>
      <c r="D80" s="63">
        <f>D74</f>
        <v>0.12</v>
      </c>
      <c r="E80" s="63">
        <f t="shared" si="7"/>
        <v>0.04</v>
      </c>
      <c r="F80" s="63">
        <f>F74</f>
        <v>0.06</v>
      </c>
      <c r="G80" s="132">
        <f t="shared" si="6"/>
        <v>0.18</v>
      </c>
      <c r="H80" s="254">
        <f>H74</f>
        <v>97</v>
      </c>
      <c r="I80" s="254"/>
    </row>
    <row r="81" spans="1:10" s="1" customFormat="1" ht="13" x14ac:dyDescent="0.3">
      <c r="A81" s="256">
        <v>8</v>
      </c>
      <c r="B81" s="63">
        <f>B74</f>
        <v>0.73</v>
      </c>
      <c r="C81" s="63">
        <f>C74</f>
        <v>0.05</v>
      </c>
      <c r="D81" s="63">
        <f>D74</f>
        <v>0.12</v>
      </c>
      <c r="E81" s="63">
        <f t="shared" si="7"/>
        <v>0.04</v>
      </c>
      <c r="F81" s="63">
        <f>F74</f>
        <v>0.06</v>
      </c>
      <c r="G81" s="132">
        <f t="shared" si="6"/>
        <v>0.18</v>
      </c>
      <c r="H81" s="254">
        <f>H74</f>
        <v>97</v>
      </c>
      <c r="I81" s="254"/>
    </row>
    <row r="82" spans="1:10" s="1" customFormat="1" ht="13" x14ac:dyDescent="0.3">
      <c r="A82" s="256">
        <v>9</v>
      </c>
      <c r="B82" s="63">
        <f>B74</f>
        <v>0.73</v>
      </c>
      <c r="C82" s="63">
        <f>C74</f>
        <v>0.05</v>
      </c>
      <c r="D82" s="63">
        <f>D74</f>
        <v>0.12</v>
      </c>
      <c r="E82" s="63">
        <f t="shared" si="7"/>
        <v>0.04</v>
      </c>
      <c r="F82" s="63">
        <f>F74</f>
        <v>0.06</v>
      </c>
      <c r="G82" s="132">
        <f t="shared" si="6"/>
        <v>0.18</v>
      </c>
      <c r="H82" s="254">
        <f>H74</f>
        <v>97</v>
      </c>
      <c r="I82" s="254"/>
    </row>
    <row r="83" spans="1:10" s="1" customFormat="1" ht="13" x14ac:dyDescent="0.3">
      <c r="A83" s="256">
        <v>10</v>
      </c>
      <c r="B83" s="63">
        <f>B74</f>
        <v>0.73</v>
      </c>
      <c r="C83" s="63">
        <f>C74</f>
        <v>0.05</v>
      </c>
      <c r="D83" s="63">
        <f>D74</f>
        <v>0.12</v>
      </c>
      <c r="E83" s="63">
        <f t="shared" si="7"/>
        <v>0.04</v>
      </c>
      <c r="F83" s="63">
        <f>F74</f>
        <v>0.06</v>
      </c>
      <c r="G83" s="132">
        <f t="shared" si="6"/>
        <v>0.18</v>
      </c>
      <c r="H83" s="254">
        <f>H74</f>
        <v>97</v>
      </c>
      <c r="I83" s="254"/>
    </row>
    <row r="84" spans="1:10" s="1" customFormat="1" ht="13" x14ac:dyDescent="0.3">
      <c r="A84" s="256">
        <v>11</v>
      </c>
      <c r="B84" s="63">
        <f>B74</f>
        <v>0.73</v>
      </c>
      <c r="C84" s="63">
        <f>C74</f>
        <v>0.05</v>
      </c>
      <c r="D84" s="63">
        <f>D74</f>
        <v>0.12</v>
      </c>
      <c r="E84" s="63">
        <f t="shared" si="7"/>
        <v>0.04</v>
      </c>
      <c r="F84" s="63">
        <f>F74</f>
        <v>0.06</v>
      </c>
      <c r="G84" s="132">
        <f t="shared" si="6"/>
        <v>0.18</v>
      </c>
      <c r="H84" s="254">
        <f>H74</f>
        <v>97</v>
      </c>
      <c r="I84" s="254"/>
    </row>
    <row r="85" spans="1:10" s="1" customFormat="1" ht="13" x14ac:dyDescent="0.3">
      <c r="A85" s="256">
        <v>12</v>
      </c>
      <c r="B85" s="63">
        <f>B74</f>
        <v>0.73</v>
      </c>
      <c r="C85" s="63">
        <f>C74</f>
        <v>0.05</v>
      </c>
      <c r="D85" s="63">
        <f>D74</f>
        <v>0.12</v>
      </c>
      <c r="E85" s="63">
        <f t="shared" si="7"/>
        <v>0.04</v>
      </c>
      <c r="F85" s="63">
        <f>F74</f>
        <v>0.06</v>
      </c>
      <c r="G85" s="132">
        <f t="shared" si="6"/>
        <v>0.18</v>
      </c>
      <c r="H85" s="254">
        <f>H74</f>
        <v>97</v>
      </c>
      <c r="I85" s="254"/>
    </row>
    <row r="86" spans="1:10" s="1" customFormat="1" ht="13" x14ac:dyDescent="0.3">
      <c r="A86" s="256">
        <v>13</v>
      </c>
      <c r="B86" s="63">
        <f>B74</f>
        <v>0.73</v>
      </c>
      <c r="C86" s="63">
        <f>C74</f>
        <v>0.05</v>
      </c>
      <c r="D86" s="63">
        <f>D74</f>
        <v>0.12</v>
      </c>
      <c r="E86" s="63">
        <f t="shared" si="7"/>
        <v>0.04</v>
      </c>
      <c r="F86" s="63">
        <f>F74</f>
        <v>0.06</v>
      </c>
      <c r="G86" s="132">
        <f t="shared" si="6"/>
        <v>0.18</v>
      </c>
      <c r="H86" s="254">
        <f>H74</f>
        <v>97</v>
      </c>
      <c r="I86" s="254"/>
    </row>
    <row r="87" spans="1:10" s="1" customFormat="1" ht="13" x14ac:dyDescent="0.3">
      <c r="A87" s="256">
        <v>14</v>
      </c>
      <c r="B87" s="63">
        <f>B74</f>
        <v>0.73</v>
      </c>
      <c r="C87" s="63">
        <f>C74</f>
        <v>0.05</v>
      </c>
      <c r="D87" s="63">
        <f>D74</f>
        <v>0.12</v>
      </c>
      <c r="E87" s="63">
        <f t="shared" si="7"/>
        <v>0.04</v>
      </c>
      <c r="F87" s="63">
        <f>F74</f>
        <v>0.06</v>
      </c>
      <c r="G87" s="132">
        <f t="shared" si="6"/>
        <v>0.18</v>
      </c>
      <c r="H87" s="254">
        <f>H74</f>
        <v>97</v>
      </c>
      <c r="I87" s="254"/>
    </row>
    <row r="88" spans="1:10" s="1" customFormat="1" ht="13" x14ac:dyDescent="0.3">
      <c r="A88" s="256">
        <v>15</v>
      </c>
      <c r="B88" s="63">
        <f>B74</f>
        <v>0.73</v>
      </c>
      <c r="C88" s="63">
        <f>C74</f>
        <v>0.05</v>
      </c>
      <c r="D88" s="63">
        <f>D74</f>
        <v>0.12</v>
      </c>
      <c r="E88" s="63">
        <f t="shared" si="7"/>
        <v>0.04</v>
      </c>
      <c r="F88" s="63">
        <f>F74</f>
        <v>0.06</v>
      </c>
      <c r="G88" s="132">
        <f t="shared" si="6"/>
        <v>0.18</v>
      </c>
      <c r="H88" s="254">
        <f>H74</f>
        <v>97</v>
      </c>
      <c r="I88" s="254"/>
    </row>
    <row r="89" spans="1:10" s="1" customFormat="1" ht="13" x14ac:dyDescent="0.3">
      <c r="A89" s="257" t="s">
        <v>198</v>
      </c>
      <c r="B89" s="556">
        <f t="shared" ref="B89:H89" si="8">AVERAGE(B77:B88)</f>
        <v>0.73000000000000009</v>
      </c>
      <c r="C89" s="556">
        <f t="shared" si="8"/>
        <v>4.9999999999999996E-2</v>
      </c>
      <c r="D89" s="556">
        <f t="shared" si="8"/>
        <v>0.12000000000000004</v>
      </c>
      <c r="E89" s="555">
        <f t="shared" si="7"/>
        <v>0.04</v>
      </c>
      <c r="F89" s="556">
        <f t="shared" si="8"/>
        <v>6.0000000000000019E-2</v>
      </c>
      <c r="G89" s="556">
        <f t="shared" si="8"/>
        <v>0.17999999999999997</v>
      </c>
      <c r="H89" s="557">
        <f t="shared" si="8"/>
        <v>97</v>
      </c>
      <c r="I89" s="557"/>
    </row>
    <row r="90" spans="1:10" s="1" customFormat="1" ht="13" x14ac:dyDescent="0.3">
      <c r="A90" s="258" t="s">
        <v>199</v>
      </c>
      <c r="B90" s="558">
        <f t="shared" ref="B90:H90" si="9">AVERAGE(B74:B88)</f>
        <v>0.7300000000000002</v>
      </c>
      <c r="C90" s="558">
        <f t="shared" si="9"/>
        <v>5.000000000000001E-2</v>
      </c>
      <c r="D90" s="558">
        <f t="shared" si="9"/>
        <v>0.12000000000000005</v>
      </c>
      <c r="E90" s="558">
        <f t="shared" si="7"/>
        <v>0.04</v>
      </c>
      <c r="F90" s="558">
        <f t="shared" si="9"/>
        <v>6.0000000000000026E-2</v>
      </c>
      <c r="G90" s="558">
        <f t="shared" si="9"/>
        <v>0.18000000000000002</v>
      </c>
      <c r="H90" s="559">
        <f t="shared" si="9"/>
        <v>97</v>
      </c>
      <c r="I90" s="559"/>
    </row>
    <row r="91" spans="1:10" s="1" customFormat="1" ht="13" x14ac:dyDescent="0.3">
      <c r="B91" s="78"/>
      <c r="C91" s="78"/>
      <c r="D91" s="78"/>
      <c r="E91" s="78"/>
      <c r="F91" s="64"/>
      <c r="G91" s="79"/>
    </row>
    <row r="92" spans="1:10" s="1" customFormat="1" ht="32.5" customHeight="1" x14ac:dyDescent="0.5">
      <c r="A92" s="1418" t="s">
        <v>346</v>
      </c>
      <c r="B92" s="1418"/>
      <c r="C92" s="1418"/>
      <c r="D92" s="1418"/>
      <c r="E92" s="1418"/>
      <c r="F92" s="1418"/>
      <c r="G92" s="1418"/>
      <c r="H92" s="1418"/>
      <c r="I92" s="1418"/>
    </row>
    <row r="93" spans="1:10" s="1" customFormat="1" ht="22.5" customHeight="1" x14ac:dyDescent="0.65">
      <c r="A93" s="231"/>
      <c r="B93" s="270"/>
      <c r="C93" s="270"/>
      <c r="D93" s="1432" t="s">
        <v>345</v>
      </c>
      <c r="F93" s="271"/>
      <c r="G93" s="117"/>
      <c r="I93" s="157"/>
    </row>
    <row r="94" spans="1:10" s="1" customFormat="1" ht="29.25" customHeight="1" x14ac:dyDescent="0.25">
      <c r="B94" s="219" t="s">
        <v>123</v>
      </c>
      <c r="C94" s="219" t="s">
        <v>124</v>
      </c>
      <c r="D94" s="1432"/>
      <c r="E94" s="1356" t="s">
        <v>170</v>
      </c>
      <c r="F94" s="259" t="s">
        <v>126</v>
      </c>
      <c r="G94" s="145" t="s">
        <v>127</v>
      </c>
      <c r="J94" s="1142"/>
    </row>
    <row r="95" spans="1:10" s="1" customFormat="1" ht="13" thickBot="1" x14ac:dyDescent="0.3">
      <c r="B95" s="142" t="s">
        <v>125</v>
      </c>
      <c r="C95" s="142" t="s">
        <v>125</v>
      </c>
      <c r="D95" s="142" t="s">
        <v>125</v>
      </c>
      <c r="E95" s="142" t="s">
        <v>125</v>
      </c>
      <c r="F95" s="142" t="s">
        <v>125</v>
      </c>
      <c r="G95" s="142" t="s">
        <v>125</v>
      </c>
      <c r="I95" s="4"/>
    </row>
    <row r="96" spans="1:10" s="1" customFormat="1" ht="13" x14ac:dyDescent="0.3">
      <c r="A96" s="75" t="s">
        <v>78</v>
      </c>
      <c r="B96" s="680">
        <v>20</v>
      </c>
      <c r="C96" s="680">
        <v>20</v>
      </c>
      <c r="D96" s="680">
        <v>120</v>
      </c>
      <c r="E96" s="680">
        <v>200</v>
      </c>
      <c r="F96" s="682">
        <v>30</v>
      </c>
      <c r="G96" s="683">
        <v>10</v>
      </c>
      <c r="I96" s="143"/>
      <c r="J96" s="1142"/>
    </row>
    <row r="97" spans="1:9" s="1" customFormat="1" ht="13" x14ac:dyDescent="0.3">
      <c r="A97" s="1" t="s">
        <v>99</v>
      </c>
      <c r="B97" s="681">
        <v>20</v>
      </c>
      <c r="C97" s="681">
        <v>20</v>
      </c>
      <c r="D97" s="680">
        <v>50</v>
      </c>
      <c r="E97" s="680">
        <v>100</v>
      </c>
      <c r="F97" s="682">
        <v>10</v>
      </c>
      <c r="G97" s="683">
        <v>10</v>
      </c>
      <c r="I97" s="143"/>
    </row>
    <row r="98" spans="1:9" s="1" customFormat="1" ht="13" x14ac:dyDescent="0.3">
      <c r="A98" s="1" t="s">
        <v>128</v>
      </c>
      <c r="B98" s="681">
        <v>20</v>
      </c>
      <c r="C98" s="681">
        <v>20</v>
      </c>
      <c r="D98" s="680">
        <v>50</v>
      </c>
      <c r="E98" s="680">
        <v>200</v>
      </c>
      <c r="F98" s="682">
        <v>10</v>
      </c>
      <c r="G98" s="683">
        <v>10</v>
      </c>
      <c r="I98" s="143"/>
    </row>
    <row r="99" spans="1:9" s="1" customFormat="1" ht="13" x14ac:dyDescent="0.3">
      <c r="A99" s="1" t="s">
        <v>152</v>
      </c>
      <c r="B99" s="140" t="s">
        <v>129</v>
      </c>
      <c r="C99" s="140" t="s">
        <v>129</v>
      </c>
      <c r="D99" s="140" t="s">
        <v>129</v>
      </c>
      <c r="E99" s="140" t="s">
        <v>129</v>
      </c>
      <c r="F99" s="140" t="s">
        <v>129</v>
      </c>
      <c r="G99" s="140" t="s">
        <v>129</v>
      </c>
      <c r="I99" s="140"/>
    </row>
    <row r="100" spans="1:9" s="1" customFormat="1" ht="13" x14ac:dyDescent="0.3">
      <c r="B100" s="140"/>
      <c r="C100" s="140"/>
      <c r="D100" s="140"/>
      <c r="E100" s="140"/>
      <c r="F100" s="140"/>
      <c r="G100" s="79"/>
    </row>
    <row r="101" spans="1:9" x14ac:dyDescent="0.25">
      <c r="H101" s="1"/>
    </row>
    <row r="102" spans="1:9" s="1" customFormat="1" ht="25" x14ac:dyDescent="0.5">
      <c r="A102" s="1418" t="s">
        <v>651</v>
      </c>
      <c r="B102" s="1418"/>
      <c r="C102" s="1418"/>
      <c r="D102" s="1418"/>
      <c r="E102" s="1418"/>
      <c r="F102" s="1418"/>
      <c r="G102" s="1418"/>
      <c r="H102" s="1418"/>
      <c r="I102" s="1418"/>
    </row>
    <row r="103" spans="1:9" ht="40.5" customHeight="1" x14ac:dyDescent="0.25">
      <c r="A103" s="1"/>
      <c r="B103" s="1154" t="s">
        <v>658</v>
      </c>
      <c r="C103" s="1154" t="s">
        <v>560</v>
      </c>
      <c r="D103" s="1154" t="s">
        <v>566</v>
      </c>
      <c r="F103" s="1154"/>
      <c r="H103" s="1"/>
    </row>
    <row r="104" spans="1:9" ht="13" x14ac:dyDescent="0.3">
      <c r="A104" s="283" t="s">
        <v>56</v>
      </c>
      <c r="B104" s="1173">
        <v>1.22</v>
      </c>
      <c r="C104" s="1173">
        <v>0.02</v>
      </c>
      <c r="D104" s="1173">
        <v>0.43</v>
      </c>
      <c r="F104" s="1348"/>
      <c r="H104" s="1"/>
    </row>
    <row r="105" spans="1:9" x14ac:dyDescent="0.25">
      <c r="A105" s="141"/>
      <c r="B105" s="1155"/>
      <c r="C105" s="1165"/>
      <c r="D105" s="1155"/>
      <c r="F105" s="1349"/>
      <c r="H105" s="1"/>
    </row>
    <row r="106" spans="1:9" ht="13" x14ac:dyDescent="0.3">
      <c r="A106" s="278" t="s">
        <v>85</v>
      </c>
      <c r="B106" s="1157">
        <v>0</v>
      </c>
      <c r="C106" s="1158"/>
      <c r="D106" s="1157">
        <v>0</v>
      </c>
      <c r="F106" s="1267"/>
      <c r="H106" s="1"/>
    </row>
    <row r="107" spans="1:9" x14ac:dyDescent="0.25">
      <c r="A107" s="69"/>
      <c r="B107" s="1156"/>
      <c r="C107" s="1138"/>
      <c r="D107" s="1159"/>
      <c r="F107" s="1350"/>
      <c r="H107" s="1"/>
    </row>
    <row r="108" spans="1:9" ht="13" x14ac:dyDescent="0.3">
      <c r="A108" s="278" t="s">
        <v>99</v>
      </c>
      <c r="B108" s="1157">
        <v>125</v>
      </c>
      <c r="C108" s="1157">
        <v>25000</v>
      </c>
      <c r="D108" s="1157">
        <v>100</v>
      </c>
      <c r="F108" s="1267"/>
      <c r="H108" s="1"/>
    </row>
    <row r="109" spans="1:9" x14ac:dyDescent="0.25">
      <c r="A109" s="111" t="s">
        <v>142</v>
      </c>
      <c r="B109" s="1138">
        <v>1</v>
      </c>
      <c r="C109" s="1138">
        <v>15</v>
      </c>
      <c r="D109" s="1138">
        <v>0</v>
      </c>
      <c r="F109" s="1189"/>
      <c r="H109" s="1"/>
    </row>
    <row r="110" spans="1:9" ht="13" x14ac:dyDescent="0.3">
      <c r="A110" s="278" t="s">
        <v>100</v>
      </c>
      <c r="B110" s="1157">
        <v>250</v>
      </c>
      <c r="C110" s="1158"/>
      <c r="D110" s="1157">
        <v>100</v>
      </c>
      <c r="F110" s="1267"/>
      <c r="H110" s="1"/>
    </row>
    <row r="111" spans="1:9" x14ac:dyDescent="0.25">
      <c r="A111" s="111" t="s">
        <v>142</v>
      </c>
      <c r="B111" s="1138">
        <v>1</v>
      </c>
      <c r="C111" s="1158"/>
      <c r="D111" s="1138">
        <v>0</v>
      </c>
      <c r="F111" s="1189"/>
      <c r="H111" s="1"/>
    </row>
    <row r="112" spans="1:9" ht="13" x14ac:dyDescent="0.3">
      <c r="A112" s="278" t="s">
        <v>101</v>
      </c>
      <c r="B112" s="1157">
        <v>375</v>
      </c>
      <c r="C112" s="1158"/>
      <c r="D112" s="1157">
        <v>100</v>
      </c>
      <c r="F112" s="1267"/>
      <c r="H112" s="1"/>
    </row>
    <row r="113" spans="1:12" x14ac:dyDescent="0.25">
      <c r="A113" s="111" t="s">
        <v>142</v>
      </c>
      <c r="B113" s="1138">
        <v>1</v>
      </c>
      <c r="C113" s="1158"/>
      <c r="D113" s="1138">
        <v>0</v>
      </c>
      <c r="F113" s="1189"/>
      <c r="H113" s="1"/>
    </row>
    <row r="114" spans="1:12" ht="13" x14ac:dyDescent="0.3">
      <c r="A114" s="278" t="s">
        <v>78</v>
      </c>
      <c r="B114" s="1157">
        <v>500</v>
      </c>
      <c r="C114" s="1157">
        <v>25000</v>
      </c>
      <c r="D114" s="1157">
        <v>100</v>
      </c>
      <c r="F114" s="1267"/>
      <c r="H114" s="1"/>
    </row>
    <row r="115" spans="1:12" x14ac:dyDescent="0.25">
      <c r="A115" s="111" t="s">
        <v>142</v>
      </c>
      <c r="B115" s="1138">
        <v>1</v>
      </c>
      <c r="C115" s="1138">
        <v>15</v>
      </c>
      <c r="D115" s="1138">
        <v>1</v>
      </c>
      <c r="F115" s="1189"/>
      <c r="H115" s="1"/>
    </row>
    <row r="116" spans="1:12" x14ac:dyDescent="0.25">
      <c r="A116" s="1"/>
      <c r="H116" s="1"/>
    </row>
    <row r="117" spans="1:12" s="1" customFormat="1" ht="25" x14ac:dyDescent="0.5">
      <c r="A117" s="1418" t="s">
        <v>652</v>
      </c>
      <c r="B117" s="1418"/>
      <c r="C117" s="1418"/>
      <c r="D117" s="1418"/>
      <c r="E117" s="1418"/>
      <c r="F117" s="1418"/>
      <c r="G117" s="1418"/>
      <c r="H117" s="1418"/>
      <c r="I117" s="1418"/>
    </row>
    <row r="118" spans="1:12" s="1" customFormat="1" ht="20" x14ac:dyDescent="0.4">
      <c r="A118" s="315" t="s">
        <v>78</v>
      </c>
      <c r="B118" s="561"/>
      <c r="C118" s="86" t="s">
        <v>11</v>
      </c>
      <c r="D118" s="86" t="s">
        <v>136</v>
      </c>
      <c r="E118" s="86"/>
      <c r="F118" s="801"/>
      <c r="G118" s="802" t="s">
        <v>440</v>
      </c>
      <c r="J118"/>
      <c r="K118"/>
    </row>
    <row r="119" spans="1:12" ht="13" x14ac:dyDescent="0.3">
      <c r="A119" s="1417" t="s">
        <v>103</v>
      </c>
      <c r="B119" s="42" t="s">
        <v>661</v>
      </c>
      <c r="C119" s="1160">
        <v>6</v>
      </c>
      <c r="D119" s="1162">
        <v>8</v>
      </c>
      <c r="E119" s="1163">
        <f>243.2/25</f>
        <v>9.7279999999999998</v>
      </c>
      <c r="F119" s="1163"/>
      <c r="G119" s="145"/>
      <c r="I119" s="473"/>
    </row>
    <row r="120" spans="1:12" ht="13" x14ac:dyDescent="0.3">
      <c r="A120" s="1417"/>
      <c r="B120" s="42" t="s">
        <v>662</v>
      </c>
      <c r="C120" s="1160">
        <v>10</v>
      </c>
      <c r="D120" s="1162">
        <v>12</v>
      </c>
      <c r="E120" s="1163">
        <f xml:space="preserve"> 74.5/25</f>
        <v>2.98</v>
      </c>
      <c r="F120" s="1295"/>
      <c r="G120" s="145"/>
      <c r="I120" s="473"/>
      <c r="L120" s="13"/>
    </row>
    <row r="121" spans="1:12" ht="13" x14ac:dyDescent="0.3">
      <c r="A121" s="1417"/>
      <c r="B121" s="42" t="s">
        <v>663</v>
      </c>
      <c r="C121" s="1160">
        <v>6</v>
      </c>
      <c r="D121" s="1162">
        <v>4.8</v>
      </c>
      <c r="E121" s="1293">
        <f>85/5</f>
        <v>17</v>
      </c>
      <c r="F121" s="1294"/>
      <c r="G121" s="145"/>
      <c r="I121" s="473"/>
      <c r="L121" s="13"/>
    </row>
    <row r="122" spans="1:12" ht="13" x14ac:dyDescent="0.3">
      <c r="A122" s="1417"/>
      <c r="B122" s="42" t="s">
        <v>664</v>
      </c>
      <c r="C122" s="1160">
        <v>2</v>
      </c>
      <c r="D122" s="1162">
        <v>3</v>
      </c>
      <c r="E122" s="1293">
        <v>24.5</v>
      </c>
      <c r="F122" s="1294"/>
      <c r="G122" s="145"/>
      <c r="I122" s="473"/>
      <c r="L122" s="13"/>
    </row>
    <row r="123" spans="1:12" ht="13" x14ac:dyDescent="0.3">
      <c r="A123" s="1417"/>
      <c r="B123" s="42" t="s">
        <v>665</v>
      </c>
      <c r="C123" s="1160">
        <v>5</v>
      </c>
      <c r="D123" s="1164">
        <v>18</v>
      </c>
      <c r="E123" s="1314">
        <f>78.9/20</f>
        <v>3.9450000000000003</v>
      </c>
      <c r="F123" s="1294"/>
      <c r="G123" s="145"/>
      <c r="I123" s="473"/>
      <c r="L123" s="13"/>
    </row>
    <row r="124" spans="1:12" ht="13" x14ac:dyDescent="0.3">
      <c r="A124" s="1417"/>
      <c r="B124" s="42" t="s">
        <v>666</v>
      </c>
      <c r="C124" s="1160">
        <v>5</v>
      </c>
      <c r="D124" s="1315">
        <v>0.75</v>
      </c>
      <c r="E124" s="1314">
        <f>225/5</f>
        <v>45</v>
      </c>
      <c r="F124" s="1294"/>
      <c r="G124" s="145"/>
      <c r="I124" s="473"/>
      <c r="L124" s="13"/>
    </row>
    <row r="125" spans="1:12" ht="13" x14ac:dyDescent="0.3">
      <c r="A125" s="1340" t="s">
        <v>624</v>
      </c>
      <c r="B125" s="42" t="s">
        <v>672</v>
      </c>
      <c r="C125" s="1160">
        <v>2</v>
      </c>
      <c r="D125" s="1162">
        <v>1.5</v>
      </c>
      <c r="E125" s="1293">
        <f>129.9/1.5</f>
        <v>86.600000000000009</v>
      </c>
      <c r="F125" s="1294"/>
      <c r="G125" s="145"/>
      <c r="I125" s="473"/>
      <c r="L125" s="13"/>
    </row>
    <row r="126" spans="1:12" ht="13" x14ac:dyDescent="0.3">
      <c r="A126" s="1417" t="s">
        <v>299</v>
      </c>
      <c r="B126" s="42" t="s">
        <v>667</v>
      </c>
      <c r="C126" s="1160">
        <v>1</v>
      </c>
      <c r="D126" s="1164">
        <v>4.8</v>
      </c>
      <c r="E126" s="1295">
        <v>89.1</v>
      </c>
      <c r="F126" s="1294"/>
      <c r="G126" s="145"/>
      <c r="I126" s="473"/>
      <c r="L126" s="13"/>
    </row>
    <row r="127" spans="1:12" ht="13" x14ac:dyDescent="0.3">
      <c r="A127" s="1417"/>
      <c r="B127" s="42" t="s">
        <v>634</v>
      </c>
      <c r="C127" s="1160">
        <v>1</v>
      </c>
      <c r="D127" s="1161">
        <v>0.5</v>
      </c>
      <c r="E127" s="1295">
        <f>1250.2/5</f>
        <v>250.04000000000002</v>
      </c>
      <c r="F127" s="1295"/>
      <c r="G127" s="145"/>
      <c r="I127" s="473"/>
      <c r="L127" s="1166"/>
    </row>
    <row r="128" spans="1:12" ht="13" x14ac:dyDescent="0.3">
      <c r="A128" s="1417"/>
      <c r="B128" s="42" t="s">
        <v>668</v>
      </c>
      <c r="C128" s="1160">
        <v>1</v>
      </c>
      <c r="D128" s="1164">
        <v>20</v>
      </c>
      <c r="E128" s="1295">
        <f>134.2/10</f>
        <v>13.419999999999998</v>
      </c>
      <c r="F128" s="1295"/>
      <c r="G128" s="145"/>
      <c r="I128" s="473"/>
      <c r="L128" s="13"/>
    </row>
    <row r="129" spans="1:12" ht="13" x14ac:dyDescent="0.3">
      <c r="A129" s="1417"/>
      <c r="B129" s="42" t="s">
        <v>659</v>
      </c>
      <c r="C129" s="1160">
        <v>10</v>
      </c>
      <c r="D129" s="1161">
        <v>0.1</v>
      </c>
      <c r="E129" s="1295">
        <f>286.8/0.5</f>
        <v>573.6</v>
      </c>
      <c r="F129" s="1295"/>
      <c r="G129" s="145"/>
      <c r="I129" s="473"/>
      <c r="L129" s="13"/>
    </row>
    <row r="130" spans="1:12" ht="13" x14ac:dyDescent="0.3">
      <c r="A130" s="1417"/>
      <c r="B130" s="42" t="s">
        <v>669</v>
      </c>
      <c r="C130" s="1160">
        <v>1</v>
      </c>
      <c r="D130" s="1161">
        <v>3.5</v>
      </c>
      <c r="E130" s="1295">
        <v>222</v>
      </c>
      <c r="F130" s="1295"/>
      <c r="G130" s="145"/>
      <c r="I130" s="473"/>
      <c r="L130" s="13"/>
    </row>
    <row r="131" spans="1:12" ht="13" x14ac:dyDescent="0.3">
      <c r="A131" s="1417"/>
      <c r="B131" s="42" t="s">
        <v>670</v>
      </c>
      <c r="C131" s="1160">
        <v>1</v>
      </c>
      <c r="D131" s="1164">
        <v>50</v>
      </c>
      <c r="E131" s="1295">
        <f>3783.4/1000</f>
        <v>3.7833999999999999</v>
      </c>
      <c r="F131" s="1295"/>
      <c r="G131" s="145"/>
      <c r="I131" s="473"/>
      <c r="L131" s="13"/>
    </row>
    <row r="132" spans="1:12" ht="13" x14ac:dyDescent="0.3">
      <c r="A132" s="1342" t="s">
        <v>632</v>
      </c>
      <c r="B132" s="42" t="s">
        <v>671</v>
      </c>
      <c r="C132" s="1160">
        <v>1</v>
      </c>
      <c r="D132" s="1298">
        <v>750</v>
      </c>
      <c r="E132" s="1297">
        <f>59.6/100</f>
        <v>0.59599999999999997</v>
      </c>
      <c r="F132" s="1295"/>
      <c r="G132" s="145"/>
      <c r="I132" s="473"/>
      <c r="L132" s="13"/>
    </row>
    <row r="133" spans="1:12" ht="21.25" customHeight="1" x14ac:dyDescent="0.25">
      <c r="A133" s="19" t="s">
        <v>141</v>
      </c>
      <c r="B133" s="47">
        <v>26</v>
      </c>
      <c r="C133" s="47">
        <f>SUM(C119:C132)</f>
        <v>52</v>
      </c>
      <c r="D133" s="44"/>
      <c r="E133" s="44"/>
      <c r="F133"/>
      <c r="G133"/>
    </row>
    <row r="134" spans="1:12" x14ac:dyDescent="0.25">
      <c r="A134" s="19"/>
      <c r="B134" s="47"/>
      <c r="C134" s="47"/>
      <c r="D134" s="44"/>
      <c r="E134" s="44"/>
      <c r="F134"/>
      <c r="G134"/>
    </row>
    <row r="135" spans="1:12" ht="18" x14ac:dyDescent="0.4">
      <c r="A135" s="561" t="s">
        <v>39</v>
      </c>
      <c r="B135" s="561"/>
      <c r="C135" s="86" t="s">
        <v>11</v>
      </c>
      <c r="D135" s="86" t="s">
        <v>55</v>
      </c>
      <c r="E135" s="86"/>
      <c r="F135"/>
      <c r="G135"/>
    </row>
    <row r="136" spans="1:12" x14ac:dyDescent="0.25">
      <c r="A136" s="1417" t="s">
        <v>103</v>
      </c>
      <c r="B136" s="19" t="str">
        <f>B119</f>
        <v>Tonerde (Myko Sin)</v>
      </c>
      <c r="C136" s="564">
        <v>6</v>
      </c>
      <c r="D136" s="261">
        <f>D119*$F$136</f>
        <v>8</v>
      </c>
      <c r="E136" s="1166">
        <f>E119</f>
        <v>9.7279999999999998</v>
      </c>
      <c r="F136" s="1326">
        <v>1</v>
      </c>
      <c r="G136"/>
    </row>
    <row r="137" spans="1:12" x14ac:dyDescent="0.25">
      <c r="A137" s="1417"/>
      <c r="B137" s="19" t="str">
        <f>B120</f>
        <v xml:space="preserve">Netzschwefel (Stullin) </v>
      </c>
      <c r="C137" s="564">
        <v>10</v>
      </c>
      <c r="D137" s="261">
        <f t="shared" ref="D137:D149" si="10">D120*$F$136</f>
        <v>12</v>
      </c>
      <c r="E137" s="1166">
        <f t="shared" ref="E137:E149" si="11">E120</f>
        <v>2.98</v>
      </c>
      <c r="F137" s="145"/>
      <c r="G137"/>
    </row>
    <row r="138" spans="1:12" x14ac:dyDescent="0.25">
      <c r="A138" s="1417"/>
      <c r="B138" s="19" t="str">
        <f t="shared" ref="B138:B149" si="12">B121</f>
        <v>Kaliumbicarbonat (Armicarb)</v>
      </c>
      <c r="C138" s="564">
        <v>2</v>
      </c>
      <c r="D138" s="261">
        <f t="shared" si="10"/>
        <v>4.8</v>
      </c>
      <c r="E138" s="1166">
        <f t="shared" si="11"/>
        <v>17</v>
      </c>
      <c r="F138" s="145"/>
      <c r="G138"/>
    </row>
    <row r="139" spans="1:12" x14ac:dyDescent="0.25">
      <c r="A139" s="1417"/>
      <c r="B139" s="19" t="str">
        <f t="shared" si="12"/>
        <v>Kupfer (Airone WG)</v>
      </c>
      <c r="C139" s="564">
        <v>2</v>
      </c>
      <c r="D139" s="261">
        <f t="shared" si="10"/>
        <v>3</v>
      </c>
      <c r="E139" s="1166">
        <f t="shared" si="11"/>
        <v>24.5</v>
      </c>
      <c r="F139" s="145"/>
      <c r="G139"/>
    </row>
    <row r="140" spans="1:12" x14ac:dyDescent="0.25">
      <c r="A140" s="1417"/>
      <c r="B140" s="19" t="str">
        <f t="shared" si="12"/>
        <v>Schwefelkalk (Curatio)</v>
      </c>
      <c r="C140" s="564">
        <v>5</v>
      </c>
      <c r="D140" s="261">
        <f t="shared" si="10"/>
        <v>18</v>
      </c>
      <c r="E140" s="1166">
        <f t="shared" si="11"/>
        <v>3.9450000000000003</v>
      </c>
      <c r="F140" s="145"/>
      <c r="G140"/>
    </row>
    <row r="141" spans="1:12" x14ac:dyDescent="0.25">
      <c r="A141" s="1417"/>
      <c r="B141" s="19" t="str">
        <f t="shared" si="12"/>
        <v>Laminarin (Vacciplant)</v>
      </c>
      <c r="C141" s="564">
        <v>0</v>
      </c>
      <c r="D141" s="261">
        <f t="shared" si="10"/>
        <v>0.75</v>
      </c>
      <c r="E141" s="1166">
        <f t="shared" si="11"/>
        <v>45</v>
      </c>
      <c r="F141" s="145"/>
      <c r="G141"/>
    </row>
    <row r="142" spans="1:12" ht="13" x14ac:dyDescent="0.3">
      <c r="A142" s="1417"/>
      <c r="B142" s="19" t="str">
        <f t="shared" si="12"/>
        <v>Hefepräparat (Blossom protect)</v>
      </c>
      <c r="C142" s="564">
        <v>0</v>
      </c>
      <c r="D142" s="261">
        <f t="shared" si="10"/>
        <v>1.5</v>
      </c>
      <c r="E142" s="1166">
        <f t="shared" si="11"/>
        <v>86.600000000000009</v>
      </c>
      <c r="F142" s="145"/>
      <c r="G142"/>
      <c r="I142" s="473"/>
    </row>
    <row r="143" spans="1:12" ht="13" x14ac:dyDescent="0.3">
      <c r="A143" s="1417" t="s">
        <v>299</v>
      </c>
      <c r="B143" s="42" t="str">
        <f t="shared" si="12"/>
        <v>Neem (NeemAzal T/S)</v>
      </c>
      <c r="C143" s="564">
        <v>1</v>
      </c>
      <c r="D143" s="261">
        <f t="shared" si="10"/>
        <v>4.8</v>
      </c>
      <c r="E143" s="1166">
        <f t="shared" si="11"/>
        <v>89.1</v>
      </c>
      <c r="F143" s="145"/>
      <c r="G143"/>
      <c r="I143" s="473"/>
    </row>
    <row r="144" spans="1:12" ht="13" x14ac:dyDescent="0.3">
      <c r="A144" s="1417"/>
      <c r="B144" s="42" t="str">
        <f t="shared" si="12"/>
        <v>Pyrethrum</v>
      </c>
      <c r="C144" s="564">
        <v>1</v>
      </c>
      <c r="D144" s="261">
        <f t="shared" si="10"/>
        <v>0.5</v>
      </c>
      <c r="E144" s="1166">
        <f t="shared" si="11"/>
        <v>250.04000000000002</v>
      </c>
      <c r="F144" s="145"/>
      <c r="G144"/>
      <c r="I144" s="473"/>
    </row>
    <row r="145" spans="1:9" ht="13" x14ac:dyDescent="0.3">
      <c r="A145" s="1417"/>
      <c r="B145" s="42" t="str">
        <f t="shared" si="12"/>
        <v>Schmierseife (Natural)</v>
      </c>
      <c r="C145" s="564">
        <v>1</v>
      </c>
      <c r="D145" s="261">
        <f t="shared" si="10"/>
        <v>20</v>
      </c>
      <c r="E145" s="1166">
        <f t="shared" si="11"/>
        <v>13.419999999999998</v>
      </c>
      <c r="F145" s="145"/>
      <c r="G145"/>
      <c r="I145" s="473"/>
    </row>
    <row r="146" spans="1:9" ht="13" x14ac:dyDescent="0.3">
      <c r="A146" s="1417"/>
      <c r="B146" s="42" t="str">
        <f t="shared" si="12"/>
        <v>Granulosevirus (Madex Top)</v>
      </c>
      <c r="C146" s="1160">
        <v>0</v>
      </c>
      <c r="D146" s="261">
        <f t="shared" si="10"/>
        <v>0.1</v>
      </c>
      <c r="E146" s="1166">
        <f t="shared" si="11"/>
        <v>573.6</v>
      </c>
      <c r="F146"/>
      <c r="G146"/>
      <c r="I146" s="473"/>
    </row>
    <row r="147" spans="1:9" ht="13" x14ac:dyDescent="0.3">
      <c r="A147" s="1417"/>
      <c r="B147" s="42" t="str">
        <f t="shared" si="12"/>
        <v>Quassiaextrakt (Quassan)</v>
      </c>
      <c r="C147" s="564">
        <v>0</v>
      </c>
      <c r="D147" s="261">
        <f t="shared" si="10"/>
        <v>3.5</v>
      </c>
      <c r="E147" s="1166">
        <f t="shared" si="11"/>
        <v>222</v>
      </c>
      <c r="F147"/>
      <c r="G147"/>
      <c r="I147" s="473"/>
    </row>
    <row r="148" spans="1:9" ht="13" x14ac:dyDescent="0.3">
      <c r="A148" s="1417"/>
      <c r="B148" s="42" t="str">
        <f t="shared" si="12"/>
        <v>Weissöl (Weissöl Omya)</v>
      </c>
      <c r="C148" s="564">
        <v>1</v>
      </c>
      <c r="D148" s="261">
        <f t="shared" si="10"/>
        <v>50</v>
      </c>
      <c r="E148" s="1166">
        <f t="shared" si="11"/>
        <v>3.7833999999999999</v>
      </c>
      <c r="F148" s="1167"/>
      <c r="G148" s="145"/>
      <c r="I148" s="473"/>
    </row>
    <row r="149" spans="1:9" ht="13" x14ac:dyDescent="0.3">
      <c r="A149" s="1341" t="s">
        <v>632</v>
      </c>
      <c r="B149" s="42" t="str">
        <f t="shared" si="12"/>
        <v>Insektenlockstoff (Isomate CLR Max Andermatt)</v>
      </c>
      <c r="C149" s="564">
        <v>0</v>
      </c>
      <c r="D149" s="261">
        <f t="shared" si="10"/>
        <v>750</v>
      </c>
      <c r="E149" s="1166">
        <f t="shared" si="11"/>
        <v>0.59599999999999997</v>
      </c>
      <c r="F149" s="1167"/>
      <c r="G149" s="145"/>
      <c r="I149" s="473"/>
    </row>
    <row r="150" spans="1:9" x14ac:dyDescent="0.25">
      <c r="A150" s="19" t="s">
        <v>141</v>
      </c>
      <c r="B150" s="47">
        <v>0</v>
      </c>
      <c r="C150" s="47">
        <f>SUM(C136:C149)</f>
        <v>29</v>
      </c>
      <c r="D150" s="44"/>
      <c r="E150" s="44"/>
      <c r="F150" s="44"/>
      <c r="G150" s="44"/>
    </row>
    <row r="151" spans="1:9" x14ac:dyDescent="0.25">
      <c r="A151" s="19"/>
      <c r="B151" s="19"/>
      <c r="C151" s="47"/>
      <c r="D151" s="44"/>
      <c r="E151" s="44"/>
      <c r="F151" s="44"/>
      <c r="G151" s="44"/>
    </row>
    <row r="152" spans="1:9" ht="18" x14ac:dyDescent="0.4">
      <c r="A152" s="561" t="s">
        <v>40</v>
      </c>
      <c r="B152" s="561"/>
      <c r="C152" s="86" t="s">
        <v>11</v>
      </c>
      <c r="D152" s="86" t="s">
        <v>55</v>
      </c>
      <c r="E152" s="86"/>
      <c r="F152" s="801"/>
      <c r="G152" s="802"/>
    </row>
    <row r="153" spans="1:9" ht="13" x14ac:dyDescent="0.3">
      <c r="A153" s="1417" t="s">
        <v>103</v>
      </c>
      <c r="B153" s="19" t="str">
        <f>B136</f>
        <v>Tonerde (Myko Sin)</v>
      </c>
      <c r="C153" s="564">
        <v>6</v>
      </c>
      <c r="D153" s="261">
        <f>D119*$F$153</f>
        <v>8</v>
      </c>
      <c r="E153" s="45">
        <f>E119</f>
        <v>9.7279999999999998</v>
      </c>
      <c r="F153" s="1326">
        <v>1</v>
      </c>
      <c r="G153" s="145"/>
      <c r="I153" s="473"/>
    </row>
    <row r="154" spans="1:9" ht="13" x14ac:dyDescent="0.3">
      <c r="A154" s="1417"/>
      <c r="B154" s="42" t="str">
        <f>B120</f>
        <v xml:space="preserve">Netzschwefel (Stullin) </v>
      </c>
      <c r="C154" s="564">
        <v>10</v>
      </c>
      <c r="D154" s="261">
        <f t="shared" ref="D154:D165" si="13">D120*$F$153</f>
        <v>12</v>
      </c>
      <c r="E154" s="45">
        <f t="shared" ref="E154:E165" si="14">E120</f>
        <v>2.98</v>
      </c>
      <c r="F154" s="145"/>
      <c r="G154" s="145"/>
      <c r="I154" s="473"/>
    </row>
    <row r="155" spans="1:9" ht="13" x14ac:dyDescent="0.3">
      <c r="A155" s="1417"/>
      <c r="B155" s="42" t="str">
        <f t="shared" ref="B155:B159" si="15">B121</f>
        <v>Kaliumbicarbonat (Armicarb)</v>
      </c>
      <c r="C155" s="564">
        <v>2</v>
      </c>
      <c r="D155" s="261">
        <f t="shared" si="13"/>
        <v>4.8</v>
      </c>
      <c r="E155" s="45">
        <f t="shared" si="14"/>
        <v>17</v>
      </c>
      <c r="F155" s="145"/>
      <c r="G155" s="145"/>
      <c r="I155" s="473"/>
    </row>
    <row r="156" spans="1:9" ht="13" x14ac:dyDescent="0.3">
      <c r="A156" s="1417"/>
      <c r="B156" s="42" t="str">
        <f t="shared" si="15"/>
        <v>Kupfer (Airone WG)</v>
      </c>
      <c r="C156" s="564">
        <v>2</v>
      </c>
      <c r="D156" s="261">
        <f t="shared" si="13"/>
        <v>3</v>
      </c>
      <c r="E156" s="45">
        <f t="shared" si="14"/>
        <v>24.5</v>
      </c>
      <c r="F156" s="145"/>
      <c r="G156" s="145"/>
      <c r="I156" s="473"/>
    </row>
    <row r="157" spans="1:9" ht="13" x14ac:dyDescent="0.3">
      <c r="A157" s="1417"/>
      <c r="B157" s="42" t="str">
        <f t="shared" si="15"/>
        <v>Schwefelkalk (Curatio)</v>
      </c>
      <c r="C157" s="564">
        <v>5</v>
      </c>
      <c r="D157" s="261">
        <f t="shared" si="13"/>
        <v>18</v>
      </c>
      <c r="E157" s="45">
        <f t="shared" si="14"/>
        <v>3.9450000000000003</v>
      </c>
      <c r="F157" s="145"/>
      <c r="G157" s="145"/>
      <c r="I157" s="473"/>
    </row>
    <row r="158" spans="1:9" ht="13" x14ac:dyDescent="0.3">
      <c r="A158" s="1417"/>
      <c r="B158" s="42" t="str">
        <f t="shared" si="15"/>
        <v>Laminarin (Vacciplant)</v>
      </c>
      <c r="C158" s="564">
        <v>0</v>
      </c>
      <c r="D158" s="261">
        <f t="shared" si="13"/>
        <v>0.75</v>
      </c>
      <c r="E158" s="45">
        <f t="shared" si="14"/>
        <v>45</v>
      </c>
      <c r="F158" s="145"/>
      <c r="G158" s="145"/>
      <c r="I158" s="473"/>
    </row>
    <row r="159" spans="1:9" ht="13" x14ac:dyDescent="0.3">
      <c r="A159" s="1417"/>
      <c r="B159" s="42" t="str">
        <f t="shared" si="15"/>
        <v>Hefepräparat (Blossom protect)</v>
      </c>
      <c r="C159" s="564">
        <v>0</v>
      </c>
      <c r="D159" s="261">
        <f t="shared" si="13"/>
        <v>1.5</v>
      </c>
      <c r="E159" s="45">
        <f t="shared" si="14"/>
        <v>86.600000000000009</v>
      </c>
      <c r="F159" s="145"/>
      <c r="G159" s="145"/>
      <c r="I159" s="473"/>
    </row>
    <row r="160" spans="1:9" ht="13" x14ac:dyDescent="0.3">
      <c r="A160" s="1417" t="s">
        <v>299</v>
      </c>
      <c r="B160" s="42" t="str">
        <f>B126</f>
        <v>Neem (NeemAzal T/S)</v>
      </c>
      <c r="C160" s="564">
        <v>1</v>
      </c>
      <c r="D160" s="261">
        <f t="shared" si="13"/>
        <v>4.8</v>
      </c>
      <c r="E160" s="45">
        <f t="shared" si="14"/>
        <v>89.1</v>
      </c>
      <c r="F160" s="145"/>
      <c r="G160" s="145"/>
      <c r="I160" s="473"/>
    </row>
    <row r="161" spans="1:19" ht="13" x14ac:dyDescent="0.3">
      <c r="A161" s="1417"/>
      <c r="B161" s="42" t="str">
        <f>B144</f>
        <v>Pyrethrum</v>
      </c>
      <c r="C161" s="564">
        <v>1</v>
      </c>
      <c r="D161" s="261">
        <f t="shared" si="13"/>
        <v>0.5</v>
      </c>
      <c r="E161" s="45">
        <f t="shared" si="14"/>
        <v>250.04000000000002</v>
      </c>
      <c r="F161" s="145"/>
      <c r="G161" s="145"/>
      <c r="I161" s="473"/>
    </row>
    <row r="162" spans="1:19" ht="13" x14ac:dyDescent="0.3">
      <c r="A162" s="1417"/>
      <c r="B162" s="42" t="str">
        <f>B145</f>
        <v>Schmierseife (Natural)</v>
      </c>
      <c r="C162" s="564">
        <v>1</v>
      </c>
      <c r="D162" s="261">
        <f t="shared" si="13"/>
        <v>20</v>
      </c>
      <c r="E162" s="45">
        <f t="shared" si="14"/>
        <v>13.419999999999998</v>
      </c>
      <c r="F162" s="145"/>
      <c r="G162" s="145"/>
      <c r="I162" s="473"/>
    </row>
    <row r="163" spans="1:19" ht="13" x14ac:dyDescent="0.3">
      <c r="A163" s="1417"/>
      <c r="B163" s="42" t="str">
        <f t="shared" ref="B163:B165" si="16">B146</f>
        <v>Granulosevirus (Madex Top)</v>
      </c>
      <c r="C163" s="1160">
        <v>0</v>
      </c>
      <c r="D163" s="261">
        <f t="shared" si="13"/>
        <v>0.1</v>
      </c>
      <c r="E163" s="45">
        <f t="shared" si="14"/>
        <v>573.6</v>
      </c>
      <c r="F163" s="145"/>
      <c r="G163" s="145"/>
      <c r="I163" s="473"/>
    </row>
    <row r="164" spans="1:19" ht="13" x14ac:dyDescent="0.3">
      <c r="A164" s="1417"/>
      <c r="B164" s="42" t="str">
        <f t="shared" si="16"/>
        <v>Quassiaextrakt (Quassan)</v>
      </c>
      <c r="C164" s="564">
        <v>0</v>
      </c>
      <c r="D164" s="261">
        <f t="shared" si="13"/>
        <v>3.5</v>
      </c>
      <c r="E164" s="45">
        <f t="shared" si="14"/>
        <v>222</v>
      </c>
      <c r="F164" s="145"/>
      <c r="G164" s="145"/>
      <c r="I164" s="473"/>
    </row>
    <row r="165" spans="1:19" ht="13" x14ac:dyDescent="0.3">
      <c r="A165" s="1417"/>
      <c r="B165" s="42" t="str">
        <f t="shared" si="16"/>
        <v>Weissöl (Weissöl Omya)</v>
      </c>
      <c r="C165" s="564">
        <v>1</v>
      </c>
      <c r="D165" s="261">
        <f t="shared" si="13"/>
        <v>50</v>
      </c>
      <c r="E165" s="45">
        <f t="shared" si="14"/>
        <v>3.7833999999999999</v>
      </c>
      <c r="F165" s="145"/>
      <c r="G165" s="145"/>
      <c r="I165" s="473"/>
    </row>
    <row r="166" spans="1:19" s="1" customFormat="1" x14ac:dyDescent="0.25">
      <c r="A166" s="19" t="s">
        <v>141</v>
      </c>
      <c r="B166" s="47">
        <v>0</v>
      </c>
      <c r="C166" s="47">
        <f>SUM(C153:C163)</f>
        <v>28</v>
      </c>
      <c r="D166" s="44"/>
      <c r="E166" s="44"/>
      <c r="F166" s="44"/>
      <c r="G166" s="19"/>
    </row>
    <row r="167" spans="1:19" s="1" customFormat="1" ht="18" x14ac:dyDescent="0.4">
      <c r="A167" s="561" t="s">
        <v>139</v>
      </c>
      <c r="B167" s="561"/>
      <c r="C167" s="800"/>
      <c r="D167" s="333"/>
      <c r="E167" s="333"/>
      <c r="F167" s="333"/>
      <c r="G167" s="19"/>
    </row>
    <row r="168" spans="1:19" s="1" customFormat="1" ht="20" x14ac:dyDescent="0.4">
      <c r="B168" s="110"/>
      <c r="C168" s="95"/>
      <c r="D168" s="35"/>
      <c r="E168" s="1332"/>
      <c r="F168" s="35"/>
      <c r="G168" s="35"/>
    </row>
    <row r="169" spans="1:19" ht="25" x14ac:dyDescent="0.5">
      <c r="A169" s="1418" t="s">
        <v>653</v>
      </c>
      <c r="B169" s="1418"/>
      <c r="C169" s="1418"/>
      <c r="D169" s="1418"/>
      <c r="E169" s="1418"/>
      <c r="F169" s="1418"/>
      <c r="G169" s="1418"/>
      <c r="H169" s="1418"/>
      <c r="I169" s="1418"/>
    </row>
    <row r="170" spans="1:19" ht="13" x14ac:dyDescent="0.3">
      <c r="A170" s="1419"/>
      <c r="B170" s="1419"/>
      <c r="D170" s="11"/>
      <c r="E170" s="11"/>
      <c r="F170" s="11"/>
      <c r="G170" s="11"/>
      <c r="H170" s="13"/>
    </row>
    <row r="171" spans="1:19" x14ac:dyDescent="0.25">
      <c r="A171" s="1420" t="s">
        <v>153</v>
      </c>
      <c r="B171" s="1420"/>
      <c r="C171" s="1420"/>
      <c r="D171" s="11"/>
      <c r="E171" s="11"/>
      <c r="F171" s="11"/>
      <c r="G171" s="11"/>
      <c r="H171" s="13"/>
    </row>
    <row r="172" spans="1:19" x14ac:dyDescent="0.25">
      <c r="A172" s="69"/>
      <c r="B172" s="145"/>
      <c r="C172" s="92"/>
      <c r="D172" s="11"/>
      <c r="E172" s="11"/>
      <c r="F172" s="11"/>
      <c r="G172" s="11"/>
    </row>
    <row r="173" spans="1:19" ht="14" x14ac:dyDescent="0.3">
      <c r="B173" s="806" t="s">
        <v>90</v>
      </c>
      <c r="C173" s="11"/>
      <c r="D173" s="11"/>
      <c r="E173" s="11"/>
      <c r="F173" s="11"/>
      <c r="G173" s="13"/>
      <c r="H173" s="13"/>
      <c r="I173" s="13"/>
      <c r="L173" s="1"/>
      <c r="M173" s="1"/>
      <c r="N173" s="1"/>
      <c r="O173" s="1"/>
      <c r="P173" s="1"/>
      <c r="Q173" s="1"/>
      <c r="R173" s="1"/>
      <c r="S173" s="1"/>
    </row>
    <row r="174" spans="1:19" ht="18" customHeight="1" x14ac:dyDescent="0.3">
      <c r="A174" s="618" t="s">
        <v>24</v>
      </c>
      <c r="B174" s="87" t="s">
        <v>452</v>
      </c>
      <c r="C174" s="92"/>
      <c r="D174" s="253">
        <f>D191</f>
        <v>41</v>
      </c>
      <c r="E174" s="253"/>
      <c r="F174" s="11"/>
      <c r="G174" s="803" t="s">
        <v>201</v>
      </c>
      <c r="H174" s="13"/>
      <c r="I174" s="618">
        <v>0.25</v>
      </c>
      <c r="L174" s="145"/>
      <c r="M174" s="1193"/>
      <c r="N174" s="45"/>
      <c r="O174" s="44"/>
      <c r="P174" s="44"/>
      <c r="Q174" s="221"/>
      <c r="R174" s="44"/>
      <c r="S174" s="1"/>
    </row>
    <row r="175" spans="1:19" ht="18" customHeight="1" x14ac:dyDescent="0.3">
      <c r="A175" s="756"/>
      <c r="B175" s="87"/>
      <c r="C175" s="92"/>
      <c r="D175" s="92"/>
      <c r="E175" s="92"/>
      <c r="F175" s="109"/>
      <c r="G175" s="11"/>
      <c r="H175" s="114"/>
      <c r="I175" s="13"/>
      <c r="L175" s="145"/>
      <c r="M175" s="40"/>
      <c r="N175" s="82"/>
      <c r="O175" s="265"/>
      <c r="P175" s="264"/>
      <c r="Q175" s="264"/>
      <c r="R175" s="264"/>
      <c r="S175" s="1"/>
    </row>
    <row r="176" spans="1:19" x14ac:dyDescent="0.25">
      <c r="A176" s="145"/>
      <c r="B176" s="145"/>
      <c r="C176" s="1323" t="s">
        <v>105</v>
      </c>
      <c r="D176" s="307" t="s">
        <v>106</v>
      </c>
      <c r="E176" s="1331" t="s">
        <v>11</v>
      </c>
      <c r="F176" s="1331" t="s">
        <v>348</v>
      </c>
      <c r="G176" s="86" t="s">
        <v>349</v>
      </c>
      <c r="H176" s="1331" t="s">
        <v>350</v>
      </c>
      <c r="I176" s="94"/>
      <c r="L176" s="42"/>
      <c r="M176" s="40"/>
      <c r="N176" s="694"/>
      <c r="O176" s="96"/>
      <c r="P176" s="1189"/>
      <c r="Q176" s="1189"/>
      <c r="R176" s="264"/>
      <c r="S176" s="1"/>
    </row>
    <row r="177" spans="1:19" ht="13" x14ac:dyDescent="0.3">
      <c r="A177" s="1421" t="s">
        <v>104</v>
      </c>
      <c r="B177" s="145" t="s">
        <v>638</v>
      </c>
      <c r="C177" s="562">
        <v>1</v>
      </c>
      <c r="D177" s="1319">
        <v>37</v>
      </c>
      <c r="E177" s="265"/>
      <c r="F177" s="264"/>
      <c r="G177" s="264"/>
      <c r="H177" s="264"/>
      <c r="I177" s="264"/>
      <c r="J177" s="473"/>
      <c r="L177" s="145"/>
      <c r="M177" s="40"/>
      <c r="N177" s="82"/>
      <c r="O177" s="96"/>
      <c r="P177" s="1189"/>
      <c r="Q177" s="1189"/>
      <c r="R177" s="264"/>
      <c r="S177" s="1"/>
    </row>
    <row r="178" spans="1:19" ht="13" x14ac:dyDescent="0.3">
      <c r="A178" s="1421"/>
      <c r="B178" s="42" t="s">
        <v>674</v>
      </c>
      <c r="C178" s="562">
        <v>1</v>
      </c>
      <c r="D178" s="1391">
        <v>57</v>
      </c>
      <c r="E178" s="96">
        <v>2</v>
      </c>
      <c r="F178" s="1189"/>
      <c r="G178" s="1189"/>
      <c r="H178" s="264"/>
      <c r="I178" s="264"/>
      <c r="J178" s="473"/>
      <c r="L178" s="42"/>
      <c r="M178" s="40"/>
      <c r="N178" s="82"/>
      <c r="O178" s="96"/>
      <c r="P178" s="1189"/>
      <c r="Q178" s="1189"/>
      <c r="R178" s="264"/>
      <c r="S178" s="1"/>
    </row>
    <row r="179" spans="1:19" ht="13" x14ac:dyDescent="0.3">
      <c r="A179" s="1421"/>
      <c r="B179" s="145" t="s">
        <v>88</v>
      </c>
      <c r="C179" s="562">
        <v>1</v>
      </c>
      <c r="D179" s="1319">
        <v>18</v>
      </c>
      <c r="E179" s="96"/>
      <c r="F179" s="1189"/>
      <c r="G179" s="1189"/>
      <c r="H179" s="264"/>
      <c r="I179" s="264"/>
      <c r="J179" s="473"/>
      <c r="L179" s="145"/>
      <c r="M179" s="1338"/>
      <c r="N179" s="82"/>
      <c r="O179" s="266"/>
      <c r="P179" s="264"/>
      <c r="Q179" s="264"/>
      <c r="R179" s="264"/>
      <c r="S179" s="1"/>
    </row>
    <row r="180" spans="1:19" ht="13" x14ac:dyDescent="0.3">
      <c r="A180" s="1421"/>
      <c r="B180" s="42" t="s">
        <v>683</v>
      </c>
      <c r="C180" s="562">
        <v>1</v>
      </c>
      <c r="D180" s="1384">
        <v>113</v>
      </c>
      <c r="E180" s="96"/>
      <c r="F180" s="1189"/>
      <c r="G180" s="1189"/>
      <c r="H180" s="264"/>
      <c r="I180" s="264"/>
      <c r="J180" s="473"/>
      <c r="L180" s="42"/>
      <c r="M180" s="40"/>
      <c r="N180" s="82"/>
      <c r="O180" s="96"/>
      <c r="P180" s="1189"/>
      <c r="Q180" s="1189"/>
      <c r="R180" s="264"/>
      <c r="S180" s="1"/>
    </row>
    <row r="181" spans="1:19" ht="13" x14ac:dyDescent="0.3">
      <c r="A181" s="1421"/>
      <c r="B181" s="145" t="s">
        <v>200</v>
      </c>
      <c r="C181" s="563">
        <v>960</v>
      </c>
      <c r="D181" s="1319">
        <v>9</v>
      </c>
      <c r="E181" s="266">
        <v>4</v>
      </c>
      <c r="F181" s="565">
        <v>8.4700000000000006</v>
      </c>
      <c r="G181" s="565">
        <v>1.57</v>
      </c>
      <c r="H181" s="264">
        <f t="shared" ref="H181:H183" si="17">ROUND(F181+G181,1)</f>
        <v>10</v>
      </c>
      <c r="I181" s="264"/>
      <c r="J181" s="473"/>
      <c r="L181" s="145"/>
      <c r="M181" s="40"/>
      <c r="N181" s="82"/>
      <c r="O181" s="44"/>
      <c r="P181" s="264"/>
      <c r="Q181" s="264"/>
      <c r="R181" s="264"/>
      <c r="S181" s="1"/>
    </row>
    <row r="182" spans="1:19" ht="13" x14ac:dyDescent="0.3">
      <c r="A182" s="1421"/>
      <c r="B182" s="42" t="s">
        <v>673</v>
      </c>
      <c r="C182" s="562">
        <v>1</v>
      </c>
      <c r="D182" s="1319">
        <v>41</v>
      </c>
      <c r="E182" s="96">
        <v>7</v>
      </c>
      <c r="F182" s="1189"/>
      <c r="G182" s="1189"/>
      <c r="H182" s="264"/>
      <c r="I182" s="264"/>
      <c r="J182" s="473"/>
      <c r="L182" s="145"/>
      <c r="M182" s="40"/>
      <c r="N182" s="97"/>
      <c r="O182" s="44"/>
      <c r="P182" s="264"/>
      <c r="Q182" s="264"/>
      <c r="R182" s="264"/>
      <c r="S182" s="1"/>
    </row>
    <row r="183" spans="1:19" ht="13" x14ac:dyDescent="0.3">
      <c r="A183" s="1421"/>
      <c r="B183" s="145" t="s">
        <v>61</v>
      </c>
      <c r="C183" s="562">
        <v>2</v>
      </c>
      <c r="D183" s="1319">
        <f t="shared" ref="D183" si="18">H183</f>
        <v>68.3</v>
      </c>
      <c r="E183" s="44">
        <v>1</v>
      </c>
      <c r="F183" s="565">
        <v>39.25</v>
      </c>
      <c r="G183" s="565">
        <v>29.05</v>
      </c>
      <c r="H183" s="264">
        <f t="shared" si="17"/>
        <v>68.3</v>
      </c>
      <c r="I183" s="264"/>
      <c r="J183" s="473"/>
      <c r="L183" s="42"/>
      <c r="M183" s="40"/>
      <c r="N183" s="97"/>
      <c r="O183" s="44"/>
      <c r="P183" s="264"/>
      <c r="Q183" s="264"/>
      <c r="R183" s="264"/>
      <c r="S183" s="1"/>
    </row>
    <row r="184" spans="1:19" ht="13" x14ac:dyDescent="0.3">
      <c r="A184" s="1421"/>
      <c r="B184" s="145" t="s">
        <v>561</v>
      </c>
      <c r="C184" s="1304">
        <v>2</v>
      </c>
      <c r="D184" s="566">
        <v>130</v>
      </c>
      <c r="E184" s="1303">
        <v>3</v>
      </c>
      <c r="F184" s="264"/>
      <c r="G184" s="264"/>
      <c r="H184" s="264">
        <f>C184*D184</f>
        <v>260</v>
      </c>
      <c r="I184" s="264"/>
      <c r="J184" s="473"/>
      <c r="L184" s="145"/>
      <c r="M184" s="97"/>
      <c r="N184" s="1339"/>
      <c r="O184" s="44"/>
      <c r="P184" s="264"/>
      <c r="Q184" s="264"/>
      <c r="R184" s="264"/>
      <c r="S184" s="1"/>
    </row>
    <row r="185" spans="1:19" x14ac:dyDescent="0.25">
      <c r="A185" s="1421"/>
      <c r="B185" s="42" t="s">
        <v>675</v>
      </c>
      <c r="C185" s="1304">
        <v>1</v>
      </c>
      <c r="D185" s="1168">
        <v>84</v>
      </c>
      <c r="E185" s="1303">
        <v>6</v>
      </c>
      <c r="F185" s="264"/>
      <c r="G185" s="264"/>
      <c r="H185" s="264"/>
      <c r="I185" s="264"/>
      <c r="L185" s="42"/>
      <c r="M185" s="40"/>
      <c r="N185" s="82"/>
      <c r="O185" s="1"/>
      <c r="P185" s="1"/>
      <c r="Q185" s="1"/>
      <c r="R185" s="1"/>
      <c r="S185" s="1"/>
    </row>
    <row r="186" spans="1:19" ht="13" x14ac:dyDescent="0.25">
      <c r="A186" s="1139"/>
      <c r="B186" s="145" t="s">
        <v>563</v>
      </c>
      <c r="C186" s="92"/>
      <c r="D186" s="804">
        <v>500</v>
      </c>
      <c r="E186" s="11"/>
      <c r="F186" s="128"/>
      <c r="G186" s="128"/>
      <c r="H186" s="128">
        <f>D186</f>
        <v>500</v>
      </c>
      <c r="I186" s="128"/>
      <c r="L186" s="42"/>
      <c r="M186" s="40"/>
      <c r="N186" s="97"/>
      <c r="O186" s="44"/>
      <c r="P186" s="264"/>
      <c r="Q186" s="264"/>
      <c r="R186" s="264"/>
      <c r="S186" s="1"/>
    </row>
    <row r="187" spans="1:19" ht="13" x14ac:dyDescent="0.3">
      <c r="A187" s="87"/>
      <c r="B187" s="42" t="s">
        <v>677</v>
      </c>
      <c r="C187" s="562">
        <v>0.2</v>
      </c>
      <c r="D187" s="1384">
        <v>17.5</v>
      </c>
      <c r="E187"/>
      <c r="F187"/>
      <c r="G187"/>
      <c r="I187" s="264"/>
      <c r="L187" s="42"/>
      <c r="M187" s="82"/>
      <c r="N187" s="97"/>
      <c r="O187" s="44"/>
      <c r="P187" s="264"/>
      <c r="Q187" s="264"/>
      <c r="R187" s="264"/>
      <c r="S187" s="1"/>
    </row>
    <row r="188" spans="1:19" ht="13" x14ac:dyDescent="0.3">
      <c r="A188" s="87"/>
      <c r="B188" s="42" t="s">
        <v>678</v>
      </c>
      <c r="C188" s="1304">
        <v>10</v>
      </c>
      <c r="D188" s="92"/>
      <c r="E188" s="11"/>
      <c r="F188" s="128"/>
      <c r="G188" s="128"/>
      <c r="H188" s="128"/>
      <c r="I188" s="264"/>
      <c r="L188" s="42"/>
      <c r="M188" s="82"/>
      <c r="N188" s="97"/>
      <c r="O188" s="44"/>
      <c r="P188" s="264"/>
      <c r="Q188" s="264"/>
      <c r="R188" s="264"/>
      <c r="S188" s="1"/>
    </row>
    <row r="189" spans="1:19" ht="13" x14ac:dyDescent="0.3">
      <c r="A189" s="87"/>
      <c r="B189" s="42" t="s">
        <v>679</v>
      </c>
      <c r="C189" s="1319">
        <v>0.5</v>
      </c>
      <c r="D189" s="92"/>
      <c r="E189" s="11"/>
      <c r="F189" s="128"/>
      <c r="G189" s="128"/>
      <c r="H189" s="128"/>
      <c r="I189" s="264"/>
      <c r="L189" s="42"/>
      <c r="M189" s="82"/>
      <c r="N189" s="97"/>
      <c r="O189" s="44"/>
      <c r="P189" s="264"/>
      <c r="Q189" s="264"/>
      <c r="R189" s="264"/>
      <c r="S189" s="1"/>
    </row>
    <row r="190" spans="1:19" ht="17.5" customHeight="1" x14ac:dyDescent="0.3">
      <c r="A190" s="49"/>
      <c r="B190" s="806" t="s">
        <v>97</v>
      </c>
      <c r="C190" s="120" t="s">
        <v>76</v>
      </c>
      <c r="D190" s="94" t="s">
        <v>21</v>
      </c>
      <c r="E190" s="1331"/>
      <c r="F190" s="94"/>
      <c r="G190" s="94" t="s">
        <v>351</v>
      </c>
      <c r="H190" s="94" t="s">
        <v>352</v>
      </c>
      <c r="I190" s="94" t="s">
        <v>453</v>
      </c>
      <c r="L190" s="1"/>
      <c r="M190" s="1"/>
      <c r="N190" s="1"/>
      <c r="O190" s="1"/>
      <c r="P190" s="1"/>
      <c r="Q190" s="1"/>
      <c r="R190" s="1"/>
      <c r="S190" s="1"/>
    </row>
    <row r="191" spans="1:19" ht="13" x14ac:dyDescent="0.3">
      <c r="A191" s="807" t="s">
        <v>24</v>
      </c>
      <c r="B191" s="1302" t="s">
        <v>639</v>
      </c>
      <c r="C191" s="263" t="s">
        <v>2</v>
      </c>
      <c r="D191" s="1343">
        <v>41</v>
      </c>
      <c r="E191" s="808"/>
      <c r="F191"/>
      <c r="G191"/>
      <c r="J191" s="473"/>
      <c r="L191" s="1"/>
      <c r="M191" s="1"/>
      <c r="N191" s="1"/>
      <c r="O191" s="1"/>
      <c r="P191" s="1"/>
      <c r="Q191" s="1"/>
      <c r="R191" s="1"/>
      <c r="S191" s="1"/>
    </row>
    <row r="192" spans="1:19" ht="13" x14ac:dyDescent="0.3">
      <c r="A192" s="1421" t="s">
        <v>104</v>
      </c>
      <c r="B192" s="145" t="s">
        <v>166</v>
      </c>
      <c r="C192" s="566">
        <v>3.8</v>
      </c>
      <c r="D192" s="1344">
        <v>23</v>
      </c>
      <c r="E192" s="92"/>
      <c r="F192"/>
      <c r="G192"/>
      <c r="J192" s="473"/>
    </row>
    <row r="193" spans="1:10" ht="13" x14ac:dyDescent="0.3">
      <c r="A193" s="1421"/>
      <c r="B193" s="145" t="s">
        <v>637</v>
      </c>
      <c r="C193" s="566">
        <v>1.8</v>
      </c>
      <c r="D193" s="1344">
        <v>101</v>
      </c>
      <c r="E193" s="92"/>
      <c r="F193"/>
      <c r="G193"/>
      <c r="J193" s="473"/>
    </row>
    <row r="194" spans="1:10" ht="13" x14ac:dyDescent="0.3">
      <c r="A194" s="1421"/>
      <c r="B194" s="145" t="s">
        <v>87</v>
      </c>
      <c r="C194" s="566">
        <v>1.6</v>
      </c>
      <c r="D194" s="1344">
        <v>83</v>
      </c>
      <c r="E194" s="92"/>
      <c r="F194"/>
      <c r="G194"/>
      <c r="J194" s="473"/>
    </row>
    <row r="195" spans="1:10" ht="13" x14ac:dyDescent="0.3">
      <c r="A195" s="1421"/>
      <c r="B195" s="145" t="s">
        <v>89</v>
      </c>
      <c r="C195" s="567">
        <v>0.1</v>
      </c>
      <c r="D195" s="1344">
        <v>15</v>
      </c>
      <c r="E195" s="92"/>
      <c r="F195"/>
      <c r="G195"/>
      <c r="J195" s="473"/>
    </row>
    <row r="196" spans="1:10" ht="13" x14ac:dyDescent="0.3">
      <c r="A196" s="1421"/>
      <c r="B196" s="145" t="s">
        <v>384</v>
      </c>
      <c r="C196" s="267"/>
      <c r="D196" s="1344">
        <v>25</v>
      </c>
      <c r="E196" s="92"/>
      <c r="F196"/>
      <c r="G196"/>
      <c r="J196" s="473"/>
    </row>
    <row r="197" spans="1:10" x14ac:dyDescent="0.25">
      <c r="A197" s="1421"/>
      <c r="B197" s="145" t="s">
        <v>373</v>
      </c>
      <c r="C197" s="267" t="s">
        <v>383</v>
      </c>
      <c r="D197" s="568">
        <v>150</v>
      </c>
      <c r="E197" s="92"/>
      <c r="F197"/>
      <c r="G197"/>
      <c r="J197" s="466"/>
    </row>
    <row r="198" spans="1:10" x14ac:dyDescent="0.25">
      <c r="A198" s="1421"/>
      <c r="B198" s="145" t="s">
        <v>562</v>
      </c>
      <c r="C198" s="267"/>
      <c r="D198" s="805">
        <v>500</v>
      </c>
      <c r="E198" s="92"/>
      <c r="F198" s="11"/>
      <c r="G198" s="264"/>
      <c r="H198" s="264"/>
      <c r="I198" s="264"/>
    </row>
    <row r="199" spans="1:10" ht="25" x14ac:dyDescent="0.5">
      <c r="A199" s="1418" t="s">
        <v>17</v>
      </c>
      <c r="B199" s="1418"/>
      <c r="C199" s="1418"/>
      <c r="D199" s="1418"/>
      <c r="E199" s="1418"/>
      <c r="F199" s="1418"/>
      <c r="G199" s="1418"/>
      <c r="H199" s="1418"/>
      <c r="I199" s="1418"/>
    </row>
    <row r="200" spans="1:10" x14ac:dyDescent="0.25">
      <c r="C200" s="165" t="s">
        <v>184</v>
      </c>
      <c r="D200" s="38" t="s">
        <v>183</v>
      </c>
      <c r="E200" s="38"/>
    </row>
    <row r="201" spans="1:10" ht="25.5" x14ac:dyDescent="0.3">
      <c r="A201" s="49" t="s">
        <v>181</v>
      </c>
      <c r="B201" s="166" t="s">
        <v>185</v>
      </c>
      <c r="C201" s="470">
        <v>10</v>
      </c>
      <c r="D201" s="529">
        <v>15</v>
      </c>
      <c r="E201" s="529"/>
      <c r="F201" s="129"/>
    </row>
    <row r="202" spans="1:10" ht="18" customHeight="1" x14ac:dyDescent="0.25">
      <c r="B202" t="s">
        <v>182</v>
      </c>
      <c r="C202" s="577">
        <v>0</v>
      </c>
      <c r="D202" s="578">
        <v>15</v>
      </c>
      <c r="E202" s="564"/>
      <c r="F202" s="35"/>
    </row>
    <row r="203" spans="1:10" x14ac:dyDescent="0.25">
      <c r="C203" s="268">
        <f>SUM(C201:C202)</f>
        <v>10</v>
      </c>
      <c r="D203" s="269">
        <f>((C201*D201)+(C202*D202))/C203</f>
        <v>15</v>
      </c>
      <c r="E203" s="269"/>
      <c r="F203" s="35"/>
    </row>
    <row r="204" spans="1:10" ht="13.5" thickBot="1" x14ac:dyDescent="0.35">
      <c r="A204" s="49" t="s">
        <v>175</v>
      </c>
      <c r="C204" s="95"/>
      <c r="D204" s="35"/>
      <c r="E204" s="1332"/>
      <c r="F204" s="142" t="s">
        <v>172</v>
      </c>
    </row>
    <row r="205" spans="1:10" x14ac:dyDescent="0.25">
      <c r="B205" t="s">
        <v>173</v>
      </c>
      <c r="C205" s="95"/>
      <c r="D205" s="35"/>
      <c r="E205" s="1332"/>
      <c r="F205" s="579">
        <v>200</v>
      </c>
      <c r="H205" s="10"/>
    </row>
    <row r="206" spans="1:10" x14ac:dyDescent="0.25">
      <c r="B206" t="s">
        <v>174</v>
      </c>
      <c r="C206" s="95"/>
      <c r="D206" s="35"/>
      <c r="E206" s="1332"/>
      <c r="F206" s="1010">
        <v>400</v>
      </c>
    </row>
    <row r="207" spans="1:10" x14ac:dyDescent="0.25">
      <c r="F207" s="280">
        <f>SUM(F205:F206)</f>
        <v>600</v>
      </c>
    </row>
    <row r="209" spans="1:9" x14ac:dyDescent="0.25">
      <c r="C209" s="95"/>
      <c r="D209" s="35"/>
      <c r="E209" s="1332"/>
      <c r="F209" s="35"/>
      <c r="G209" s="35"/>
    </row>
    <row r="210" spans="1:9" ht="25.5" customHeight="1" x14ac:dyDescent="0.5">
      <c r="A210" s="1418" t="s">
        <v>645</v>
      </c>
      <c r="B210" s="1418"/>
      <c r="C210" s="1418"/>
      <c r="D210" s="1418"/>
      <c r="E210" s="1418"/>
      <c r="F210" s="1418"/>
      <c r="G210" s="1418"/>
      <c r="H210" s="1418"/>
      <c r="I210" s="1418"/>
    </row>
    <row r="211" spans="1:9" ht="17.5" customHeight="1" x14ac:dyDescent="0.3">
      <c r="A211" s="13"/>
      <c r="B211" s="13"/>
      <c r="C211" s="794" t="s">
        <v>11</v>
      </c>
      <c r="D211" s="794" t="s">
        <v>12</v>
      </c>
      <c r="E211" s="794"/>
      <c r="F211" s="794" t="s">
        <v>572</v>
      </c>
      <c r="G211" s="44"/>
    </row>
    <row r="212" spans="1:9" ht="13" x14ac:dyDescent="0.3">
      <c r="A212" s="1421" t="s">
        <v>276</v>
      </c>
      <c r="B212" s="19" t="s">
        <v>91</v>
      </c>
      <c r="C212" s="814"/>
      <c r="D212" s="553">
        <v>6.9</v>
      </c>
      <c r="E212" s="553"/>
      <c r="F212" s="44"/>
      <c r="G212" s="469"/>
    </row>
    <row r="213" spans="1:9" ht="13" x14ac:dyDescent="0.3">
      <c r="A213" s="1421"/>
      <c r="B213" s="19" t="s">
        <v>443</v>
      </c>
      <c r="C213" s="47"/>
      <c r="D213" s="553">
        <v>9.6</v>
      </c>
      <c r="E213" s="553"/>
      <c r="F213" s="44"/>
      <c r="G213" s="469"/>
    </row>
    <row r="214" spans="1:9" ht="13" x14ac:dyDescent="0.3">
      <c r="A214" s="1421"/>
      <c r="B214" s="19" t="s">
        <v>444</v>
      </c>
      <c r="C214" s="47"/>
      <c r="D214" s="553">
        <v>15.5</v>
      </c>
      <c r="E214" s="553"/>
      <c r="F214" s="44"/>
      <c r="G214" s="469"/>
    </row>
    <row r="215" spans="1:9" ht="13" x14ac:dyDescent="0.3">
      <c r="A215" s="1421"/>
      <c r="B215" s="19" t="s">
        <v>444</v>
      </c>
      <c r="C215" s="582">
        <v>6</v>
      </c>
      <c r="D215" s="553">
        <v>19.8</v>
      </c>
      <c r="E215" s="553"/>
      <c r="F215" s="44"/>
      <c r="G215" s="469"/>
    </row>
    <row r="216" spans="1:9" ht="13" x14ac:dyDescent="0.3">
      <c r="A216" s="1421"/>
      <c r="B216" s="19" t="s">
        <v>15</v>
      </c>
      <c r="C216" s="582">
        <v>2</v>
      </c>
      <c r="D216" s="553">
        <v>200</v>
      </c>
      <c r="E216" s="553"/>
      <c r="F216" s="44"/>
      <c r="G216" s="469"/>
    </row>
    <row r="217" spans="1:9" ht="13" x14ac:dyDescent="0.3">
      <c r="A217" s="1421"/>
      <c r="B217" s="19" t="s">
        <v>445</v>
      </c>
      <c r="C217" s="815"/>
      <c r="D217" s="553">
        <v>4.0999999999999996</v>
      </c>
      <c r="E217" s="553"/>
      <c r="F217" s="44"/>
      <c r="G217" s="469"/>
    </row>
    <row r="218" spans="1:9" ht="13" x14ac:dyDescent="0.3">
      <c r="A218" s="1421"/>
      <c r="B218" s="19" t="s">
        <v>92</v>
      </c>
      <c r="C218" s="573">
        <v>3</v>
      </c>
      <c r="D218" s="553">
        <v>11.95</v>
      </c>
      <c r="E218" s="553"/>
      <c r="F218" s="44"/>
      <c r="G218" s="469"/>
    </row>
    <row r="219" spans="1:9" x14ac:dyDescent="0.25">
      <c r="A219" s="1421"/>
      <c r="B219" s="19" t="s">
        <v>16</v>
      </c>
      <c r="C219" s="47" t="s">
        <v>393</v>
      </c>
      <c r="D219" s="560">
        <v>0.25</v>
      </c>
      <c r="E219" s="560"/>
      <c r="F219" s="44"/>
      <c r="G219" s="35"/>
    </row>
    <row r="220" spans="1:9" x14ac:dyDescent="0.25">
      <c r="A220" s="1421"/>
      <c r="B220" s="19" t="s">
        <v>394</v>
      </c>
      <c r="C220" s="47" t="s">
        <v>395</v>
      </c>
      <c r="D220" s="560">
        <v>1</v>
      </c>
      <c r="E220" s="560"/>
      <c r="F220" s="44"/>
      <c r="G220" s="35"/>
    </row>
    <row r="221" spans="1:9" x14ac:dyDescent="0.25">
      <c r="A221" s="1421"/>
      <c r="B221" s="19" t="s">
        <v>94</v>
      </c>
      <c r="C221" s="47"/>
      <c r="D221" s="63"/>
      <c r="E221" s="63"/>
      <c r="F221" s="817">
        <v>300</v>
      </c>
      <c r="G221" s="35"/>
    </row>
    <row r="222" spans="1:9" x14ac:dyDescent="0.25">
      <c r="A222" s="1421" t="s">
        <v>575</v>
      </c>
      <c r="B222" s="42" t="s">
        <v>568</v>
      </c>
      <c r="C222" s="1169">
        <f>(B18+B19)*2</f>
        <v>410</v>
      </c>
      <c r="D222" s="1170">
        <v>4.2</v>
      </c>
      <c r="E222" s="1170"/>
      <c r="F222" s="817"/>
      <c r="G222" s="35"/>
    </row>
    <row r="223" spans="1:9" x14ac:dyDescent="0.25">
      <c r="A223" s="1421"/>
      <c r="B223" s="42" t="s">
        <v>567</v>
      </c>
      <c r="C223" s="1187">
        <v>135</v>
      </c>
      <c r="D223" s="1188">
        <v>0.5</v>
      </c>
      <c r="E223" s="1188"/>
      <c r="F223" s="817"/>
      <c r="G223" s="35"/>
    </row>
    <row r="224" spans="1:9" x14ac:dyDescent="0.25">
      <c r="A224" s="1421"/>
      <c r="B224" s="42" t="s">
        <v>569</v>
      </c>
      <c r="C224" s="1187">
        <v>3</v>
      </c>
      <c r="D224" s="1188">
        <v>15</v>
      </c>
      <c r="E224" s="1188"/>
      <c r="F224" s="817"/>
      <c r="G224" s="35"/>
    </row>
    <row r="225" spans="1:9" x14ac:dyDescent="0.25">
      <c r="A225" s="1421"/>
      <c r="B225" s="42" t="s">
        <v>570</v>
      </c>
      <c r="C225" s="1187">
        <v>400</v>
      </c>
      <c r="D225" s="1188">
        <v>1</v>
      </c>
      <c r="E225" s="1188"/>
      <c r="F225" s="35"/>
      <c r="G225" s="35"/>
    </row>
    <row r="226" spans="1:9" x14ac:dyDescent="0.25">
      <c r="A226" s="1421"/>
      <c r="B226" s="42" t="s">
        <v>571</v>
      </c>
      <c r="C226" s="1187">
        <v>34</v>
      </c>
      <c r="D226" s="1188">
        <v>47</v>
      </c>
      <c r="E226" s="1188"/>
      <c r="F226" s="35"/>
      <c r="G226" s="35"/>
    </row>
    <row r="227" spans="1:9" ht="16.5" customHeight="1" x14ac:dyDescent="0.3">
      <c r="A227" s="41" t="s">
        <v>28</v>
      </c>
      <c r="B227" s="13"/>
      <c r="C227" s="812" t="s">
        <v>27</v>
      </c>
      <c r="D227" s="35"/>
      <c r="E227" s="1332"/>
      <c r="F227" s="35"/>
      <c r="G227" s="35"/>
    </row>
    <row r="228" spans="1:9" ht="15" customHeight="1" x14ac:dyDescent="0.3">
      <c r="A228" s="13"/>
      <c r="B228" s="19" t="s">
        <v>33</v>
      </c>
      <c r="C228" s="685">
        <v>70</v>
      </c>
      <c r="D228" s="1191"/>
      <c r="E228" s="1191"/>
      <c r="F228" s="1189"/>
      <c r="G228" s="1190"/>
      <c r="H228" s="4"/>
    </row>
    <row r="229" spans="1:9" ht="15" customHeight="1" x14ac:dyDescent="0.3">
      <c r="A229" s="13"/>
      <c r="B229" s="19" t="s">
        <v>627</v>
      </c>
      <c r="C229" s="685">
        <v>20</v>
      </c>
      <c r="D229" s="1191"/>
      <c r="E229" s="1191"/>
      <c r="F229" s="1189"/>
      <c r="G229" s="1190"/>
      <c r="H229" s="4"/>
    </row>
    <row r="230" spans="1:9" ht="25" x14ac:dyDescent="0.5">
      <c r="A230" s="1418" t="s">
        <v>339</v>
      </c>
      <c r="B230" s="1418"/>
      <c r="C230" s="1418"/>
      <c r="D230" s="1418"/>
      <c r="E230" s="1418"/>
      <c r="F230" s="1418"/>
      <c r="G230" s="1418"/>
      <c r="H230" s="1418"/>
      <c r="I230" s="1418"/>
    </row>
    <row r="231" spans="1:9" x14ac:dyDescent="0.25">
      <c r="B231" t="str">
        <f>Eingabeseite!A31</f>
        <v>Hagelnetz  (ja=1, nein =0)</v>
      </c>
      <c r="C231" s="470">
        <v>1</v>
      </c>
    </row>
    <row r="232" spans="1:9" x14ac:dyDescent="0.25">
      <c r="B232" t="str">
        <f>Eingabeseite!A32</f>
        <v>Hagelversicherung (ja =1, nein =0)</v>
      </c>
      <c r="C232" s="470">
        <v>0</v>
      </c>
      <c r="D232" s="95"/>
      <c r="E232" s="95"/>
    </row>
    <row r="233" spans="1:9" x14ac:dyDescent="0.25">
      <c r="C233" s="470"/>
      <c r="D233" s="95"/>
      <c r="E233" s="95"/>
    </row>
    <row r="234" spans="1:9" ht="25" x14ac:dyDescent="0.5">
      <c r="A234" s="1418" t="s">
        <v>553</v>
      </c>
      <c r="B234" s="1418"/>
      <c r="C234" s="1418"/>
      <c r="D234" s="1418"/>
      <c r="E234" s="1418"/>
      <c r="F234" s="1418"/>
      <c r="G234" s="1418"/>
      <c r="H234" s="1418"/>
      <c r="I234" s="1418"/>
    </row>
    <row r="235" spans="1:9" x14ac:dyDescent="0.25">
      <c r="B235" t="str">
        <f>Eingabeseite!A33</f>
        <v>Wasserpreis (Fr/m3)</v>
      </c>
      <c r="C235" s="1135">
        <v>2</v>
      </c>
    </row>
    <row r="236" spans="1:9" x14ac:dyDescent="0.25">
      <c r="B236" t="str">
        <f>Eingabeseite!A34</f>
        <v>Bewässerung mit Tropfenbewässerung (ja=1, nein =0)</v>
      </c>
      <c r="C236" s="470">
        <v>1</v>
      </c>
    </row>
    <row r="237" spans="1:9" ht="13" thickBot="1" x14ac:dyDescent="0.3">
      <c r="B237" t="str">
        <f>Eingabeseite!A35</f>
        <v>Bewässerung mit Mikrojet              (ja=1, nein=0)</v>
      </c>
      <c r="C237" s="1270">
        <v>0</v>
      </c>
    </row>
    <row r="238" spans="1:9" x14ac:dyDescent="0.25">
      <c r="B238" t="s">
        <v>604</v>
      </c>
      <c r="C238" s="470">
        <f>SUM(C236:C237)</f>
        <v>1</v>
      </c>
    </row>
    <row r="239" spans="1:9" ht="13" x14ac:dyDescent="0.3">
      <c r="A239" s="1124" t="s">
        <v>481</v>
      </c>
      <c r="B239" s="1124"/>
      <c r="C239" s="1124"/>
      <c r="D239" s="1124"/>
      <c r="E239" s="1124"/>
      <c r="F239" s="1124"/>
      <c r="G239" s="1124"/>
    </row>
    <row r="240" spans="1:9" x14ac:dyDescent="0.25">
      <c r="B240" s="57" t="s">
        <v>484</v>
      </c>
      <c r="C240" s="10">
        <f>'Standard Bewässerung'!E111</f>
        <v>10</v>
      </c>
      <c r="D240">
        <f>'Standard Vorgaben'!$C$36</f>
        <v>32.700000000000003</v>
      </c>
      <c r="E240"/>
      <c r="F240" s="10">
        <f>C240*D240</f>
        <v>327</v>
      </c>
      <c r="G240"/>
    </row>
    <row r="241" spans="1:9" x14ac:dyDescent="0.25">
      <c r="B241" t="s">
        <v>485</v>
      </c>
      <c r="C241" s="10">
        <f>'Standard Bewässerung'!E110</f>
        <v>4</v>
      </c>
      <c r="D241">
        <f>'Standard Vorgaben'!$C$36</f>
        <v>32.700000000000003</v>
      </c>
      <c r="E241"/>
      <c r="F241" s="10">
        <f>C241*D241</f>
        <v>130.80000000000001</v>
      </c>
      <c r="G241"/>
    </row>
    <row r="242" spans="1:9" x14ac:dyDescent="0.25">
      <c r="B242" t="s">
        <v>486</v>
      </c>
      <c r="C242" s="10">
        <f>'Standard Bewässerung'!E112</f>
        <v>500</v>
      </c>
      <c r="D242" s="1060">
        <f>'Standard Bewässerung'!F112</f>
        <v>2</v>
      </c>
      <c r="E242" s="1060"/>
      <c r="F242" s="10">
        <f>C242*D242</f>
        <v>1000</v>
      </c>
      <c r="G242"/>
    </row>
    <row r="243" spans="1:9" ht="13.5" thickBot="1" x14ac:dyDescent="0.35">
      <c r="C243" s="1058">
        <v>14</v>
      </c>
      <c r="D243"/>
      <c r="E243"/>
      <c r="F243" s="1056">
        <f>F240+F241+F242</f>
        <v>1457.8</v>
      </c>
      <c r="G243"/>
    </row>
    <row r="244" spans="1:9" ht="25.5" thickTop="1" x14ac:dyDescent="0.5">
      <c r="A244" s="1418" t="s">
        <v>618</v>
      </c>
      <c r="B244" s="1418"/>
      <c r="C244" s="1418"/>
      <c r="D244" s="1418"/>
      <c r="E244" s="1418"/>
      <c r="F244" s="1418"/>
      <c r="G244" s="1418"/>
      <c r="H244" s="1418"/>
      <c r="I244" s="1418"/>
    </row>
    <row r="245" spans="1:9" x14ac:dyDescent="0.25">
      <c r="B245" s="10" t="s">
        <v>619</v>
      </c>
      <c r="C245" s="1288">
        <f>C231+C238</f>
        <v>2</v>
      </c>
    </row>
    <row r="284" spans="1:9" x14ac:dyDescent="0.25">
      <c r="A284" s="13"/>
      <c r="B284" s="13"/>
      <c r="C284" s="13"/>
      <c r="D284" s="1066"/>
      <c r="E284" s="1066"/>
      <c r="F284" s="1082"/>
      <c r="G284" s="1067"/>
      <c r="H284" s="1067"/>
      <c r="I284" s="1080"/>
    </row>
    <row r="285" spans="1:9" x14ac:dyDescent="0.25">
      <c r="A285" s="13"/>
      <c r="B285" s="13"/>
      <c r="C285" s="1070"/>
      <c r="D285" s="1071"/>
      <c r="E285" s="1071"/>
      <c r="F285" s="1072"/>
      <c r="G285" s="1069"/>
      <c r="H285" s="1069"/>
      <c r="I285" s="1069"/>
    </row>
    <row r="286" spans="1:9" x14ac:dyDescent="0.25">
      <c r="A286" s="13"/>
      <c r="B286" s="13"/>
      <c r="C286" s="1070"/>
      <c r="D286" s="1071"/>
      <c r="E286" s="1071"/>
      <c r="F286" s="1072"/>
      <c r="G286" s="1069"/>
      <c r="H286" s="1069"/>
      <c r="I286" s="1080"/>
    </row>
    <row r="287" spans="1:9" x14ac:dyDescent="0.25">
      <c r="A287" s="13"/>
      <c r="B287" s="13"/>
      <c r="C287" s="1070"/>
      <c r="D287" s="1071"/>
      <c r="E287" s="1071"/>
      <c r="F287" s="1072"/>
      <c r="G287" s="1069"/>
      <c r="H287" s="1069"/>
      <c r="I287" s="1080"/>
    </row>
    <row r="288" spans="1:9" ht="13" x14ac:dyDescent="0.3">
      <c r="C288" s="114"/>
      <c r="D288" s="13"/>
      <c r="E288" s="13"/>
      <c r="F288" s="114"/>
      <c r="G288" s="13"/>
    </row>
    <row r="289" spans="3:7" x14ac:dyDescent="0.25">
      <c r="C289" s="92"/>
      <c r="D289" s="11"/>
      <c r="E289" s="11"/>
      <c r="F289" s="11"/>
      <c r="G289" s="11"/>
    </row>
    <row r="290" spans="3:7" x14ac:dyDescent="0.25">
      <c r="C290" s="92"/>
      <c r="D290" s="11"/>
      <c r="E290" s="11"/>
      <c r="F290" s="11"/>
      <c r="G290" s="11"/>
    </row>
    <row r="291" spans="3:7" x14ac:dyDescent="0.25">
      <c r="C291" s="92"/>
      <c r="D291" s="11"/>
      <c r="E291" s="11"/>
      <c r="F291" s="11"/>
      <c r="G291" s="11"/>
    </row>
    <row r="292" spans="3:7" x14ac:dyDescent="0.25">
      <c r="C292" s="92"/>
      <c r="D292" s="11"/>
      <c r="E292" s="11"/>
      <c r="F292" s="11"/>
      <c r="G292" s="11"/>
    </row>
  </sheetData>
  <mergeCells count="30">
    <mergeCell ref="A170:B170"/>
    <mergeCell ref="A244:I244"/>
    <mergeCell ref="A171:C171"/>
    <mergeCell ref="A210:I210"/>
    <mergeCell ref="A230:I230"/>
    <mergeCell ref="A234:I234"/>
    <mergeCell ref="A212:A221"/>
    <mergeCell ref="A222:A226"/>
    <mergeCell ref="A199:I199"/>
    <mergeCell ref="A192:A198"/>
    <mergeCell ref="A177:A185"/>
    <mergeCell ref="B3:I3"/>
    <mergeCell ref="A4:I4"/>
    <mergeCell ref="A6:I6"/>
    <mergeCell ref="B12:G12"/>
    <mergeCell ref="A102:I102"/>
    <mergeCell ref="B14:D14"/>
    <mergeCell ref="A49:I49"/>
    <mergeCell ref="D72:F72"/>
    <mergeCell ref="D93:D94"/>
    <mergeCell ref="A169:I169"/>
    <mergeCell ref="A160:A165"/>
    <mergeCell ref="A71:I71"/>
    <mergeCell ref="A92:I92"/>
    <mergeCell ref="A117:I117"/>
    <mergeCell ref="A153:A159"/>
    <mergeCell ref="A119:A124"/>
    <mergeCell ref="A126:A131"/>
    <mergeCell ref="A136:A142"/>
    <mergeCell ref="A143:A148"/>
  </mergeCells>
  <phoneticPr fontId="23" type="noConversion"/>
  <dataValidations count="2">
    <dataValidation type="custom" showErrorMessage="1" errorTitle="Falsche Bruttofläche" error="Die Bruttofläche entspricht nicht 10000 m2" sqref="B19">
      <formula1>B18*B19=10000</formula1>
    </dataValidation>
    <dataValidation type="whole" operator="notEqual" showErrorMessage="1" errorTitle="Falsche Länge" error="Es muss eine Länge eingetragen sein" sqref="F10 B18">
      <formula1>0</formula1>
    </dataValidation>
  </dataValidations>
  <pageMargins left="0.78740157499999996" right="0.78740157499999996" top="0.984251969" bottom="0.984251969" header="0.4921259845" footer="0.4921259845"/>
  <pageSetup paperSize="9" orientation="portrait" r:id="rId1"/>
  <headerFooter alignWithMargins="0">
    <oddHeader>&amp;LArbokost BIO 2008/09&amp;REsther Bravin, ACW</oddHeader>
  </headerFooter>
  <rowBreaks count="2" manualBreakCount="2">
    <brk id="90" max="16383" man="1"/>
    <brk id="198" max="1638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tabColor indexed="10"/>
  </sheetPr>
  <dimension ref="A1:H94"/>
  <sheetViews>
    <sheetView topLeftCell="A8" workbookViewId="0">
      <selection activeCell="D17" sqref="D17"/>
    </sheetView>
  </sheetViews>
  <sheetFormatPr baseColWidth="10" defaultRowHeight="12.5" x14ac:dyDescent="0.25"/>
  <cols>
    <col min="1" max="1" width="32.7265625" customWidth="1"/>
    <col min="5" max="5" width="15.54296875" customWidth="1"/>
  </cols>
  <sheetData>
    <row r="1" spans="1:8" ht="44.25" customHeight="1" x14ac:dyDescent="0.35">
      <c r="A1" s="1287" t="str">
        <f>Eingabeseite!$A$1</f>
        <v>Arbokost 2023</v>
      </c>
      <c r="B1" s="1284" t="str">
        <f>'Standard Vorgaben'!B1</f>
        <v>BIO- Tafelapfel, Gala auf M9, 3000 Bäume /ha</v>
      </c>
      <c r="C1" s="773"/>
      <c r="D1" s="774"/>
      <c r="E1" s="775"/>
      <c r="F1" s="776"/>
      <c r="G1" s="777"/>
      <c r="H1" s="771"/>
    </row>
    <row r="2" spans="1:8" ht="27" customHeight="1" x14ac:dyDescent="0.5">
      <c r="A2" s="992" t="s">
        <v>468</v>
      </c>
      <c r="B2" s="819"/>
      <c r="C2" s="773"/>
      <c r="D2" s="774"/>
      <c r="E2" s="775"/>
      <c r="F2" s="776"/>
      <c r="G2" s="777"/>
      <c r="H2" s="771"/>
    </row>
    <row r="3" spans="1:8" s="1" customFormat="1" ht="48.65" customHeight="1" x14ac:dyDescent="0.25">
      <c r="A3" s="820" t="s">
        <v>155</v>
      </c>
      <c r="B3" s="1424" t="s">
        <v>209</v>
      </c>
      <c r="C3" s="1424"/>
      <c r="D3" s="1424"/>
      <c r="E3" s="1424"/>
      <c r="F3" s="1424"/>
      <c r="G3" s="1424"/>
      <c r="H3" s="1424"/>
    </row>
    <row r="4" spans="1:8" s="1" customFormat="1" ht="38.25" customHeight="1" x14ac:dyDescent="0.25">
      <c r="A4" s="1451" t="s">
        <v>655</v>
      </c>
      <c r="B4" s="1451"/>
      <c r="C4" s="1451"/>
      <c r="D4" s="1451"/>
      <c r="E4" s="1451"/>
      <c r="F4" s="1451"/>
      <c r="G4" s="1451"/>
      <c r="H4" s="1451"/>
    </row>
    <row r="5" spans="1:8" x14ac:dyDescent="0.25">
      <c r="A5" s="1394" t="s">
        <v>692</v>
      </c>
      <c r="B5" s="1395"/>
      <c r="C5" s="1396"/>
      <c r="D5" s="1397">
        <v>0.18</v>
      </c>
    </row>
    <row r="6" spans="1:8" ht="25" x14ac:dyDescent="0.5">
      <c r="A6" s="1418" t="s">
        <v>654</v>
      </c>
      <c r="B6" s="1418"/>
      <c r="C6" s="1418"/>
      <c r="D6" s="1418"/>
      <c r="E6" s="1418"/>
      <c r="F6" s="1418"/>
      <c r="G6" s="1418"/>
      <c r="H6" s="1418"/>
    </row>
    <row r="7" spans="1:8" ht="25" x14ac:dyDescent="0.5">
      <c r="A7" s="318" t="s">
        <v>276</v>
      </c>
      <c r="B7" s="809"/>
      <c r="C7" s="810" t="s">
        <v>11</v>
      </c>
      <c r="D7" s="810" t="s">
        <v>12</v>
      </c>
      <c r="E7" s="811" t="s">
        <v>82</v>
      </c>
      <c r="F7" s="44"/>
    </row>
    <row r="8" spans="1:8" ht="25" x14ac:dyDescent="0.5">
      <c r="A8" s="809"/>
      <c r="B8" s="19"/>
      <c r="C8" s="569"/>
      <c r="D8" s="569"/>
      <c r="E8" s="570"/>
      <c r="F8" s="44"/>
    </row>
    <row r="9" spans="1:8" x14ac:dyDescent="0.25">
      <c r="A9" s="13"/>
      <c r="B9" s="13"/>
      <c r="C9" s="97"/>
      <c r="D9" s="44"/>
      <c r="E9" s="44"/>
      <c r="F9" s="35"/>
    </row>
    <row r="10" spans="1:8" ht="13" x14ac:dyDescent="0.3">
      <c r="A10" s="41" t="s">
        <v>144</v>
      </c>
      <c r="B10" s="19" t="s">
        <v>306</v>
      </c>
      <c r="C10" s="571">
        <f>'Standard Vorgaben'!B24</f>
        <v>3000</v>
      </c>
      <c r="D10" s="553">
        <f>1.35*(1+D5)</f>
        <v>1.593</v>
      </c>
      <c r="E10" s="44">
        <f>C10*D10</f>
        <v>4779</v>
      </c>
      <c r="F10" s="469"/>
    </row>
    <row r="11" spans="1:8" ht="13" x14ac:dyDescent="0.3">
      <c r="A11" s="41"/>
      <c r="B11" s="19" t="s">
        <v>163</v>
      </c>
      <c r="C11" s="572">
        <v>2530</v>
      </c>
      <c r="D11" s="553">
        <f>0.16*(1+D5)</f>
        <v>0.1888</v>
      </c>
      <c r="E11" s="44">
        <f>C11*D11</f>
        <v>477.66399999999999</v>
      </c>
      <c r="F11" s="469"/>
    </row>
    <row r="12" spans="1:8" ht="13" x14ac:dyDescent="0.3">
      <c r="A12" s="41"/>
      <c r="B12" s="19" t="s">
        <v>164</v>
      </c>
      <c r="C12" s="573">
        <v>6</v>
      </c>
      <c r="D12" s="553">
        <f>5.5*(1+D5)</f>
        <v>6.4899999999999993</v>
      </c>
      <c r="E12" s="44">
        <f>C12*D12</f>
        <v>38.94</v>
      </c>
      <c r="F12" s="469"/>
    </row>
    <row r="13" spans="1:8" ht="13" x14ac:dyDescent="0.3">
      <c r="A13" s="41"/>
      <c r="B13" s="19" t="s">
        <v>165</v>
      </c>
      <c r="C13" s="571">
        <f>'Standard Vorgaben'!B24</f>
        <v>3000</v>
      </c>
      <c r="D13" s="553">
        <f>0.2*(1+D5)</f>
        <v>0.23599999999999999</v>
      </c>
      <c r="E13" s="44">
        <f>C13*D13</f>
        <v>708</v>
      </c>
      <c r="F13" s="469"/>
    </row>
    <row r="14" spans="1:8" ht="13" x14ac:dyDescent="0.3">
      <c r="A14" s="41"/>
      <c r="B14" s="19"/>
      <c r="C14" s="131"/>
      <c r="D14" s="45"/>
      <c r="E14" s="44"/>
      <c r="F14" s="469"/>
    </row>
    <row r="15" spans="1:8" ht="13" x14ac:dyDescent="0.3">
      <c r="A15" s="87" t="s">
        <v>339</v>
      </c>
      <c r="B15" s="71" t="s">
        <v>381</v>
      </c>
      <c r="C15" s="575">
        <v>9800</v>
      </c>
      <c r="D15" s="576">
        <v>1</v>
      </c>
      <c r="E15" s="219">
        <f t="shared" ref="E15:E24" si="0">C15*D15</f>
        <v>9800</v>
      </c>
      <c r="F15" s="469"/>
    </row>
    <row r="16" spans="1:8" ht="13" x14ac:dyDescent="0.3">
      <c r="A16" s="87"/>
      <c r="B16" s="71" t="s">
        <v>353</v>
      </c>
      <c r="C16" s="575">
        <v>1200</v>
      </c>
      <c r="D16" s="576">
        <v>0.4</v>
      </c>
      <c r="E16" s="219">
        <f t="shared" si="0"/>
        <v>480</v>
      </c>
      <c r="F16" s="469"/>
    </row>
    <row r="17" spans="1:6" ht="13" x14ac:dyDescent="0.3">
      <c r="A17" s="87"/>
      <c r="B17" s="71" t="s">
        <v>354</v>
      </c>
      <c r="C17" s="575">
        <v>1750</v>
      </c>
      <c r="D17" s="576">
        <f>0.83*(1+D5)</f>
        <v>0.97939999999999994</v>
      </c>
      <c r="E17" s="219">
        <f t="shared" si="0"/>
        <v>1713.9499999999998</v>
      </c>
      <c r="F17" s="469"/>
    </row>
    <row r="18" spans="1:6" ht="13" x14ac:dyDescent="0.3">
      <c r="A18" s="87"/>
      <c r="B18" s="71" t="s">
        <v>456</v>
      </c>
      <c r="C18" s="575">
        <v>100</v>
      </c>
      <c r="D18" s="576">
        <f>0.55*(1+D5)</f>
        <v>0.64900000000000002</v>
      </c>
      <c r="E18" s="219">
        <f t="shared" si="0"/>
        <v>64.900000000000006</v>
      </c>
      <c r="F18" s="469"/>
    </row>
    <row r="19" spans="1:6" ht="13" x14ac:dyDescent="0.3">
      <c r="A19" s="87"/>
      <c r="B19" s="71" t="s">
        <v>457</v>
      </c>
      <c r="C19" s="575">
        <v>165</v>
      </c>
      <c r="D19" s="576">
        <f>1.19*(1+D5)</f>
        <v>1.4041999999999999</v>
      </c>
      <c r="E19" s="219">
        <f t="shared" si="0"/>
        <v>231.69299999999998</v>
      </c>
      <c r="F19" s="469"/>
    </row>
    <row r="20" spans="1:6" ht="13" x14ac:dyDescent="0.3">
      <c r="A20" s="87"/>
      <c r="B20" s="71" t="s">
        <v>458</v>
      </c>
      <c r="C20" s="575">
        <v>310</v>
      </c>
      <c r="D20" s="576">
        <f>1.19*(1+D5)</f>
        <v>1.4041999999999999</v>
      </c>
      <c r="E20" s="219">
        <f t="shared" si="0"/>
        <v>435.30199999999996</v>
      </c>
      <c r="F20" s="469"/>
    </row>
    <row r="21" spans="1:6" ht="13" x14ac:dyDescent="0.3">
      <c r="A21" s="87"/>
      <c r="B21" s="71" t="s">
        <v>459</v>
      </c>
      <c r="C21" s="575">
        <v>810</v>
      </c>
      <c r="D21" s="576">
        <f>0.7*(1+D5)</f>
        <v>0.82599999999999996</v>
      </c>
      <c r="E21" s="219">
        <f t="shared" si="0"/>
        <v>669.06</v>
      </c>
      <c r="F21" s="469"/>
    </row>
    <row r="22" spans="1:6" ht="13" x14ac:dyDescent="0.3">
      <c r="A22" s="87"/>
      <c r="B22" s="71" t="s">
        <v>355</v>
      </c>
      <c r="C22" s="575">
        <v>3100</v>
      </c>
      <c r="D22" s="576">
        <f>0.3*(1+D5)</f>
        <v>0.35399999999999998</v>
      </c>
      <c r="E22" s="219">
        <f t="shared" si="0"/>
        <v>1097.3999999999999</v>
      </c>
      <c r="F22" s="469"/>
    </row>
    <row r="23" spans="1:6" ht="13" x14ac:dyDescent="0.3">
      <c r="A23" s="87"/>
      <c r="B23" s="71" t="s">
        <v>356</v>
      </c>
      <c r="C23" s="575">
        <v>3400</v>
      </c>
      <c r="D23" s="576">
        <f>0.1*(1+D5)</f>
        <v>0.11799999999999999</v>
      </c>
      <c r="E23" s="219">
        <f t="shared" si="0"/>
        <v>401.2</v>
      </c>
      <c r="F23" s="469"/>
    </row>
    <row r="24" spans="1:6" ht="13" x14ac:dyDescent="0.3">
      <c r="A24" s="87"/>
      <c r="B24" s="71" t="s">
        <v>357</v>
      </c>
      <c r="C24" s="575">
        <v>26</v>
      </c>
      <c r="D24" s="576">
        <f>9.15*(1+D5)</f>
        <v>10.797000000000001</v>
      </c>
      <c r="E24" s="219">
        <f t="shared" si="0"/>
        <v>280.72200000000004</v>
      </c>
      <c r="F24" s="469"/>
    </row>
    <row r="25" spans="1:6" ht="13" x14ac:dyDescent="0.3">
      <c r="A25" s="87"/>
      <c r="B25" s="71" t="s">
        <v>358</v>
      </c>
      <c r="C25" s="460"/>
      <c r="D25" s="729"/>
      <c r="E25" s="922">
        <v>550</v>
      </c>
      <c r="F25" s="469"/>
    </row>
    <row r="26" spans="1:6" ht="13" x14ac:dyDescent="0.3">
      <c r="A26" s="87"/>
      <c r="B26" s="71"/>
      <c r="C26" s="460"/>
      <c r="D26" s="459"/>
      <c r="E26" s="219"/>
      <c r="F26" s="469"/>
    </row>
    <row r="27" spans="1:6" ht="13" x14ac:dyDescent="0.3">
      <c r="A27" s="87" t="s">
        <v>371</v>
      </c>
      <c r="B27" s="71" t="s">
        <v>460</v>
      </c>
      <c r="C27" s="575">
        <v>350</v>
      </c>
      <c r="D27" s="1406">
        <v>45</v>
      </c>
      <c r="E27" s="219">
        <f>C27*D27</f>
        <v>15750</v>
      </c>
      <c r="F27" s="469"/>
    </row>
    <row r="28" spans="1:6" ht="13" x14ac:dyDescent="0.3">
      <c r="A28" s="87"/>
      <c r="B28" s="71" t="s">
        <v>461</v>
      </c>
      <c r="C28" s="575">
        <v>44</v>
      </c>
      <c r="D28" s="1406">
        <v>40</v>
      </c>
      <c r="E28" s="219">
        <f>C28*D28</f>
        <v>1760</v>
      </c>
      <c r="F28" s="469"/>
    </row>
    <row r="29" spans="1:6" ht="13" x14ac:dyDescent="0.3">
      <c r="A29" s="87"/>
      <c r="B29" s="71" t="s">
        <v>462</v>
      </c>
      <c r="C29" s="575">
        <v>4</v>
      </c>
      <c r="D29" s="1406">
        <v>90</v>
      </c>
      <c r="E29" s="219">
        <f>C29*D29</f>
        <v>360</v>
      </c>
      <c r="F29" s="469"/>
    </row>
    <row r="30" spans="1:6" ht="13" x14ac:dyDescent="0.3">
      <c r="A30" s="87"/>
      <c r="B30" s="71" t="s">
        <v>368</v>
      </c>
      <c r="C30" s="575">
        <v>72</v>
      </c>
      <c r="D30" s="576">
        <f>20.15*(1+D5)</f>
        <v>23.776999999999997</v>
      </c>
      <c r="E30" s="219">
        <f>C30*D30</f>
        <v>1711.9439999999997</v>
      </c>
      <c r="F30" s="469"/>
    </row>
    <row r="31" spans="1:6" ht="13.5" thickBot="1" x14ac:dyDescent="0.35">
      <c r="A31" s="87"/>
      <c r="B31" s="71" t="s">
        <v>369</v>
      </c>
      <c r="C31" s="575">
        <v>68</v>
      </c>
      <c r="D31" s="576">
        <f>1*(1+D5)</f>
        <v>1.18</v>
      </c>
      <c r="E31" s="684">
        <f>C31*D31</f>
        <v>80.239999999999995</v>
      </c>
      <c r="F31" s="469"/>
    </row>
    <row r="32" spans="1:6" ht="13" x14ac:dyDescent="0.3">
      <c r="A32" s="41"/>
      <c r="B32" s="13"/>
      <c r="C32" s="273"/>
      <c r="D32" s="45"/>
      <c r="E32" s="294">
        <f>SUM(E15:E31)</f>
        <v>35386.411</v>
      </c>
      <c r="F32" s="469"/>
    </row>
    <row r="33" spans="1:6" ht="13" x14ac:dyDescent="0.3">
      <c r="A33" s="41"/>
      <c r="B33" s="13"/>
      <c r="C33" s="273"/>
      <c r="D33" s="45"/>
      <c r="E33" s="44"/>
      <c r="F33" s="469"/>
    </row>
    <row r="34" spans="1:6" ht="13" x14ac:dyDescent="0.3">
      <c r="A34" s="41" t="s">
        <v>17</v>
      </c>
      <c r="B34" s="19" t="s">
        <v>34</v>
      </c>
      <c r="C34" s="573">
        <v>40</v>
      </c>
      <c r="D34" s="553">
        <f>7.2</f>
        <v>7.2</v>
      </c>
      <c r="E34" s="44"/>
      <c r="F34" s="469"/>
    </row>
    <row r="35" spans="1:6" ht="13" x14ac:dyDescent="0.3">
      <c r="A35" s="41"/>
      <c r="B35" s="19" t="s">
        <v>18</v>
      </c>
      <c r="C35" s="273"/>
      <c r="D35" s="44"/>
      <c r="E35" s="553">
        <f>125</f>
        <v>125</v>
      </c>
      <c r="F35" s="469"/>
    </row>
    <row r="36" spans="1:6" ht="13" x14ac:dyDescent="0.3">
      <c r="A36" s="19"/>
      <c r="B36" s="19" t="s">
        <v>145</v>
      </c>
      <c r="C36" s="273"/>
      <c r="D36" s="44"/>
      <c r="E36" s="553">
        <v>550</v>
      </c>
      <c r="F36" s="469"/>
    </row>
    <row r="37" spans="1:6" ht="13" x14ac:dyDescent="0.3">
      <c r="A37" s="19"/>
      <c r="B37" s="19"/>
      <c r="C37" s="273"/>
      <c r="D37" s="44"/>
      <c r="E37" s="45"/>
      <c r="F37" s="469"/>
    </row>
    <row r="38" spans="1:6" ht="25.5" x14ac:dyDescent="0.3">
      <c r="A38" s="285" t="s">
        <v>385</v>
      </c>
      <c r="B38" s="71" t="s">
        <v>372</v>
      </c>
      <c r="C38" s="574">
        <v>55</v>
      </c>
      <c r="D38" s="219">
        <f>'Standard Vorgaben'!D174</f>
        <v>41</v>
      </c>
      <c r="E38" s="219">
        <f>C38*D38</f>
        <v>2255</v>
      </c>
      <c r="F38" s="469"/>
    </row>
    <row r="39" spans="1:6" ht="13" x14ac:dyDescent="0.3">
      <c r="A39" s="87"/>
      <c r="B39" s="71" t="s">
        <v>373</v>
      </c>
      <c r="C39" s="574">
        <v>15</v>
      </c>
      <c r="D39" s="219">
        <f>'Standard Vorgaben'!D197</f>
        <v>150</v>
      </c>
      <c r="E39" s="219">
        <f>C39*D39</f>
        <v>2250</v>
      </c>
      <c r="F39" s="469"/>
    </row>
    <row r="40" spans="1:6" ht="13" x14ac:dyDescent="0.3">
      <c r="A40" s="87"/>
      <c r="B40" s="145" t="s">
        <v>384</v>
      </c>
      <c r="C40" s="574">
        <v>20</v>
      </c>
      <c r="D40" s="219">
        <f>'Standard Vorgaben'!D196</f>
        <v>25</v>
      </c>
      <c r="E40" s="219">
        <f>C40*D40</f>
        <v>500</v>
      </c>
      <c r="F40" s="469"/>
    </row>
    <row r="41" spans="1:6" ht="13.5" thickBot="1" x14ac:dyDescent="0.35">
      <c r="A41" s="87"/>
      <c r="B41" s="71" t="s">
        <v>374</v>
      </c>
      <c r="C41" s="574">
        <v>20</v>
      </c>
      <c r="D41" s="219">
        <v>20</v>
      </c>
      <c r="E41" s="684">
        <f>C41*D41</f>
        <v>400</v>
      </c>
      <c r="F41" s="469"/>
    </row>
    <row r="42" spans="1:6" ht="13" x14ac:dyDescent="0.3">
      <c r="A42" s="19"/>
      <c r="B42" s="19"/>
      <c r="C42" s="273"/>
      <c r="D42" s="44"/>
      <c r="E42" s="294">
        <f>SUM(E38:E41)</f>
        <v>5405</v>
      </c>
      <c r="F42" s="469"/>
    </row>
    <row r="43" spans="1:6" ht="23" x14ac:dyDescent="0.5">
      <c r="A43" s="525" t="s">
        <v>28</v>
      </c>
      <c r="B43" s="526"/>
      <c r="C43" s="580"/>
      <c r="D43" s="527"/>
      <c r="E43" s="527"/>
      <c r="F43" s="469"/>
    </row>
    <row r="44" spans="1:6" ht="13" x14ac:dyDescent="0.3">
      <c r="A44" s="19"/>
      <c r="B44" s="13"/>
      <c r="C44" s="813" t="s">
        <v>27</v>
      </c>
      <c r="D44" s="289" t="s">
        <v>21</v>
      </c>
      <c r="E44" s="80" t="s">
        <v>82</v>
      </c>
      <c r="F44" s="469"/>
    </row>
    <row r="45" spans="1:6" ht="13" x14ac:dyDescent="0.3">
      <c r="A45" s="41" t="s">
        <v>380</v>
      </c>
      <c r="B45" s="19" t="s">
        <v>30</v>
      </c>
      <c r="C45" s="562">
        <f>1</f>
        <v>1</v>
      </c>
      <c r="D45" s="35"/>
      <c r="E45" s="35"/>
      <c r="F45" s="469"/>
    </row>
    <row r="46" spans="1:6" ht="13" x14ac:dyDescent="0.3">
      <c r="A46" s="13"/>
      <c r="B46" s="19" t="s">
        <v>31</v>
      </c>
      <c r="C46" s="562">
        <f>7.5</f>
        <v>7.5</v>
      </c>
      <c r="D46" s="35"/>
      <c r="E46" s="35"/>
      <c r="F46" s="469"/>
    </row>
    <row r="47" spans="1:6" ht="13" x14ac:dyDescent="0.3">
      <c r="A47" s="13"/>
      <c r="B47" s="19" t="s">
        <v>32</v>
      </c>
      <c r="C47" s="562">
        <f>75</f>
        <v>75</v>
      </c>
      <c r="D47" s="35"/>
      <c r="E47" s="35"/>
      <c r="F47" s="469"/>
    </row>
    <row r="48" spans="1:6" ht="13" x14ac:dyDescent="0.3">
      <c r="A48" s="13"/>
      <c r="B48" s="19" t="s">
        <v>146</v>
      </c>
      <c r="C48" s="562">
        <f>10</f>
        <v>10</v>
      </c>
      <c r="D48" s="35"/>
      <c r="E48" s="35"/>
      <c r="F48" s="469"/>
    </row>
    <row r="49" spans="1:6" ht="13" x14ac:dyDescent="0.3">
      <c r="A49" s="13"/>
      <c r="B49" s="19" t="s">
        <v>280</v>
      </c>
      <c r="C49" s="562">
        <f>70</f>
        <v>70</v>
      </c>
      <c r="D49" s="35"/>
      <c r="E49" s="35"/>
      <c r="F49" s="469"/>
    </row>
    <row r="50" spans="1:6" x14ac:dyDescent="0.25">
      <c r="A50" s="13"/>
      <c r="B50" s="19"/>
      <c r="C50" s="40"/>
      <c r="D50" s="35"/>
      <c r="E50" s="35"/>
      <c r="F50" s="35"/>
    </row>
    <row r="51" spans="1:6" x14ac:dyDescent="0.25">
      <c r="A51" s="13"/>
      <c r="B51" s="19"/>
      <c r="C51" s="40"/>
      <c r="D51" s="44"/>
      <c r="E51" s="44"/>
      <c r="F51" s="35"/>
    </row>
    <row r="52" spans="1:6" ht="13" x14ac:dyDescent="0.3">
      <c r="A52" s="72" t="s">
        <v>379</v>
      </c>
      <c r="B52" s="145" t="s">
        <v>375</v>
      </c>
      <c r="C52" s="685">
        <v>15</v>
      </c>
      <c r="D52" s="219">
        <f>'Standard Vorgaben'!$C$36</f>
        <v>32.700000000000003</v>
      </c>
      <c r="E52" s="219">
        <f>C52*D52</f>
        <v>490.50000000000006</v>
      </c>
      <c r="F52" s="469"/>
    </row>
    <row r="53" spans="1:6" ht="13" x14ac:dyDescent="0.3">
      <c r="A53" s="71"/>
      <c r="B53" s="145" t="s">
        <v>376</v>
      </c>
      <c r="C53" s="685">
        <v>100</v>
      </c>
      <c r="D53" s="219">
        <f>'Standard Vorgaben'!$C$36</f>
        <v>32.700000000000003</v>
      </c>
      <c r="E53" s="219">
        <f>C53*D53</f>
        <v>3270.0000000000005</v>
      </c>
      <c r="F53" s="469"/>
    </row>
    <row r="54" spans="1:6" ht="13" x14ac:dyDescent="0.3">
      <c r="A54" s="71"/>
      <c r="B54" s="145" t="s">
        <v>377</v>
      </c>
      <c r="C54" s="685">
        <v>175</v>
      </c>
      <c r="D54" s="219">
        <f>'Standard Vorgaben'!$C$36</f>
        <v>32.700000000000003</v>
      </c>
      <c r="E54" s="219">
        <f>C54*D54</f>
        <v>5722.5000000000009</v>
      </c>
      <c r="F54" s="469"/>
    </row>
    <row r="55" spans="1:6" ht="13.5" thickBot="1" x14ac:dyDescent="0.35">
      <c r="A55" s="71"/>
      <c r="B55" s="145" t="s">
        <v>378</v>
      </c>
      <c r="C55" s="368">
        <f>SUM(C52:C54) * 0.1</f>
        <v>29</v>
      </c>
      <c r="D55" s="219">
        <f>'Standard Vorgaben'!$C$36</f>
        <v>32.700000000000003</v>
      </c>
      <c r="E55" s="684">
        <f>C55*D55</f>
        <v>948.30000000000007</v>
      </c>
      <c r="F55" s="469"/>
    </row>
    <row r="56" spans="1:6" ht="13" x14ac:dyDescent="0.3">
      <c r="A56" s="13"/>
      <c r="B56" s="19"/>
      <c r="C56" s="40"/>
      <c r="D56" s="44"/>
      <c r="E56" s="294">
        <f>SUM(E52:E55)</f>
        <v>10431.300000000001</v>
      </c>
      <c r="F56" s="469"/>
    </row>
    <row r="57" spans="1:6" ht="13" x14ac:dyDescent="0.3">
      <c r="A57" s="13"/>
      <c r="B57" s="13"/>
      <c r="C57" s="97"/>
      <c r="D57" s="44"/>
      <c r="E57" s="44"/>
      <c r="F57" s="469"/>
    </row>
    <row r="58" spans="1:6" ht="13" x14ac:dyDescent="0.3">
      <c r="A58" s="72" t="s">
        <v>410</v>
      </c>
      <c r="B58" s="13"/>
      <c r="C58" s="97"/>
      <c r="D58" s="44"/>
      <c r="E58" s="44"/>
      <c r="F58" s="469"/>
    </row>
    <row r="59" spans="1:6" ht="13" x14ac:dyDescent="0.3">
      <c r="A59" s="13"/>
      <c r="B59" s="13" t="s">
        <v>411</v>
      </c>
      <c r="C59" s="582">
        <v>45</v>
      </c>
      <c r="D59" s="553">
        <f>14*(1+D5)</f>
        <v>16.52</v>
      </c>
      <c r="E59" s="219">
        <f>C59*D59</f>
        <v>743.4</v>
      </c>
      <c r="F59" s="469"/>
    </row>
    <row r="60" spans="1:6" ht="13" x14ac:dyDescent="0.3">
      <c r="A60" s="13"/>
      <c r="B60" s="13" t="s">
        <v>412</v>
      </c>
      <c r="C60" s="582">
        <v>336</v>
      </c>
      <c r="D60" s="553">
        <f>10*(1+D5)</f>
        <v>11.799999999999999</v>
      </c>
      <c r="E60" s="219">
        <f>C60*D60</f>
        <v>3964.7999999999997</v>
      </c>
      <c r="F60" s="469"/>
    </row>
    <row r="61" spans="1:6" ht="13.5" thickBot="1" x14ac:dyDescent="0.35">
      <c r="A61" s="13"/>
      <c r="B61" s="13" t="s">
        <v>162</v>
      </c>
      <c r="C61" s="582">
        <v>45</v>
      </c>
      <c r="D61" s="553">
        <f>5.2*(1+D5)</f>
        <v>6.1360000000000001</v>
      </c>
      <c r="E61" s="684">
        <f>C61*D61</f>
        <v>276.12</v>
      </c>
      <c r="F61" s="469"/>
    </row>
    <row r="62" spans="1:6" ht="13" x14ac:dyDescent="0.3">
      <c r="A62" s="13"/>
      <c r="B62" s="13"/>
      <c r="C62" s="47"/>
      <c r="D62" s="45"/>
      <c r="E62" s="294">
        <f>SUM(E59:E61)</f>
        <v>4984.32</v>
      </c>
      <c r="F62" s="469"/>
    </row>
    <row r="63" spans="1:6" ht="13" x14ac:dyDescent="0.3">
      <c r="A63" s="72" t="s">
        <v>463</v>
      </c>
      <c r="B63" s="19"/>
      <c r="C63" s="97"/>
      <c r="D63" s="44"/>
      <c r="E63" s="618"/>
      <c r="F63" s="469"/>
    </row>
    <row r="64" spans="1:6" ht="13" x14ac:dyDescent="0.3">
      <c r="A64" s="13"/>
      <c r="B64" s="19" t="s">
        <v>375</v>
      </c>
      <c r="C64" s="685">
        <v>7.5</v>
      </c>
      <c r="D64" s="219">
        <f>'Standard Vorgaben'!$C$36</f>
        <v>32.700000000000003</v>
      </c>
      <c r="E64" s="219">
        <f>C64*D64</f>
        <v>245.25000000000003</v>
      </c>
      <c r="F64" s="469"/>
    </row>
    <row r="65" spans="1:6" ht="13" x14ac:dyDescent="0.3">
      <c r="A65" s="13"/>
      <c r="B65" s="19" t="s">
        <v>464</v>
      </c>
      <c r="C65" s="685">
        <v>35</v>
      </c>
      <c r="D65" s="219">
        <f>'Standard Vorgaben'!$C$36</f>
        <v>32.700000000000003</v>
      </c>
      <c r="E65" s="219">
        <f>C65*D65</f>
        <v>1144.5</v>
      </c>
      <c r="F65" s="469"/>
    </row>
    <row r="66" spans="1:6" ht="13" x14ac:dyDescent="0.3">
      <c r="A66" s="13"/>
      <c r="B66" s="13" t="s">
        <v>465</v>
      </c>
      <c r="C66" s="685">
        <v>10</v>
      </c>
      <c r="D66" s="219">
        <f>'Standard Vorgaben'!D174</f>
        <v>41</v>
      </c>
      <c r="E66" s="219">
        <f>C66*D66</f>
        <v>410</v>
      </c>
      <c r="F66" s="469"/>
    </row>
    <row r="67" spans="1:6" ht="13.5" thickBot="1" x14ac:dyDescent="0.35">
      <c r="A67" s="13"/>
      <c r="B67" s="19" t="s">
        <v>466</v>
      </c>
      <c r="C67" s="685">
        <v>10</v>
      </c>
      <c r="D67" s="219">
        <f>'Standard Vorgaben'!D195</f>
        <v>15</v>
      </c>
      <c r="E67" s="684">
        <f>C67*D67</f>
        <v>150</v>
      </c>
      <c r="F67" s="469"/>
    </row>
    <row r="68" spans="1:6" ht="13" x14ac:dyDescent="0.3">
      <c r="A68" s="13"/>
      <c r="B68" s="19"/>
      <c r="C68" s="368"/>
      <c r="D68" s="219"/>
      <c r="E68" s="294">
        <f>SUM(E64:E67)</f>
        <v>1949.75</v>
      </c>
      <c r="F68" s="469"/>
    </row>
    <row r="69" spans="1:6" ht="13" x14ac:dyDescent="0.3">
      <c r="A69" s="13"/>
      <c r="B69" s="19"/>
      <c r="C69" s="368"/>
      <c r="D69" s="219"/>
      <c r="E69" s="294"/>
      <c r="F69" s="469"/>
    </row>
    <row r="70" spans="1:6" ht="15.5" x14ac:dyDescent="0.35">
      <c r="A70" s="153"/>
      <c r="B70" s="145" t="s">
        <v>400</v>
      </c>
      <c r="C70" s="461"/>
      <c r="D70" s="221"/>
      <c r="E70" s="219">
        <f>E32</f>
        <v>35386.411</v>
      </c>
      <c r="F70" s="469"/>
    </row>
    <row r="71" spans="1:6" ht="13" x14ac:dyDescent="0.3">
      <c r="A71" s="13"/>
      <c r="B71" s="145" t="s">
        <v>23</v>
      </c>
      <c r="C71" s="461"/>
      <c r="D71" s="221"/>
      <c r="E71" s="219">
        <f>E42</f>
        <v>5405</v>
      </c>
      <c r="F71" s="469"/>
    </row>
    <row r="72" spans="1:6" ht="13" x14ac:dyDescent="0.3">
      <c r="A72" s="13"/>
      <c r="B72" s="145" t="s">
        <v>28</v>
      </c>
      <c r="C72" s="461"/>
      <c r="D72" s="221"/>
      <c r="E72" s="219">
        <f>E56</f>
        <v>10431.300000000001</v>
      </c>
      <c r="F72" s="469"/>
    </row>
    <row r="73" spans="1:6" ht="13.5" thickBot="1" x14ac:dyDescent="0.35">
      <c r="A73" s="13"/>
      <c r="B73" s="145" t="s">
        <v>413</v>
      </c>
      <c r="C73" s="461"/>
      <c r="D73" s="221"/>
      <c r="E73" s="684">
        <f>E62+E68</f>
        <v>6934.07</v>
      </c>
      <c r="F73" s="469"/>
    </row>
    <row r="74" spans="1:6" ht="15.5" x14ac:dyDescent="0.35">
      <c r="A74" s="153" t="s">
        <v>399</v>
      </c>
      <c r="B74" s="19"/>
      <c r="C74" s="97"/>
      <c r="D74" s="44"/>
      <c r="E74" s="294">
        <f>SUM(E70:E72)-E73</f>
        <v>44288.641000000003</v>
      </c>
      <c r="F74" s="35"/>
    </row>
    <row r="75" spans="1:6" ht="13" x14ac:dyDescent="0.3">
      <c r="A75" s="1127" t="s">
        <v>552</v>
      </c>
      <c r="C75" s="10"/>
    </row>
    <row r="76" spans="1:6" ht="13" x14ac:dyDescent="0.3">
      <c r="A76" s="1128" t="s">
        <v>542</v>
      </c>
      <c r="B76" s="1128" t="s">
        <v>543</v>
      </c>
      <c r="C76" s="1129" t="s">
        <v>82</v>
      </c>
      <c r="D76" s="1128" t="s">
        <v>541</v>
      </c>
      <c r="E76" s="1128" t="s">
        <v>544</v>
      </c>
    </row>
    <row r="77" spans="1:6" x14ac:dyDescent="0.25">
      <c r="C77" s="10"/>
    </row>
    <row r="78" spans="1:6" x14ac:dyDescent="0.25">
      <c r="A78">
        <v>1</v>
      </c>
      <c r="B78" s="1130">
        <v>1</v>
      </c>
      <c r="C78" s="14">
        <f>'Standard Vorgaben'!B51*'Standard Vorgaben'!F51*'Standard Vorgaben'!B74*B78</f>
        <v>0</v>
      </c>
      <c r="D78" s="529">
        <v>0.112</v>
      </c>
      <c r="E78" s="1130">
        <v>0.8</v>
      </c>
    </row>
    <row r="79" spans="1:6" x14ac:dyDescent="0.25">
      <c r="A79">
        <v>2</v>
      </c>
      <c r="B79" s="1131">
        <f>B78</f>
        <v>1</v>
      </c>
      <c r="C79" s="14">
        <f>'Standard Vorgaben'!B52*'Standard Vorgaben'!F52*'Standard Vorgaben'!B75*B79</f>
        <v>4358.6341463414637</v>
      </c>
      <c r="D79" s="198">
        <f>D78</f>
        <v>0.112</v>
      </c>
      <c r="E79" s="1131">
        <f>E78</f>
        <v>0.8</v>
      </c>
    </row>
    <row r="80" spans="1:6" x14ac:dyDescent="0.25">
      <c r="A80">
        <v>3</v>
      </c>
      <c r="B80" s="1131">
        <f>B78</f>
        <v>1</v>
      </c>
      <c r="C80" s="14">
        <f>'Standard Vorgaben'!B53*'Standard Vorgaben'!F53*'Standard Vorgaben'!B76*B80</f>
        <v>15981.658536585364</v>
      </c>
      <c r="D80" s="198">
        <f>D78</f>
        <v>0.112</v>
      </c>
      <c r="E80" s="1131">
        <f>E78</f>
        <v>0.8</v>
      </c>
    </row>
    <row r="81" spans="1:6" ht="13" x14ac:dyDescent="0.3">
      <c r="A81">
        <v>4</v>
      </c>
      <c r="B81" s="1131">
        <f>B78</f>
        <v>1</v>
      </c>
      <c r="C81" s="14">
        <f>'Standard Vorgaben'!B54*'Standard Vorgaben'!F54*'Standard Vorgaben'!B77*B81</f>
        <v>21793.170731707312</v>
      </c>
      <c r="D81" s="198">
        <f>D78</f>
        <v>0.112</v>
      </c>
      <c r="E81" s="1131">
        <f>E78</f>
        <v>0.8</v>
      </c>
      <c r="F81" s="144">
        <f>C81*D81*E81</f>
        <v>1952.6680975609754</v>
      </c>
    </row>
    <row r="82" spans="1:6" ht="13" x14ac:dyDescent="0.3">
      <c r="A82">
        <v>5</v>
      </c>
      <c r="B82" s="1131">
        <f>B78</f>
        <v>1</v>
      </c>
      <c r="C82" s="14">
        <f>'Standard Vorgaben'!B55*'Standard Vorgaben'!F55*'Standard Vorgaben'!B78*B82</f>
        <v>47944.975609756089</v>
      </c>
      <c r="D82" s="198">
        <f>D78</f>
        <v>0.112</v>
      </c>
      <c r="E82" s="1131">
        <f>E78</f>
        <v>0.8</v>
      </c>
      <c r="F82" s="144">
        <f t="shared" ref="F82:F93" si="1">C82*D82</f>
        <v>5369.837268292682</v>
      </c>
    </row>
    <row r="83" spans="1:6" ht="13" x14ac:dyDescent="0.3">
      <c r="A83">
        <v>6</v>
      </c>
      <c r="B83" s="1131">
        <f>B78</f>
        <v>1</v>
      </c>
      <c r="C83" s="14">
        <f>'Standard Vorgaben'!B56*'Standard Vorgaben'!F56*'Standard Vorgaben'!B79*B83</f>
        <v>47944.975609756089</v>
      </c>
      <c r="D83" s="198">
        <f>D78</f>
        <v>0.112</v>
      </c>
      <c r="E83" s="1131">
        <f>E78</f>
        <v>0.8</v>
      </c>
      <c r="F83" s="144">
        <f t="shared" si="1"/>
        <v>5369.837268292682</v>
      </c>
    </row>
    <row r="84" spans="1:6" ht="13" x14ac:dyDescent="0.3">
      <c r="A84">
        <v>7</v>
      </c>
      <c r="B84" s="1131">
        <f>B78</f>
        <v>1</v>
      </c>
      <c r="C84" s="14">
        <f>'Standard Vorgaben'!B57*'Standard Vorgaben'!F57*'Standard Vorgaben'!B80*B84</f>
        <v>47944.975609756089</v>
      </c>
      <c r="D84" s="198">
        <f>D78</f>
        <v>0.112</v>
      </c>
      <c r="E84" s="1131">
        <f>E78</f>
        <v>0.8</v>
      </c>
      <c r="F84" s="144">
        <f t="shared" si="1"/>
        <v>5369.837268292682</v>
      </c>
    </row>
    <row r="85" spans="1:6" ht="13" x14ac:dyDescent="0.3">
      <c r="A85">
        <v>8</v>
      </c>
      <c r="B85" s="1131">
        <f>B78</f>
        <v>1</v>
      </c>
      <c r="C85" s="14">
        <f>'Standard Vorgaben'!B58*'Standard Vorgaben'!F58*'Standard Vorgaben'!B81*B85</f>
        <v>47944.975609756089</v>
      </c>
      <c r="D85" s="198">
        <f>D78</f>
        <v>0.112</v>
      </c>
      <c r="E85" s="1131">
        <f>E78</f>
        <v>0.8</v>
      </c>
      <c r="F85" s="144">
        <f t="shared" si="1"/>
        <v>5369.837268292682</v>
      </c>
    </row>
    <row r="86" spans="1:6" ht="13" x14ac:dyDescent="0.3">
      <c r="A86">
        <v>9</v>
      </c>
      <c r="B86" s="1131">
        <f>B78</f>
        <v>1</v>
      </c>
      <c r="C86" s="14">
        <f>'Standard Vorgaben'!B59*'Standard Vorgaben'!F59*'Standard Vorgaben'!B82*B86</f>
        <v>47944.975609756089</v>
      </c>
      <c r="D86" s="198">
        <f>D78</f>
        <v>0.112</v>
      </c>
      <c r="E86" s="1131">
        <f>E78</f>
        <v>0.8</v>
      </c>
      <c r="F86" s="144">
        <f t="shared" si="1"/>
        <v>5369.837268292682</v>
      </c>
    </row>
    <row r="87" spans="1:6" ht="13" x14ac:dyDescent="0.3">
      <c r="A87">
        <v>10</v>
      </c>
      <c r="B87" s="1131">
        <f>B78</f>
        <v>1</v>
      </c>
      <c r="C87" s="14">
        <f>'Standard Vorgaben'!B60*'Standard Vorgaben'!F60*'Standard Vorgaben'!B83*B87</f>
        <v>47944.975609756089</v>
      </c>
      <c r="D87" s="198">
        <f>D78</f>
        <v>0.112</v>
      </c>
      <c r="E87" s="1131">
        <f>E78</f>
        <v>0.8</v>
      </c>
      <c r="F87" s="144">
        <f t="shared" si="1"/>
        <v>5369.837268292682</v>
      </c>
    </row>
    <row r="88" spans="1:6" ht="13" x14ac:dyDescent="0.3">
      <c r="A88">
        <v>11</v>
      </c>
      <c r="B88" s="1131">
        <f>B78</f>
        <v>1</v>
      </c>
      <c r="C88" s="14">
        <f>'Standard Vorgaben'!B61*'Standard Vorgaben'!F61*'Standard Vorgaben'!B84*B88</f>
        <v>47944.975609756089</v>
      </c>
      <c r="D88" s="198">
        <f>D78</f>
        <v>0.112</v>
      </c>
      <c r="E88" s="1131">
        <f>E78</f>
        <v>0.8</v>
      </c>
      <c r="F88" s="144">
        <f t="shared" si="1"/>
        <v>5369.837268292682</v>
      </c>
    </row>
    <row r="89" spans="1:6" ht="13" x14ac:dyDescent="0.3">
      <c r="A89">
        <v>12</v>
      </c>
      <c r="B89" s="1131">
        <f>B78</f>
        <v>1</v>
      </c>
      <c r="C89" s="14">
        <f>'Standard Vorgaben'!B62*'Standard Vorgaben'!F62*'Standard Vorgaben'!B85*B89</f>
        <v>47944.975609756089</v>
      </c>
      <c r="D89" s="198">
        <f>D78</f>
        <v>0.112</v>
      </c>
      <c r="E89" s="1131">
        <f>E78</f>
        <v>0.8</v>
      </c>
      <c r="F89" s="144">
        <f t="shared" si="1"/>
        <v>5369.837268292682</v>
      </c>
    </row>
    <row r="90" spans="1:6" ht="13" x14ac:dyDescent="0.3">
      <c r="A90">
        <v>13</v>
      </c>
      <c r="B90" s="1131">
        <f>B78</f>
        <v>1</v>
      </c>
      <c r="C90" s="14">
        <f>'Standard Vorgaben'!B63*'Standard Vorgaben'!F63*'Standard Vorgaben'!B86*B90</f>
        <v>43586.341463414625</v>
      </c>
      <c r="D90" s="198">
        <f>D78</f>
        <v>0.112</v>
      </c>
      <c r="E90" s="1131">
        <f>E78</f>
        <v>0.8</v>
      </c>
      <c r="F90" s="144">
        <f t="shared" si="1"/>
        <v>4881.6702439024384</v>
      </c>
    </row>
    <row r="91" spans="1:6" ht="13" x14ac:dyDescent="0.3">
      <c r="A91">
        <v>14</v>
      </c>
      <c r="B91" s="1131">
        <f>B78</f>
        <v>1</v>
      </c>
      <c r="C91" s="14">
        <f>'Standard Vorgaben'!B64*'Standard Vorgaben'!F64*'Standard Vorgaben'!B87*B91</f>
        <v>43586.341463414625</v>
      </c>
      <c r="D91" s="198">
        <f>D78</f>
        <v>0.112</v>
      </c>
      <c r="E91" s="1131">
        <f>E78</f>
        <v>0.8</v>
      </c>
      <c r="F91" s="144">
        <f t="shared" si="1"/>
        <v>4881.6702439024384</v>
      </c>
    </row>
    <row r="92" spans="1:6" ht="13" x14ac:dyDescent="0.3">
      <c r="A92">
        <v>15</v>
      </c>
      <c r="B92" s="1131">
        <f>B78</f>
        <v>1</v>
      </c>
      <c r="C92" s="14">
        <f>'Standard Vorgaben'!B65*'Standard Vorgaben'!F65*'Standard Vorgaben'!B88*B92</f>
        <v>43586.341463414625</v>
      </c>
      <c r="D92" s="198">
        <f>D78</f>
        <v>0.112</v>
      </c>
      <c r="E92" s="1131">
        <f>E78</f>
        <v>0.8</v>
      </c>
      <c r="F92" s="144">
        <f t="shared" si="1"/>
        <v>4881.6702439024384</v>
      </c>
    </row>
    <row r="93" spans="1:6" ht="13" x14ac:dyDescent="0.3">
      <c r="A93" s="1132" t="s">
        <v>545</v>
      </c>
      <c r="C93" s="1133">
        <f>AVERAGE(C81:C92)</f>
        <v>44675.999999999978</v>
      </c>
      <c r="D93" s="1134">
        <f>AVERAGE(D81:D92)</f>
        <v>0.11200000000000003</v>
      </c>
      <c r="F93" s="1133">
        <f t="shared" si="1"/>
        <v>5003.7119999999986</v>
      </c>
    </row>
    <row r="94" spans="1:6" ht="13" x14ac:dyDescent="0.3">
      <c r="A94" s="1132" t="s">
        <v>546</v>
      </c>
      <c r="C94" s="1133">
        <f>SUM(C81:C92)</f>
        <v>536111.99999999977</v>
      </c>
    </row>
  </sheetData>
  <mergeCells count="3">
    <mergeCell ref="A6:H6"/>
    <mergeCell ref="B3:H3"/>
    <mergeCell ref="A4:H4"/>
  </mergeCells>
  <phoneticPr fontId="23" type="noConversion"/>
  <pageMargins left="0.78740157499999996" right="0.78740157499999996" top="0.984251969" bottom="0.984251969" header="0.4921259845" footer="0.4921259845"/>
  <pageSetup paperSize="9" orientation="portrait" r:id="rId1"/>
  <headerFooter alignWithMargins="0">
    <oddHeader>&amp;LArbokost BIO 2008/09&amp;REsther Bravin, ACW</oddHead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tabColor indexed="10"/>
  </sheetPr>
  <dimension ref="A1:K115"/>
  <sheetViews>
    <sheetView workbookViewId="0">
      <selection activeCell="D3" sqref="D3"/>
    </sheetView>
  </sheetViews>
  <sheetFormatPr baseColWidth="10" defaultRowHeight="12.5" x14ac:dyDescent="0.25"/>
  <cols>
    <col min="1" max="1" width="35" customWidth="1"/>
    <col min="2" max="2" width="15.7265625" customWidth="1"/>
    <col min="3" max="3" width="22.36328125" customWidth="1"/>
    <col min="7" max="7" width="16.26953125" customWidth="1"/>
    <col min="8" max="8" width="27.81640625" customWidth="1"/>
  </cols>
  <sheetData>
    <row r="1" spans="1:8" ht="28" x14ac:dyDescent="0.35">
      <c r="A1" s="1287" t="str">
        <f>Eingabeseite!$A$1</f>
        <v>Arbokost 2023</v>
      </c>
      <c r="B1" s="1284" t="str">
        <f>'Standard Hagel'!B1</f>
        <v>BIO- Tafelapfel, Gala auf M9, 3000 Bäume /ha</v>
      </c>
      <c r="C1" s="773"/>
      <c r="D1" s="774"/>
      <c r="E1" s="775"/>
      <c r="F1" s="776"/>
      <c r="G1" s="73"/>
    </row>
    <row r="2" spans="1:8" ht="21" customHeight="1" x14ac:dyDescent="0.35">
      <c r="A2" s="992" t="s">
        <v>468</v>
      </c>
      <c r="B2" s="822"/>
      <c r="C2" s="773"/>
      <c r="D2" s="774"/>
      <c r="E2" s="775"/>
      <c r="F2" s="776"/>
      <c r="G2" s="73"/>
    </row>
    <row r="3" spans="1:8" ht="21" customHeight="1" x14ac:dyDescent="0.35">
      <c r="A3" s="1399" t="str">
        <f>'Standard Hagel'!A5</f>
        <v>Teuerung 2015-2023 (Baumaterialien gemäss Bundesamt für Statistik)</v>
      </c>
      <c r="B3" s="1400"/>
      <c r="C3" s="1401"/>
      <c r="D3" s="1402">
        <f>'Standard Hagel'!D5</f>
        <v>0.18</v>
      </c>
      <c r="E3" s="775"/>
      <c r="F3" s="776"/>
      <c r="G3" s="73"/>
    </row>
    <row r="4" spans="1:8" ht="15.5" x14ac:dyDescent="0.25">
      <c r="A4" s="820" t="str">
        <f>'Standard Vorgaben'!A3</f>
        <v>Definition Standard:</v>
      </c>
      <c r="B4" s="1424" t="str">
        <f>'Standard Vorgaben'!B3:I3</f>
        <v>Zeitgemässe Tafelapfelanlage auf schwachwachsender Unterlage. Werte sind ausgelegt auf gemischtwirtschaftliche Betriebe mit 2 - 5 ha Obstfläche, an geeigneten Standort in einem der Hauptproduktionsgebiete der Schweiz.</v>
      </c>
      <c r="C4" s="1424"/>
      <c r="D4" s="1424"/>
      <c r="E4" s="1424"/>
      <c r="F4" s="1424"/>
      <c r="G4" s="1013"/>
    </row>
    <row r="5" spans="1:8" ht="25" x14ac:dyDescent="0.5">
      <c r="A5" s="1435" t="s">
        <v>647</v>
      </c>
      <c r="B5" s="1435"/>
      <c r="C5" s="1435" t="s">
        <v>475</v>
      </c>
      <c r="D5" s="1435"/>
      <c r="E5" s="1435"/>
      <c r="F5" s="1435"/>
      <c r="G5" s="1435"/>
      <c r="H5" s="1435"/>
    </row>
    <row r="6" spans="1:8" ht="22" x14ac:dyDescent="0.65">
      <c r="A6" s="1453" t="s">
        <v>576</v>
      </c>
      <c r="B6" s="1453"/>
      <c r="C6" s="1453"/>
      <c r="D6" s="1453"/>
      <c r="E6" s="1453"/>
      <c r="F6" s="1453"/>
      <c r="G6" s="1453"/>
      <c r="H6" s="1453"/>
    </row>
    <row r="7" spans="1:8" ht="14" x14ac:dyDescent="0.3">
      <c r="A7" s="1073"/>
      <c r="B7" s="1075">
        <f>'Standard Vorgaben'!C23</f>
        <v>25</v>
      </c>
      <c r="C7" s="1074">
        <f>'Standard Vorgaben'!C18</f>
        <v>120</v>
      </c>
      <c r="D7" s="794" t="s">
        <v>11</v>
      </c>
      <c r="E7" s="38"/>
      <c r="F7" s="794" t="s">
        <v>12</v>
      </c>
      <c r="G7" s="1094"/>
      <c r="H7" s="794" t="s">
        <v>172</v>
      </c>
    </row>
    <row r="8" spans="1:8" ht="13" x14ac:dyDescent="0.3">
      <c r="A8" s="72" t="s">
        <v>477</v>
      </c>
      <c r="B8" s="13" t="s">
        <v>487</v>
      </c>
      <c r="C8" s="13"/>
      <c r="D8" s="13"/>
      <c r="E8" s="1076"/>
      <c r="F8" s="1067"/>
      <c r="G8" s="1067"/>
      <c r="H8" s="1077"/>
    </row>
    <row r="9" spans="1:8" x14ac:dyDescent="0.25">
      <c r="A9" s="1078" t="s">
        <v>488</v>
      </c>
      <c r="B9" s="13" t="s">
        <v>489</v>
      </c>
      <c r="C9" s="13"/>
      <c r="D9" s="1079"/>
      <c r="E9" s="1076"/>
      <c r="F9" s="1067"/>
      <c r="G9" s="1067"/>
      <c r="H9" s="1080"/>
    </row>
    <row r="10" spans="1:8" x14ac:dyDescent="0.25">
      <c r="A10" s="13"/>
      <c r="B10" s="71" t="s">
        <v>490</v>
      </c>
      <c r="C10" s="13"/>
      <c r="D10" s="1079">
        <f>((B7*C7)+50)</f>
        <v>3050</v>
      </c>
      <c r="E10" s="1076"/>
      <c r="F10" s="1067">
        <f>1.35*(1+D3)</f>
        <v>1.593</v>
      </c>
      <c r="G10" s="1067"/>
      <c r="H10" s="1080">
        <f>F10*D10</f>
        <v>4858.6499999999996</v>
      </c>
    </row>
    <row r="11" spans="1:8" x14ac:dyDescent="0.25">
      <c r="A11" s="13"/>
      <c r="B11" s="145" t="s">
        <v>491</v>
      </c>
      <c r="C11" s="13"/>
      <c r="D11" s="1079"/>
      <c r="E11" s="1076"/>
      <c r="F11" s="1067"/>
      <c r="G11" s="1067"/>
      <c r="H11" s="1080"/>
    </row>
    <row r="12" spans="1:8" x14ac:dyDescent="0.25">
      <c r="A12" s="13"/>
      <c r="B12" s="1064" t="s">
        <v>492</v>
      </c>
      <c r="C12" s="1065"/>
      <c r="D12" s="1098">
        <f>B7</f>
        <v>25</v>
      </c>
      <c r="E12" s="1099"/>
      <c r="F12" s="1100">
        <f>7*(1+D3)</f>
        <v>8.26</v>
      </c>
      <c r="G12" s="1067"/>
      <c r="H12" s="1080">
        <f>F12*D12</f>
        <v>206.5</v>
      </c>
    </row>
    <row r="13" spans="1:8" x14ac:dyDescent="0.25">
      <c r="A13" s="13"/>
      <c r="B13" s="19" t="s">
        <v>493</v>
      </c>
      <c r="C13" s="13"/>
      <c r="D13" s="1098">
        <f>B7</f>
        <v>25</v>
      </c>
      <c r="E13" s="1099"/>
      <c r="F13" s="1100">
        <f>6.5*(1+D3)</f>
        <v>7.67</v>
      </c>
      <c r="G13" s="1067"/>
      <c r="H13" s="1080">
        <f>F13*D13</f>
        <v>191.75</v>
      </c>
    </row>
    <row r="14" spans="1:8" x14ac:dyDescent="0.25">
      <c r="A14" s="13"/>
      <c r="B14" s="19" t="s">
        <v>494</v>
      </c>
      <c r="C14" s="13"/>
      <c r="D14" s="1098">
        <v>5000</v>
      </c>
      <c r="E14" s="1099"/>
      <c r="F14" s="1100">
        <f>0.06*(1+D3)</f>
        <v>7.0799999999999988E-2</v>
      </c>
      <c r="G14" s="1067"/>
      <c r="H14" s="1080">
        <f>F14*D14</f>
        <v>353.99999999999994</v>
      </c>
    </row>
    <row r="15" spans="1:8" ht="13" thickBot="1" x14ac:dyDescent="0.3">
      <c r="A15" s="13"/>
      <c r="B15" s="13" t="s">
        <v>358</v>
      </c>
      <c r="C15" s="13"/>
      <c r="D15" s="1098"/>
      <c r="E15" s="1099"/>
      <c r="F15" s="1100"/>
      <c r="G15" s="1067"/>
      <c r="H15" s="1080">
        <v>250</v>
      </c>
    </row>
    <row r="16" spans="1:8" ht="13" x14ac:dyDescent="0.3">
      <c r="A16" s="72" t="s">
        <v>495</v>
      </c>
      <c r="B16" s="72"/>
      <c r="C16" s="72"/>
      <c r="D16" s="1121"/>
      <c r="E16" s="1122"/>
      <c r="F16" s="1105"/>
      <c r="G16" s="1088"/>
      <c r="H16" s="1093">
        <f>SUM(H10:H15)</f>
        <v>5860.9</v>
      </c>
    </row>
    <row r="17" spans="1:8" x14ac:dyDescent="0.25">
      <c r="A17" s="1068" t="s">
        <v>478</v>
      </c>
      <c r="B17" s="13" t="s">
        <v>496</v>
      </c>
      <c r="C17" s="13"/>
      <c r="D17" s="1098"/>
      <c r="E17" s="1099"/>
      <c r="F17" s="1100"/>
      <c r="G17" s="1067"/>
      <c r="H17" s="1080"/>
    </row>
    <row r="18" spans="1:8" x14ac:dyDescent="0.25">
      <c r="A18" s="13"/>
      <c r="B18" s="13" t="s">
        <v>497</v>
      </c>
      <c r="C18" s="13"/>
      <c r="D18" s="1101">
        <v>300</v>
      </c>
      <c r="E18" s="1099"/>
      <c r="F18" s="1100">
        <f>3.8*(1+D3)</f>
        <v>4.484</v>
      </c>
      <c r="G18" s="1067"/>
      <c r="H18" s="1080">
        <f>F18*D18</f>
        <v>1345.2</v>
      </c>
    </row>
    <row r="19" spans="1:8" x14ac:dyDescent="0.25">
      <c r="A19" s="13"/>
      <c r="B19" s="19" t="s">
        <v>498</v>
      </c>
      <c r="C19" s="13"/>
      <c r="D19" s="1098">
        <v>3</v>
      </c>
      <c r="E19" s="1102"/>
      <c r="F19" s="1100">
        <f>60*(1+D3)</f>
        <v>70.8</v>
      </c>
      <c r="G19" s="1067"/>
      <c r="H19" s="1080">
        <f>F19*D19</f>
        <v>212.39999999999998</v>
      </c>
    </row>
    <row r="20" spans="1:8" ht="13" thickBot="1" x14ac:dyDescent="0.3">
      <c r="A20" s="13"/>
      <c r="B20" s="13" t="s">
        <v>499</v>
      </c>
      <c r="C20" s="13"/>
      <c r="D20" s="535"/>
      <c r="E20" s="535"/>
      <c r="F20" s="535"/>
      <c r="G20" s="13"/>
      <c r="H20" s="1092">
        <v>250</v>
      </c>
    </row>
    <row r="21" spans="1:8" ht="13" x14ac:dyDescent="0.3">
      <c r="A21" s="72" t="s">
        <v>500</v>
      </c>
      <c r="B21" s="87"/>
      <c r="C21" s="72"/>
      <c r="D21" s="1103"/>
      <c r="E21" s="1104"/>
      <c r="F21" s="1105"/>
      <c r="G21" s="1088"/>
      <c r="H21" s="1089">
        <f>SUM(H18:H20)</f>
        <v>1807.6</v>
      </c>
    </row>
    <row r="22" spans="1:8" x14ac:dyDescent="0.25">
      <c r="A22" s="1068" t="s">
        <v>479</v>
      </c>
      <c r="B22" s="13" t="s">
        <v>501</v>
      </c>
      <c r="C22" s="13"/>
      <c r="D22" s="1098">
        <v>1</v>
      </c>
      <c r="E22" s="1102"/>
      <c r="F22" s="1100">
        <f>300*(1+D3)</f>
        <v>354</v>
      </c>
      <c r="G22" s="1067"/>
      <c r="H22" s="1080">
        <f t="shared" ref="H22:H27" si="0">F22*D22</f>
        <v>354</v>
      </c>
    </row>
    <row r="23" spans="1:8" x14ac:dyDescent="0.25">
      <c r="A23" s="13"/>
      <c r="B23" s="19" t="s">
        <v>502</v>
      </c>
      <c r="C23" s="13"/>
      <c r="D23" s="1098">
        <v>1</v>
      </c>
      <c r="E23" s="1102"/>
      <c r="F23" s="1100">
        <f>120*(1+D3)</f>
        <v>141.6</v>
      </c>
      <c r="G23" s="1067"/>
      <c r="H23" s="1080">
        <f t="shared" si="0"/>
        <v>141.6</v>
      </c>
    </row>
    <row r="24" spans="1:8" x14ac:dyDescent="0.25">
      <c r="A24" s="13"/>
      <c r="B24" s="13" t="s">
        <v>503</v>
      </c>
      <c r="C24" s="13"/>
      <c r="D24" s="1098">
        <v>1</v>
      </c>
      <c r="E24" s="1102"/>
      <c r="F24" s="1100">
        <f>75*(1+D3)</f>
        <v>88.5</v>
      </c>
      <c r="G24" s="1067"/>
      <c r="H24" s="1080">
        <f t="shared" si="0"/>
        <v>88.5</v>
      </c>
    </row>
    <row r="25" spans="1:8" x14ac:dyDescent="0.25">
      <c r="A25" s="13"/>
      <c r="B25" s="13" t="s">
        <v>504</v>
      </c>
      <c r="C25" s="13"/>
      <c r="D25" s="1098">
        <v>1</v>
      </c>
      <c r="E25" s="1102"/>
      <c r="F25" s="1100">
        <f>70*(1+D3)</f>
        <v>82.6</v>
      </c>
      <c r="G25" s="1067"/>
      <c r="H25" s="1080">
        <f t="shared" si="0"/>
        <v>82.6</v>
      </c>
    </row>
    <row r="26" spans="1:8" x14ac:dyDescent="0.25">
      <c r="A26" s="13"/>
      <c r="B26" s="13" t="s">
        <v>505</v>
      </c>
      <c r="C26" s="13"/>
      <c r="D26" s="1098">
        <v>2</v>
      </c>
      <c r="E26" s="1102"/>
      <c r="F26" s="1100">
        <f>130*(1+D3)</f>
        <v>153.4</v>
      </c>
      <c r="G26" s="1067"/>
      <c r="H26" s="1080">
        <f t="shared" si="0"/>
        <v>306.8</v>
      </c>
    </row>
    <row r="27" spans="1:8" x14ac:dyDescent="0.25">
      <c r="A27" s="13"/>
      <c r="B27" s="13" t="s">
        <v>506</v>
      </c>
      <c r="C27" s="13"/>
      <c r="D27" s="1098">
        <v>1</v>
      </c>
      <c r="E27" s="1102"/>
      <c r="F27" s="1100">
        <f>350*(1+D3)</f>
        <v>413</v>
      </c>
      <c r="G27" s="1067"/>
      <c r="H27" s="1080">
        <f t="shared" si="0"/>
        <v>413</v>
      </c>
    </row>
    <row r="28" spans="1:8" ht="13" thickBot="1" x14ac:dyDescent="0.3">
      <c r="A28" s="13"/>
      <c r="B28" s="19" t="s">
        <v>499</v>
      </c>
      <c r="C28" s="13"/>
      <c r="D28" s="535"/>
      <c r="E28" s="535"/>
      <c r="F28" s="535"/>
      <c r="G28" s="13"/>
      <c r="H28" s="1080">
        <v>100</v>
      </c>
    </row>
    <row r="29" spans="1:8" ht="13" x14ac:dyDescent="0.3">
      <c r="A29" s="72" t="s">
        <v>507</v>
      </c>
      <c r="B29" s="87"/>
      <c r="C29" s="72"/>
      <c r="D29" s="1103"/>
      <c r="E29" s="1104"/>
      <c r="F29" s="1105"/>
      <c r="G29" s="1088"/>
      <c r="H29" s="1093">
        <f>SUM(H22:H27)</f>
        <v>1386.5</v>
      </c>
    </row>
    <row r="30" spans="1:8" x14ac:dyDescent="0.25">
      <c r="A30" s="71" t="s">
        <v>508</v>
      </c>
      <c r="B30" s="71" t="s">
        <v>509</v>
      </c>
      <c r="C30" s="71"/>
      <c r="D30" s="1106">
        <v>1</v>
      </c>
      <c r="E30" s="1107"/>
      <c r="F30" s="1108">
        <f>1580*(1+D3)</f>
        <v>1864.3999999999999</v>
      </c>
      <c r="G30" s="1090"/>
      <c r="H30" s="1083">
        <f>F30</f>
        <v>1864.3999999999999</v>
      </c>
    </row>
    <row r="31" spans="1:8" x14ac:dyDescent="0.25">
      <c r="A31" s="71" t="s">
        <v>508</v>
      </c>
      <c r="B31" s="71" t="s">
        <v>510</v>
      </c>
      <c r="C31" s="71"/>
      <c r="D31" s="1106">
        <v>1</v>
      </c>
      <c r="E31" s="1107"/>
      <c r="F31" s="1108">
        <f>1250*(1+D3)</f>
        <v>1475</v>
      </c>
      <c r="G31" s="1090"/>
      <c r="H31" s="1083">
        <f>D31*F31</f>
        <v>1475</v>
      </c>
    </row>
    <row r="32" spans="1:8" ht="13" thickBot="1" x14ac:dyDescent="0.3">
      <c r="A32" s="71"/>
      <c r="B32" s="71"/>
      <c r="C32" s="71"/>
      <c r="D32" s="1106"/>
      <c r="E32" s="1107"/>
      <c r="F32" s="1108"/>
      <c r="G32" s="1090"/>
      <c r="H32" s="1083"/>
    </row>
    <row r="33" spans="1:11" ht="13" x14ac:dyDescent="0.3">
      <c r="A33" s="72" t="s">
        <v>538</v>
      </c>
      <c r="B33" s="87"/>
      <c r="C33" s="72"/>
      <c r="D33" s="1087"/>
      <c r="E33" s="1091"/>
      <c r="F33" s="1088"/>
      <c r="G33" s="1088"/>
      <c r="H33" s="1093">
        <f>SUM(H16,H21,H29,H30)</f>
        <v>10919.4</v>
      </c>
    </row>
    <row r="34" spans="1:11" x14ac:dyDescent="0.25">
      <c r="A34" s="13" t="s">
        <v>511</v>
      </c>
      <c r="B34" s="19"/>
      <c r="C34" s="13"/>
      <c r="D34" s="1066"/>
      <c r="E34" s="1081"/>
      <c r="F34" s="1067"/>
      <c r="G34" s="1067"/>
      <c r="H34" s="1080"/>
    </row>
    <row r="35" spans="1:11" ht="13" x14ac:dyDescent="0.3">
      <c r="A35" s="13"/>
      <c r="B35" s="19" t="s">
        <v>62</v>
      </c>
      <c r="C35" s="795"/>
      <c r="D35" s="794" t="s">
        <v>11</v>
      </c>
      <c r="E35" s="794" t="s">
        <v>512</v>
      </c>
      <c r="F35" s="794" t="s">
        <v>513</v>
      </c>
      <c r="G35" s="794"/>
      <c r="H35" s="794" t="s">
        <v>172</v>
      </c>
    </row>
    <row r="36" spans="1:11" x14ac:dyDescent="0.25">
      <c r="A36" s="13"/>
      <c r="B36" s="19"/>
      <c r="C36" s="13"/>
      <c r="D36" s="1066"/>
      <c r="E36" s="1081"/>
      <c r="F36" s="1067"/>
      <c r="G36" s="1095" t="s">
        <v>21</v>
      </c>
      <c r="H36" s="1096" t="s">
        <v>82</v>
      </c>
    </row>
    <row r="37" spans="1:11" x14ac:dyDescent="0.25">
      <c r="A37" s="13" t="s">
        <v>514</v>
      </c>
      <c r="B37" s="19" t="s">
        <v>515</v>
      </c>
      <c r="C37" s="13"/>
      <c r="D37" s="1066"/>
      <c r="E37" s="1081">
        <v>10</v>
      </c>
      <c r="F37" s="1067">
        <v>2</v>
      </c>
      <c r="G37" s="1067"/>
      <c r="H37" s="1080"/>
    </row>
    <row r="38" spans="1:11" ht="13" x14ac:dyDescent="0.3">
      <c r="A38" s="17"/>
      <c r="B38" s="13" t="s">
        <v>516</v>
      </c>
      <c r="C38" s="1114">
        <v>6.5</v>
      </c>
      <c r="D38" s="1109">
        <f>D18</f>
        <v>300</v>
      </c>
      <c r="E38" s="1110"/>
      <c r="F38" s="1110"/>
      <c r="G38" s="263">
        <f>C38</f>
        <v>6.5</v>
      </c>
      <c r="H38" s="1080">
        <f>G38*D38</f>
        <v>1950</v>
      </c>
    </row>
    <row r="39" spans="1:11" x14ac:dyDescent="0.25">
      <c r="A39" s="13"/>
      <c r="B39" s="13" t="s">
        <v>517</v>
      </c>
      <c r="C39" s="1115"/>
      <c r="D39" s="1111">
        <v>1</v>
      </c>
      <c r="E39" s="1110">
        <v>25</v>
      </c>
      <c r="F39" s="1110">
        <v>4</v>
      </c>
      <c r="G39" s="263">
        <v>13.6</v>
      </c>
      <c r="H39" s="1080">
        <f>G39*F39</f>
        <v>54.4</v>
      </c>
    </row>
    <row r="40" spans="1:11" x14ac:dyDescent="0.25">
      <c r="A40" s="13"/>
      <c r="B40" s="13" t="s">
        <v>518</v>
      </c>
      <c r="C40" s="1116"/>
      <c r="D40" s="1111"/>
      <c r="E40" s="1110">
        <v>35</v>
      </c>
      <c r="F40" s="1110"/>
      <c r="G40" s="263"/>
      <c r="H40" s="1080"/>
    </row>
    <row r="41" spans="1:11" x14ac:dyDescent="0.25">
      <c r="A41" s="13"/>
      <c r="B41" s="13" t="s">
        <v>480</v>
      </c>
      <c r="C41" s="1116"/>
      <c r="D41" s="1111"/>
      <c r="E41" s="1110">
        <v>18</v>
      </c>
      <c r="F41" s="1110"/>
      <c r="G41" s="263"/>
      <c r="H41" s="1080"/>
      <c r="K41" t="s">
        <v>289</v>
      </c>
    </row>
    <row r="42" spans="1:11" x14ac:dyDescent="0.25">
      <c r="A42" s="13"/>
      <c r="B42" s="13" t="s">
        <v>519</v>
      </c>
      <c r="C42" s="1115"/>
      <c r="D42" s="1112"/>
      <c r="E42" s="1110">
        <v>3</v>
      </c>
      <c r="F42" s="1110"/>
      <c r="G42" s="263"/>
      <c r="H42" s="1080"/>
    </row>
    <row r="43" spans="1:11" x14ac:dyDescent="0.25">
      <c r="A43" s="13"/>
      <c r="B43" s="13" t="s">
        <v>373</v>
      </c>
      <c r="C43" s="1117">
        <v>125</v>
      </c>
      <c r="D43" s="1113">
        <v>3</v>
      </c>
      <c r="E43" s="1110">
        <v>3</v>
      </c>
      <c r="F43" s="535"/>
      <c r="G43" s="263">
        <v>3</v>
      </c>
      <c r="H43" s="1080">
        <f>G43*C43</f>
        <v>375</v>
      </c>
    </row>
    <row r="44" spans="1:11" ht="13.5" thickBot="1" x14ac:dyDescent="0.35">
      <c r="A44" s="17" t="s">
        <v>388</v>
      </c>
      <c r="B44" s="1085">
        <v>0.1</v>
      </c>
      <c r="C44" s="1086" t="s">
        <v>520</v>
      </c>
      <c r="D44" s="1054"/>
      <c r="E44" s="1280">
        <f>SUM(E37:E43)*B44</f>
        <v>9.4</v>
      </c>
      <c r="F44" s="1280">
        <f>SUM(F37:F43)*B44</f>
        <v>0.60000000000000009</v>
      </c>
      <c r="G44" s="1084"/>
      <c r="H44" s="1080"/>
    </row>
    <row r="45" spans="1:11" ht="13" x14ac:dyDescent="0.3">
      <c r="A45" s="72" t="s">
        <v>521</v>
      </c>
      <c r="B45" s="72"/>
      <c r="C45" s="72"/>
      <c r="D45" s="1087"/>
      <c r="E45" s="1097">
        <f>SUM(E37:E44)</f>
        <v>103.4</v>
      </c>
      <c r="F45" s="1088">
        <f>SUM(F37:F44)</f>
        <v>6.6</v>
      </c>
      <c r="G45" s="1088"/>
      <c r="H45" s="1093">
        <f>SUM(H37:H44)</f>
        <v>2379.4</v>
      </c>
    </row>
    <row r="46" spans="1:11" x14ac:dyDescent="0.25">
      <c r="A46" s="13" t="s">
        <v>522</v>
      </c>
      <c r="B46" s="13"/>
      <c r="C46" s="13"/>
      <c r="D46" s="1066"/>
      <c r="E46" s="1082"/>
      <c r="F46" s="1067"/>
      <c r="G46" s="1067"/>
      <c r="H46" s="1080"/>
    </row>
    <row r="47" spans="1:11" x14ac:dyDescent="0.25">
      <c r="A47" s="13" t="s">
        <v>476</v>
      </c>
      <c r="B47" s="13"/>
      <c r="C47" s="13"/>
      <c r="D47" s="1066"/>
      <c r="E47" s="1082"/>
      <c r="F47" s="1067"/>
      <c r="G47" s="1067"/>
      <c r="H47" s="1080">
        <f>H33</f>
        <v>10919.4</v>
      </c>
    </row>
    <row r="48" spans="1:11" x14ac:dyDescent="0.25">
      <c r="A48" s="13" t="s">
        <v>523</v>
      </c>
      <c r="B48" s="13" t="s">
        <v>524</v>
      </c>
      <c r="C48" s="13" t="s">
        <v>525</v>
      </c>
      <c r="D48" s="1098">
        <f>F45</f>
        <v>6.6</v>
      </c>
      <c r="E48" s="1102" t="s">
        <v>526</v>
      </c>
      <c r="F48" s="1100">
        <f>'Standard Vorgaben'!D174</f>
        <v>41</v>
      </c>
      <c r="G48" s="1067"/>
      <c r="H48" s="1080">
        <f>((D48*F48)+H45)</f>
        <v>2650</v>
      </c>
    </row>
    <row r="49" spans="1:8" ht="13" thickBot="1" x14ac:dyDescent="0.3">
      <c r="A49" s="13" t="s">
        <v>527</v>
      </c>
      <c r="B49" s="13"/>
      <c r="C49" s="13" t="s">
        <v>528</v>
      </c>
      <c r="D49" s="1098">
        <f>E45</f>
        <v>103.4</v>
      </c>
      <c r="E49" s="1102" t="s">
        <v>526</v>
      </c>
      <c r="F49" s="1100">
        <f>'Standard Vorgaben'!C32</f>
        <v>41.4</v>
      </c>
      <c r="G49" s="1067"/>
      <c r="H49" s="1092">
        <f>D49*F49</f>
        <v>4280.76</v>
      </c>
    </row>
    <row r="50" spans="1:8" ht="15.5" x14ac:dyDescent="0.35">
      <c r="A50" s="72" t="s">
        <v>529</v>
      </c>
      <c r="B50" s="13"/>
      <c r="C50" s="13"/>
      <c r="D50" s="1098"/>
      <c r="E50" s="1102"/>
      <c r="F50" s="1100"/>
      <c r="G50" s="1067"/>
      <c r="H50" s="1089">
        <f>SUM(H47:H49)</f>
        <v>17850.16</v>
      </c>
    </row>
    <row r="51" spans="1:8" x14ac:dyDescent="0.25">
      <c r="A51" s="13" t="s">
        <v>530</v>
      </c>
      <c r="B51" s="13"/>
      <c r="C51" s="13" t="s">
        <v>531</v>
      </c>
      <c r="D51" s="1098"/>
      <c r="E51" s="1102"/>
      <c r="F51" s="1100"/>
      <c r="G51" s="1067"/>
      <c r="H51" s="1080">
        <v>50</v>
      </c>
    </row>
    <row r="52" spans="1:8" x14ac:dyDescent="0.25">
      <c r="A52" s="13" t="s">
        <v>532</v>
      </c>
      <c r="B52" s="13"/>
      <c r="C52" s="1070" t="s">
        <v>533</v>
      </c>
      <c r="D52" s="1118"/>
      <c r="E52" s="1119">
        <v>4</v>
      </c>
      <c r="F52" s="1120">
        <f>'Standard Vorgaben'!C36</f>
        <v>32.700000000000003</v>
      </c>
      <c r="G52" s="1069"/>
      <c r="H52" s="1080">
        <f>E52*F52</f>
        <v>130.80000000000001</v>
      </c>
    </row>
    <row r="53" spans="1:8" x14ac:dyDescent="0.25">
      <c r="A53" s="13"/>
      <c r="B53" s="13"/>
      <c r="C53" s="1070" t="s">
        <v>534</v>
      </c>
      <c r="D53" s="1118"/>
      <c r="E53" s="1119"/>
      <c r="F53" s="1120"/>
      <c r="G53" s="1069"/>
      <c r="H53" s="1080">
        <v>300</v>
      </c>
    </row>
    <row r="54" spans="1:8" x14ac:dyDescent="0.25">
      <c r="A54" s="13"/>
      <c r="B54" s="13"/>
      <c r="C54" s="1070" t="s">
        <v>482</v>
      </c>
      <c r="D54" s="1118"/>
      <c r="E54" s="1119">
        <v>10</v>
      </c>
      <c r="F54" s="1120">
        <f>'Standard Vorgaben'!C36</f>
        <v>32.700000000000003</v>
      </c>
      <c r="G54" s="1069"/>
      <c r="H54" s="1080">
        <f>E54*F54</f>
        <v>327</v>
      </c>
    </row>
    <row r="55" spans="1:8" ht="13" thickBot="1" x14ac:dyDescent="0.3">
      <c r="A55" s="13"/>
      <c r="B55" s="13"/>
      <c r="C55" s="13" t="s">
        <v>486</v>
      </c>
      <c r="D55" s="1098"/>
      <c r="E55" s="1102">
        <v>500</v>
      </c>
      <c r="F55" s="1100">
        <f>'Standard Vorgaben'!C235</f>
        <v>2</v>
      </c>
      <c r="G55" s="1067"/>
      <c r="H55" s="1092">
        <f>E55*F55</f>
        <v>1000</v>
      </c>
    </row>
    <row r="56" spans="1:8" ht="14" x14ac:dyDescent="0.3">
      <c r="A56" s="72" t="s">
        <v>535</v>
      </c>
      <c r="B56" s="13"/>
      <c r="C56" s="1070"/>
      <c r="D56" s="1071"/>
      <c r="E56" s="1072"/>
      <c r="F56" s="1069"/>
      <c r="G56" s="1069"/>
      <c r="H56" s="1089">
        <f>SUM(H51:H55)</f>
        <v>1807.8</v>
      </c>
    </row>
    <row r="57" spans="1:8" x14ac:dyDescent="0.25">
      <c r="A57" s="13" t="s">
        <v>536</v>
      </c>
      <c r="B57" s="13"/>
      <c r="C57" s="1070"/>
      <c r="D57" s="1071"/>
      <c r="E57" s="1072"/>
      <c r="F57" s="1069"/>
      <c r="G57" s="1069"/>
      <c r="H57" s="1080"/>
    </row>
    <row r="58" spans="1:8" x14ac:dyDescent="0.25">
      <c r="A58" s="13" t="s">
        <v>537</v>
      </c>
      <c r="B58" s="13"/>
      <c r="C58" s="1070"/>
      <c r="D58" s="1071"/>
      <c r="E58" s="1072"/>
      <c r="F58" s="1069"/>
      <c r="G58" s="1069"/>
      <c r="H58" s="1080"/>
    </row>
    <row r="61" spans="1:8" ht="25" x14ac:dyDescent="0.5">
      <c r="A61" s="1435" t="s">
        <v>599</v>
      </c>
      <c r="B61" s="1435"/>
      <c r="C61" s="1435"/>
      <c r="D61" s="1435"/>
      <c r="E61" s="1435"/>
      <c r="F61" s="1435"/>
      <c r="G61" s="1435"/>
      <c r="H61" s="1435"/>
    </row>
    <row r="62" spans="1:8" ht="25" x14ac:dyDescent="0.5">
      <c r="A62" s="1453" t="s">
        <v>600</v>
      </c>
      <c r="B62" s="1435"/>
      <c r="C62" s="1435"/>
      <c r="D62" s="1197"/>
      <c r="E62" s="1197"/>
      <c r="F62" s="1197"/>
      <c r="G62" s="1197"/>
      <c r="H62" s="1197"/>
    </row>
    <row r="63" spans="1:8" ht="14" x14ac:dyDescent="0.3">
      <c r="A63" s="1198" t="s">
        <v>590</v>
      </c>
      <c r="B63" s="1198"/>
      <c r="C63" s="1199">
        <f>'Standard Vorgaben'!C19</f>
        <v>75</v>
      </c>
      <c r="D63" s="1200">
        <f>'Standard Vorgaben'!C18</f>
        <v>120</v>
      </c>
      <c r="E63" s="1201">
        <f>'Standard Vorgaben'!C23</f>
        <v>25</v>
      </c>
      <c r="F63" s="1202">
        <f>'Standard Vorgaben'!C21</f>
        <v>3</v>
      </c>
      <c r="G63" s="1202"/>
      <c r="H63" s="1203">
        <f>'Standard Vorgaben'!C22</f>
        <v>1</v>
      </c>
    </row>
    <row r="64" spans="1:8" x14ac:dyDescent="0.25">
      <c r="A64" s="1212" t="s">
        <v>477</v>
      </c>
      <c r="B64" s="19" t="s">
        <v>577</v>
      </c>
      <c r="C64" s="19"/>
      <c r="D64" s="1101">
        <f>((E63*D63)+50)</f>
        <v>3050</v>
      </c>
      <c r="E64" s="1253"/>
      <c r="F64" s="1100">
        <f>0.9*(1+D3)</f>
        <v>1.0620000000000001</v>
      </c>
      <c r="G64" s="1211"/>
      <c r="H64" s="1219">
        <f>F64*D64</f>
        <v>3239.1000000000004</v>
      </c>
    </row>
    <row r="65" spans="1:8" ht="13" x14ac:dyDescent="0.3">
      <c r="A65" s="1220"/>
      <c r="B65" s="19" t="s">
        <v>578</v>
      </c>
      <c r="C65" s="19"/>
      <c r="D65" s="1098">
        <f>'Standard Vorgaben'!C24/2</f>
        <v>1512.5</v>
      </c>
      <c r="E65" s="1254" t="s">
        <v>579</v>
      </c>
      <c r="F65" s="1100">
        <f>2.6*(1+D3)</f>
        <v>3.0680000000000001</v>
      </c>
      <c r="G65" s="1211"/>
      <c r="H65" s="1219">
        <f>F65*D65</f>
        <v>4640.3500000000004</v>
      </c>
    </row>
    <row r="66" spans="1:8" x14ac:dyDescent="0.25">
      <c r="A66" s="19"/>
      <c r="B66" s="1204" t="s">
        <v>492</v>
      </c>
      <c r="C66" s="1205"/>
      <c r="D66" s="1098">
        <f>E63</f>
        <v>25</v>
      </c>
      <c r="E66" s="1099"/>
      <c r="F66" s="1100">
        <f>20.65*(1+D3)</f>
        <v>24.366999999999997</v>
      </c>
      <c r="G66" s="1211"/>
      <c r="H66" s="1219">
        <f>F66*D66</f>
        <v>609.17499999999995</v>
      </c>
    </row>
    <row r="67" spans="1:8" x14ac:dyDescent="0.25">
      <c r="A67" s="19"/>
      <c r="B67" s="19" t="s">
        <v>580</v>
      </c>
      <c r="C67" s="19"/>
      <c r="D67" s="1098">
        <f>E63</f>
        <v>25</v>
      </c>
      <c r="E67" s="1099"/>
      <c r="F67" s="1100">
        <f>8.5*(1+D3)</f>
        <v>10.029999999999999</v>
      </c>
      <c r="G67" s="1211"/>
      <c r="H67" s="1219">
        <f>F67*D67</f>
        <v>250.74999999999997</v>
      </c>
    </row>
    <row r="68" spans="1:8" x14ac:dyDescent="0.25">
      <c r="A68" s="19"/>
      <c r="B68" s="19" t="s">
        <v>581</v>
      </c>
      <c r="C68" s="19"/>
      <c r="D68" s="1098">
        <f>D64</f>
        <v>3050</v>
      </c>
      <c r="E68" s="1099"/>
      <c r="F68" s="1100">
        <f>0.078*(1+D3)</f>
        <v>9.2039999999999997E-2</v>
      </c>
      <c r="G68" s="1211"/>
      <c r="H68" s="1219">
        <f>F68*D68</f>
        <v>280.72199999999998</v>
      </c>
    </row>
    <row r="69" spans="1:8" ht="13" thickBot="1" x14ac:dyDescent="0.3">
      <c r="A69" s="19"/>
      <c r="B69" s="19" t="s">
        <v>358</v>
      </c>
      <c r="C69" s="19"/>
      <c r="D69" s="1098"/>
      <c r="E69" s="1099"/>
      <c r="F69" s="1100"/>
      <c r="G69" s="1211"/>
      <c r="H69" s="1246">
        <v>250</v>
      </c>
    </row>
    <row r="70" spans="1:8" ht="14" x14ac:dyDescent="0.3">
      <c r="A70" s="1221" t="s">
        <v>495</v>
      </c>
      <c r="B70" s="1221"/>
      <c r="C70" s="1221"/>
      <c r="D70" s="1255"/>
      <c r="E70" s="1256"/>
      <c r="F70" s="1256"/>
      <c r="G70" s="1222"/>
      <c r="H70" s="1223">
        <f>SUM(H64:H69)</f>
        <v>9270.0969999999998</v>
      </c>
    </row>
    <row r="71" spans="1:8" x14ac:dyDescent="0.25">
      <c r="A71" s="1212" t="s">
        <v>478</v>
      </c>
      <c r="B71" s="19" t="s">
        <v>496</v>
      </c>
      <c r="C71" s="19"/>
      <c r="D71" s="1098"/>
      <c r="E71" s="1099"/>
      <c r="F71" s="1100"/>
      <c r="G71" s="1211"/>
      <c r="H71" s="1219"/>
    </row>
    <row r="72" spans="1:8" x14ac:dyDescent="0.25">
      <c r="A72" s="19"/>
      <c r="B72" s="19" t="s">
        <v>497</v>
      </c>
      <c r="C72" s="19"/>
      <c r="D72" s="1101">
        <v>300</v>
      </c>
      <c r="E72" s="1099"/>
      <c r="F72" s="1100">
        <f>3.8*(1+D3)</f>
        <v>4.484</v>
      </c>
      <c r="G72" s="1211"/>
      <c r="H72" s="1219">
        <f>F72*D72</f>
        <v>1345.2</v>
      </c>
    </row>
    <row r="73" spans="1:8" x14ac:dyDescent="0.25">
      <c r="A73" s="19"/>
      <c r="B73" s="19" t="s">
        <v>498</v>
      </c>
      <c r="C73" s="19"/>
      <c r="D73" s="1098">
        <v>2</v>
      </c>
      <c r="E73" s="1102"/>
      <c r="F73" s="1100">
        <f>55*(1+D3)</f>
        <v>64.899999999999991</v>
      </c>
      <c r="G73" s="1211"/>
      <c r="H73" s="1219">
        <f>F73*D73</f>
        <v>129.79999999999998</v>
      </c>
    </row>
    <row r="74" spans="1:8" ht="13" thickBot="1" x14ac:dyDescent="0.3">
      <c r="A74" s="19"/>
      <c r="B74" s="19" t="s">
        <v>499</v>
      </c>
      <c r="C74" s="19"/>
      <c r="D74" s="535"/>
      <c r="E74" s="535"/>
      <c r="F74" s="535"/>
      <c r="G74" s="19"/>
      <c r="H74" s="1246">
        <v>250</v>
      </c>
    </row>
    <row r="75" spans="1:8" ht="14" x14ac:dyDescent="0.3">
      <c r="A75" s="1221" t="s">
        <v>500</v>
      </c>
      <c r="B75" s="1221"/>
      <c r="C75" s="1221"/>
      <c r="D75" s="1255"/>
      <c r="E75" s="1256"/>
      <c r="F75" s="1256"/>
      <c r="G75" s="1222"/>
      <c r="H75" s="1223">
        <f>SUM(H72:H74)</f>
        <v>1725</v>
      </c>
    </row>
    <row r="76" spans="1:8" x14ac:dyDescent="0.25">
      <c r="A76" s="1212" t="s">
        <v>479</v>
      </c>
      <c r="B76" s="19" t="s">
        <v>501</v>
      </c>
      <c r="C76" s="19"/>
      <c r="D76" s="1098">
        <v>1</v>
      </c>
      <c r="E76" s="1102"/>
      <c r="F76" s="1100">
        <f>300*(1+D3)</f>
        <v>354</v>
      </c>
      <c r="G76" s="1211"/>
      <c r="H76" s="1219">
        <f t="shared" ref="H76:H81" si="1">F76*D76</f>
        <v>354</v>
      </c>
    </row>
    <row r="77" spans="1:8" x14ac:dyDescent="0.25">
      <c r="A77" s="19"/>
      <c r="B77" s="19" t="s">
        <v>502</v>
      </c>
      <c r="C77" s="19"/>
      <c r="D77" s="1098">
        <v>1</v>
      </c>
      <c r="E77" s="1102"/>
      <c r="F77" s="1100">
        <f>120*(1+D3)</f>
        <v>141.6</v>
      </c>
      <c r="G77" s="1211"/>
      <c r="H77" s="1219">
        <f t="shared" si="1"/>
        <v>141.6</v>
      </c>
    </row>
    <row r="78" spans="1:8" x14ac:dyDescent="0.25">
      <c r="A78" s="19"/>
      <c r="B78" s="19" t="s">
        <v>591</v>
      </c>
      <c r="C78" s="19"/>
      <c r="D78" s="1098">
        <v>1</v>
      </c>
      <c r="E78" s="1102"/>
      <c r="F78" s="1100">
        <f>190*(1+D3)</f>
        <v>224.2</v>
      </c>
      <c r="G78" s="1211"/>
      <c r="H78" s="1219">
        <f t="shared" si="1"/>
        <v>224.2</v>
      </c>
    </row>
    <row r="79" spans="1:8" x14ac:dyDescent="0.25">
      <c r="A79" s="19"/>
      <c r="B79" s="19" t="s">
        <v>504</v>
      </c>
      <c r="C79" s="19"/>
      <c r="D79" s="1098">
        <v>1</v>
      </c>
      <c r="E79" s="1102"/>
      <c r="F79" s="1100">
        <f>70*(1+D3)</f>
        <v>82.6</v>
      </c>
      <c r="G79" s="1211"/>
      <c r="H79" s="1219">
        <f t="shared" si="1"/>
        <v>82.6</v>
      </c>
    </row>
    <row r="80" spans="1:8" x14ac:dyDescent="0.25">
      <c r="A80" s="19"/>
      <c r="B80" s="19" t="s">
        <v>505</v>
      </c>
      <c r="C80" s="19"/>
      <c r="D80" s="1098">
        <v>4</v>
      </c>
      <c r="E80" s="1102"/>
      <c r="F80" s="1100">
        <f>130*(1+D3)</f>
        <v>153.4</v>
      </c>
      <c r="G80" s="1211"/>
      <c r="H80" s="1219">
        <f t="shared" si="1"/>
        <v>613.6</v>
      </c>
    </row>
    <row r="81" spans="1:8" x14ac:dyDescent="0.25">
      <c r="A81" s="19"/>
      <c r="B81" s="19" t="s">
        <v>506</v>
      </c>
      <c r="C81" s="19"/>
      <c r="D81" s="1098">
        <v>1</v>
      </c>
      <c r="E81" s="1102"/>
      <c r="F81" s="1100">
        <f>350*(1+D3)</f>
        <v>413</v>
      </c>
      <c r="G81" s="1211"/>
      <c r="H81" s="1219">
        <f t="shared" si="1"/>
        <v>413</v>
      </c>
    </row>
    <row r="82" spans="1:8" ht="13" thickBot="1" x14ac:dyDescent="0.3">
      <c r="A82" s="19"/>
      <c r="B82" s="19" t="s">
        <v>499</v>
      </c>
      <c r="C82" s="19"/>
      <c r="D82" s="535"/>
      <c r="E82" s="535"/>
      <c r="F82" s="535"/>
      <c r="G82" s="19"/>
      <c r="H82" s="1246">
        <v>100</v>
      </c>
    </row>
    <row r="83" spans="1:8" ht="14" x14ac:dyDescent="0.3">
      <c r="A83" s="1221" t="s">
        <v>507</v>
      </c>
      <c r="B83" s="1221"/>
      <c r="C83" s="1221"/>
      <c r="D83" s="1255"/>
      <c r="E83" s="1256"/>
      <c r="F83" s="1256"/>
      <c r="G83" s="1222"/>
      <c r="H83" s="1223">
        <f>SUM(H76:H81)</f>
        <v>1829</v>
      </c>
    </row>
    <row r="84" spans="1:8" ht="13" x14ac:dyDescent="0.3">
      <c r="A84" s="1224" t="s">
        <v>508</v>
      </c>
      <c r="B84" s="1224" t="s">
        <v>509</v>
      </c>
      <c r="C84" s="1224"/>
      <c r="D84" s="1257">
        <v>1</v>
      </c>
      <c r="E84" s="1258"/>
      <c r="F84" s="1259">
        <f>1580*(1+D3)</f>
        <v>1864.3999999999999</v>
      </c>
      <c r="G84" s="1225"/>
      <c r="H84" s="1226"/>
    </row>
    <row r="85" spans="1:8" ht="13" x14ac:dyDescent="0.3">
      <c r="A85" s="1224" t="s">
        <v>508</v>
      </c>
      <c r="B85" s="1224" t="s">
        <v>510</v>
      </c>
      <c r="C85" s="1224"/>
      <c r="D85" s="1257">
        <v>1</v>
      </c>
      <c r="E85" s="1258"/>
      <c r="F85" s="1259">
        <f>2250*(1+D3)</f>
        <v>2655</v>
      </c>
      <c r="G85" s="1225"/>
      <c r="H85" s="1227"/>
    </row>
    <row r="86" spans="1:8" ht="15.5" x14ac:dyDescent="0.35">
      <c r="A86" s="153" t="s">
        <v>592</v>
      </c>
      <c r="B86" s="153"/>
      <c r="C86" s="153"/>
      <c r="D86" s="153"/>
      <c r="E86" s="1228"/>
      <c r="F86" s="1228"/>
      <c r="G86" s="1228"/>
      <c r="H86" s="1261">
        <f>H70+H75+H83+H84+H85</f>
        <v>12824.097</v>
      </c>
    </row>
    <row r="87" spans="1:8" ht="13" x14ac:dyDescent="0.3">
      <c r="A87" s="87" t="s">
        <v>511</v>
      </c>
      <c r="B87" s="145"/>
      <c r="C87" s="145"/>
      <c r="D87" s="145"/>
      <c r="E87" s="145"/>
      <c r="F87" s="145"/>
      <c r="G87" s="145"/>
      <c r="H87" s="1230"/>
    </row>
    <row r="88" spans="1:8" ht="13" x14ac:dyDescent="0.3">
      <c r="A88" s="41"/>
      <c r="B88" s="41" t="s">
        <v>62</v>
      </c>
      <c r="C88" s="1231"/>
      <c r="D88" s="823"/>
      <c r="E88" s="1232" t="s">
        <v>512</v>
      </c>
      <c r="F88" s="1232" t="s">
        <v>513</v>
      </c>
      <c r="G88" s="1233"/>
      <c r="H88" s="1234" t="s">
        <v>582</v>
      </c>
    </row>
    <row r="89" spans="1:8" ht="13" x14ac:dyDescent="0.3">
      <c r="A89" s="41"/>
      <c r="B89" s="41"/>
      <c r="C89" s="1231"/>
      <c r="D89" s="823"/>
      <c r="E89" s="1232"/>
      <c r="F89" s="1232"/>
      <c r="G89" s="1235" t="s">
        <v>21</v>
      </c>
      <c r="H89" s="1236" t="s">
        <v>82</v>
      </c>
    </row>
    <row r="90" spans="1:8" x14ac:dyDescent="0.25">
      <c r="A90" s="1237" t="s">
        <v>514</v>
      </c>
      <c r="B90" s="19" t="s">
        <v>515</v>
      </c>
      <c r="C90" s="1206"/>
      <c r="D90" s="1250"/>
      <c r="E90" s="1110">
        <v>10</v>
      </c>
      <c r="F90" s="1110">
        <v>2</v>
      </c>
      <c r="G90" s="562"/>
      <c r="H90" s="1219"/>
    </row>
    <row r="91" spans="1:8" ht="13" x14ac:dyDescent="0.3">
      <c r="A91" s="41"/>
      <c r="B91" s="19" t="s">
        <v>516</v>
      </c>
      <c r="C91" s="1207">
        <v>6.5</v>
      </c>
      <c r="D91" s="1109">
        <f>D72</f>
        <v>300</v>
      </c>
      <c r="E91" s="1110"/>
      <c r="F91" s="1110"/>
      <c r="G91" s="562">
        <f>C91</f>
        <v>6.5</v>
      </c>
      <c r="H91" s="1219">
        <f>G91*D91</f>
        <v>1950</v>
      </c>
    </row>
    <row r="92" spans="1:8" x14ac:dyDescent="0.25">
      <c r="A92" s="19"/>
      <c r="B92" s="19" t="s">
        <v>517</v>
      </c>
      <c r="C92" s="1208"/>
      <c r="D92" s="1111">
        <v>1</v>
      </c>
      <c r="E92" s="1110">
        <v>25</v>
      </c>
      <c r="F92" s="1110">
        <v>4</v>
      </c>
      <c r="G92" s="562">
        <v>13.6</v>
      </c>
      <c r="H92" s="1219">
        <f>G92*F92</f>
        <v>54.4</v>
      </c>
    </row>
    <row r="93" spans="1:8" x14ac:dyDescent="0.25">
      <c r="A93" s="19"/>
      <c r="B93" s="19" t="s">
        <v>518</v>
      </c>
      <c r="C93" s="1206"/>
      <c r="D93" s="1111"/>
      <c r="E93" s="1110">
        <v>35</v>
      </c>
      <c r="F93" s="1110"/>
      <c r="G93" s="562"/>
      <c r="H93" s="1219"/>
    </row>
    <row r="94" spans="1:8" x14ac:dyDescent="0.25">
      <c r="A94" s="19"/>
      <c r="B94" s="19" t="s">
        <v>583</v>
      </c>
      <c r="C94" s="1206"/>
      <c r="D94" s="1111"/>
      <c r="E94" s="1110">
        <v>10</v>
      </c>
      <c r="F94" s="1110"/>
      <c r="G94" s="562"/>
      <c r="H94" s="1219"/>
    </row>
    <row r="95" spans="1:8" x14ac:dyDescent="0.25">
      <c r="A95" s="19"/>
      <c r="B95" s="19" t="s">
        <v>480</v>
      </c>
      <c r="C95" s="1206"/>
      <c r="D95" s="1111"/>
      <c r="E95" s="1110">
        <v>18</v>
      </c>
      <c r="F95" s="1110"/>
      <c r="G95" s="562"/>
      <c r="H95" s="1219"/>
    </row>
    <row r="96" spans="1:8" x14ac:dyDescent="0.25">
      <c r="A96" s="19"/>
      <c r="B96" s="19" t="s">
        <v>519</v>
      </c>
      <c r="C96" s="1208"/>
      <c r="D96" s="1112"/>
      <c r="E96" s="1110">
        <v>3</v>
      </c>
      <c r="F96" s="1110"/>
      <c r="G96" s="562"/>
      <c r="H96" s="1219"/>
    </row>
    <row r="97" spans="1:8" x14ac:dyDescent="0.25">
      <c r="A97" s="19"/>
      <c r="B97" s="19" t="s">
        <v>373</v>
      </c>
      <c r="C97" s="1209">
        <v>125</v>
      </c>
      <c r="D97" s="1113">
        <v>3</v>
      </c>
      <c r="E97" s="1110">
        <v>3</v>
      </c>
      <c r="F97" s="535"/>
      <c r="G97" s="562">
        <v>3</v>
      </c>
      <c r="H97" s="1219">
        <f>G97*C97</f>
        <v>375</v>
      </c>
    </row>
    <row r="98" spans="1:8" ht="13" x14ac:dyDescent="0.3">
      <c r="A98" s="41" t="s">
        <v>388</v>
      </c>
      <c r="B98" s="1238">
        <v>0.1</v>
      </c>
      <c r="C98" s="1239" t="s">
        <v>520</v>
      </c>
      <c r="D98" s="1054"/>
      <c r="E98" s="1110">
        <f>SUM(E90:E97)*B98</f>
        <v>10.4</v>
      </c>
      <c r="F98" s="1110">
        <f>SUM(F90:F97)*B98</f>
        <v>0.60000000000000009</v>
      </c>
      <c r="G98" s="1110"/>
      <c r="H98" s="1219"/>
    </row>
    <row r="99" spans="1:8" ht="14" x14ac:dyDescent="0.3">
      <c r="A99" s="1221" t="s">
        <v>521</v>
      </c>
      <c r="B99" s="1240"/>
      <c r="C99" s="1241"/>
      <c r="D99" s="1251"/>
      <c r="E99" s="1252">
        <f>SUM(E90:E98)</f>
        <v>114.4</v>
      </c>
      <c r="F99" s="1252">
        <f>SUM(F90:F98)</f>
        <v>6.6</v>
      </c>
      <c r="G99" s="1252"/>
      <c r="H99" s="1226">
        <f>SUM(H90:H98)</f>
        <v>2379.4</v>
      </c>
    </row>
    <row r="100" spans="1:8" ht="14" x14ac:dyDescent="0.3">
      <c r="A100" s="1221" t="s">
        <v>522</v>
      </c>
      <c r="B100" s="1240"/>
      <c r="C100" s="1242"/>
      <c r="D100" s="1240"/>
      <c r="E100" s="1240"/>
      <c r="F100" s="1242"/>
      <c r="G100" s="1242"/>
      <c r="H100" s="1243"/>
    </row>
    <row r="101" spans="1:8" ht="13" x14ac:dyDescent="0.3">
      <c r="A101" s="41" t="s">
        <v>476</v>
      </c>
      <c r="B101" s="19"/>
      <c r="C101" s="19"/>
      <c r="D101" s="81"/>
      <c r="E101" s="44"/>
      <c r="F101" s="19"/>
      <c r="G101" s="19"/>
      <c r="H101" s="1219">
        <f>H86</f>
        <v>12824.097</v>
      </c>
    </row>
    <row r="102" spans="1:8" ht="13" x14ac:dyDescent="0.3">
      <c r="A102" s="41" t="s">
        <v>523</v>
      </c>
      <c r="B102" s="41" t="s">
        <v>524</v>
      </c>
      <c r="C102" s="1210" t="s">
        <v>525</v>
      </c>
      <c r="D102" s="1113">
        <f>F99</f>
        <v>6.6</v>
      </c>
      <c r="E102" s="564" t="s">
        <v>526</v>
      </c>
      <c r="F102" s="1100">
        <f>'Standard Vorgaben'!D174</f>
        <v>41</v>
      </c>
      <c r="G102" s="1211"/>
      <c r="H102" s="1219">
        <f>((D102*F102)+H99)</f>
        <v>2650</v>
      </c>
    </row>
    <row r="103" spans="1:8" ht="13.5" thickBot="1" x14ac:dyDescent="0.35">
      <c r="A103" s="41" t="s">
        <v>527</v>
      </c>
      <c r="B103" s="19"/>
      <c r="C103" s="1212" t="s">
        <v>528</v>
      </c>
      <c r="D103" s="1113">
        <f>E99</f>
        <v>114.4</v>
      </c>
      <c r="E103" s="564" t="s">
        <v>526</v>
      </c>
      <c r="F103" s="1100">
        <f>'Standard Vorgaben'!C32</f>
        <v>41.4</v>
      </c>
      <c r="G103" s="1211"/>
      <c r="H103" s="1246">
        <f>D103*F103</f>
        <v>4736.16</v>
      </c>
    </row>
    <row r="104" spans="1:8" ht="18" x14ac:dyDescent="0.4">
      <c r="A104" s="561" t="s">
        <v>593</v>
      </c>
      <c r="B104" s="561"/>
      <c r="C104" s="561"/>
      <c r="D104" s="561"/>
      <c r="E104" s="561"/>
      <c r="F104" s="561"/>
      <c r="G104" s="561"/>
      <c r="H104" s="1223">
        <f>SUM(H101:H103)</f>
        <v>20210.256999999998</v>
      </c>
    </row>
    <row r="105" spans="1:8" ht="14" x14ac:dyDescent="0.3">
      <c r="A105" s="1221" t="s">
        <v>594</v>
      </c>
      <c r="B105" s="1240"/>
      <c r="C105" s="1240"/>
      <c r="D105" s="1240"/>
      <c r="E105" s="1240"/>
      <c r="F105" s="1240"/>
      <c r="G105" s="1240"/>
      <c r="H105" s="1244"/>
    </row>
    <row r="106" spans="1:8" x14ac:dyDescent="0.25">
      <c r="A106" s="19" t="s">
        <v>584</v>
      </c>
      <c r="B106" s="19" t="s">
        <v>585</v>
      </c>
      <c r="C106" s="1345">
        <f>'Standard Vorgaben'!C40</f>
        <v>1.4999999999999999E-2</v>
      </c>
      <c r="D106" s="1120">
        <f>H101</f>
        <v>12824.097</v>
      </c>
      <c r="E106" s="564" t="s">
        <v>586</v>
      </c>
      <c r="F106" s="1346">
        <f>'Standard Vorgaben'!C41</f>
        <v>0.6</v>
      </c>
      <c r="G106" s="1214"/>
      <c r="H106" s="1219">
        <f>C106*D106*F106</f>
        <v>115.41687299999998</v>
      </c>
    </row>
    <row r="107" spans="1:8" x14ac:dyDescent="0.25">
      <c r="A107" s="42"/>
      <c r="B107" s="42" t="s">
        <v>587</v>
      </c>
      <c r="C107" s="1345">
        <f>'Standard Vorgaben'!C40</f>
        <v>1.4999999999999999E-2</v>
      </c>
      <c r="D107" s="1249">
        <f>H91+H97</f>
        <v>2325</v>
      </c>
      <c r="E107" s="1160" t="s">
        <v>586</v>
      </c>
      <c r="F107" s="1346">
        <f>'Standard Vorgaben'!C41</f>
        <v>0.6</v>
      </c>
      <c r="G107" s="1214"/>
      <c r="H107" s="1219">
        <f>C107*D107*F107</f>
        <v>20.925000000000001</v>
      </c>
    </row>
    <row r="108" spans="1:8" x14ac:dyDescent="0.25">
      <c r="A108" s="19" t="s">
        <v>588</v>
      </c>
      <c r="B108" s="19"/>
      <c r="C108" s="45">
        <f>D106</f>
        <v>12824.097</v>
      </c>
      <c r="D108" s="19" t="s">
        <v>589</v>
      </c>
      <c r="E108" s="19"/>
      <c r="F108" s="19"/>
      <c r="G108" s="19"/>
      <c r="H108" s="1219">
        <f>C108/15</f>
        <v>854.93979999999999</v>
      </c>
    </row>
    <row r="109" spans="1:8" x14ac:dyDescent="0.25">
      <c r="A109" s="19" t="s">
        <v>530</v>
      </c>
      <c r="B109" s="19"/>
      <c r="C109" s="1215" t="s">
        <v>531</v>
      </c>
      <c r="D109" s="1216"/>
      <c r="E109" s="1217"/>
      <c r="F109" s="1213"/>
      <c r="G109" s="1213"/>
      <c r="H109" s="1219">
        <v>50</v>
      </c>
    </row>
    <row r="110" spans="1:8" x14ac:dyDescent="0.25">
      <c r="A110" s="19" t="s">
        <v>532</v>
      </c>
      <c r="B110" s="19"/>
      <c r="C110" s="1218" t="s">
        <v>533</v>
      </c>
      <c r="D110" s="1118"/>
      <c r="E110" s="1119">
        <v>4</v>
      </c>
      <c r="F110" s="1120">
        <f>'Standard Vorgaben'!C36</f>
        <v>32.700000000000003</v>
      </c>
      <c r="G110" s="1213"/>
      <c r="H110" s="1219">
        <f>E110*F110</f>
        <v>130.80000000000001</v>
      </c>
    </row>
    <row r="111" spans="1:8" x14ac:dyDescent="0.25">
      <c r="A111" s="19"/>
      <c r="B111" s="19"/>
      <c r="C111" s="1218" t="s">
        <v>482</v>
      </c>
      <c r="D111" s="1118"/>
      <c r="E111" s="1119">
        <v>10</v>
      </c>
      <c r="F111" s="1120">
        <f>'Standard Vorgaben'!C36</f>
        <v>32.700000000000003</v>
      </c>
      <c r="G111" s="1213"/>
      <c r="H111" s="1219">
        <f>E111*F111</f>
        <v>327</v>
      </c>
    </row>
    <row r="112" spans="1:8" ht="13" thickBot="1" x14ac:dyDescent="0.3">
      <c r="A112" s="19"/>
      <c r="B112" s="19"/>
      <c r="C112" s="1218" t="s">
        <v>486</v>
      </c>
      <c r="D112" s="1118"/>
      <c r="E112" s="1247">
        <v>500</v>
      </c>
      <c r="F112" s="1248">
        <f>'Standard Vorgaben'!C235</f>
        <v>2</v>
      </c>
      <c r="G112" s="1245"/>
      <c r="H112" s="1246">
        <f>E112*F112</f>
        <v>1000</v>
      </c>
    </row>
    <row r="113" spans="1:8" ht="15.5" x14ac:dyDescent="0.35">
      <c r="A113" s="153" t="s">
        <v>595</v>
      </c>
      <c r="B113" s="153"/>
      <c r="C113" s="153"/>
      <c r="D113" s="153"/>
      <c r="E113" s="153"/>
      <c r="F113" s="153"/>
      <c r="G113" s="153"/>
      <c r="H113" s="1223">
        <f>SUM(H105:H112)</f>
        <v>2499.0816729999997</v>
      </c>
    </row>
    <row r="114" spans="1:8" x14ac:dyDescent="0.25">
      <c r="A114" s="19" t="s">
        <v>536</v>
      </c>
      <c r="B114" s="19"/>
      <c r="C114" s="19"/>
      <c r="D114" s="19"/>
      <c r="E114" s="19"/>
      <c r="F114" s="19"/>
      <c r="G114" s="19"/>
      <c r="H114" s="19"/>
    </row>
    <row r="115" spans="1:8" x14ac:dyDescent="0.25">
      <c r="A115" s="19" t="s">
        <v>537</v>
      </c>
      <c r="B115" s="19"/>
      <c r="C115" s="19"/>
      <c r="D115" s="19"/>
      <c r="E115" s="19"/>
      <c r="F115" s="19"/>
      <c r="G115" s="19"/>
      <c r="H115" s="19"/>
    </row>
  </sheetData>
  <mergeCells count="5">
    <mergeCell ref="B4:F4"/>
    <mergeCell ref="A62:C62"/>
    <mergeCell ref="A6:H6"/>
    <mergeCell ref="A5:H5"/>
    <mergeCell ref="A61:H61"/>
  </mergeCells>
  <phoneticPr fontId="23" type="noConversion"/>
  <pageMargins left="0.78740157499999996" right="0.78740157499999996" top="0.984251969" bottom="0.984251969" header="0.4921259845" footer="0.4921259845"/>
  <pageSetup paperSize="9" orientation="portrait" r:id="rId1"/>
  <headerFooter alignWithMargins="0">
    <oddHeader>&amp;LArbokost BIO 2008/09&amp;REsther Bravin, ACW</oddHead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tandardErstellung">
    <tabColor indexed="10"/>
  </sheetPr>
  <dimension ref="A1:AI156"/>
  <sheetViews>
    <sheetView zoomScale="75" workbookViewId="0">
      <selection activeCell="E8" sqref="E8"/>
    </sheetView>
  </sheetViews>
  <sheetFormatPr baseColWidth="10" defaultRowHeight="12.5" x14ac:dyDescent="0.25"/>
  <cols>
    <col min="1" max="1" width="32.26953125" customWidth="1"/>
    <col min="2" max="2" width="56.7265625" customWidth="1"/>
    <col min="3" max="3" width="19.36328125" customWidth="1"/>
    <col min="4" max="4" width="20.36328125" customWidth="1"/>
    <col min="5" max="5" width="17.54296875" customWidth="1"/>
    <col min="6" max="6" width="18.36328125" customWidth="1"/>
    <col min="7" max="7" width="25.7265625" customWidth="1"/>
    <col min="8" max="35" width="11.36328125" style="13" customWidth="1"/>
  </cols>
  <sheetData>
    <row r="1" spans="1:35" ht="57.25" customHeight="1" x14ac:dyDescent="0.35">
      <c r="A1" s="1287" t="str">
        <f>Eingabeseite!$A$1</f>
        <v>Arbokost 2023</v>
      </c>
      <c r="B1" s="1284" t="str">
        <f>'Standard Bewässerung'!B1</f>
        <v>BIO- Tafelapfel, Gala auf M9, 3000 Bäume /ha</v>
      </c>
      <c r="C1" s="773"/>
      <c r="D1" s="774"/>
      <c r="E1" s="775"/>
      <c r="F1" s="776"/>
      <c r="G1" s="73"/>
      <c r="H1"/>
      <c r="I1"/>
      <c r="J1"/>
      <c r="K1"/>
      <c r="L1"/>
      <c r="M1"/>
      <c r="N1"/>
      <c r="O1"/>
      <c r="P1"/>
      <c r="Q1"/>
      <c r="R1"/>
      <c r="S1"/>
      <c r="T1"/>
      <c r="U1"/>
      <c r="V1"/>
      <c r="W1"/>
      <c r="X1"/>
      <c r="Y1"/>
      <c r="Z1"/>
      <c r="AA1"/>
      <c r="AB1"/>
      <c r="AC1"/>
      <c r="AD1"/>
      <c r="AE1"/>
      <c r="AF1"/>
      <c r="AG1"/>
      <c r="AH1"/>
      <c r="AI1"/>
    </row>
    <row r="2" spans="1:35" s="1" customFormat="1" ht="23.25" customHeight="1" x14ac:dyDescent="0.35">
      <c r="A2" s="992" t="s">
        <v>468</v>
      </c>
      <c r="B2" s="822"/>
      <c r="C2" s="773"/>
      <c r="D2" s="774"/>
      <c r="E2" s="775"/>
      <c r="F2" s="776"/>
      <c r="G2" s="73"/>
    </row>
    <row r="3" spans="1:35" s="1" customFormat="1" ht="62.25" customHeight="1" x14ac:dyDescent="0.25">
      <c r="A3" s="820" t="str">
        <f>'Standard Vorgaben'!A3</f>
        <v>Definition Standard:</v>
      </c>
      <c r="B3" s="1424" t="str">
        <f>'Standard Vorgaben'!B3:I3</f>
        <v>Zeitgemässe Tafelapfelanlage auf schwachwachsender Unterlage. Werte sind ausgelegt auf gemischtwirtschaftliche Betriebe mit 2 - 5 ha Obstfläche, an geeigneten Standort in einem der Hauptproduktionsgebiete der Schweiz.</v>
      </c>
      <c r="C3" s="1424"/>
      <c r="D3" s="1424"/>
      <c r="E3" s="1424"/>
      <c r="F3" s="1424"/>
      <c r="G3" s="1013"/>
    </row>
    <row r="4" spans="1:35" s="1" customFormat="1" ht="21.65" customHeight="1" x14ac:dyDescent="0.35">
      <c r="A4" s="1011"/>
      <c r="B4" s="822"/>
      <c r="C4" s="773"/>
      <c r="D4" s="774"/>
      <c r="E4" s="775"/>
      <c r="F4" s="776"/>
      <c r="G4" s="73"/>
    </row>
    <row r="5" spans="1:35" ht="30.65" customHeight="1" x14ac:dyDescent="0.5">
      <c r="A5" s="390" t="s">
        <v>428</v>
      </c>
      <c r="B5" s="391"/>
      <c r="C5" s="391"/>
      <c r="D5" s="391"/>
      <c r="E5" s="391"/>
      <c r="F5" s="391"/>
      <c r="G5" s="117"/>
    </row>
    <row r="6" spans="1:35" ht="15.5" x14ac:dyDescent="0.35">
      <c r="A6" s="19"/>
      <c r="B6" s="584"/>
      <c r="C6" s="247"/>
      <c r="F6" s="529" t="s">
        <v>451</v>
      </c>
    </row>
    <row r="7" spans="1:35" s="12" customFormat="1" ht="20" customHeight="1" x14ac:dyDescent="0.3">
      <c r="A7" s="1"/>
      <c r="B7" s="3"/>
      <c r="C7" s="18" t="s">
        <v>11</v>
      </c>
      <c r="D7" s="18" t="s">
        <v>12</v>
      </c>
      <c r="E7" s="89" t="s">
        <v>13</v>
      </c>
      <c r="F7" s="284" t="s">
        <v>382</v>
      </c>
      <c r="G7" s="286"/>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row>
    <row r="8" spans="1:35" ht="13" x14ac:dyDescent="0.3">
      <c r="A8" s="823" t="s">
        <v>8</v>
      </c>
      <c r="B8" s="19"/>
      <c r="C8" s="131">
        <f>'Standard Vorgaben'!B24</f>
        <v>3000</v>
      </c>
      <c r="D8" s="45">
        <f>'Standard Vorgaben'!C31</f>
        <v>12</v>
      </c>
      <c r="E8" s="83">
        <f>C8*D8</f>
        <v>36000</v>
      </c>
      <c r="F8" s="735">
        <f>E8/$E$83</f>
        <v>0.38795446015967139</v>
      </c>
      <c r="G8" s="473"/>
    </row>
    <row r="9" spans="1:35" ht="13" x14ac:dyDescent="0.3">
      <c r="A9" s="41"/>
      <c r="B9" s="19"/>
      <c r="C9" s="131"/>
      <c r="D9" s="45"/>
      <c r="E9" s="83"/>
      <c r="F9" s="730"/>
      <c r="G9" s="473"/>
    </row>
    <row r="10" spans="1:35" ht="13" x14ac:dyDescent="0.3">
      <c r="A10" s="1436" t="s">
        <v>144</v>
      </c>
      <c r="B10" s="19" t="str">
        <f>'Standard Hagel'!B10</f>
        <v>Stützpfahl je B.</v>
      </c>
      <c r="C10" s="131">
        <f>'Standard Hagel'!C10</f>
        <v>3000</v>
      </c>
      <c r="D10" s="45">
        <f>'Standard Hagel'!D10</f>
        <v>1.593</v>
      </c>
      <c r="E10" s="46">
        <f>C10*D10</f>
        <v>4779</v>
      </c>
      <c r="F10" s="730">
        <f>E10/$E$83</f>
        <v>5.1500954586196378E-2</v>
      </c>
      <c r="G10" s="473"/>
    </row>
    <row r="11" spans="1:35" ht="13" x14ac:dyDescent="0.3">
      <c r="A11" s="1436"/>
      <c r="B11" s="19" t="str">
        <f>'Standard Hagel'!B11</f>
        <v xml:space="preserve">Spanndraht 3 mm </v>
      </c>
      <c r="C11" s="131">
        <f>'Standard Hagel'!C11</f>
        <v>2530</v>
      </c>
      <c r="D11" s="45">
        <f>'Standard Hagel'!D11</f>
        <v>0.1888</v>
      </c>
      <c r="E11" s="46">
        <f>C11*D11</f>
        <v>477.66399999999999</v>
      </c>
      <c r="F11" s="730">
        <f>E11/$E$83</f>
        <v>5.1475522016030352E-3</v>
      </c>
      <c r="G11" s="473"/>
    </row>
    <row r="12" spans="1:35" ht="13" x14ac:dyDescent="0.3">
      <c r="A12" s="1436"/>
      <c r="B12" s="19" t="str">
        <f>'Standard Hagel'!B12</f>
        <v xml:space="preserve">Agraffen </v>
      </c>
      <c r="C12" s="131">
        <f>'Standard Hagel'!C12</f>
        <v>6</v>
      </c>
      <c r="D12" s="45">
        <f>'Standard Hagel'!D12</f>
        <v>6.4899999999999993</v>
      </c>
      <c r="E12" s="46">
        <f>C12*D12</f>
        <v>38.94</v>
      </c>
      <c r="F12" s="730">
        <f>E12/$E$83</f>
        <v>4.1963740773937785E-4</v>
      </c>
      <c r="G12" s="473"/>
    </row>
    <row r="13" spans="1:35" ht="13.5" thickBot="1" x14ac:dyDescent="0.35">
      <c r="A13" s="1436"/>
      <c r="B13" s="19" t="str">
        <f>'Standard Hagel'!B13</f>
        <v>Klemmfix</v>
      </c>
      <c r="C13" s="131">
        <f>'Standard Hagel'!C13</f>
        <v>3000</v>
      </c>
      <c r="D13" s="45">
        <f>'Standard Hagel'!D13</f>
        <v>0.23599999999999999</v>
      </c>
      <c r="E13" s="474">
        <f>C13*D13</f>
        <v>708</v>
      </c>
      <c r="F13" s="730">
        <f>E13/$E$83</f>
        <v>7.62977104980687E-3</v>
      </c>
      <c r="G13" s="473"/>
    </row>
    <row r="14" spans="1:35" ht="13" x14ac:dyDescent="0.3">
      <c r="A14" s="41"/>
      <c r="B14" s="19"/>
      <c r="C14" s="131"/>
      <c r="D14" s="45"/>
      <c r="E14" s="586">
        <f>SUM(E10:E13)</f>
        <v>6003.6039999999994</v>
      </c>
      <c r="F14" s="735">
        <f>E14/$E$83</f>
        <v>6.4697915245345655E-2</v>
      </c>
      <c r="G14" s="473"/>
    </row>
    <row r="15" spans="1:35" ht="13.75" customHeight="1" x14ac:dyDescent="0.3">
      <c r="A15" s="41"/>
      <c r="B15" s="19"/>
      <c r="C15" s="273"/>
      <c r="D15" s="107"/>
      <c r="E15" s="586"/>
      <c r="F15" s="730"/>
      <c r="G15" s="473"/>
    </row>
    <row r="16" spans="1:35" ht="13.75" customHeight="1" x14ac:dyDescent="0.3">
      <c r="A16" s="1436" t="s">
        <v>339</v>
      </c>
      <c r="B16" s="19" t="str">
        <f>'Standard Hagel'!B15</f>
        <v>3-fädige Standardbreite m2</v>
      </c>
      <c r="C16" s="44">
        <f>'Standard Hagel'!C15</f>
        <v>9800</v>
      </c>
      <c r="D16" s="45">
        <f>'Standard Hagel'!D15</f>
        <v>1</v>
      </c>
      <c r="E16" s="223">
        <f>C16*D16</f>
        <v>9800</v>
      </c>
      <c r="F16" s="730">
        <f t="shared" ref="F16:F27" si="0">E16/$E$83</f>
        <v>0.10560982526568832</v>
      </c>
      <c r="G16" s="473"/>
    </row>
    <row r="17" spans="1:7" ht="13.75" customHeight="1" x14ac:dyDescent="0.3">
      <c r="A17" s="1436"/>
      <c r="B17" s="19" t="str">
        <f>'Standard Hagel'!B16</f>
        <v>Firstplaketten</v>
      </c>
      <c r="C17" s="44">
        <f>'Standard Hagel'!C16</f>
        <v>1200</v>
      </c>
      <c r="D17" s="45">
        <f>'Standard Hagel'!D16</f>
        <v>0.4</v>
      </c>
      <c r="E17" s="223">
        <f t="shared" ref="E17:E33" si="1">C17*D17</f>
        <v>480</v>
      </c>
      <c r="F17" s="730">
        <f t="shared" si="0"/>
        <v>5.1727261354622854E-3</v>
      </c>
      <c r="G17" s="473"/>
    </row>
    <row r="18" spans="1:7" ht="13.75" customHeight="1" x14ac:dyDescent="0.3">
      <c r="A18" s="1436"/>
      <c r="B18" s="19" t="str">
        <f>'Standard Hagel'!B17</f>
        <v>Traufenplaketten FRUSTAR 1</v>
      </c>
      <c r="C18" s="44">
        <f>'Standard Hagel'!C17</f>
        <v>1750</v>
      </c>
      <c r="D18" s="45">
        <f>'Standard Hagel'!D17</f>
        <v>0.97939999999999994</v>
      </c>
      <c r="E18" s="223">
        <f t="shared" si="1"/>
        <v>1713.9499999999998</v>
      </c>
      <c r="F18" s="730">
        <f t="shared" si="0"/>
        <v>1.847040408307413E-2</v>
      </c>
      <c r="G18" s="473"/>
    </row>
    <row r="19" spans="1:7" ht="13.75" customHeight="1" x14ac:dyDescent="0.3">
      <c r="A19" s="1436"/>
      <c r="B19" s="19" t="str">
        <f>'Standard Hagel'!B18</f>
        <v>Plaketten Standart inkl. S-Hacken</v>
      </c>
      <c r="C19" s="44">
        <f>'Standard Hagel'!C18</f>
        <v>100</v>
      </c>
      <c r="D19" s="45">
        <f>'Standard Hagel'!D18</f>
        <v>0.64900000000000002</v>
      </c>
      <c r="E19" s="223">
        <f t="shared" si="1"/>
        <v>64.900000000000006</v>
      </c>
      <c r="F19" s="730">
        <f t="shared" si="0"/>
        <v>6.993956795656298E-4</v>
      </c>
      <c r="G19" s="473"/>
    </row>
    <row r="20" spans="1:7" ht="13.75" customHeight="1" x14ac:dyDescent="0.3">
      <c r="A20" s="1436"/>
      <c r="B20" s="19" t="str">
        <f>'Standard Hagel'!B19</f>
        <v xml:space="preserve">Stirnseil 9.5 mm </v>
      </c>
      <c r="C20" s="44">
        <f>'Standard Hagel'!C19</f>
        <v>165</v>
      </c>
      <c r="D20" s="45">
        <f>'Standard Hagel'!D19</f>
        <v>1.4041999999999999</v>
      </c>
      <c r="E20" s="223">
        <f t="shared" si="1"/>
        <v>231.69299999999998</v>
      </c>
      <c r="F20" s="730">
        <f t="shared" si="0"/>
        <v>2.4968425760492981E-3</v>
      </c>
      <c r="G20" s="473"/>
    </row>
    <row r="21" spans="1:7" ht="13.75" customHeight="1" x14ac:dyDescent="0.3">
      <c r="A21" s="1436"/>
      <c r="B21" s="19" t="str">
        <f>'Standard Hagel'!B20</f>
        <v>Ankerseil 9.5 mm</v>
      </c>
      <c r="C21" s="44">
        <f>'Standard Hagel'!C20</f>
        <v>310</v>
      </c>
      <c r="D21" s="45">
        <f>'Standard Hagel'!D20</f>
        <v>1.4041999999999999</v>
      </c>
      <c r="E21" s="223">
        <f t="shared" si="1"/>
        <v>435.30199999999996</v>
      </c>
      <c r="F21" s="730">
        <f t="shared" si="0"/>
        <v>4.6910375671229236E-3</v>
      </c>
      <c r="G21" s="473"/>
    </row>
    <row r="22" spans="1:7" ht="13.75" customHeight="1" x14ac:dyDescent="0.3">
      <c r="A22" s="1436"/>
      <c r="B22" s="19" t="str">
        <f>'Standard Hagel'!B21</f>
        <v>Querseil 9mm</v>
      </c>
      <c r="C22" s="44">
        <f>'Standard Hagel'!C21</f>
        <v>810</v>
      </c>
      <c r="D22" s="45">
        <f>'Standard Hagel'!D21</f>
        <v>0.82599999999999996</v>
      </c>
      <c r="E22" s="223">
        <f t="shared" si="1"/>
        <v>669.06</v>
      </c>
      <c r="F22" s="730">
        <f t="shared" si="0"/>
        <v>7.2101336420674917E-3</v>
      </c>
      <c r="G22" s="473"/>
    </row>
    <row r="23" spans="1:7" ht="13.75" customHeight="1" x14ac:dyDescent="0.3">
      <c r="A23" s="1436"/>
      <c r="B23" s="19" t="str">
        <f>'Standard Hagel'!B22</f>
        <v>Firstdraht</v>
      </c>
      <c r="C23" s="44">
        <f>'Standard Hagel'!C22</f>
        <v>3100</v>
      </c>
      <c r="D23" s="45">
        <f>'Standard Hagel'!D22</f>
        <v>0.35399999999999998</v>
      </c>
      <c r="E23" s="223">
        <f t="shared" si="1"/>
        <v>1097.3999999999999</v>
      </c>
      <c r="F23" s="730">
        <f t="shared" si="0"/>
        <v>1.1826145127200647E-2</v>
      </c>
      <c r="G23" s="473"/>
    </row>
    <row r="24" spans="1:7" ht="13.75" customHeight="1" x14ac:dyDescent="0.3">
      <c r="A24" s="1436"/>
      <c r="B24" s="19" t="str">
        <f>'Standard Hagel'!B23</f>
        <v>Netzschnur</v>
      </c>
      <c r="C24" s="44">
        <f>'Standard Hagel'!C23</f>
        <v>3400</v>
      </c>
      <c r="D24" s="45">
        <f>'Standard Hagel'!D23</f>
        <v>0.11799999999999999</v>
      </c>
      <c r="E24" s="223">
        <f t="shared" si="1"/>
        <v>401.2</v>
      </c>
      <c r="F24" s="730">
        <f t="shared" si="0"/>
        <v>4.3235369282238929E-3</v>
      </c>
      <c r="G24" s="473"/>
    </row>
    <row r="25" spans="1:7" ht="13.75" customHeight="1" x14ac:dyDescent="0.3">
      <c r="A25" s="1436"/>
      <c r="B25" s="19" t="str">
        <f>'Standard Hagel'!B24</f>
        <v>Drahtspanner</v>
      </c>
      <c r="C25" s="44">
        <f>'Standard Hagel'!C24</f>
        <v>26</v>
      </c>
      <c r="D25" s="45">
        <f>'Standard Hagel'!D24</f>
        <v>10.797000000000001</v>
      </c>
      <c r="E25" s="223">
        <f t="shared" si="1"/>
        <v>280.72200000000004</v>
      </c>
      <c r="F25" s="730">
        <f t="shared" si="0"/>
        <v>3.0252042212484246E-3</v>
      </c>
      <c r="G25" s="473"/>
    </row>
    <row r="26" spans="1:7" ht="13.75" customHeight="1" thickBot="1" x14ac:dyDescent="0.35">
      <c r="A26" s="1436"/>
      <c r="B26" s="19" t="str">
        <f>'Standard Hagel'!B25</f>
        <v>Kleinmaterial</v>
      </c>
      <c r="C26" s="44">
        <f>'Standard Hagel'!C25</f>
        <v>0</v>
      </c>
      <c r="D26" s="45">
        <f>'Standard Hagel'!D25</f>
        <v>0</v>
      </c>
      <c r="E26" s="585">
        <f t="shared" si="1"/>
        <v>0</v>
      </c>
      <c r="F26" s="730">
        <f t="shared" si="0"/>
        <v>0</v>
      </c>
      <c r="G26" s="473"/>
    </row>
    <row r="27" spans="1:7" ht="13.75" customHeight="1" x14ac:dyDescent="0.3">
      <c r="A27" s="1172"/>
      <c r="B27" s="19"/>
      <c r="C27" s="44"/>
      <c r="D27" s="45"/>
      <c r="E27" s="665">
        <f>SUM(E16:E26)</f>
        <v>15174.226999999999</v>
      </c>
      <c r="F27" s="730">
        <f t="shared" si="0"/>
        <v>0.16352525122570305</v>
      </c>
      <c r="G27" s="473"/>
    </row>
    <row r="28" spans="1:7" ht="13.75" customHeight="1" x14ac:dyDescent="0.3">
      <c r="A28" s="41"/>
      <c r="B28" s="19"/>
      <c r="C28" s="44"/>
      <c r="D28" s="45"/>
      <c r="E28" s="223"/>
      <c r="F28" s="730"/>
      <c r="G28" s="473"/>
    </row>
    <row r="29" spans="1:7" ht="13.75" customHeight="1" x14ac:dyDescent="0.3">
      <c r="A29" s="1436" t="s">
        <v>370</v>
      </c>
      <c r="B29" s="19" t="str">
        <f>'Standard Hagel'!B27</f>
        <v>Reihenpfähle 4 m 8/10 10m Abstand</v>
      </c>
      <c r="C29" s="44">
        <f>'Standard Hagel'!C27</f>
        <v>350</v>
      </c>
      <c r="D29" s="45">
        <f>'Standard Hagel'!D27</f>
        <v>45</v>
      </c>
      <c r="E29" s="223">
        <f>C29*D29</f>
        <v>15750</v>
      </c>
      <c r="F29" s="730">
        <f t="shared" ref="F29:F34" si="2">E29/$E$83</f>
        <v>0.16973007631985623</v>
      </c>
      <c r="G29" s="473"/>
    </row>
    <row r="30" spans="1:7" ht="13.75" customHeight="1" x14ac:dyDescent="0.3">
      <c r="A30" s="1436"/>
      <c r="B30" s="19" t="str">
        <f>'Standard Hagel'!B28</f>
        <v>Endpfähle 4.20 m 10/1210</v>
      </c>
      <c r="C30" s="44">
        <f>'Standard Hagel'!C28</f>
        <v>44</v>
      </c>
      <c r="D30" s="45">
        <f>'Standard Hagel'!D28</f>
        <v>40</v>
      </c>
      <c r="E30" s="223">
        <f t="shared" si="1"/>
        <v>1760</v>
      </c>
      <c r="F30" s="730">
        <f t="shared" si="2"/>
        <v>1.8966662496695045E-2</v>
      </c>
      <c r="G30" s="473"/>
    </row>
    <row r="31" spans="1:7" ht="13.75" customHeight="1" x14ac:dyDescent="0.3">
      <c r="A31" s="1436"/>
      <c r="B31" s="19" t="str">
        <f>'Standard Hagel'!B29</f>
        <v>Eckpfähle 4.50 m 13/15</v>
      </c>
      <c r="C31" s="44">
        <f>'Standard Hagel'!C29</f>
        <v>4</v>
      </c>
      <c r="D31" s="45">
        <f>'Standard Hagel'!D29</f>
        <v>90</v>
      </c>
      <c r="E31" s="223">
        <f t="shared" si="1"/>
        <v>360</v>
      </c>
      <c r="F31" s="730">
        <f t="shared" si="2"/>
        <v>3.8795446015967138E-3</v>
      </c>
      <c r="G31" s="473"/>
    </row>
    <row r="32" spans="1:7" ht="13.75" customHeight="1" x14ac:dyDescent="0.3">
      <c r="A32" s="1436"/>
      <c r="B32" s="19" t="str">
        <f>'Standard Hagel'!B30</f>
        <v>Anker</v>
      </c>
      <c r="C32" s="44">
        <f>'Standard Hagel'!C30</f>
        <v>72</v>
      </c>
      <c r="D32" s="45">
        <f>'Standard Hagel'!D30</f>
        <v>23.776999999999997</v>
      </c>
      <c r="E32" s="223">
        <f t="shared" si="1"/>
        <v>1711.9439999999997</v>
      </c>
      <c r="F32" s="730">
        <f t="shared" si="2"/>
        <v>1.8448786398433011E-2</v>
      </c>
      <c r="G32" s="473"/>
    </row>
    <row r="33" spans="1:35" ht="13.75" customHeight="1" thickBot="1" x14ac:dyDescent="0.35">
      <c r="A33" s="1436"/>
      <c r="B33" s="19" t="str">
        <f>'Standard Hagel'!B31</f>
        <v>Pfahlhüte</v>
      </c>
      <c r="C33" s="44">
        <f>'Standard Hagel'!C31</f>
        <v>68</v>
      </c>
      <c r="D33" s="45">
        <f>'Standard Hagel'!D31</f>
        <v>1.18</v>
      </c>
      <c r="E33" s="585">
        <f t="shared" si="1"/>
        <v>80.239999999999995</v>
      </c>
      <c r="F33" s="730">
        <f t="shared" si="2"/>
        <v>8.6470738564477863E-4</v>
      </c>
      <c r="G33" s="473"/>
    </row>
    <row r="34" spans="1:35" ht="13.75" customHeight="1" x14ac:dyDescent="0.3">
      <c r="A34" s="41"/>
      <c r="B34" s="19"/>
      <c r="C34" s="47"/>
      <c r="D34" s="107"/>
      <c r="E34" s="586">
        <f>SUM(E29:E33)</f>
        <v>19662.184000000001</v>
      </c>
      <c r="F34" s="735">
        <f t="shared" si="2"/>
        <v>0.21188977720222579</v>
      </c>
      <c r="G34" s="473"/>
    </row>
    <row r="35" spans="1:35" ht="13.75" customHeight="1" x14ac:dyDescent="0.3">
      <c r="A35" s="41"/>
      <c r="B35" s="19"/>
      <c r="C35" s="273"/>
      <c r="D35" s="107"/>
      <c r="E35" s="586"/>
      <c r="F35" s="730"/>
      <c r="G35" s="473"/>
    </row>
    <row r="36" spans="1:35" ht="13" x14ac:dyDescent="0.3">
      <c r="A36" s="1436" t="s">
        <v>17</v>
      </c>
      <c r="B36" s="19" t="s">
        <v>34</v>
      </c>
      <c r="C36" s="272">
        <f>'Standard Hagel'!C34</f>
        <v>40</v>
      </c>
      <c r="D36" s="45">
        <f>'Standard Hagel'!D34</f>
        <v>7.2</v>
      </c>
      <c r="E36" s="46">
        <f>C36*D36</f>
        <v>288</v>
      </c>
      <c r="F36" s="730">
        <f>E36/E83</f>
        <v>3.1036356812773709E-3</v>
      </c>
      <c r="G36" s="473"/>
    </row>
    <row r="37" spans="1:35" ht="13" x14ac:dyDescent="0.3">
      <c r="A37" s="1436"/>
      <c r="B37" s="19" t="s">
        <v>18</v>
      </c>
      <c r="C37" s="273"/>
      <c r="D37" s="44"/>
      <c r="E37" s="45">
        <f>'Standard Hagel'!E35</f>
        <v>125</v>
      </c>
      <c r="F37" s="730">
        <f>E37/E83</f>
        <v>1.3470640977766366E-3</v>
      </c>
      <c r="G37" s="473"/>
    </row>
    <row r="38" spans="1:35" ht="13.5" thickBot="1" x14ac:dyDescent="0.35">
      <c r="A38" s="1436"/>
      <c r="B38" s="19" t="s">
        <v>145</v>
      </c>
      <c r="C38" s="273"/>
      <c r="D38" s="44"/>
      <c r="E38" s="395">
        <f>'Standard Hagel'!E36</f>
        <v>550</v>
      </c>
      <c r="F38" s="730">
        <f>E38/E83</f>
        <v>5.9270820302172013E-3</v>
      </c>
      <c r="G38" s="473"/>
    </row>
    <row r="39" spans="1:35" ht="13" x14ac:dyDescent="0.3">
      <c r="A39" s="19"/>
      <c r="B39" s="19"/>
      <c r="C39" s="19"/>
      <c r="D39" s="45"/>
      <c r="E39" s="83">
        <f>SUM(E36:E38)</f>
        <v>963</v>
      </c>
      <c r="F39" s="735">
        <f>E39/E83</f>
        <v>1.037778180927121E-2</v>
      </c>
      <c r="G39" s="473"/>
    </row>
    <row r="40" spans="1:35" s="1" customFormat="1" ht="13" x14ac:dyDescent="0.3">
      <c r="A40" s="19"/>
      <c r="B40" s="19"/>
      <c r="C40" s="19"/>
      <c r="D40" s="45"/>
      <c r="E40" s="83"/>
      <c r="F40" s="730"/>
      <c r="G40" s="473"/>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s="1" customFormat="1" ht="13" x14ac:dyDescent="0.3">
      <c r="A41" s="19" t="str">
        <f>'Standard Hagel'!A58</f>
        <v>Einsparung an Gerüstkosten durch Hagelnetzerstellung</v>
      </c>
      <c r="B41" s="19"/>
      <c r="C41" s="19"/>
      <c r="D41" s="45"/>
      <c r="E41" s="83"/>
      <c r="F41" s="220"/>
      <c r="G41" s="473"/>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s="1" customFormat="1" ht="13" x14ac:dyDescent="0.3">
      <c r="A42" s="19"/>
      <c r="B42" s="19" t="str">
        <f>'Standard Hagel'!B59</f>
        <v>Endpfähle</v>
      </c>
      <c r="C42" s="47">
        <f>'Standard Hagel'!C59</f>
        <v>45</v>
      </c>
      <c r="D42" s="45">
        <f>'Standard Hagel'!D59</f>
        <v>16.52</v>
      </c>
      <c r="E42" s="149">
        <f>C42*D42</f>
        <v>743.4</v>
      </c>
      <c r="F42" s="220"/>
      <c r="G42" s="473"/>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s="1" customFormat="1" ht="13" x14ac:dyDescent="0.3">
      <c r="A43" s="19"/>
      <c r="B43" s="19" t="str">
        <f>'Standard Hagel'!B60</f>
        <v>Zwischenpfähle</v>
      </c>
      <c r="C43" s="47">
        <f>'Standard Hagel'!C60</f>
        <v>336</v>
      </c>
      <c r="D43" s="45">
        <f>'Standard Hagel'!D60</f>
        <v>11.799999999999999</v>
      </c>
      <c r="E43" s="149">
        <f>C43*D43</f>
        <v>3964.7999999999997</v>
      </c>
      <c r="F43" s="220"/>
      <c r="G43" s="473"/>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s="1" customFormat="1" ht="13.5" thickBot="1" x14ac:dyDescent="0.35">
      <c r="A44" s="19"/>
      <c r="B44" s="19" t="str">
        <f>'Standard Hagel'!B61</f>
        <v>Telleranker</v>
      </c>
      <c r="C44" s="47">
        <f>'Standard Hagel'!C61</f>
        <v>45</v>
      </c>
      <c r="D44" s="45">
        <f>'Standard Hagel'!D61</f>
        <v>6.1360000000000001</v>
      </c>
      <c r="E44" s="587">
        <f>C44*D44</f>
        <v>276.12</v>
      </c>
      <c r="F44" s="220"/>
      <c r="G44" s="473"/>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s="1" customFormat="1" ht="13" x14ac:dyDescent="0.3">
      <c r="A45" s="19"/>
      <c r="B45" s="19"/>
      <c r="C45" s="19"/>
      <c r="D45" s="45"/>
      <c r="E45" s="85">
        <f>SUM(E42:E44)</f>
        <v>4984.32</v>
      </c>
      <c r="F45" s="220"/>
      <c r="G45" s="473"/>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s="1" customFormat="1" ht="13" x14ac:dyDescent="0.3">
      <c r="A46" s="19"/>
      <c r="B46" s="19"/>
      <c r="C46" s="19"/>
      <c r="D46" s="45"/>
      <c r="E46" s="83"/>
      <c r="F46" s="220"/>
      <c r="G46" s="473"/>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ht="20" customHeight="1" x14ac:dyDescent="0.35">
      <c r="A47" s="600" t="s">
        <v>213</v>
      </c>
      <c r="B47" s="589"/>
      <c r="C47" s="590"/>
      <c r="D47" s="591"/>
      <c r="E47" s="688">
        <f>E39+E14+E8+E27+E34-E45</f>
        <v>72818.695000000007</v>
      </c>
      <c r="F47" s="732">
        <f>E47/E83</f>
        <v>0.78473159745157672</v>
      </c>
      <c r="G47" s="473"/>
    </row>
    <row r="48" spans="1:35" s="1" customFormat="1" ht="20" customHeight="1" x14ac:dyDescent="0.35">
      <c r="A48" s="2"/>
      <c r="C48" s="6"/>
      <c r="D48" s="48"/>
      <c r="E48" s="287"/>
      <c r="F48" s="90"/>
      <c r="G48" s="473"/>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7" ht="13" x14ac:dyDescent="0.3">
      <c r="A49" s="3"/>
      <c r="B49" s="1"/>
      <c r="C49" s="288" t="s">
        <v>76</v>
      </c>
      <c r="D49" s="289" t="s">
        <v>21</v>
      </c>
      <c r="E49" s="290" t="s">
        <v>13</v>
      </c>
      <c r="F49" s="593"/>
      <c r="G49" s="473"/>
    </row>
    <row r="50" spans="1:7" ht="13" x14ac:dyDescent="0.3">
      <c r="A50" s="41"/>
      <c r="B50" s="19"/>
      <c r="C50" s="40"/>
      <c r="D50" s="45"/>
      <c r="E50" s="46"/>
      <c r="F50" s="135"/>
      <c r="G50" s="473"/>
    </row>
    <row r="51" spans="1:7" ht="13" x14ac:dyDescent="0.3">
      <c r="A51" s="41" t="s">
        <v>23</v>
      </c>
      <c r="B51" s="19" t="str">
        <f>'Standard Vorgaben'!B192</f>
        <v>Pflug 2scharig</v>
      </c>
      <c r="C51" s="40">
        <f>'Standard Vorgaben'!C192</f>
        <v>3.8</v>
      </c>
      <c r="D51" s="461">
        <f>'Standard Vorgaben'!D192</f>
        <v>23</v>
      </c>
      <c r="E51" s="46">
        <f t="shared" ref="E51:E60" si="3">C51*D51</f>
        <v>87.399999999999991</v>
      </c>
      <c r="F51" s="738">
        <f>E51/E83</f>
        <v>9.418672171654243E-4</v>
      </c>
      <c r="G51" s="473"/>
    </row>
    <row r="52" spans="1:7" ht="13" x14ac:dyDescent="0.3">
      <c r="A52" s="825"/>
      <c r="B52" s="19" t="str">
        <f>'Standard Vorgaben'!B193</f>
        <v>Kreiselegge mit Packerwalze 3m</v>
      </c>
      <c r="C52" s="40">
        <f>'Standard Vorgaben'!C193</f>
        <v>1.8</v>
      </c>
      <c r="D52" s="461">
        <f>'Standard Vorgaben'!D193</f>
        <v>101</v>
      </c>
      <c r="E52" s="46">
        <f t="shared" si="3"/>
        <v>181.8</v>
      </c>
      <c r="F52" s="738">
        <f>E52/E83</f>
        <v>1.9591700238063407E-3</v>
      </c>
      <c r="G52" s="473"/>
    </row>
    <row r="53" spans="1:7" ht="13" x14ac:dyDescent="0.3">
      <c r="A53" s="19"/>
      <c r="B53" s="19" t="str">
        <f>'Standard Vorgaben'!B194</f>
        <v>Sämaschine 3 m</v>
      </c>
      <c r="C53" s="40">
        <f>'Standard Vorgaben'!C194</f>
        <v>1.6</v>
      </c>
      <c r="D53" s="461">
        <f>'Standard Vorgaben'!D194</f>
        <v>83</v>
      </c>
      <c r="E53" s="46">
        <f t="shared" si="3"/>
        <v>132.80000000000001</v>
      </c>
      <c r="F53" s="738">
        <f>E53/E83</f>
        <v>1.431120897477899E-3</v>
      </c>
      <c r="G53" s="473"/>
    </row>
    <row r="54" spans="1:7" ht="13" x14ac:dyDescent="0.3">
      <c r="A54" s="19"/>
      <c r="B54" s="19" t="str">
        <f>'Standard Vorgaben'!B195</f>
        <v>Pneuwagen 2achsig, 3 t</v>
      </c>
      <c r="C54" s="562">
        <v>15</v>
      </c>
      <c r="D54" s="97">
        <f>'Standard Vorgaben'!D195</f>
        <v>15</v>
      </c>
      <c r="E54" s="46">
        <f t="shared" si="3"/>
        <v>225</v>
      </c>
      <c r="F54" s="738">
        <f>E54/E83</f>
        <v>2.4247153759979459E-3</v>
      </c>
      <c r="G54" s="473"/>
    </row>
    <row r="55" spans="1:7" ht="13" x14ac:dyDescent="0.3">
      <c r="A55" s="19"/>
      <c r="B55" s="145" t="s">
        <v>384</v>
      </c>
      <c r="C55" s="40">
        <f>'Standard Hagel'!C40</f>
        <v>20</v>
      </c>
      <c r="D55" s="97">
        <f>'Standard Vorgaben'!D196</f>
        <v>25</v>
      </c>
      <c r="E55" s="46">
        <f>C55*D55</f>
        <v>500</v>
      </c>
      <c r="F55" s="738">
        <f>E55/E83</f>
        <v>5.3882563911065466E-3</v>
      </c>
      <c r="G55" s="473"/>
    </row>
    <row r="56" spans="1:7" ht="13" x14ac:dyDescent="0.3">
      <c r="A56" s="19"/>
      <c r="B56" s="19" t="s">
        <v>387</v>
      </c>
      <c r="C56" s="562">
        <v>20</v>
      </c>
      <c r="D56" s="45"/>
      <c r="E56" s="46"/>
      <c r="F56" s="738">
        <f>E56/E83</f>
        <v>0</v>
      </c>
      <c r="G56" s="473"/>
    </row>
    <row r="57" spans="1:7" ht="13" x14ac:dyDescent="0.3">
      <c r="A57" s="19"/>
      <c r="B57" s="19" t="s">
        <v>388</v>
      </c>
      <c r="C57" s="40">
        <f>SUM(C51:C56)*0.1</f>
        <v>6.2200000000000006</v>
      </c>
      <c r="D57" s="45"/>
      <c r="E57" s="46"/>
      <c r="F57" s="738"/>
      <c r="G57" s="473"/>
    </row>
    <row r="58" spans="1:7" ht="13.5" thickBot="1" x14ac:dyDescent="0.35">
      <c r="A58" s="19"/>
      <c r="B58" s="19" t="s">
        <v>574</v>
      </c>
      <c r="C58" s="1192">
        <v>3</v>
      </c>
      <c r="D58" s="45"/>
      <c r="E58" s="46"/>
      <c r="F58" s="738">
        <f>E58/E83</f>
        <v>0</v>
      </c>
      <c r="G58" s="473"/>
    </row>
    <row r="59" spans="1:7" ht="13" x14ac:dyDescent="0.3">
      <c r="A59" s="41" t="s">
        <v>386</v>
      </c>
      <c r="B59" s="87" t="str">
        <f>'Standard Vorgaben'!B191</f>
        <v>Obstbautraktor 4-Rad (45-54 kW, 61-73 PS)</v>
      </c>
      <c r="C59" s="344">
        <f>SUM(C51:C58)</f>
        <v>71.42</v>
      </c>
      <c r="D59" s="97">
        <f>'Standard Vorgaben'!D191</f>
        <v>41</v>
      </c>
      <c r="E59" s="85">
        <f>C59*D59</f>
        <v>2928.2200000000003</v>
      </c>
      <c r="F59" s="738">
        <f>E59/E83</f>
        <v>3.1556000259132029E-2</v>
      </c>
      <c r="G59" s="473"/>
    </row>
    <row r="60" spans="1:7" ht="13" x14ac:dyDescent="0.3">
      <c r="A60" s="41"/>
      <c r="B60" s="19" t="s">
        <v>373</v>
      </c>
      <c r="C60" s="40">
        <f>'Standard Hagel'!C39</f>
        <v>15</v>
      </c>
      <c r="D60" s="97">
        <f>'Standard Vorgaben'!D197</f>
        <v>150</v>
      </c>
      <c r="E60" s="46">
        <f t="shared" si="3"/>
        <v>2250</v>
      </c>
      <c r="F60" s="738">
        <f>E60/E83</f>
        <v>2.4247153759979462E-2</v>
      </c>
      <c r="G60" s="473"/>
    </row>
    <row r="61" spans="1:7" ht="13.5" thickBot="1" x14ac:dyDescent="0.35">
      <c r="A61" s="19"/>
      <c r="B61" s="19" t="s">
        <v>25</v>
      </c>
      <c r="C61" s="40"/>
      <c r="D61" s="45"/>
      <c r="E61" s="474">
        <f>'Standard Vorgaben'!D198</f>
        <v>500</v>
      </c>
      <c r="F61" s="738">
        <f>E61/E83</f>
        <v>5.3882563911065466E-3</v>
      </c>
      <c r="G61" s="473"/>
    </row>
    <row r="62" spans="1:7" ht="13" x14ac:dyDescent="0.3">
      <c r="A62" s="41" t="s">
        <v>26</v>
      </c>
      <c r="B62" s="19"/>
      <c r="C62" s="40"/>
      <c r="D62" s="45"/>
      <c r="E62" s="85">
        <f>SUM(E51:E61)</f>
        <v>6805.22</v>
      </c>
      <c r="F62" s="735">
        <f>E62/E83</f>
        <v>7.3336540315772192E-2</v>
      </c>
      <c r="G62" s="473"/>
    </row>
    <row r="63" spans="1:7" ht="13" x14ac:dyDescent="0.3">
      <c r="A63" s="19"/>
      <c r="B63" s="19"/>
      <c r="C63" s="40"/>
      <c r="D63" s="45"/>
      <c r="E63" s="46"/>
      <c r="F63" s="738"/>
      <c r="G63" s="473"/>
    </row>
    <row r="64" spans="1:7" ht="13" x14ac:dyDescent="0.3">
      <c r="A64" s="1"/>
      <c r="B64" s="1"/>
      <c r="C64" s="36"/>
      <c r="D64" s="48"/>
      <c r="E64" s="46"/>
      <c r="F64" s="91"/>
      <c r="G64" s="473"/>
    </row>
    <row r="65" spans="1:7" ht="13" x14ac:dyDescent="0.3">
      <c r="A65" s="19"/>
      <c r="B65" s="19"/>
      <c r="C65" s="288" t="s">
        <v>27</v>
      </c>
      <c r="D65" s="289" t="s">
        <v>21</v>
      </c>
      <c r="E65" s="290" t="s">
        <v>22</v>
      </c>
      <c r="F65" s="824"/>
      <c r="G65" s="473"/>
    </row>
    <row r="66" spans="1:7" ht="13" x14ac:dyDescent="0.3">
      <c r="A66" s="41" t="s">
        <v>28</v>
      </c>
      <c r="B66" s="19" t="s">
        <v>167</v>
      </c>
      <c r="C66" s="40">
        <f>C51</f>
        <v>3.8</v>
      </c>
      <c r="D66" s="45">
        <f>'Standard Vorgaben'!$C$35</f>
        <v>22.754999999999999</v>
      </c>
      <c r="E66" s="46">
        <f>C66*D66</f>
        <v>86.468999999999994</v>
      </c>
      <c r="F66" s="738">
        <f>E66/E83</f>
        <v>9.3183428376518397E-4</v>
      </c>
      <c r="G66" s="473"/>
    </row>
    <row r="67" spans="1:7" ht="13" x14ac:dyDescent="0.3">
      <c r="A67" s="19"/>
      <c r="B67" s="19" t="s">
        <v>168</v>
      </c>
      <c r="C67" s="40">
        <f>C52</f>
        <v>1.8</v>
      </c>
      <c r="D67" s="45">
        <f>'Standard Vorgaben'!$C$35</f>
        <v>22.754999999999999</v>
      </c>
      <c r="E67" s="46">
        <f t="shared" ref="E67:E79" si="4">C67*D67</f>
        <v>40.958999999999996</v>
      </c>
      <c r="F67" s="738">
        <f>E67/E83</f>
        <v>4.4139518704666605E-4</v>
      </c>
      <c r="G67" s="473"/>
    </row>
    <row r="68" spans="1:7" ht="13" x14ac:dyDescent="0.3">
      <c r="A68" s="19"/>
      <c r="B68" s="19" t="s">
        <v>29</v>
      </c>
      <c r="C68" s="562">
        <v>0</v>
      </c>
      <c r="D68" s="45">
        <f>'Standard Vorgaben'!$C$35</f>
        <v>22.754999999999999</v>
      </c>
      <c r="E68" s="46">
        <f t="shared" si="4"/>
        <v>0</v>
      </c>
      <c r="F68" s="738">
        <f>E68/E83</f>
        <v>0</v>
      </c>
      <c r="G68" s="473"/>
    </row>
    <row r="69" spans="1:7" ht="13" x14ac:dyDescent="0.3">
      <c r="A69" s="19"/>
      <c r="B69" s="19" t="s">
        <v>30</v>
      </c>
      <c r="C69" s="40">
        <f>'Standard Hagel'!C45</f>
        <v>1</v>
      </c>
      <c r="D69" s="45">
        <f>'Standard Vorgaben'!$C$35</f>
        <v>22.754999999999999</v>
      </c>
      <c r="E69" s="46">
        <f t="shared" si="4"/>
        <v>22.754999999999999</v>
      </c>
      <c r="F69" s="738">
        <f>E69/E83</f>
        <v>2.4521954835925896E-4</v>
      </c>
      <c r="G69" s="473"/>
    </row>
    <row r="70" spans="1:7" ht="13" x14ac:dyDescent="0.3">
      <c r="A70" s="19"/>
      <c r="B70" s="19" t="s">
        <v>31</v>
      </c>
      <c r="C70" s="40">
        <f>'Standard Hagel'!C46</f>
        <v>7.5</v>
      </c>
      <c r="D70" s="45">
        <f>'Standard Vorgaben'!$C$35</f>
        <v>22.754999999999999</v>
      </c>
      <c r="E70" s="46">
        <f t="shared" si="4"/>
        <v>170.66249999999999</v>
      </c>
      <c r="F70" s="738">
        <f>E70/E83</f>
        <v>1.8391466126944421E-3</v>
      </c>
      <c r="G70" s="473"/>
    </row>
    <row r="71" spans="1:7" ht="13" x14ac:dyDescent="0.3">
      <c r="A71" s="828"/>
      <c r="B71" s="19" t="s">
        <v>32</v>
      </c>
      <c r="C71" s="40">
        <f>'Standard Hagel'!C47</f>
        <v>75</v>
      </c>
      <c r="D71" s="45">
        <f>'Standard Vorgaben'!$C$35</f>
        <v>22.754999999999999</v>
      </c>
      <c r="E71" s="46">
        <f t="shared" si="4"/>
        <v>1706.625</v>
      </c>
      <c r="F71" s="738">
        <f>E71/E83</f>
        <v>1.8391466126944422E-2</v>
      </c>
      <c r="G71" s="473"/>
    </row>
    <row r="72" spans="1:7" ht="13" x14ac:dyDescent="0.3">
      <c r="A72" s="828"/>
      <c r="B72" s="19" t="s">
        <v>146</v>
      </c>
      <c r="C72" s="40">
        <f>'Standard Hagel'!C48</f>
        <v>10</v>
      </c>
      <c r="D72" s="45">
        <f>'Standard Vorgaben'!$C$35</f>
        <v>22.754999999999999</v>
      </c>
      <c r="E72" s="46">
        <f t="shared" si="4"/>
        <v>227.54999999999998</v>
      </c>
      <c r="F72" s="738">
        <f>E72/$E$83</f>
        <v>2.4521954835925895E-3</v>
      </c>
      <c r="G72" s="473"/>
    </row>
    <row r="73" spans="1:7" ht="13" x14ac:dyDescent="0.3">
      <c r="A73" s="828"/>
      <c r="B73" s="19" t="s">
        <v>280</v>
      </c>
      <c r="C73" s="40">
        <f>'Standard Hagel'!C49</f>
        <v>70</v>
      </c>
      <c r="D73" s="45">
        <f>'Standard Vorgaben'!$C$35</f>
        <v>22.754999999999999</v>
      </c>
      <c r="E73" s="46">
        <f>C73*D73</f>
        <v>1592.85</v>
      </c>
      <c r="F73" s="738">
        <f>E73/$E$83</f>
        <v>1.7165368385148125E-2</v>
      </c>
      <c r="G73" s="473"/>
    </row>
    <row r="74" spans="1:7" ht="13" x14ac:dyDescent="0.3">
      <c r="A74" s="19"/>
      <c r="B74" s="19" t="s">
        <v>34</v>
      </c>
      <c r="C74" s="40">
        <f>C53</f>
        <v>1.6</v>
      </c>
      <c r="D74" s="45">
        <f>'Standard Vorgaben'!$C$35</f>
        <v>22.754999999999999</v>
      </c>
      <c r="E74" s="46">
        <f t="shared" si="4"/>
        <v>36.408000000000001</v>
      </c>
      <c r="F74" s="738">
        <f>E74/E83</f>
        <v>3.9235127737481434E-4</v>
      </c>
      <c r="G74" s="473"/>
    </row>
    <row r="75" spans="1:7" ht="13" x14ac:dyDescent="0.3">
      <c r="A75" s="19"/>
      <c r="B75" s="19" t="s">
        <v>389</v>
      </c>
      <c r="C75" s="40">
        <f>'Standard Hagel'!C52</f>
        <v>15</v>
      </c>
      <c r="D75" s="45">
        <f>'Standard Vorgaben'!$C$35</f>
        <v>22.754999999999999</v>
      </c>
      <c r="E75" s="46">
        <f t="shared" si="4"/>
        <v>341.32499999999999</v>
      </c>
      <c r="F75" s="738">
        <f>E75/E83</f>
        <v>3.6782932253888842E-3</v>
      </c>
      <c r="G75" s="473"/>
    </row>
    <row r="76" spans="1:7" ht="13" x14ac:dyDescent="0.3">
      <c r="A76" s="19"/>
      <c r="B76" s="19" t="s">
        <v>390</v>
      </c>
      <c r="C76" s="40">
        <f>'Standard Hagel'!C53</f>
        <v>100</v>
      </c>
      <c r="D76" s="45">
        <f>'Standard Vorgaben'!$C$35</f>
        <v>22.754999999999999</v>
      </c>
      <c r="E76" s="46">
        <f t="shared" si="4"/>
        <v>2275.5</v>
      </c>
      <c r="F76" s="738">
        <f>E76/E83</f>
        <v>2.4521954835925897E-2</v>
      </c>
      <c r="G76" s="473"/>
    </row>
    <row r="77" spans="1:7" ht="13" x14ac:dyDescent="0.3">
      <c r="A77" s="19"/>
      <c r="B77" s="19" t="s">
        <v>377</v>
      </c>
      <c r="C77" s="40">
        <f>'Standard Hagel'!C54</f>
        <v>175</v>
      </c>
      <c r="D77" s="45">
        <f>'Standard Vorgaben'!$C$35</f>
        <v>22.754999999999999</v>
      </c>
      <c r="E77" s="46">
        <f t="shared" si="4"/>
        <v>3982.125</v>
      </c>
      <c r="F77" s="738">
        <f>E77/E83</f>
        <v>4.2913420962870319E-2</v>
      </c>
      <c r="G77" s="473"/>
    </row>
    <row r="78" spans="1:7" ht="13" x14ac:dyDescent="0.3">
      <c r="A78" s="19"/>
      <c r="B78" s="19" t="s">
        <v>388</v>
      </c>
      <c r="C78" s="40">
        <f>'Standard Hagel'!C55</f>
        <v>29</v>
      </c>
      <c r="D78" s="45">
        <f>'Standard Vorgaben'!$C$35</f>
        <v>22.754999999999999</v>
      </c>
      <c r="E78" s="46">
        <f t="shared" si="4"/>
        <v>659.89499999999998</v>
      </c>
      <c r="F78" s="738">
        <f>E78/E83</f>
        <v>7.1113669024185098E-3</v>
      </c>
      <c r="G78" s="473"/>
    </row>
    <row r="79" spans="1:7" ht="13.5" thickBot="1" x14ac:dyDescent="0.35">
      <c r="A79" s="19"/>
      <c r="B79" s="19" t="s">
        <v>391</v>
      </c>
      <c r="C79" s="733">
        <f>SUM(C66:C78) * 0.1</f>
        <v>48.97</v>
      </c>
      <c r="D79" s="45">
        <f>'Standard Vorgaben'!$C$32</f>
        <v>41.4</v>
      </c>
      <c r="E79" s="474">
        <f t="shared" si="4"/>
        <v>2027.3579999999999</v>
      </c>
      <c r="F79" s="738">
        <f>E79/E83</f>
        <v>2.1847849401121971E-2</v>
      </c>
      <c r="G79" s="473"/>
    </row>
    <row r="80" spans="1:7" ht="13" x14ac:dyDescent="0.3">
      <c r="A80" s="19"/>
      <c r="B80" s="19"/>
      <c r="C80" s="829">
        <f>SUM(C66:C79)</f>
        <v>538.66999999999996</v>
      </c>
      <c r="D80" s="45"/>
      <c r="E80" s="83">
        <f>SUM(E66:E79)</f>
        <v>13170.481500000002</v>
      </c>
      <c r="F80" s="830">
        <f>E80/E83</f>
        <v>0.14193186223265111</v>
      </c>
      <c r="G80" s="473"/>
    </row>
    <row r="81" spans="1:35" s="23" customFormat="1" ht="17.5" x14ac:dyDescent="0.35">
      <c r="A81" s="600" t="s">
        <v>35</v>
      </c>
      <c r="B81" s="606"/>
      <c r="C81" s="607"/>
      <c r="D81" s="608"/>
      <c r="E81" s="688">
        <f>E80+E62</f>
        <v>19975.701500000003</v>
      </c>
      <c r="F81" s="732">
        <f>E81/E83</f>
        <v>0.2152684025484233</v>
      </c>
      <c r="G81" s="473"/>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row>
    <row r="82" spans="1:35" s="20" customFormat="1" ht="18.75" customHeight="1" x14ac:dyDescent="0.4">
      <c r="A82" s="594" t="s">
        <v>607</v>
      </c>
      <c r="B82" s="594"/>
      <c r="C82" s="594"/>
      <c r="D82" s="594"/>
      <c r="E82" s="598">
        <f>E8+E14+E39+E45+E62+SUM(E66:E74,E78:E79)</f>
        <v>61327.675499999998</v>
      </c>
      <c r="F82" s="1271">
        <f>E82/$E$84</f>
        <v>1.9489693730719508</v>
      </c>
      <c r="G82" s="47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row>
    <row r="83" spans="1:35" s="23" customFormat="1" ht="20" x14ac:dyDescent="0.4">
      <c r="A83" s="594" t="s">
        <v>392</v>
      </c>
      <c r="B83" s="595"/>
      <c r="C83" s="596"/>
      <c r="D83" s="597"/>
      <c r="E83" s="598">
        <f>E81+E47</f>
        <v>92794.396500000003</v>
      </c>
      <c r="F83" s="599">
        <f>E83/E83</f>
        <v>1</v>
      </c>
      <c r="G83" s="473"/>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row>
    <row r="84" spans="1:35" ht="26.25" customHeight="1" x14ac:dyDescent="0.4">
      <c r="A84" s="594" t="s">
        <v>398</v>
      </c>
      <c r="B84" s="595"/>
      <c r="C84" s="596"/>
      <c r="D84" s="597"/>
      <c r="E84" s="598">
        <f>E83-E82</f>
        <v>31466.721000000005</v>
      </c>
      <c r="F84" s="599">
        <f>E84/E84</f>
        <v>1</v>
      </c>
      <c r="G84" s="473"/>
    </row>
    <row r="85" spans="1:35" ht="20.5" customHeight="1" x14ac:dyDescent="0.3">
      <c r="B85" s="13"/>
      <c r="C85" s="11"/>
      <c r="D85" s="11"/>
      <c r="E85" s="11"/>
      <c r="G85" s="473"/>
    </row>
    <row r="86" spans="1:35" ht="19.5" customHeight="1" x14ac:dyDescent="0.4">
      <c r="A86" s="291" t="s">
        <v>14</v>
      </c>
      <c r="B86" s="13"/>
      <c r="C86" s="94" t="s">
        <v>11</v>
      </c>
      <c r="D86" s="94" t="s">
        <v>12</v>
      </c>
      <c r="E86" s="94" t="s">
        <v>13</v>
      </c>
      <c r="F86" s="38"/>
      <c r="G86" s="473"/>
    </row>
    <row r="87" spans="1:35" ht="15" customHeight="1" x14ac:dyDescent="0.3">
      <c r="B87" s="1" t="s">
        <v>91</v>
      </c>
      <c r="C87" s="472">
        <f>('Standard Vorgaben'!B18+'Standard Vorgaben'!B19)*2-2*6</f>
        <v>398</v>
      </c>
      <c r="D87" s="48">
        <f>'Standard Vorgaben'!D212</f>
        <v>6.9</v>
      </c>
      <c r="E87" s="34">
        <f t="shared" ref="E87:E93" si="5">C87*D87</f>
        <v>2746.2000000000003</v>
      </c>
      <c r="F87" s="731">
        <f>E87/E113</f>
        <v>0.25391133043792358</v>
      </c>
      <c r="G87" s="473"/>
    </row>
    <row r="88" spans="1:35" ht="15" customHeight="1" x14ac:dyDescent="0.3">
      <c r="B88" s="1" t="s">
        <v>443</v>
      </c>
      <c r="C88" s="96">
        <f>(C87/4)-(C87/4/5)</f>
        <v>79.599999999999994</v>
      </c>
      <c r="D88" s="48">
        <f>'Standard Vorgaben'!D213</f>
        <v>9.6</v>
      </c>
      <c r="E88" s="34">
        <f t="shared" si="5"/>
        <v>764.16</v>
      </c>
      <c r="F88" s="731">
        <f>E88/E113</f>
        <v>7.0653587600117862E-2</v>
      </c>
      <c r="G88" s="473"/>
    </row>
    <row r="89" spans="1:35" ht="15" customHeight="1" x14ac:dyDescent="0.3">
      <c r="B89" s="1" t="s">
        <v>444</v>
      </c>
      <c r="C89" s="96">
        <f>(C87/4)/5</f>
        <v>19.899999999999999</v>
      </c>
      <c r="D89" s="48">
        <f>'Standard Vorgaben'!D214</f>
        <v>15.5</v>
      </c>
      <c r="E89" s="34">
        <f t="shared" si="5"/>
        <v>308.45</v>
      </c>
      <c r="F89" s="731">
        <f>E89/E113</f>
        <v>2.8519026244839239E-2</v>
      </c>
      <c r="G89" s="473"/>
    </row>
    <row r="90" spans="1:35" ht="15" customHeight="1" x14ac:dyDescent="0.3">
      <c r="B90" s="1" t="s">
        <v>444</v>
      </c>
      <c r="C90" s="96">
        <f>'Standard Vorgaben'!C215</f>
        <v>6</v>
      </c>
      <c r="D90" s="48">
        <f>'Standard Vorgaben'!D215</f>
        <v>19.8</v>
      </c>
      <c r="E90" s="34">
        <f t="shared" si="5"/>
        <v>118.80000000000001</v>
      </c>
      <c r="F90" s="731">
        <f>E90/E113</f>
        <v>1.0984147569741943E-2</v>
      </c>
      <c r="G90" s="473"/>
    </row>
    <row r="91" spans="1:35" ht="15" customHeight="1" x14ac:dyDescent="0.3">
      <c r="B91" s="1" t="s">
        <v>15</v>
      </c>
      <c r="C91" s="690">
        <f>'Standard Vorgaben'!C216</f>
        <v>2</v>
      </c>
      <c r="D91" s="48">
        <f>'Standard Vorgaben'!D216</f>
        <v>200</v>
      </c>
      <c r="E91" s="34">
        <f t="shared" si="5"/>
        <v>400</v>
      </c>
      <c r="F91" s="731">
        <f>E91/E113</f>
        <v>3.6983661850982966E-2</v>
      </c>
      <c r="G91" s="473"/>
    </row>
    <row r="92" spans="1:35" ht="15" customHeight="1" x14ac:dyDescent="0.3">
      <c r="B92" s="1" t="s">
        <v>92</v>
      </c>
      <c r="C92" s="232">
        <f>'Standard Vorgaben'!C218</f>
        <v>3</v>
      </c>
      <c r="D92" s="48">
        <f>'Standard Vorgaben'!D218</f>
        <v>11.95</v>
      </c>
      <c r="E92" s="46">
        <f t="shared" si="5"/>
        <v>35.849999999999994</v>
      </c>
      <c r="F92" s="731">
        <f>E92/E113</f>
        <v>3.3146606933943477E-3</v>
      </c>
      <c r="G92" s="473"/>
    </row>
    <row r="93" spans="1:35" ht="15" customHeight="1" thickBot="1" x14ac:dyDescent="0.35">
      <c r="B93" s="1" t="str">
        <f>'Standard Vorgaben'!B217</f>
        <v>Spanndraht 3mm</v>
      </c>
      <c r="C93" s="471">
        <f>C87/18</f>
        <v>22.111111111111111</v>
      </c>
      <c r="D93" s="48">
        <f>'Standard Vorgaben'!D217</f>
        <v>4.0999999999999996</v>
      </c>
      <c r="E93" s="474">
        <f t="shared" si="5"/>
        <v>90.655555555555551</v>
      </c>
      <c r="F93" s="731">
        <f>E93/E113</f>
        <v>8.3819360289491673E-3</v>
      </c>
      <c r="G93" s="473"/>
    </row>
    <row r="94" spans="1:35" ht="15" customHeight="1" x14ac:dyDescent="0.3">
      <c r="B94" s="1"/>
      <c r="C94" s="471"/>
      <c r="D94" s="48"/>
      <c r="E94" s="85">
        <f>SUM(E87:E93)</f>
        <v>4464.1155555555561</v>
      </c>
      <c r="F94" s="731">
        <f>E94/E113</f>
        <v>0.4127483504259491</v>
      </c>
      <c r="G94" s="473"/>
    </row>
    <row r="95" spans="1:35" ht="15" customHeight="1" thickBot="1" x14ac:dyDescent="0.35">
      <c r="B95" s="1" t="s">
        <v>396</v>
      </c>
      <c r="C95" s="96"/>
      <c r="D95" s="76">
        <f>'Standard Vorgaben'!D219</f>
        <v>0.25</v>
      </c>
      <c r="E95" s="736">
        <f>E94*D95*(-1)</f>
        <v>-1116.028888888889</v>
      </c>
      <c r="F95" s="731">
        <f>E95/$E$113</f>
        <v>-0.10318708760648727</v>
      </c>
      <c r="G95" s="473"/>
    </row>
    <row r="96" spans="1:35" ht="15" customHeight="1" x14ac:dyDescent="0.3">
      <c r="B96" s="1"/>
      <c r="C96" s="96"/>
      <c r="D96" s="63"/>
      <c r="E96" s="85">
        <f>SUM(E94:E95)</f>
        <v>3348.086666666667</v>
      </c>
      <c r="F96" s="731">
        <f t="shared" ref="F96:F102" si="6">E96/$E$113</f>
        <v>0.30956126281946184</v>
      </c>
      <c r="G96" s="473"/>
    </row>
    <row r="97" spans="1:35" s="1" customFormat="1" ht="15" customHeight="1" x14ac:dyDescent="0.3">
      <c r="B97" s="1" t="s">
        <v>94</v>
      </c>
      <c r="C97" s="96"/>
      <c r="D97" s="76"/>
      <c r="E97" s="85">
        <f>'Standard Vorgaben'!F221</f>
        <v>300</v>
      </c>
      <c r="F97" s="731">
        <f t="shared" si="6"/>
        <v>2.7737746388237224E-2</v>
      </c>
      <c r="G97" s="473"/>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row>
    <row r="98" spans="1:35" s="1" customFormat="1" ht="15" customHeight="1" x14ac:dyDescent="0.4">
      <c r="A98" s="291" t="s">
        <v>573</v>
      </c>
      <c r="B98" s="19" t="str">
        <f>'Standard Vorgaben'!B222</f>
        <v>Dtrahtgitter (Mäuseprevention)</v>
      </c>
      <c r="C98" s="814">
        <f>'Standard Vorgaben'!C222</f>
        <v>410</v>
      </c>
      <c r="D98" s="1195">
        <f>'Standard Vorgaben'!D222</f>
        <v>4.2</v>
      </c>
      <c r="E98" s="223">
        <f>C98*D98</f>
        <v>1722</v>
      </c>
      <c r="F98" s="731">
        <f t="shared" si="6"/>
        <v>0.15921466426848166</v>
      </c>
      <c r="G98" s="473"/>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row>
    <row r="99" spans="1:35" s="1" customFormat="1" ht="15" customHeight="1" x14ac:dyDescent="0.3">
      <c r="B99" s="19" t="str">
        <f>'Standard Vorgaben'!B223</f>
        <v>Pfostchen (Mäuseprevention)</v>
      </c>
      <c r="C99" s="1194">
        <f>'Standard Vorgaben'!C223</f>
        <v>135</v>
      </c>
      <c r="D99" s="45">
        <f>'Standard Vorgaben'!D223</f>
        <v>0.5</v>
      </c>
      <c r="E99" s="223">
        <f>C99*D99</f>
        <v>67.5</v>
      </c>
      <c r="F99" s="731">
        <f t="shared" si="6"/>
        <v>6.2409929373533754E-3</v>
      </c>
      <c r="G99" s="473"/>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row>
    <row r="100" spans="1:35" s="1" customFormat="1" ht="15" customHeight="1" x14ac:dyDescent="0.3">
      <c r="B100" s="19" t="str">
        <f>'Standard Vorgaben'!B224</f>
        <v>Bindematerial</v>
      </c>
      <c r="C100" s="1194">
        <f>'Standard Vorgaben'!C224</f>
        <v>3</v>
      </c>
      <c r="D100" s="45">
        <f>'Standard Vorgaben'!D224</f>
        <v>15</v>
      </c>
      <c r="E100" s="223">
        <f>C100*D100</f>
        <v>45</v>
      </c>
      <c r="F100" s="731">
        <f t="shared" si="6"/>
        <v>4.1606619582355833E-3</v>
      </c>
      <c r="G100" s="473"/>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row>
    <row r="101" spans="1:35" s="1" customFormat="1" ht="15" customHeight="1" x14ac:dyDescent="0.3">
      <c r="B101" s="19" t="str">
        <f>'Standard Vorgaben'!B225</f>
        <v>Verlege Gerät</v>
      </c>
      <c r="C101" s="1194">
        <f>'Standard Vorgaben'!C225</f>
        <v>400</v>
      </c>
      <c r="D101" s="45">
        <f>'Standard Vorgaben'!D225</f>
        <v>1</v>
      </c>
      <c r="E101" s="223">
        <f>C101*D101</f>
        <v>400</v>
      </c>
      <c r="F101" s="731">
        <f t="shared" si="6"/>
        <v>3.6983661850982966E-2</v>
      </c>
      <c r="G101" s="473"/>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row>
    <row r="102" spans="1:35" s="1" customFormat="1" ht="15" customHeight="1" thickBot="1" x14ac:dyDescent="0.35">
      <c r="B102" s="19" t="str">
        <f>'Standard Vorgaben'!B226</f>
        <v>Fallen: Ankauf</v>
      </c>
      <c r="C102" s="1194">
        <f>'Standard Vorgaben'!C226</f>
        <v>34</v>
      </c>
      <c r="D102" s="45">
        <f>'Standard Vorgaben'!D226</f>
        <v>47</v>
      </c>
      <c r="E102" s="585">
        <f>C102*D102</f>
        <v>1598</v>
      </c>
      <c r="F102" s="731">
        <f t="shared" si="6"/>
        <v>0.14774972909467696</v>
      </c>
      <c r="G102" s="473"/>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row>
    <row r="103" spans="1:35" s="1" customFormat="1" ht="15" customHeight="1" x14ac:dyDescent="0.3">
      <c r="B103" s="19"/>
      <c r="C103" s="44"/>
      <c r="D103" s="45"/>
      <c r="E103" s="665">
        <f>SUM(E98:E102)</f>
        <v>3832.5</v>
      </c>
      <c r="F103" s="731">
        <f>E103/$E$113</f>
        <v>0.35434971010973054</v>
      </c>
      <c r="G103" s="473"/>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row>
    <row r="104" spans="1:35" ht="15" customHeight="1" x14ac:dyDescent="0.35">
      <c r="A104" s="600" t="s">
        <v>19</v>
      </c>
      <c r="B104" s="526"/>
      <c r="C104" s="581"/>
      <c r="D104" s="602"/>
      <c r="E104" s="603">
        <f>E96+E97+E103</f>
        <v>7480.586666666667</v>
      </c>
      <c r="F104" s="604">
        <f>E104/E113</f>
        <v>0.69164871931742966</v>
      </c>
      <c r="G104" s="473"/>
    </row>
    <row r="105" spans="1:35" ht="19.5" customHeight="1" x14ac:dyDescent="0.3">
      <c r="A105" s="3" t="s">
        <v>23</v>
      </c>
      <c r="C105" s="120" t="s">
        <v>76</v>
      </c>
      <c r="D105" s="307" t="s">
        <v>21</v>
      </c>
      <c r="E105" s="305" t="s">
        <v>13</v>
      </c>
      <c r="F105" s="824"/>
      <c r="G105" s="473"/>
    </row>
    <row r="106" spans="1:35" ht="16.5" customHeight="1" x14ac:dyDescent="0.3">
      <c r="A106" s="13"/>
      <c r="B106" s="1" t="s">
        <v>89</v>
      </c>
      <c r="C106" s="40">
        <f>'Standard Vorgaben'!C195*C110</f>
        <v>7</v>
      </c>
      <c r="D106" s="97">
        <f>D54</f>
        <v>15</v>
      </c>
      <c r="E106" s="46">
        <f>C106*D106</f>
        <v>105</v>
      </c>
      <c r="F106" s="738">
        <f>E106/E113</f>
        <v>9.708211235883028E-3</v>
      </c>
      <c r="G106" s="473"/>
    </row>
    <row r="107" spans="1:35" ht="16.5" customHeight="1" thickBot="1" x14ac:dyDescent="0.35">
      <c r="A107" s="13"/>
      <c r="B107" s="1" t="s">
        <v>86</v>
      </c>
      <c r="C107" s="36">
        <f>C106</f>
        <v>7</v>
      </c>
      <c r="D107" s="95">
        <f>D59</f>
        <v>41</v>
      </c>
      <c r="E107" s="474">
        <f>C107*D107</f>
        <v>287</v>
      </c>
      <c r="F107" s="731">
        <f>E107/E113</f>
        <v>2.6535777378080279E-2</v>
      </c>
      <c r="G107" s="473"/>
    </row>
    <row r="108" spans="1:35" ht="16.5" customHeight="1" x14ac:dyDescent="0.3">
      <c r="A108" s="13"/>
      <c r="B108" s="1"/>
      <c r="C108" s="40"/>
      <c r="D108" s="95"/>
      <c r="E108" s="85">
        <f>SUM(E106:E107)</f>
        <v>392</v>
      </c>
      <c r="F108" s="734">
        <f>E108/E113</f>
        <v>3.6243988613963309E-2</v>
      </c>
      <c r="G108" s="473"/>
    </row>
    <row r="109" spans="1:35" ht="16.5" customHeight="1" x14ac:dyDescent="0.3">
      <c r="A109" s="3" t="s">
        <v>28</v>
      </c>
      <c r="C109" s="120" t="s">
        <v>27</v>
      </c>
      <c r="D109" s="307" t="s">
        <v>21</v>
      </c>
      <c r="E109" s="305" t="s">
        <v>22</v>
      </c>
      <c r="F109" s="826"/>
      <c r="G109" s="473"/>
    </row>
    <row r="110" spans="1:35" ht="16.5" customHeight="1" x14ac:dyDescent="0.3">
      <c r="B110" s="1" t="s">
        <v>33</v>
      </c>
      <c r="C110" s="605">
        <f>'Standard Vorgaben'!C228</f>
        <v>70</v>
      </c>
      <c r="D110" s="45">
        <f>'Standard Vorgaben'!$C$36</f>
        <v>32.700000000000003</v>
      </c>
      <c r="E110" s="134">
        <f>C110*D110</f>
        <v>2289</v>
      </c>
      <c r="F110" s="734">
        <f>E110/E113</f>
        <v>0.21163900494225002</v>
      </c>
      <c r="G110" s="473"/>
    </row>
    <row r="111" spans="1:35" ht="16.5" customHeight="1" x14ac:dyDescent="0.3">
      <c r="B111" s="1" t="str">
        <f>'Standard Vorgaben'!B229</f>
        <v>Mäusezaunerstellen</v>
      </c>
      <c r="C111" s="605">
        <f>'Standard Vorgaben'!C229</f>
        <v>20</v>
      </c>
      <c r="D111" s="45">
        <f>'Standard Vorgaben'!$C$36</f>
        <v>32.700000000000003</v>
      </c>
      <c r="E111" s="134">
        <f>C111*D111</f>
        <v>654</v>
      </c>
      <c r="F111" s="734">
        <f>E111/E113</f>
        <v>6.0468287126357149E-2</v>
      </c>
      <c r="G111" s="473"/>
    </row>
    <row r="112" spans="1:35" s="16" customFormat="1" ht="15.5" x14ac:dyDescent="0.35">
      <c r="A112" s="600" t="s">
        <v>35</v>
      </c>
      <c r="B112" s="606"/>
      <c r="C112" s="607"/>
      <c r="D112" s="608"/>
      <c r="E112" s="688">
        <f>E108+E110+E111</f>
        <v>3335</v>
      </c>
      <c r="F112" s="604">
        <f>E112/E113</f>
        <v>0.30835128068257051</v>
      </c>
      <c r="G112" s="473"/>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row>
    <row r="113" spans="1:35" s="23" customFormat="1" ht="18" customHeight="1" x14ac:dyDescent="0.35">
      <c r="A113" s="609" t="s">
        <v>93</v>
      </c>
      <c r="B113" s="610"/>
      <c r="C113" s="611"/>
      <c r="D113" s="612"/>
      <c r="E113" s="613">
        <f>E104+E112</f>
        <v>10815.586666666666</v>
      </c>
      <c r="F113" s="604">
        <f>E113/E113</f>
        <v>1</v>
      </c>
      <c r="G113" s="473"/>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row>
    <row r="114" spans="1:35" s="104" customFormat="1" ht="13.5" customHeight="1" x14ac:dyDescent="0.4">
      <c r="A114" s="98"/>
      <c r="B114" s="99"/>
      <c r="C114" s="100"/>
      <c r="D114" s="101"/>
      <c r="E114" s="102"/>
      <c r="F114" s="91"/>
      <c r="G114" s="47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c r="AI114" s="103"/>
    </row>
    <row r="115" spans="1:35" s="104" customFormat="1" ht="20.5" customHeight="1" x14ac:dyDescent="0.4">
      <c r="A115" s="291" t="s">
        <v>397</v>
      </c>
      <c r="B115" s="99"/>
      <c r="C115" s="100"/>
      <c r="D115" s="101"/>
      <c r="E115" s="292">
        <f>E113-E96</f>
        <v>7467.4999999999991</v>
      </c>
      <c r="F115" s="91"/>
      <c r="G115" s="47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row>
    <row r="116" spans="1:35" s="104" customFormat="1" ht="20.5" customHeight="1" x14ac:dyDescent="0.4">
      <c r="A116" s="98"/>
      <c r="B116" s="99"/>
      <c r="C116" s="100"/>
      <c r="D116" s="101"/>
      <c r="E116" s="102"/>
      <c r="F116" s="91"/>
      <c r="G116" s="47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c r="AD116" s="103"/>
      <c r="AE116" s="103"/>
      <c r="AF116" s="103"/>
      <c r="AG116" s="103"/>
      <c r="AH116" s="103"/>
      <c r="AI116" s="103"/>
    </row>
    <row r="118" spans="1:35" ht="18.75" customHeight="1" x14ac:dyDescent="0.4">
      <c r="A118" s="291" t="s">
        <v>598</v>
      </c>
      <c r="C118" t="s">
        <v>475</v>
      </c>
    </row>
    <row r="119" spans="1:35" ht="21" customHeight="1" x14ac:dyDescent="0.25">
      <c r="C119" s="120" t="s">
        <v>11</v>
      </c>
      <c r="D119" s="307" t="s">
        <v>12</v>
      </c>
      <c r="E119" s="305" t="s">
        <v>13</v>
      </c>
      <c r="F119" s="305"/>
    </row>
    <row r="120" spans="1:35" x14ac:dyDescent="0.25">
      <c r="A120" t="s">
        <v>476</v>
      </c>
      <c r="B120" t="s">
        <v>477</v>
      </c>
      <c r="E120" s="46">
        <f>'Standard Bewässerung'!H16</f>
        <v>5860.9</v>
      </c>
      <c r="F120" s="91">
        <f t="shared" ref="F120:F126" si="7">E120/$E$127</f>
        <v>0.3666325529721452</v>
      </c>
    </row>
    <row r="121" spans="1:35" x14ac:dyDescent="0.25">
      <c r="B121" t="s">
        <v>478</v>
      </c>
      <c r="E121" s="46">
        <f>'Standard Bewässerung'!H21</f>
        <v>1807.6</v>
      </c>
      <c r="F121" s="91">
        <f t="shared" si="7"/>
        <v>0.11307563731721232</v>
      </c>
    </row>
    <row r="122" spans="1:35" x14ac:dyDescent="0.25">
      <c r="B122" t="s">
        <v>479</v>
      </c>
      <c r="E122" s="46">
        <f>'Standard Bewässerung'!H29</f>
        <v>1386.5</v>
      </c>
      <c r="F122" s="91">
        <f t="shared" si="7"/>
        <v>8.6733442764060018E-2</v>
      </c>
    </row>
    <row r="123" spans="1:35" x14ac:dyDescent="0.25">
      <c r="E123" s="46"/>
      <c r="F123" s="91">
        <f t="shared" si="7"/>
        <v>0</v>
      </c>
    </row>
    <row r="124" spans="1:35" ht="13" x14ac:dyDescent="0.3">
      <c r="E124" s="1057">
        <f>SUM(E120:E122)</f>
        <v>9055</v>
      </c>
      <c r="F124" s="91">
        <f t="shared" si="7"/>
        <v>0.56644163305341755</v>
      </c>
    </row>
    <row r="125" spans="1:35" x14ac:dyDescent="0.25">
      <c r="A125" t="s">
        <v>539</v>
      </c>
      <c r="E125" s="1123">
        <f>'Standard Bewässerung'!H48</f>
        <v>2650</v>
      </c>
      <c r="F125" s="91">
        <f t="shared" si="7"/>
        <v>0.165772537558427</v>
      </c>
    </row>
    <row r="126" spans="1:35" x14ac:dyDescent="0.25">
      <c r="A126" t="s">
        <v>540</v>
      </c>
      <c r="B126" s="10"/>
      <c r="E126" s="1123">
        <f>'Standard Bewässerung'!H49</f>
        <v>4280.76</v>
      </c>
      <c r="F126" s="91">
        <f t="shared" si="7"/>
        <v>0.26778582938815548</v>
      </c>
    </row>
    <row r="127" spans="1:35" ht="18" x14ac:dyDescent="0.4">
      <c r="A127" s="601" t="s">
        <v>483</v>
      </c>
      <c r="B127" s="610"/>
      <c r="C127" s="612"/>
      <c r="D127" s="1278">
        <f>'Standard Vorgaben'!C236</f>
        <v>1</v>
      </c>
      <c r="E127" s="614">
        <f>E124+E125+E126</f>
        <v>15985.76</v>
      </c>
      <c r="F127" s="604">
        <f>E127/E127</f>
        <v>1</v>
      </c>
    </row>
    <row r="128" spans="1:35" ht="13" x14ac:dyDescent="0.3">
      <c r="A128" s="1124" t="s">
        <v>481</v>
      </c>
      <c r="B128" s="1124"/>
      <c r="C128" s="1124"/>
      <c r="D128" s="1124"/>
      <c r="E128" s="1124"/>
      <c r="F128" s="1124"/>
    </row>
    <row r="129" spans="1:6" x14ac:dyDescent="0.25">
      <c r="B129" s="57" t="s">
        <v>484</v>
      </c>
      <c r="C129" s="10">
        <v>10</v>
      </c>
      <c r="D129">
        <f>'Standard Vorgaben'!$C$36</f>
        <v>32.700000000000003</v>
      </c>
      <c r="E129" s="10">
        <f>C129*D129</f>
        <v>327</v>
      </c>
    </row>
    <row r="130" spans="1:6" x14ac:dyDescent="0.25">
      <c r="B130" t="s">
        <v>485</v>
      </c>
      <c r="C130" s="10">
        <v>4</v>
      </c>
      <c r="D130">
        <f>'Standard Vorgaben'!$C$36</f>
        <v>32.700000000000003</v>
      </c>
      <c r="E130" s="10">
        <f>C130*D130</f>
        <v>130.80000000000001</v>
      </c>
    </row>
    <row r="131" spans="1:6" x14ac:dyDescent="0.25">
      <c r="B131" t="s">
        <v>486</v>
      </c>
      <c r="C131" s="10">
        <v>500</v>
      </c>
      <c r="D131" s="1060">
        <f>'Standard Vorgaben'!C235</f>
        <v>2</v>
      </c>
      <c r="E131" s="10">
        <f>C131*D131</f>
        <v>1000</v>
      </c>
    </row>
    <row r="132" spans="1:6" ht="13.5" thickBot="1" x14ac:dyDescent="0.35">
      <c r="C132" s="1058">
        <f>SUM(C129:C130)</f>
        <v>14</v>
      </c>
      <c r="E132" s="1056">
        <f>E129+E130+E131</f>
        <v>1457.8</v>
      </c>
    </row>
    <row r="133" spans="1:6" ht="13" thickTop="1" x14ac:dyDescent="0.25"/>
    <row r="134" spans="1:6" ht="18" x14ac:dyDescent="0.4">
      <c r="A134" s="291" t="s">
        <v>474</v>
      </c>
    </row>
    <row r="136" spans="1:6" x14ac:dyDescent="0.25">
      <c r="C136" s="120" t="s">
        <v>11</v>
      </c>
      <c r="D136" s="307" t="s">
        <v>12</v>
      </c>
      <c r="E136" s="305" t="s">
        <v>13</v>
      </c>
      <c r="F136" s="305"/>
    </row>
    <row r="137" spans="1:6" x14ac:dyDescent="0.25">
      <c r="A137" t="s">
        <v>476</v>
      </c>
      <c r="B137" t="s">
        <v>477</v>
      </c>
      <c r="E137" s="46">
        <f>'Standard Bewässerung'!H70</f>
        <v>9270.0969999999998</v>
      </c>
      <c r="F137" s="91">
        <f t="shared" ref="F137:F143" si="8">E137/$E$127</f>
        <v>0.57989717098217408</v>
      </c>
    </row>
    <row r="138" spans="1:6" x14ac:dyDescent="0.25">
      <c r="B138" t="s">
        <v>478</v>
      </c>
      <c r="E138" s="46">
        <f>'Standard Bewässerung'!H75</f>
        <v>1725</v>
      </c>
      <c r="F138" s="91">
        <f t="shared" si="8"/>
        <v>0.10790853859935343</v>
      </c>
    </row>
    <row r="139" spans="1:6" x14ac:dyDescent="0.25">
      <c r="B139" t="s">
        <v>479</v>
      </c>
      <c r="E139" s="46">
        <f>'Standard Bewässerung'!H83</f>
        <v>1829</v>
      </c>
      <c r="F139" s="91">
        <f t="shared" si="8"/>
        <v>0.11441432875258981</v>
      </c>
    </row>
    <row r="140" spans="1:6" x14ac:dyDescent="0.25">
      <c r="E140" s="46"/>
      <c r="F140" s="91">
        <f t="shared" si="8"/>
        <v>0</v>
      </c>
    </row>
    <row r="141" spans="1:6" ht="13" x14ac:dyDescent="0.3">
      <c r="E141" s="1057">
        <f>SUM(E137:E139)</f>
        <v>12824.097</v>
      </c>
      <c r="F141" s="91">
        <f t="shared" si="8"/>
        <v>0.80222003833411737</v>
      </c>
    </row>
    <row r="142" spans="1:6" x14ac:dyDescent="0.25">
      <c r="A142" t="s">
        <v>539</v>
      </c>
      <c r="E142" s="1123">
        <f>'Standard Bewässerung'!H102</f>
        <v>2650</v>
      </c>
      <c r="F142" s="91">
        <f t="shared" si="8"/>
        <v>0.165772537558427</v>
      </c>
    </row>
    <row r="143" spans="1:6" x14ac:dyDescent="0.25">
      <c r="A143" t="s">
        <v>540</v>
      </c>
      <c r="B143" s="10"/>
      <c r="E143" s="1123">
        <f>'Standard Bewässerung'!H103</f>
        <v>4736.16</v>
      </c>
      <c r="F143" s="91">
        <f t="shared" si="8"/>
        <v>0.29627368357838474</v>
      </c>
    </row>
    <row r="144" spans="1:6" ht="18" x14ac:dyDescent="0.4">
      <c r="A144" s="601" t="s">
        <v>483</v>
      </c>
      <c r="B144" s="610"/>
      <c r="C144" s="612"/>
      <c r="D144" s="1279">
        <f>'Standard Vorgaben'!C237</f>
        <v>0</v>
      </c>
      <c r="E144" s="614">
        <f>E141+E142+E143</f>
        <v>20210.256999999998</v>
      </c>
      <c r="F144" s="604">
        <f>E144/E144</f>
        <v>1</v>
      </c>
    </row>
    <row r="145" spans="1:6" ht="13" x14ac:dyDescent="0.3">
      <c r="A145" s="1124" t="s">
        <v>481</v>
      </c>
      <c r="B145" s="1124"/>
      <c r="C145" s="1124"/>
      <c r="D145" s="1124"/>
      <c r="E145" s="1124"/>
      <c r="F145" s="593"/>
    </row>
    <row r="146" spans="1:6" x14ac:dyDescent="0.25">
      <c r="B146" s="57" t="s">
        <v>484</v>
      </c>
      <c r="C146" s="10">
        <f>'Standard Bewässerung'!E111</f>
        <v>10</v>
      </c>
      <c r="D146">
        <f>'Standard Vorgaben'!$C$36</f>
        <v>32.700000000000003</v>
      </c>
      <c r="E146" s="10">
        <f>C146*D146</f>
        <v>327</v>
      </c>
      <c r="F146" s="91"/>
    </row>
    <row r="147" spans="1:6" x14ac:dyDescent="0.25">
      <c r="B147" t="s">
        <v>485</v>
      </c>
      <c r="C147" s="10">
        <f>'Standard Bewässerung'!E110</f>
        <v>4</v>
      </c>
      <c r="D147">
        <f>'Standard Vorgaben'!$C$36</f>
        <v>32.700000000000003</v>
      </c>
      <c r="E147" s="10">
        <f>C147*D147</f>
        <v>130.80000000000001</v>
      </c>
      <c r="F147" s="91"/>
    </row>
    <row r="148" spans="1:6" x14ac:dyDescent="0.25">
      <c r="B148" t="s">
        <v>486</v>
      </c>
      <c r="C148" s="10">
        <f>'Standard Bewässerung'!E112</f>
        <v>500</v>
      </c>
      <c r="D148" s="1060">
        <f>'Standard Vorgaben'!C235</f>
        <v>2</v>
      </c>
      <c r="E148" s="10">
        <f>C148*D148</f>
        <v>1000</v>
      </c>
      <c r="F148" s="91"/>
    </row>
    <row r="149" spans="1:6" ht="13.5" thickBot="1" x14ac:dyDescent="0.35">
      <c r="C149" s="1058">
        <f>SUM(C146:C147)</f>
        <v>14</v>
      </c>
      <c r="E149" s="1056">
        <f>E146+E147+E148</f>
        <v>1457.8</v>
      </c>
      <c r="F149" s="91"/>
    </row>
    <row r="150" spans="1:6" ht="13" thickTop="1" x14ac:dyDescent="0.25"/>
    <row r="151" spans="1:6" ht="22.5" x14ac:dyDescent="0.45">
      <c r="A151" s="601" t="s">
        <v>615</v>
      </c>
      <c r="B151" s="610"/>
      <c r="C151" s="1279">
        <f>IF(C155=0,1,0)</f>
        <v>0</v>
      </c>
      <c r="D151" s="614">
        <f>E82+E113</f>
        <v>72143.262166666667</v>
      </c>
      <c r="E151" s="614">
        <f>C151*D151</f>
        <v>0</v>
      </c>
      <c r="F151" s="1272"/>
    </row>
    <row r="152" spans="1:6" ht="22.5" x14ac:dyDescent="0.45">
      <c r="A152" s="601" t="s">
        <v>616</v>
      </c>
      <c r="B152" s="610"/>
      <c r="C152" s="1279">
        <f>IF('Standard Vorgaben'!C238=1,0,'Standard Vorgaben'!C231)</f>
        <v>0</v>
      </c>
      <c r="D152" s="614">
        <f>E83+E113</f>
        <v>103609.98316666667</v>
      </c>
      <c r="E152" s="614">
        <f>C152*D152</f>
        <v>0</v>
      </c>
      <c r="F152" s="1272"/>
    </row>
    <row r="153" spans="1:6" ht="22.5" x14ac:dyDescent="0.45">
      <c r="A153" s="601" t="s">
        <v>609</v>
      </c>
      <c r="B153" s="610"/>
      <c r="C153" s="1279">
        <f>IF('Standard Vorgaben'!C245=2,1,0)</f>
        <v>1</v>
      </c>
      <c r="D153" s="614">
        <f>D127*E127+D144*E144</f>
        <v>15985.76</v>
      </c>
      <c r="E153" s="614">
        <f>(D153+E83)*C153</f>
        <v>108780.1565</v>
      </c>
      <c r="F153" s="1272"/>
    </row>
    <row r="154" spans="1:6" ht="22.5" x14ac:dyDescent="0.45">
      <c r="A154" s="601" t="s">
        <v>617</v>
      </c>
      <c r="B154" s="610"/>
      <c r="C154" s="1279">
        <f>IF(C153=1,0,'Standard Vorgaben'!C238)</f>
        <v>0</v>
      </c>
      <c r="D154" s="614">
        <f>D127*E127+D144*E144</f>
        <v>15985.76</v>
      </c>
      <c r="E154" s="614">
        <f>(E82+E113)*C154+D154</f>
        <v>15985.76</v>
      </c>
      <c r="F154" s="1272"/>
    </row>
    <row r="155" spans="1:6" x14ac:dyDescent="0.25">
      <c r="C155" s="1288">
        <f>SUM(C152:C154)</f>
        <v>1</v>
      </c>
    </row>
    <row r="156" spans="1:6" ht="18" x14ac:dyDescent="0.4">
      <c r="A156" s="601" t="s">
        <v>610</v>
      </c>
      <c r="B156" s="526"/>
      <c r="C156" s="526"/>
      <c r="D156" s="526"/>
      <c r="E156" s="614">
        <f>SUM(E151:E154)</f>
        <v>124765.91649999999</v>
      </c>
      <c r="F156" s="526"/>
    </row>
  </sheetData>
  <mergeCells count="5">
    <mergeCell ref="B3:F3"/>
    <mergeCell ref="A36:A38"/>
    <mergeCell ref="A10:A13"/>
    <mergeCell ref="A16:A26"/>
    <mergeCell ref="A29:A33"/>
  </mergeCells>
  <phoneticPr fontId="23" type="noConversion"/>
  <pageMargins left="0.78740157499999996" right="0.78740157499999996" top="0.984251969" bottom="0.984251969" header="0.4921259845" footer="0.4921259845"/>
  <pageSetup paperSize="9" orientation="portrait" r:id="rId1"/>
  <headerFooter alignWithMargins="0">
    <oddHeader>&amp;LArbokost BIO 2008/09&amp;REsther Bravin, ACW</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tandardStandjahre">
    <tabColor indexed="10"/>
  </sheetPr>
  <dimension ref="A1:DK99"/>
  <sheetViews>
    <sheetView topLeftCell="A13" zoomScale="90" zoomScaleNormal="90" workbookViewId="0">
      <selection activeCell="DC58" sqref="DC58"/>
    </sheetView>
  </sheetViews>
  <sheetFormatPr baseColWidth="10" defaultRowHeight="15.5" x14ac:dyDescent="0.35"/>
  <cols>
    <col min="1" max="1" width="29.81640625" style="12" customWidth="1"/>
    <col min="2" max="2" width="29.1796875" style="15" customWidth="1"/>
    <col min="3" max="3" width="18.36328125" style="10" customWidth="1"/>
    <col min="4" max="4" width="12.81640625" style="10" customWidth="1"/>
    <col min="5" max="5" width="13.36328125" style="24" customWidth="1"/>
    <col min="6" max="6" width="19.7265625" style="25" customWidth="1"/>
    <col min="7" max="7" width="10.7265625" style="10" customWidth="1"/>
    <col min="8" max="8" width="37.36328125" style="332" customWidth="1"/>
    <col min="9" max="9" width="27.81640625" style="10" customWidth="1"/>
    <col min="10" max="10" width="18.36328125" customWidth="1"/>
    <col min="11" max="11" width="12.81640625" customWidth="1"/>
    <col min="12" max="12" width="13.36328125" customWidth="1"/>
    <col min="13" max="13" width="20.36328125" customWidth="1"/>
    <col min="14" max="14" width="10.7265625" style="1" customWidth="1"/>
    <col min="15" max="15" width="37.36328125" style="212" customWidth="1"/>
    <col min="16" max="16" width="27.1796875" customWidth="1"/>
    <col min="17" max="17" width="18.36328125" customWidth="1"/>
    <col min="18" max="18" width="12.81640625" style="26" customWidth="1"/>
    <col min="19" max="19" width="13.36328125" customWidth="1"/>
    <col min="20" max="20" width="19" customWidth="1"/>
    <col min="21" max="21" width="10.7265625" style="337" customWidth="1"/>
    <col min="22" max="22" width="37.36328125" style="212" customWidth="1"/>
    <col min="23" max="23" width="25.54296875" customWidth="1"/>
    <col min="24" max="24" width="18.36328125" customWidth="1"/>
    <col min="25" max="25" width="12.81640625" customWidth="1"/>
    <col min="26" max="26" width="13.36328125" customWidth="1"/>
    <col min="27" max="27" width="19.7265625" customWidth="1"/>
    <col min="28" max="28" width="10.7265625" style="1" customWidth="1"/>
    <col min="29" max="29" width="37.36328125" style="212" customWidth="1"/>
    <col min="30" max="30" width="25.54296875" customWidth="1"/>
    <col min="31" max="31" width="18.36328125" customWidth="1"/>
    <col min="32" max="32" width="12.81640625" customWidth="1"/>
    <col min="33" max="33" width="13.36328125" customWidth="1"/>
    <col min="34" max="34" width="20.1796875" customWidth="1"/>
    <col min="35" max="35" width="10.7265625" style="1" customWidth="1"/>
    <col min="36" max="36" width="37.36328125" style="212" customWidth="1"/>
    <col min="37" max="37" width="25.54296875" customWidth="1"/>
    <col min="38" max="38" width="18.36328125" customWidth="1"/>
    <col min="39" max="39" width="12.81640625" customWidth="1"/>
    <col min="40" max="40" width="13.36328125" customWidth="1"/>
    <col min="41" max="41" width="21.81640625" customWidth="1"/>
    <col min="42" max="42" width="10.7265625" style="467" customWidth="1"/>
    <col min="43" max="43" width="37.36328125" style="212" customWidth="1"/>
    <col min="44" max="44" width="25.54296875" customWidth="1"/>
    <col min="45" max="45" width="18.36328125" customWidth="1"/>
    <col min="46" max="46" width="12.81640625" customWidth="1"/>
    <col min="47" max="47" width="13.36328125" customWidth="1"/>
    <col min="48" max="48" width="17.36328125" customWidth="1"/>
    <col min="49" max="49" width="10.7265625" style="467" customWidth="1"/>
    <col min="50" max="50" width="37.36328125" style="212" customWidth="1"/>
    <col min="51" max="51" width="25.54296875" customWidth="1"/>
    <col min="52" max="52" width="18.36328125" customWidth="1"/>
    <col min="53" max="53" width="12.81640625" customWidth="1"/>
    <col min="54" max="54" width="13.36328125" customWidth="1"/>
    <col min="55" max="55" width="17.36328125" customWidth="1"/>
    <col min="56" max="56" width="10.7265625" style="467" customWidth="1"/>
    <col min="57" max="57" width="37.36328125" style="212" customWidth="1"/>
    <col min="58" max="58" width="25.54296875" customWidth="1"/>
    <col min="59" max="59" width="18.36328125" customWidth="1"/>
    <col min="60" max="60" width="12.81640625" customWidth="1"/>
    <col min="61" max="61" width="13.36328125" customWidth="1"/>
    <col min="62" max="62" width="17.36328125" customWidth="1"/>
    <col min="63" max="63" width="10.7265625" style="1" customWidth="1"/>
    <col min="64" max="64" width="37.36328125" style="212" customWidth="1"/>
    <col min="65" max="65" width="25.54296875" customWidth="1"/>
    <col min="66" max="66" width="18.36328125" customWidth="1"/>
    <col min="67" max="67" width="12.81640625" customWidth="1"/>
    <col min="68" max="68" width="13.36328125" customWidth="1"/>
    <col min="69" max="69" width="17.36328125" customWidth="1"/>
    <col min="70" max="70" width="10.7265625" style="1" customWidth="1"/>
    <col min="71" max="71" width="37.36328125" style="212" customWidth="1"/>
    <col min="72" max="72" width="25.54296875" customWidth="1"/>
    <col min="73" max="73" width="18.36328125" customWidth="1"/>
    <col min="74" max="74" width="12.81640625" customWidth="1"/>
    <col min="75" max="75" width="13.36328125" customWidth="1"/>
    <col min="76" max="76" width="17.36328125" customWidth="1"/>
    <col min="77" max="77" width="10.7265625" style="1" customWidth="1"/>
    <col min="78" max="78" width="37.36328125" style="212" customWidth="1"/>
    <col min="79" max="79" width="25.54296875" customWidth="1"/>
    <col min="80" max="80" width="18.36328125" customWidth="1"/>
    <col min="81" max="81" width="12.81640625" customWidth="1"/>
    <col min="82" max="82" width="13.36328125" customWidth="1"/>
    <col min="83" max="83" width="17.36328125" customWidth="1"/>
    <col min="84" max="84" width="10.7265625" style="1" customWidth="1"/>
    <col min="85" max="85" width="37.36328125" style="212" customWidth="1"/>
    <col min="86" max="86" width="25.54296875" customWidth="1"/>
    <col min="87" max="87" width="18.36328125" customWidth="1"/>
    <col min="88" max="88" width="12.81640625" customWidth="1"/>
    <col min="89" max="89" width="13.36328125" customWidth="1"/>
    <col min="90" max="90" width="17.36328125" customWidth="1"/>
    <col min="91" max="91" width="10.7265625" style="1" customWidth="1"/>
    <col min="92" max="92" width="37.36328125" style="212" customWidth="1"/>
    <col min="93" max="93" width="25.54296875" customWidth="1"/>
    <col min="94" max="94" width="18.36328125" customWidth="1"/>
    <col min="95" max="95" width="12.81640625" customWidth="1"/>
    <col min="96" max="96" width="13.36328125" customWidth="1"/>
    <col min="97" max="97" width="17.36328125" customWidth="1"/>
    <col min="98" max="98" width="10.7265625" style="1" customWidth="1"/>
    <col min="99" max="99" width="37.36328125" style="212" customWidth="1"/>
    <col min="100" max="100" width="25.54296875" customWidth="1"/>
    <col min="101" max="101" width="18.36328125" customWidth="1"/>
    <col min="102" max="102" width="12.81640625" customWidth="1"/>
    <col min="103" max="103" width="13.36328125" customWidth="1"/>
    <col min="104" max="104" width="17.36328125" customWidth="1"/>
    <col min="105" max="105" width="10.7265625" style="19" customWidth="1"/>
  </cols>
  <sheetData>
    <row r="1" spans="1:105" s="13" customFormat="1" ht="42" customHeight="1" x14ac:dyDescent="0.8">
      <c r="A1" s="1287" t="str">
        <f>Eingabeseite!$A$1</f>
        <v>Arbokost 2023</v>
      </c>
      <c r="B1" s="1284" t="str">
        <f>'Standard Erstellung'!B1</f>
        <v>BIO- Tafelapfel, Gala auf M9, 3000 Bäume /ha</v>
      </c>
      <c r="C1" s="999"/>
      <c r="D1" s="1000"/>
      <c r="E1" s="1001"/>
      <c r="F1" s="1002"/>
      <c r="G1" s="1003"/>
      <c r="H1" s="833"/>
      <c r="I1" s="833"/>
      <c r="J1" s="833"/>
      <c r="K1" s="833"/>
      <c r="L1" s="833"/>
      <c r="M1" s="833"/>
      <c r="N1" s="833"/>
      <c r="O1" s="818"/>
      <c r="P1" s="751"/>
      <c r="Q1" s="833"/>
      <c r="R1" s="833"/>
      <c r="S1" s="833"/>
      <c r="T1" s="833"/>
      <c r="U1" s="833"/>
      <c r="V1" s="833"/>
      <c r="W1" s="833"/>
      <c r="X1" s="833"/>
      <c r="Y1" s="833"/>
      <c r="Z1" s="833"/>
      <c r="AA1" s="833"/>
      <c r="AB1" s="833"/>
      <c r="AC1" s="833"/>
      <c r="AD1" s="833"/>
      <c r="AE1" s="833"/>
      <c r="AF1" s="833"/>
      <c r="AG1" s="833"/>
      <c r="AH1" s="833"/>
      <c r="AI1" s="833"/>
      <c r="AJ1" s="833"/>
      <c r="AK1" s="833"/>
      <c r="AL1" s="833"/>
      <c r="AM1" s="833"/>
      <c r="AN1" s="833"/>
      <c r="AO1" s="833"/>
      <c r="AP1" s="833"/>
      <c r="AQ1" s="833"/>
      <c r="AR1" s="833"/>
      <c r="AS1" s="833"/>
      <c r="AT1" s="833"/>
      <c r="AU1" s="833"/>
      <c r="AV1" s="833"/>
      <c r="AW1" s="833"/>
      <c r="AX1" s="833"/>
      <c r="AY1" s="833"/>
      <c r="AZ1" s="833"/>
      <c r="BA1" s="833"/>
      <c r="BB1" s="833"/>
      <c r="BC1" s="833"/>
      <c r="BD1" s="833"/>
      <c r="BE1" s="833"/>
      <c r="BF1" s="833"/>
      <c r="BG1" s="833"/>
      <c r="BH1" s="833"/>
      <c r="BI1" s="833"/>
      <c r="BJ1" s="833"/>
      <c r="BK1" s="833"/>
      <c r="BL1" s="833"/>
      <c r="BM1" s="833"/>
      <c r="BN1" s="833"/>
      <c r="BO1" s="833"/>
      <c r="BP1" s="833"/>
      <c r="BQ1" s="833"/>
      <c r="BR1" s="833"/>
      <c r="BS1" s="833"/>
      <c r="BT1" s="833"/>
      <c r="BU1" s="833"/>
      <c r="BV1" s="833"/>
      <c r="BW1" s="833"/>
      <c r="BX1" s="833"/>
      <c r="BY1" s="833"/>
      <c r="BZ1" s="833"/>
      <c r="CA1" s="833"/>
      <c r="CB1" s="833"/>
      <c r="CC1" s="833"/>
      <c r="CD1" s="833"/>
      <c r="CE1" s="833"/>
      <c r="CF1" s="833"/>
      <c r="CG1" s="833"/>
      <c r="CH1" s="833"/>
      <c r="CI1" s="833"/>
      <c r="CJ1" s="833"/>
      <c r="CK1" s="833"/>
      <c r="CL1" s="833"/>
      <c r="CM1" s="833"/>
      <c r="CN1" s="833"/>
      <c r="CO1" s="833"/>
      <c r="CP1" s="833"/>
      <c r="CQ1" s="833"/>
      <c r="CR1" s="833"/>
      <c r="CS1" s="833"/>
      <c r="CT1" s="833"/>
      <c r="CU1" s="833"/>
      <c r="CV1" s="833"/>
      <c r="CW1" s="833"/>
      <c r="CX1" s="833"/>
      <c r="CY1" s="833"/>
      <c r="CZ1" s="833"/>
      <c r="DA1" s="833"/>
    </row>
    <row r="2" spans="1:105" s="13" customFormat="1" ht="21.75" customHeight="1" x14ac:dyDescent="0.8">
      <c r="A2" s="707" t="str">
        <f>'Standard Ertragsphase'!A2</f>
        <v>Standard 1 ha</v>
      </c>
      <c r="B2" s="1014"/>
      <c r="C2" s="999"/>
      <c r="D2" s="1000"/>
      <c r="E2" s="1001"/>
      <c r="F2" s="1002"/>
      <c r="G2" s="1003"/>
      <c r="H2" s="833"/>
      <c r="I2" s="833"/>
      <c r="J2" s="833"/>
      <c r="K2" s="833"/>
      <c r="L2" s="833"/>
      <c r="M2" s="833"/>
      <c r="N2" s="833"/>
      <c r="O2" s="818"/>
      <c r="P2" s="833"/>
      <c r="Q2" s="833"/>
      <c r="R2" s="833"/>
      <c r="S2" s="833"/>
      <c r="T2" s="833"/>
      <c r="U2" s="833"/>
      <c r="V2" s="833"/>
      <c r="W2" s="833"/>
      <c r="X2" s="833"/>
      <c r="Y2" s="833"/>
      <c r="Z2" s="833"/>
      <c r="AA2" s="833"/>
      <c r="AB2" s="833"/>
      <c r="AC2" s="833"/>
      <c r="AD2" s="833"/>
      <c r="AE2" s="833"/>
      <c r="AF2" s="833"/>
      <c r="AG2" s="833"/>
      <c r="AH2" s="833"/>
      <c r="AI2" s="833"/>
      <c r="AJ2" s="833"/>
      <c r="AK2" s="833"/>
      <c r="AL2" s="833"/>
      <c r="AM2" s="833"/>
      <c r="AN2" s="833"/>
      <c r="AO2" s="833"/>
      <c r="AP2" s="833"/>
      <c r="AQ2" s="833"/>
      <c r="AR2" s="833"/>
      <c r="AS2" s="833"/>
      <c r="AT2" s="833"/>
      <c r="AU2" s="833"/>
      <c r="AV2" s="833"/>
      <c r="AW2" s="833"/>
      <c r="AX2" s="833"/>
      <c r="AY2" s="833"/>
      <c r="AZ2" s="833"/>
      <c r="BA2" s="833"/>
      <c r="BB2" s="833"/>
      <c r="BC2" s="833"/>
      <c r="BD2" s="833"/>
      <c r="BE2" s="833"/>
      <c r="BF2" s="833"/>
      <c r="BG2" s="833"/>
      <c r="BH2" s="833"/>
      <c r="BI2" s="833"/>
      <c r="BJ2" s="833"/>
      <c r="BK2" s="833"/>
      <c r="BL2" s="833"/>
      <c r="BM2" s="833"/>
      <c r="BN2" s="833"/>
      <c r="BO2" s="833"/>
      <c r="BP2" s="833"/>
      <c r="BQ2" s="833"/>
      <c r="BR2" s="833"/>
      <c r="BS2" s="833"/>
      <c r="BT2" s="833"/>
      <c r="BU2" s="833"/>
      <c r="BV2" s="833"/>
      <c r="BW2" s="833"/>
      <c r="BX2" s="833"/>
      <c r="BY2" s="833"/>
      <c r="BZ2" s="833"/>
      <c r="CA2" s="833"/>
      <c r="CB2" s="833"/>
      <c r="CC2" s="833"/>
      <c r="CD2" s="833"/>
      <c r="CE2" s="833"/>
      <c r="CF2" s="833"/>
      <c r="CG2" s="833"/>
      <c r="CH2" s="833"/>
      <c r="CI2" s="833"/>
      <c r="CJ2" s="833"/>
      <c r="CK2" s="833"/>
      <c r="CL2" s="833"/>
      <c r="CM2" s="833"/>
      <c r="CN2" s="833"/>
      <c r="CO2" s="833"/>
      <c r="CP2" s="833"/>
      <c r="CQ2" s="833"/>
      <c r="CR2" s="833"/>
      <c r="CS2" s="833"/>
      <c r="CT2" s="833"/>
      <c r="CU2" s="833"/>
      <c r="CV2" s="833"/>
      <c r="CW2" s="833"/>
      <c r="CX2" s="833"/>
      <c r="CY2" s="833"/>
      <c r="CZ2" s="833"/>
      <c r="DA2" s="833"/>
    </row>
    <row r="3" spans="1:105" s="13" customFormat="1" ht="18" customHeight="1" x14ac:dyDescent="0.8">
      <c r="A3" s="1014"/>
      <c r="B3" s="1014"/>
      <c r="C3" s="999"/>
      <c r="D3" s="1000"/>
      <c r="E3" s="1001"/>
      <c r="F3" s="1002"/>
      <c r="G3" s="1003"/>
      <c r="H3" s="833"/>
      <c r="I3" s="833"/>
      <c r="J3" s="833"/>
      <c r="K3" s="833"/>
      <c r="L3" s="833"/>
      <c r="M3" s="833"/>
      <c r="N3" s="833"/>
      <c r="O3" s="818"/>
      <c r="P3" s="833"/>
      <c r="Q3" s="833"/>
      <c r="R3" s="833"/>
      <c r="S3" s="833"/>
      <c r="T3" s="833"/>
      <c r="U3" s="833"/>
      <c r="V3" s="833"/>
      <c r="W3" s="833"/>
      <c r="X3" s="833"/>
      <c r="Y3" s="833"/>
      <c r="Z3" s="833"/>
      <c r="AA3" s="833"/>
      <c r="AB3" s="833"/>
      <c r="AC3" s="833"/>
      <c r="AD3" s="833"/>
      <c r="AE3" s="833"/>
      <c r="AF3" s="833"/>
      <c r="AG3" s="833"/>
      <c r="AH3" s="833"/>
      <c r="AI3" s="833"/>
      <c r="AJ3" s="833"/>
      <c r="AK3" s="833"/>
      <c r="AL3" s="833"/>
      <c r="AM3" s="833"/>
      <c r="AN3" s="833"/>
      <c r="AO3" s="833"/>
      <c r="AP3" s="833"/>
      <c r="AQ3" s="833"/>
      <c r="AR3" s="833"/>
      <c r="AS3" s="833"/>
      <c r="AT3" s="833"/>
      <c r="AU3" s="833"/>
      <c r="AV3" s="833"/>
      <c r="AW3" s="833"/>
      <c r="AX3" s="833"/>
      <c r="AY3" s="833"/>
      <c r="AZ3" s="833"/>
      <c r="BA3" s="833"/>
      <c r="BB3" s="833"/>
      <c r="BC3" s="833"/>
      <c r="BD3" s="833"/>
      <c r="BE3" s="833"/>
      <c r="BF3" s="833"/>
      <c r="BG3" s="833"/>
      <c r="BH3" s="833"/>
      <c r="BI3" s="833"/>
      <c r="BJ3" s="833"/>
      <c r="BK3" s="833"/>
      <c r="BL3" s="833"/>
      <c r="BM3" s="833"/>
      <c r="BN3" s="833"/>
      <c r="BO3" s="833"/>
      <c r="BP3" s="833"/>
      <c r="BQ3" s="833"/>
      <c r="BR3" s="833"/>
      <c r="BS3" s="833"/>
      <c r="BT3" s="833"/>
      <c r="BU3" s="833"/>
      <c r="BV3" s="833"/>
      <c r="BW3" s="833"/>
      <c r="BX3" s="833"/>
      <c r="BY3" s="833"/>
      <c r="BZ3" s="833"/>
      <c r="CA3" s="833"/>
      <c r="CB3" s="833"/>
      <c r="CC3" s="833"/>
      <c r="CD3" s="833"/>
      <c r="CE3" s="833"/>
      <c r="CF3" s="833"/>
      <c r="CG3" s="833"/>
      <c r="CH3" s="833"/>
      <c r="CI3" s="833"/>
      <c r="CJ3" s="833"/>
      <c r="CK3" s="833"/>
      <c r="CL3" s="833"/>
      <c r="CM3" s="833"/>
      <c r="CN3" s="833"/>
      <c r="CO3" s="833"/>
      <c r="CP3" s="833"/>
      <c r="CQ3" s="833"/>
      <c r="CR3" s="833"/>
      <c r="CS3" s="833"/>
      <c r="CT3" s="833"/>
      <c r="CU3" s="833"/>
      <c r="CV3" s="833"/>
      <c r="CW3" s="833"/>
      <c r="CX3" s="833"/>
      <c r="CY3" s="833"/>
      <c r="CZ3" s="833"/>
      <c r="DA3" s="833"/>
    </row>
    <row r="4" spans="1:105" s="13" customFormat="1" ht="13" x14ac:dyDescent="0.3">
      <c r="A4" s="906"/>
      <c r="B4" s="1004"/>
      <c r="C4" s="834"/>
      <c r="D4" s="834"/>
      <c r="E4" s="1005"/>
      <c r="F4" s="1006"/>
      <c r="G4" s="834"/>
      <c r="H4" s="834"/>
      <c r="I4" s="834"/>
      <c r="J4" s="833"/>
      <c r="K4" s="833"/>
      <c r="L4" s="833"/>
      <c r="M4" s="833"/>
      <c r="N4" s="833"/>
      <c r="O4" s="834"/>
      <c r="P4" s="834"/>
      <c r="Q4" s="833"/>
      <c r="R4" s="833"/>
      <c r="S4" s="833"/>
      <c r="T4" s="833"/>
      <c r="U4" s="833"/>
      <c r="V4" s="834"/>
      <c r="W4" s="834"/>
      <c r="X4" s="833"/>
      <c r="Y4" s="833"/>
      <c r="Z4" s="833"/>
      <c r="AA4" s="833"/>
      <c r="AB4" s="833"/>
      <c r="AC4" s="834"/>
      <c r="AD4" s="834"/>
      <c r="AE4" s="833"/>
      <c r="AF4" s="833"/>
      <c r="AG4" s="833"/>
      <c r="AH4" s="833"/>
      <c r="AI4" s="833"/>
      <c r="AJ4" s="834"/>
      <c r="AK4" s="834"/>
      <c r="AL4" s="833"/>
      <c r="AM4" s="833"/>
      <c r="AN4" s="833"/>
      <c r="AO4" s="833"/>
      <c r="AP4" s="833"/>
      <c r="AQ4" s="834"/>
      <c r="AR4" s="834"/>
      <c r="AS4" s="833"/>
      <c r="AT4" s="833"/>
      <c r="AU4" s="833"/>
      <c r="AV4" s="833"/>
      <c r="AW4" s="833"/>
      <c r="AX4" s="834"/>
      <c r="AY4" s="834"/>
      <c r="AZ4" s="833"/>
      <c r="BA4" s="833"/>
      <c r="BB4" s="833"/>
      <c r="BC4" s="833"/>
      <c r="BD4" s="833"/>
      <c r="BE4" s="834"/>
      <c r="BF4" s="834"/>
      <c r="BG4" s="833"/>
      <c r="BH4" s="833"/>
      <c r="BI4" s="833"/>
      <c r="BJ4" s="833"/>
      <c r="BK4" s="833"/>
      <c r="BL4" s="834"/>
      <c r="BM4" s="834"/>
      <c r="BN4" s="833"/>
      <c r="BO4" s="833"/>
      <c r="BP4" s="833"/>
      <c r="BQ4" s="833"/>
      <c r="BR4" s="833"/>
      <c r="BS4" s="834"/>
      <c r="BT4" s="834"/>
      <c r="BU4" s="833"/>
      <c r="BV4" s="833"/>
      <c r="BW4" s="833"/>
      <c r="BX4" s="833"/>
      <c r="BY4" s="833"/>
      <c r="BZ4" s="834"/>
      <c r="CA4" s="834"/>
      <c r="CB4" s="833"/>
      <c r="CC4" s="833"/>
      <c r="CD4" s="833"/>
      <c r="CE4" s="833"/>
      <c r="CF4" s="833"/>
      <c r="CG4" s="834"/>
      <c r="CH4" s="834"/>
      <c r="CI4" s="833"/>
      <c r="CJ4" s="833"/>
      <c r="CK4" s="833"/>
      <c r="CL4" s="833"/>
      <c r="CM4" s="833"/>
      <c r="CN4" s="834"/>
      <c r="CO4" s="834"/>
      <c r="CP4" s="833"/>
      <c r="CQ4" s="833"/>
      <c r="CR4" s="833"/>
      <c r="CS4" s="833"/>
      <c r="CT4" s="833"/>
      <c r="CU4" s="834"/>
      <c r="CV4" s="834"/>
      <c r="CW4" s="833"/>
      <c r="CX4" s="833"/>
      <c r="CY4" s="833"/>
      <c r="CZ4" s="833"/>
      <c r="DA4" s="833"/>
    </row>
    <row r="5" spans="1:105" s="778" customFormat="1" ht="20" x14ac:dyDescent="0.4">
      <c r="A5" s="749" t="s">
        <v>302</v>
      </c>
      <c r="B5" s="751"/>
      <c r="C5" s="748"/>
      <c r="D5" s="749"/>
      <c r="E5" s="1015" t="s">
        <v>451</v>
      </c>
      <c r="F5" s="1016"/>
      <c r="G5" s="750"/>
      <c r="H5" s="749" t="s">
        <v>302</v>
      </c>
      <c r="I5" s="751"/>
      <c r="J5" s="748"/>
      <c r="K5" s="749"/>
      <c r="L5" s="750"/>
      <c r="M5" s="749"/>
      <c r="N5" s="751"/>
      <c r="O5" s="749" t="s">
        <v>302</v>
      </c>
      <c r="P5" s="751"/>
      <c r="Q5" s="748"/>
      <c r="R5" s="749"/>
      <c r="S5" s="750"/>
      <c r="T5" s="749"/>
      <c r="U5" s="751"/>
      <c r="V5" s="749" t="s">
        <v>302</v>
      </c>
      <c r="W5" s="751"/>
      <c r="X5" s="748"/>
      <c r="Y5" s="749"/>
      <c r="Z5" s="750"/>
      <c r="AA5" s="749"/>
      <c r="AB5" s="751"/>
      <c r="AC5" s="749" t="s">
        <v>302</v>
      </c>
      <c r="AD5" s="751"/>
      <c r="AE5" s="748"/>
      <c r="AF5" s="749"/>
      <c r="AG5" s="750"/>
      <c r="AH5" s="749"/>
      <c r="AI5" s="751"/>
      <c r="AJ5" s="749" t="s">
        <v>302</v>
      </c>
      <c r="AK5" s="751"/>
      <c r="AL5" s="748"/>
      <c r="AM5" s="749"/>
      <c r="AN5" s="750"/>
      <c r="AO5" s="749"/>
      <c r="AP5" s="751"/>
      <c r="AQ5" s="749" t="s">
        <v>302</v>
      </c>
      <c r="AR5" s="751"/>
      <c r="AS5" s="748"/>
      <c r="AT5" s="749"/>
      <c r="AU5" s="750"/>
      <c r="AV5" s="749"/>
      <c r="AW5" s="751"/>
      <c r="AX5" s="749" t="s">
        <v>302</v>
      </c>
      <c r="AY5" s="751"/>
      <c r="AZ5" s="748"/>
      <c r="BA5" s="749"/>
      <c r="BB5" s="750"/>
      <c r="BC5" s="749"/>
      <c r="BD5" s="751"/>
      <c r="BE5" s="749" t="s">
        <v>302</v>
      </c>
      <c r="BF5" s="751"/>
      <c r="BG5" s="748"/>
      <c r="BH5" s="749"/>
      <c r="BI5" s="750"/>
      <c r="BJ5" s="749"/>
      <c r="BK5" s="751"/>
      <c r="BL5" s="749" t="s">
        <v>302</v>
      </c>
      <c r="BM5" s="751"/>
      <c r="BN5" s="748"/>
      <c r="BO5" s="749"/>
      <c r="BP5" s="750"/>
      <c r="BQ5" s="749"/>
      <c r="BR5" s="751"/>
      <c r="BS5" s="749" t="s">
        <v>302</v>
      </c>
      <c r="BT5" s="751"/>
      <c r="BU5" s="748"/>
      <c r="BV5" s="749"/>
      <c r="BW5" s="750"/>
      <c r="BX5" s="749"/>
      <c r="BY5" s="751"/>
      <c r="BZ5" s="749" t="s">
        <v>302</v>
      </c>
      <c r="CA5" s="751"/>
      <c r="CB5" s="748"/>
      <c r="CC5" s="749"/>
      <c r="CD5" s="750"/>
      <c r="CE5" s="749"/>
      <c r="CF5" s="751"/>
      <c r="CG5" s="749" t="s">
        <v>302</v>
      </c>
      <c r="CH5" s="751"/>
      <c r="CI5" s="748"/>
      <c r="CJ5" s="749"/>
      <c r="CK5" s="750"/>
      <c r="CL5" s="749"/>
      <c r="CM5" s="751"/>
      <c r="CN5" s="749" t="s">
        <v>302</v>
      </c>
      <c r="CO5" s="751"/>
      <c r="CP5" s="748"/>
      <c r="CQ5" s="749"/>
      <c r="CR5" s="750"/>
      <c r="CS5" s="749"/>
      <c r="CT5" s="751"/>
      <c r="CU5" s="749" t="s">
        <v>302</v>
      </c>
      <c r="CV5" s="751"/>
      <c r="CW5" s="748"/>
      <c r="CX5" s="749"/>
      <c r="CY5" s="750"/>
      <c r="CZ5" s="749"/>
      <c r="DA5" s="751"/>
    </row>
    <row r="6" spans="1:105" s="17" customFormat="1" ht="29.25" customHeight="1" x14ac:dyDescent="0.4">
      <c r="A6" s="1007" t="s">
        <v>39</v>
      </c>
      <c r="B6" s="1008">
        <f>'Standard Vorgaben'!B24</f>
        <v>3000</v>
      </c>
      <c r="C6" s="1438"/>
      <c r="D6" s="1439"/>
      <c r="E6" s="1439"/>
      <c r="F6" s="1439"/>
      <c r="G6" s="1439"/>
      <c r="H6" s="1007" t="s">
        <v>40</v>
      </c>
      <c r="I6" s="1008">
        <f>'Standard Vorgaben'!B24</f>
        <v>3000</v>
      </c>
      <c r="J6" s="1438"/>
      <c r="K6" s="1439"/>
      <c r="L6" s="1439"/>
      <c r="M6" s="1439"/>
      <c r="N6" s="1439"/>
      <c r="O6" s="1007" t="s">
        <v>41</v>
      </c>
      <c r="P6" s="1008">
        <f>'Standard Vorgaben'!B24</f>
        <v>3000</v>
      </c>
      <c r="Q6" s="1438"/>
      <c r="R6" s="1439"/>
      <c r="S6" s="1439"/>
      <c r="T6" s="1439"/>
      <c r="U6" s="1439"/>
      <c r="V6" s="1007" t="s">
        <v>42</v>
      </c>
      <c r="W6" s="1008">
        <f>'Standard Vorgaben'!B24</f>
        <v>3000</v>
      </c>
      <c r="X6" s="1438"/>
      <c r="Y6" s="1439"/>
      <c r="Z6" s="1439"/>
      <c r="AA6" s="1439"/>
      <c r="AB6" s="1439"/>
      <c r="AC6" s="1007" t="s">
        <v>43</v>
      </c>
      <c r="AD6" s="1008">
        <f>'Standard Vorgaben'!B24</f>
        <v>3000</v>
      </c>
      <c r="AE6" s="1438"/>
      <c r="AF6" s="1438"/>
      <c r="AG6" s="1438"/>
      <c r="AH6" s="1438"/>
      <c r="AI6" s="1438"/>
      <c r="AJ6" s="1007" t="s">
        <v>44</v>
      </c>
      <c r="AK6" s="1008">
        <f>'Standard Vorgaben'!B24</f>
        <v>3000</v>
      </c>
      <c r="AL6" s="1438"/>
      <c r="AM6" s="1438"/>
      <c r="AN6" s="1438"/>
      <c r="AO6" s="1438"/>
      <c r="AP6" s="1438"/>
      <c r="AQ6" s="1007" t="s">
        <v>45</v>
      </c>
      <c r="AR6" s="1008">
        <f>'Standard Vorgaben'!B24</f>
        <v>3000</v>
      </c>
      <c r="AS6" s="1438"/>
      <c r="AT6" s="1438"/>
      <c r="AU6" s="1438"/>
      <c r="AV6" s="1438"/>
      <c r="AW6" s="1438"/>
      <c r="AX6" s="1007" t="s">
        <v>46</v>
      </c>
      <c r="AY6" s="1008">
        <f>'Standard Vorgaben'!B24</f>
        <v>3000</v>
      </c>
      <c r="AZ6" s="1438"/>
      <c r="BA6" s="1438"/>
      <c r="BB6" s="1438"/>
      <c r="BC6" s="1438"/>
      <c r="BD6" s="1438"/>
      <c r="BE6" s="1007" t="s">
        <v>47</v>
      </c>
      <c r="BF6" s="1008">
        <f>'Standard Vorgaben'!B24</f>
        <v>3000</v>
      </c>
      <c r="BG6" s="1438"/>
      <c r="BH6" s="1438"/>
      <c r="BI6" s="1438"/>
      <c r="BJ6" s="1438"/>
      <c r="BK6" s="1438"/>
      <c r="BL6" s="1007" t="s">
        <v>48</v>
      </c>
      <c r="BM6" s="1008">
        <f>'Standard Vorgaben'!B24</f>
        <v>3000</v>
      </c>
      <c r="BN6" s="1438"/>
      <c r="BO6" s="1438"/>
      <c r="BP6" s="1438"/>
      <c r="BQ6" s="1438"/>
      <c r="BR6" s="1438"/>
      <c r="BS6" s="1007" t="s">
        <v>49</v>
      </c>
      <c r="BT6" s="1008">
        <f>'Standard Vorgaben'!B24</f>
        <v>3000</v>
      </c>
      <c r="BU6" s="1438"/>
      <c r="BV6" s="1438"/>
      <c r="BW6" s="1438"/>
      <c r="BX6" s="1438"/>
      <c r="BY6" s="1438"/>
      <c r="BZ6" s="1007" t="s">
        <v>50</v>
      </c>
      <c r="CA6" s="1008">
        <f>'Standard Vorgaben'!B24</f>
        <v>3000</v>
      </c>
      <c r="CB6" s="1438"/>
      <c r="CC6" s="1438"/>
      <c r="CD6" s="1438"/>
      <c r="CE6" s="1438"/>
      <c r="CF6" s="1438"/>
      <c r="CG6" s="1007" t="s">
        <v>51</v>
      </c>
      <c r="CH6" s="1008">
        <f>'Standard Vorgaben'!B24</f>
        <v>3000</v>
      </c>
      <c r="CI6" s="1438"/>
      <c r="CJ6" s="1438"/>
      <c r="CK6" s="1438"/>
      <c r="CL6" s="1438"/>
      <c r="CM6" s="1438"/>
      <c r="CN6" s="1007" t="s">
        <v>52</v>
      </c>
      <c r="CO6" s="1008">
        <f>'Standard Vorgaben'!B24</f>
        <v>3000</v>
      </c>
      <c r="CP6" s="1438"/>
      <c r="CQ6" s="1438"/>
      <c r="CR6" s="1438"/>
      <c r="CS6" s="1438"/>
      <c r="CT6" s="1438"/>
      <c r="CU6" s="1007" t="s">
        <v>53</v>
      </c>
      <c r="CV6" s="1008">
        <f>'Standard Vorgaben'!B24</f>
        <v>3000</v>
      </c>
      <c r="CW6" s="1438"/>
      <c r="CX6" s="1438"/>
      <c r="CY6" s="1438"/>
      <c r="CZ6" s="1438"/>
      <c r="DA6" s="1438"/>
    </row>
    <row r="7" spans="1:105" s="3" customFormat="1" ht="21.25" customHeight="1" x14ac:dyDescent="0.35">
      <c r="A7" s="152" t="s">
        <v>69</v>
      </c>
      <c r="B7" s="752"/>
      <c r="C7" s="1440" t="s">
        <v>361</v>
      </c>
      <c r="D7" s="1440"/>
      <c r="E7" s="86" t="s">
        <v>401</v>
      </c>
      <c r="F7" s="821" t="s">
        <v>363</v>
      </c>
      <c r="G7" s="1441" t="s">
        <v>409</v>
      </c>
      <c r="H7" s="152" t="s">
        <v>69</v>
      </c>
      <c r="I7" s="752"/>
      <c r="J7" s="1440" t="s">
        <v>361</v>
      </c>
      <c r="K7" s="1440"/>
      <c r="L7" s="794" t="s">
        <v>401</v>
      </c>
      <c r="M7" s="811" t="s">
        <v>363</v>
      </c>
      <c r="N7" s="1441" t="s">
        <v>409</v>
      </c>
      <c r="O7" s="152" t="s">
        <v>69</v>
      </c>
      <c r="P7" s="752"/>
      <c r="Q7" s="1440" t="s">
        <v>361</v>
      </c>
      <c r="R7" s="1440"/>
      <c r="S7" s="794" t="s">
        <v>401</v>
      </c>
      <c r="T7" s="811" t="s">
        <v>363</v>
      </c>
      <c r="U7" s="1441" t="s">
        <v>409</v>
      </c>
      <c r="V7" s="152" t="s">
        <v>69</v>
      </c>
      <c r="W7" s="752"/>
      <c r="X7" s="1440" t="s">
        <v>361</v>
      </c>
      <c r="Y7" s="1440"/>
      <c r="Z7" s="86" t="s">
        <v>401</v>
      </c>
      <c r="AA7" s="821" t="s">
        <v>363</v>
      </c>
      <c r="AB7" s="1441" t="s">
        <v>409</v>
      </c>
      <c r="AC7" s="152" t="s">
        <v>69</v>
      </c>
      <c r="AD7" s="752"/>
      <c r="AE7" s="1440" t="s">
        <v>361</v>
      </c>
      <c r="AF7" s="1440"/>
      <c r="AG7" s="86" t="s">
        <v>401</v>
      </c>
      <c r="AH7" s="821" t="s">
        <v>363</v>
      </c>
      <c r="AI7" s="1441" t="s">
        <v>409</v>
      </c>
      <c r="AJ7" s="152" t="s">
        <v>69</v>
      </c>
      <c r="AK7" s="752"/>
      <c r="AL7" s="1440" t="s">
        <v>361</v>
      </c>
      <c r="AM7" s="1440"/>
      <c r="AN7" s="86" t="s">
        <v>401</v>
      </c>
      <c r="AO7" s="821" t="s">
        <v>363</v>
      </c>
      <c r="AP7" s="1441" t="s">
        <v>409</v>
      </c>
      <c r="AQ7" s="152" t="s">
        <v>69</v>
      </c>
      <c r="AR7" s="752"/>
      <c r="AS7" s="1440" t="s">
        <v>361</v>
      </c>
      <c r="AT7" s="1440"/>
      <c r="AU7" s="86" t="s">
        <v>401</v>
      </c>
      <c r="AV7" s="821" t="s">
        <v>363</v>
      </c>
      <c r="AW7" s="1441" t="s">
        <v>409</v>
      </c>
      <c r="AX7" s="152" t="s">
        <v>69</v>
      </c>
      <c r="AY7" s="752"/>
      <c r="AZ7" s="1440" t="s">
        <v>361</v>
      </c>
      <c r="BA7" s="1440"/>
      <c r="BB7" s="86" t="s">
        <v>401</v>
      </c>
      <c r="BC7" s="821" t="s">
        <v>363</v>
      </c>
      <c r="BD7" s="1441" t="s">
        <v>409</v>
      </c>
      <c r="BE7" s="152" t="s">
        <v>69</v>
      </c>
      <c r="BF7" s="752"/>
      <c r="BG7" s="1440" t="s">
        <v>361</v>
      </c>
      <c r="BH7" s="1440"/>
      <c r="BI7" s="86" t="s">
        <v>401</v>
      </c>
      <c r="BJ7" s="821" t="s">
        <v>363</v>
      </c>
      <c r="BK7" s="1441" t="s">
        <v>409</v>
      </c>
      <c r="BL7" s="152" t="s">
        <v>69</v>
      </c>
      <c r="BM7" s="752"/>
      <c r="BN7" s="1440" t="s">
        <v>361</v>
      </c>
      <c r="BO7" s="1440"/>
      <c r="BP7" s="86" t="s">
        <v>401</v>
      </c>
      <c r="BQ7" s="821" t="s">
        <v>363</v>
      </c>
      <c r="BR7" s="1441" t="s">
        <v>409</v>
      </c>
      <c r="BS7" s="152" t="s">
        <v>69</v>
      </c>
      <c r="BT7" s="752"/>
      <c r="BU7" s="1440" t="s">
        <v>361</v>
      </c>
      <c r="BV7" s="1440"/>
      <c r="BW7" s="86" t="s">
        <v>401</v>
      </c>
      <c r="BX7" s="821" t="s">
        <v>363</v>
      </c>
      <c r="BY7" s="1441" t="s">
        <v>409</v>
      </c>
      <c r="BZ7" s="152" t="s">
        <v>69</v>
      </c>
      <c r="CA7" s="752"/>
      <c r="CB7" s="1440" t="s">
        <v>361</v>
      </c>
      <c r="CC7" s="1440"/>
      <c r="CD7" s="86" t="s">
        <v>401</v>
      </c>
      <c r="CE7" s="821" t="s">
        <v>363</v>
      </c>
      <c r="CF7" s="1441" t="s">
        <v>409</v>
      </c>
      <c r="CG7" s="152" t="s">
        <v>69</v>
      </c>
      <c r="CH7" s="752"/>
      <c r="CI7" s="1440" t="s">
        <v>361</v>
      </c>
      <c r="CJ7" s="1440"/>
      <c r="CK7" s="86" t="s">
        <v>401</v>
      </c>
      <c r="CL7" s="821" t="s">
        <v>363</v>
      </c>
      <c r="CM7" s="1441" t="s">
        <v>409</v>
      </c>
      <c r="CN7" s="152" t="s">
        <v>69</v>
      </c>
      <c r="CO7" s="752"/>
      <c r="CP7" s="1440" t="s">
        <v>361</v>
      </c>
      <c r="CQ7" s="1440"/>
      <c r="CR7" s="86" t="s">
        <v>401</v>
      </c>
      <c r="CS7" s="821" t="s">
        <v>363</v>
      </c>
      <c r="CT7" s="1441" t="s">
        <v>409</v>
      </c>
      <c r="CU7" s="152" t="s">
        <v>69</v>
      </c>
      <c r="CV7" s="752"/>
      <c r="CW7" s="1440" t="s">
        <v>361</v>
      </c>
      <c r="CX7" s="1440"/>
      <c r="CY7" s="86" t="s">
        <v>401</v>
      </c>
      <c r="CZ7" s="821" t="s">
        <v>363</v>
      </c>
      <c r="DA7" s="1441" t="s">
        <v>409</v>
      </c>
    </row>
    <row r="8" spans="1:105" s="12" customFormat="1" ht="12.75" customHeight="1" x14ac:dyDescent="0.3">
      <c r="B8" s="42"/>
      <c r="C8" s="185" t="s">
        <v>54</v>
      </c>
      <c r="D8" s="185" t="s">
        <v>55</v>
      </c>
      <c r="E8" s="225" t="s">
        <v>156</v>
      </c>
      <c r="F8" s="745" t="s">
        <v>22</v>
      </c>
      <c r="G8" s="1443"/>
      <c r="I8" s="42"/>
      <c r="J8" s="185" t="s">
        <v>54</v>
      </c>
      <c r="K8" s="185" t="s">
        <v>55</v>
      </c>
      <c r="L8" s="225" t="s">
        <v>156</v>
      </c>
      <c r="M8" s="745" t="s">
        <v>22</v>
      </c>
      <c r="N8" s="1443"/>
      <c r="P8" s="42"/>
      <c r="Q8" s="185" t="s">
        <v>54</v>
      </c>
      <c r="R8" s="185" t="s">
        <v>55</v>
      </c>
      <c r="S8" s="225" t="s">
        <v>156</v>
      </c>
      <c r="T8" s="745" t="s">
        <v>22</v>
      </c>
      <c r="U8" s="1443"/>
      <c r="W8" s="42"/>
      <c r="X8" s="185" t="s">
        <v>54</v>
      </c>
      <c r="Y8" s="185" t="s">
        <v>55</v>
      </c>
      <c r="Z8" s="225" t="s">
        <v>156</v>
      </c>
      <c r="AA8" s="745" t="s">
        <v>22</v>
      </c>
      <c r="AB8" s="1443"/>
      <c r="AD8" s="42"/>
      <c r="AE8" s="185" t="s">
        <v>54</v>
      </c>
      <c r="AF8" s="185" t="s">
        <v>55</v>
      </c>
      <c r="AG8" s="225" t="s">
        <v>156</v>
      </c>
      <c r="AH8" s="745" t="s">
        <v>22</v>
      </c>
      <c r="AI8" s="1441"/>
      <c r="AK8" s="42"/>
      <c r="AL8" s="185" t="s">
        <v>54</v>
      </c>
      <c r="AM8" s="185" t="s">
        <v>55</v>
      </c>
      <c r="AN8" s="225" t="s">
        <v>156</v>
      </c>
      <c r="AO8" s="745" t="s">
        <v>22</v>
      </c>
      <c r="AP8" s="1441"/>
      <c r="AR8" s="42"/>
      <c r="AS8" s="185" t="s">
        <v>54</v>
      </c>
      <c r="AT8" s="185" t="s">
        <v>55</v>
      </c>
      <c r="AU8" s="225" t="s">
        <v>156</v>
      </c>
      <c r="AV8" s="745" t="s">
        <v>22</v>
      </c>
      <c r="AW8" s="1441"/>
      <c r="AY8" s="42"/>
      <c r="AZ8" s="185" t="s">
        <v>54</v>
      </c>
      <c r="BA8" s="185" t="s">
        <v>55</v>
      </c>
      <c r="BB8" s="225" t="s">
        <v>156</v>
      </c>
      <c r="BC8" s="745" t="s">
        <v>22</v>
      </c>
      <c r="BD8" s="1441"/>
      <c r="BF8" s="42"/>
      <c r="BG8" s="185" t="s">
        <v>54</v>
      </c>
      <c r="BH8" s="185" t="s">
        <v>55</v>
      </c>
      <c r="BI8" s="225" t="s">
        <v>156</v>
      </c>
      <c r="BJ8" s="745" t="s">
        <v>22</v>
      </c>
      <c r="BK8" s="1441"/>
      <c r="BM8" s="42"/>
      <c r="BN8" s="185" t="s">
        <v>54</v>
      </c>
      <c r="BO8" s="185" t="s">
        <v>55</v>
      </c>
      <c r="BP8" s="225" t="s">
        <v>156</v>
      </c>
      <c r="BQ8" s="745" t="s">
        <v>22</v>
      </c>
      <c r="BR8" s="1441"/>
      <c r="BT8" s="42"/>
      <c r="BU8" s="185" t="s">
        <v>54</v>
      </c>
      <c r="BV8" s="185" t="s">
        <v>55</v>
      </c>
      <c r="BW8" s="225" t="s">
        <v>156</v>
      </c>
      <c r="BX8" s="745" t="s">
        <v>22</v>
      </c>
      <c r="BY8" s="1441"/>
      <c r="CA8" s="42"/>
      <c r="CB8" s="185" t="s">
        <v>54</v>
      </c>
      <c r="CC8" s="185" t="s">
        <v>55</v>
      </c>
      <c r="CD8" s="225" t="s">
        <v>156</v>
      </c>
      <c r="CE8" s="745" t="s">
        <v>22</v>
      </c>
      <c r="CF8" s="1441"/>
      <c r="CH8" s="42"/>
      <c r="CI8" s="185" t="s">
        <v>54</v>
      </c>
      <c r="CJ8" s="185" t="s">
        <v>55</v>
      </c>
      <c r="CK8" s="225" t="s">
        <v>156</v>
      </c>
      <c r="CL8" s="745" t="s">
        <v>22</v>
      </c>
      <c r="CM8" s="1441"/>
      <c r="CO8" s="42"/>
      <c r="CP8" s="185" t="s">
        <v>54</v>
      </c>
      <c r="CQ8" s="185" t="s">
        <v>55</v>
      </c>
      <c r="CR8" s="225" t="s">
        <v>156</v>
      </c>
      <c r="CS8" s="745" t="s">
        <v>22</v>
      </c>
      <c r="CT8" s="1441"/>
      <c r="CV8" s="42"/>
      <c r="CW8" s="185" t="s">
        <v>54</v>
      </c>
      <c r="CX8" s="185" t="s">
        <v>55</v>
      </c>
      <c r="CY8" s="225" t="s">
        <v>156</v>
      </c>
      <c r="CZ8" s="745" t="s">
        <v>22</v>
      </c>
      <c r="DA8" s="1441"/>
    </row>
    <row r="9" spans="1:105" s="87" customFormat="1" ht="15.75" customHeight="1" x14ac:dyDescent="0.3">
      <c r="B9" s="87" t="str">
        <f>'Standard Vorgaben'!$B$50</f>
        <v>Tafeläpfel BIO</v>
      </c>
      <c r="C9" s="744">
        <f>D9/B6</f>
        <v>0</v>
      </c>
      <c r="D9" s="222">
        <f>G9*D13</f>
        <v>0</v>
      </c>
      <c r="E9" s="219">
        <f>'Standard Vorgaben'!B51</f>
        <v>2.4</v>
      </c>
      <c r="F9" s="149">
        <f>D9*E9</f>
        <v>0</v>
      </c>
      <c r="G9" s="730">
        <f>'Standard Vorgaben'!B74</f>
        <v>0.73</v>
      </c>
      <c r="H9" s="75"/>
      <c r="I9" s="87" t="str">
        <f>'Standard Vorgaben'!$B$50</f>
        <v>Tafeläpfel BIO</v>
      </c>
      <c r="J9" s="744">
        <f>K9/I6</f>
        <v>0.60536585365853668</v>
      </c>
      <c r="K9" s="222">
        <f>N9*K13</f>
        <v>1816.0975609756099</v>
      </c>
      <c r="L9" s="219">
        <f>'Standard Vorgaben'!B52</f>
        <v>2.4</v>
      </c>
      <c r="M9" s="149">
        <f>K9*L9</f>
        <v>4358.6341463414637</v>
      </c>
      <c r="N9" s="730">
        <f>'Standard Vorgaben'!B75</f>
        <v>0.73</v>
      </c>
      <c r="O9" s="75"/>
      <c r="P9" s="87" t="str">
        <f>'Standard Vorgaben'!$B$50</f>
        <v>Tafeläpfel BIO</v>
      </c>
      <c r="Q9" s="744">
        <f>R9/P6</f>
        <v>2.2196747967479675</v>
      </c>
      <c r="R9" s="222">
        <f>U9*R13</f>
        <v>6659.0243902439024</v>
      </c>
      <c r="S9" s="219">
        <f>'Standard Vorgaben'!B53</f>
        <v>2.4</v>
      </c>
      <c r="T9" s="149">
        <f>R9*S9</f>
        <v>15981.658536585364</v>
      </c>
      <c r="U9" s="730">
        <f>'Standard Vorgaben'!B76</f>
        <v>0.73</v>
      </c>
      <c r="V9" s="75"/>
      <c r="W9" s="87" t="str">
        <f>'Standard Vorgaben'!$B$50</f>
        <v>Tafeläpfel BIO</v>
      </c>
      <c r="X9" s="744">
        <f>Y9/W6</f>
        <v>3.026829268292683</v>
      </c>
      <c r="Y9" s="222">
        <f>AB9*Y13</f>
        <v>9080.4878048780483</v>
      </c>
      <c r="Z9" s="219">
        <f>'Standard Vorgaben'!B54</f>
        <v>2.4</v>
      </c>
      <c r="AA9" s="149">
        <f>Y9*Z9</f>
        <v>21793.170731707316</v>
      </c>
      <c r="AB9" s="730">
        <f>'Standard Vorgaben'!B77</f>
        <v>0.73</v>
      </c>
      <c r="AC9" s="75"/>
      <c r="AD9" s="87" t="str">
        <f>'Standard Vorgaben'!$B$50</f>
        <v>Tafeläpfel BIO</v>
      </c>
      <c r="AE9" s="744">
        <f>AF9/AD6</f>
        <v>6.6590243902439017</v>
      </c>
      <c r="AF9" s="222">
        <f>AI9*AF13</f>
        <v>19977.073170731706</v>
      </c>
      <c r="AG9" s="219">
        <f>'Standard Vorgaben'!B55</f>
        <v>2.4</v>
      </c>
      <c r="AH9" s="149">
        <f>AF9*AG9</f>
        <v>47944.975609756097</v>
      </c>
      <c r="AI9" s="730">
        <f>'Standard Vorgaben'!B78</f>
        <v>0.73</v>
      </c>
      <c r="AJ9" s="75"/>
      <c r="AK9" s="87" t="str">
        <f>'Standard Vorgaben'!$B$50</f>
        <v>Tafeläpfel BIO</v>
      </c>
      <c r="AL9" s="744">
        <f>AM9/AK6</f>
        <v>6.6590243902439017</v>
      </c>
      <c r="AM9" s="222">
        <f>AP9*AM13</f>
        <v>19977.073170731706</v>
      </c>
      <c r="AN9" s="219">
        <f>'Standard Vorgaben'!B56</f>
        <v>2.4</v>
      </c>
      <c r="AO9" s="149">
        <f>AM9*AN9</f>
        <v>47944.975609756097</v>
      </c>
      <c r="AP9" s="730">
        <f>'Standard Vorgaben'!B79</f>
        <v>0.73</v>
      </c>
      <c r="AQ9" s="75"/>
      <c r="AR9" s="87" t="str">
        <f>'Standard Vorgaben'!$B$50</f>
        <v>Tafeläpfel BIO</v>
      </c>
      <c r="AS9" s="744">
        <f>AT9/AR6</f>
        <v>6.6590243902439017</v>
      </c>
      <c r="AT9" s="222">
        <f>AW9*AT13</f>
        <v>19977.073170731706</v>
      </c>
      <c r="AU9" s="219">
        <f>'Standard Vorgaben'!B57</f>
        <v>2.4</v>
      </c>
      <c r="AV9" s="149">
        <f>AT9*AU9</f>
        <v>47944.975609756097</v>
      </c>
      <c r="AW9" s="730">
        <f>'Standard Vorgaben'!B80</f>
        <v>0.73</v>
      </c>
      <c r="AX9" s="75"/>
      <c r="AY9" s="87" t="str">
        <f>'Standard Vorgaben'!$B$50</f>
        <v>Tafeläpfel BIO</v>
      </c>
      <c r="AZ9" s="744">
        <f>BA9/AY6</f>
        <v>6.6590243902439017</v>
      </c>
      <c r="BA9" s="222">
        <f>BD9*BA13</f>
        <v>19977.073170731706</v>
      </c>
      <c r="BB9" s="219">
        <f>'Standard Vorgaben'!B58</f>
        <v>2.4</v>
      </c>
      <c r="BC9" s="149">
        <f>BA9*BB9</f>
        <v>47944.975609756097</v>
      </c>
      <c r="BD9" s="730">
        <f>'Standard Vorgaben'!B81</f>
        <v>0.73</v>
      </c>
      <c r="BE9" s="75"/>
      <c r="BF9" s="87" t="str">
        <f>'Standard Vorgaben'!$B$50</f>
        <v>Tafeläpfel BIO</v>
      </c>
      <c r="BG9" s="744">
        <f>BH9/B6</f>
        <v>6.6590243902439017</v>
      </c>
      <c r="BH9" s="222">
        <f>BK9*BH13</f>
        <v>19977.073170731706</v>
      </c>
      <c r="BI9" s="219">
        <f>'Standard Vorgaben'!B59</f>
        <v>2.4</v>
      </c>
      <c r="BJ9" s="149">
        <f>BH9*BI9</f>
        <v>47944.975609756097</v>
      </c>
      <c r="BK9" s="730">
        <f>'Standard Vorgaben'!B81</f>
        <v>0.73</v>
      </c>
      <c r="BL9" s="75"/>
      <c r="BM9" s="87" t="str">
        <f>'Standard Vorgaben'!$B$50</f>
        <v>Tafeläpfel BIO</v>
      </c>
      <c r="BN9" s="744">
        <f>BO9/B6</f>
        <v>6.6590243902439017</v>
      </c>
      <c r="BO9" s="222">
        <f>BR9*BO13</f>
        <v>19977.073170731706</v>
      </c>
      <c r="BP9" s="219">
        <f>'Standard Vorgaben'!B60</f>
        <v>2.4</v>
      </c>
      <c r="BQ9" s="149">
        <f>BO9*BP9</f>
        <v>47944.975609756097</v>
      </c>
      <c r="BR9" s="730">
        <f>'Standard Vorgaben'!B83</f>
        <v>0.73</v>
      </c>
      <c r="BS9" s="75"/>
      <c r="BT9" s="87" t="str">
        <f>'Standard Vorgaben'!$B$50</f>
        <v>Tafeläpfel BIO</v>
      </c>
      <c r="BU9" s="744">
        <f>BV9/B6</f>
        <v>6.6590243902439017</v>
      </c>
      <c r="BV9" s="222">
        <f>BY9*BV13</f>
        <v>19977.073170731706</v>
      </c>
      <c r="BW9" s="219">
        <f>'Standard Vorgaben'!B61</f>
        <v>2.4</v>
      </c>
      <c r="BX9" s="149">
        <f>BV9*BW9</f>
        <v>47944.975609756097</v>
      </c>
      <c r="BY9" s="730">
        <f>'Standard Vorgaben'!B84</f>
        <v>0.73</v>
      </c>
      <c r="BZ9" s="75"/>
      <c r="CA9" s="87" t="str">
        <f>'Standard Vorgaben'!$B$50</f>
        <v>Tafeläpfel BIO</v>
      </c>
      <c r="CB9" s="744">
        <f>CC9/B6</f>
        <v>6.6590243902439017</v>
      </c>
      <c r="CC9" s="222">
        <f>CF9*CC13</f>
        <v>19977.073170731706</v>
      </c>
      <c r="CD9" s="219">
        <f>'Standard Vorgaben'!B62</f>
        <v>2.4</v>
      </c>
      <c r="CE9" s="149">
        <f>CC9*CD9</f>
        <v>47944.975609756097</v>
      </c>
      <c r="CF9" s="730">
        <f>'Standard Vorgaben'!B85</f>
        <v>0.73</v>
      </c>
      <c r="CG9" s="75"/>
      <c r="CH9" s="87" t="str">
        <f>'Standard Vorgaben'!$B$50</f>
        <v>Tafeläpfel BIO</v>
      </c>
      <c r="CI9" s="744">
        <f>CJ9/B6</f>
        <v>6.0536585365853659</v>
      </c>
      <c r="CJ9" s="222">
        <f>CM9*CJ13</f>
        <v>18160.975609756097</v>
      </c>
      <c r="CK9" s="219">
        <f>'Standard Vorgaben'!B63</f>
        <v>2.4</v>
      </c>
      <c r="CL9" s="149">
        <f>CJ9*CK9</f>
        <v>43586.341463414632</v>
      </c>
      <c r="CM9" s="730">
        <f>'Standard Vorgaben'!B86</f>
        <v>0.73</v>
      </c>
      <c r="CN9" s="75"/>
      <c r="CO9" s="87" t="str">
        <f>'Standard Vorgaben'!$B$50</f>
        <v>Tafeläpfel BIO</v>
      </c>
      <c r="CP9" s="744">
        <f>CQ9/B6</f>
        <v>6.0536585365853659</v>
      </c>
      <c r="CQ9" s="222">
        <f>CT9*CQ13</f>
        <v>18160.975609756097</v>
      </c>
      <c r="CR9" s="219">
        <f>'Standard Vorgaben'!B64</f>
        <v>2.4</v>
      </c>
      <c r="CS9" s="149">
        <f>CQ9*CR9</f>
        <v>43586.341463414632</v>
      </c>
      <c r="CT9" s="730">
        <f>'Standard Vorgaben'!B87</f>
        <v>0.73</v>
      </c>
      <c r="CU9" s="75"/>
      <c r="CV9" s="87" t="str">
        <f>'Standard Vorgaben'!$B$50</f>
        <v>Tafeläpfel BIO</v>
      </c>
      <c r="CW9" s="744">
        <f>CX9/B6</f>
        <v>6.0536585365853659</v>
      </c>
      <c r="CX9" s="222">
        <f>DA9*CX13</f>
        <v>18160.975609756097</v>
      </c>
      <c r="CY9" s="219">
        <f>'Standard Vorgaben'!B65</f>
        <v>2.4</v>
      </c>
      <c r="CZ9" s="149">
        <f>CX9*CY9</f>
        <v>43586.341463414632</v>
      </c>
      <c r="DA9" s="730">
        <f>'Standard Vorgaben'!B88</f>
        <v>0.73</v>
      </c>
    </row>
    <row r="10" spans="1:105" s="87" customFormat="1" ht="13.75" customHeight="1" x14ac:dyDescent="0.3">
      <c r="B10" s="87" t="str">
        <f>'Standard Vorgaben'!$C$50</f>
        <v>Kochobst BIO</v>
      </c>
      <c r="C10" s="744">
        <f>D10/$B$6</f>
        <v>0</v>
      </c>
      <c r="D10" s="222">
        <f>G10*D13</f>
        <v>0</v>
      </c>
      <c r="E10" s="219">
        <f>'Standard Vorgaben'!C51</f>
        <v>0.6</v>
      </c>
      <c r="F10" s="149">
        <f>D10*E10</f>
        <v>0</v>
      </c>
      <c r="G10" s="730">
        <f>'Standard Vorgaben'!C74</f>
        <v>0.05</v>
      </c>
      <c r="I10" s="87" t="str">
        <f>'Standard Vorgaben'!$C$50</f>
        <v>Kochobst BIO</v>
      </c>
      <c r="J10" s="744">
        <f>K10/I6</f>
        <v>4.1463414634146344E-2</v>
      </c>
      <c r="K10" s="222">
        <f>N10*K13</f>
        <v>124.39024390243904</v>
      </c>
      <c r="L10" s="219">
        <f>'Standard Vorgaben'!C52</f>
        <v>0.6</v>
      </c>
      <c r="M10" s="149">
        <f>K10*L10</f>
        <v>74.634146341463421</v>
      </c>
      <c r="N10" s="730">
        <f>'Standard Vorgaben'!C75</f>
        <v>0.05</v>
      </c>
      <c r="P10" s="87" t="str">
        <f>'Standard Vorgaben'!$C$50</f>
        <v>Kochobst BIO</v>
      </c>
      <c r="Q10" s="744">
        <f>R10/P6</f>
        <v>0.15203252032520326</v>
      </c>
      <c r="R10" s="222">
        <f>U10*R13</f>
        <v>456.09756097560978</v>
      </c>
      <c r="S10" s="219">
        <f>'Standard Vorgaben'!C53</f>
        <v>0.6</v>
      </c>
      <c r="T10" s="149">
        <f>R10*S10</f>
        <v>273.65853658536588</v>
      </c>
      <c r="U10" s="730">
        <f>'Standard Vorgaben'!C76</f>
        <v>0.05</v>
      </c>
      <c r="W10" s="87" t="str">
        <f>'Standard Vorgaben'!$C$50</f>
        <v>Kochobst BIO</v>
      </c>
      <c r="X10" s="744">
        <f>Y10/W6</f>
        <v>0.20731707317073172</v>
      </c>
      <c r="Y10" s="222">
        <f>AB10*Y13</f>
        <v>621.95121951219517</v>
      </c>
      <c r="Z10" s="219">
        <f>'Standard Vorgaben'!C54</f>
        <v>0.6</v>
      </c>
      <c r="AA10" s="149">
        <f>Y10*Z10</f>
        <v>373.17073170731709</v>
      </c>
      <c r="AB10" s="730">
        <f>'Standard Vorgaben'!C77</f>
        <v>0.05</v>
      </c>
      <c r="AD10" s="87" t="str">
        <f>'Standard Vorgaben'!$C$50</f>
        <v>Kochobst BIO</v>
      </c>
      <c r="AE10" s="744">
        <f>AF10/AD6</f>
        <v>0.45609756097560972</v>
      </c>
      <c r="AF10" s="222">
        <f>AI10*AF13</f>
        <v>1368.2926829268292</v>
      </c>
      <c r="AG10" s="219">
        <f>'Standard Vorgaben'!C55</f>
        <v>0.6</v>
      </c>
      <c r="AH10" s="149">
        <f>AF10*AG10</f>
        <v>820.97560975609747</v>
      </c>
      <c r="AI10" s="730">
        <f>'Standard Vorgaben'!C78</f>
        <v>0.05</v>
      </c>
      <c r="AK10" s="87" t="str">
        <f>'Standard Vorgaben'!$C$50</f>
        <v>Kochobst BIO</v>
      </c>
      <c r="AL10" s="744">
        <f>AM10/AK6</f>
        <v>0.45609756097560972</v>
      </c>
      <c r="AM10" s="222">
        <f>AP10*AM13</f>
        <v>1368.2926829268292</v>
      </c>
      <c r="AN10" s="219">
        <f>'Standard Vorgaben'!C56</f>
        <v>0.6</v>
      </c>
      <c r="AO10" s="149">
        <f>AM10*AN10</f>
        <v>820.97560975609747</v>
      </c>
      <c r="AP10" s="730">
        <f>'Standard Vorgaben'!C79</f>
        <v>0.05</v>
      </c>
      <c r="AR10" s="87" t="str">
        <f>'Standard Vorgaben'!$C$50</f>
        <v>Kochobst BIO</v>
      </c>
      <c r="AS10" s="744">
        <f>AT10/AR6</f>
        <v>0.45609756097560972</v>
      </c>
      <c r="AT10" s="222">
        <f>AW10*AT13</f>
        <v>1368.2926829268292</v>
      </c>
      <c r="AU10" s="219">
        <f>'Standard Vorgaben'!C57</f>
        <v>0.6</v>
      </c>
      <c r="AV10" s="149">
        <f>AT10*AU10</f>
        <v>820.97560975609747</v>
      </c>
      <c r="AW10" s="730">
        <f>'Standard Vorgaben'!C80</f>
        <v>0.05</v>
      </c>
      <c r="AY10" s="87" t="str">
        <f>'Standard Vorgaben'!$C$50</f>
        <v>Kochobst BIO</v>
      </c>
      <c r="AZ10" s="744">
        <f>BA10/AY6</f>
        <v>0.45609756097560972</v>
      </c>
      <c r="BA10" s="222">
        <f>BD10*BA13</f>
        <v>1368.2926829268292</v>
      </c>
      <c r="BB10" s="219">
        <f>'Standard Vorgaben'!C58</f>
        <v>0.6</v>
      </c>
      <c r="BC10" s="149">
        <f>BA10*BB10</f>
        <v>820.97560975609747</v>
      </c>
      <c r="BD10" s="730">
        <f>'Standard Vorgaben'!C81</f>
        <v>0.05</v>
      </c>
      <c r="BF10" s="87" t="str">
        <f>'Standard Vorgaben'!$C$50</f>
        <v>Kochobst BIO</v>
      </c>
      <c r="BG10" s="744">
        <f>BH10/B6</f>
        <v>0.45609756097560972</v>
      </c>
      <c r="BH10" s="222">
        <f>BK10*BH13</f>
        <v>1368.2926829268292</v>
      </c>
      <c r="BI10" s="219">
        <f>'Standard Vorgaben'!C59</f>
        <v>0.6</v>
      </c>
      <c r="BJ10" s="149">
        <f>BH10*BI10</f>
        <v>820.97560975609747</v>
      </c>
      <c r="BK10" s="730">
        <f>'Standard Vorgaben'!C82</f>
        <v>0.05</v>
      </c>
      <c r="BM10" s="87" t="str">
        <f>'Standard Vorgaben'!$C$50</f>
        <v>Kochobst BIO</v>
      </c>
      <c r="BN10" s="744">
        <f>BO10/B6</f>
        <v>0.45609756097560972</v>
      </c>
      <c r="BO10" s="222">
        <f>BR10*BO13</f>
        <v>1368.2926829268292</v>
      </c>
      <c r="BP10" s="219">
        <f>'Standard Vorgaben'!C60</f>
        <v>0.6</v>
      </c>
      <c r="BQ10" s="149">
        <f>BO10*BP10</f>
        <v>820.97560975609747</v>
      </c>
      <c r="BR10" s="730">
        <f>'Standard Vorgaben'!C83</f>
        <v>0.05</v>
      </c>
      <c r="BT10" s="87" t="str">
        <f>'Standard Vorgaben'!$C$50</f>
        <v>Kochobst BIO</v>
      </c>
      <c r="BU10" s="744">
        <f>BV10/B6</f>
        <v>0.45609756097560972</v>
      </c>
      <c r="BV10" s="222">
        <f>BY10*BV13</f>
        <v>1368.2926829268292</v>
      </c>
      <c r="BW10" s="219">
        <f>'Standard Vorgaben'!C60</f>
        <v>0.6</v>
      </c>
      <c r="BX10" s="149">
        <f>BV10*BW10</f>
        <v>820.97560975609747</v>
      </c>
      <c r="BY10" s="730">
        <f>'Standard Vorgaben'!C84</f>
        <v>0.05</v>
      </c>
      <c r="CA10" s="87" t="str">
        <f>'Standard Vorgaben'!$C$50</f>
        <v>Kochobst BIO</v>
      </c>
      <c r="CB10" s="744">
        <f>CC10/B6</f>
        <v>0.45609756097560972</v>
      </c>
      <c r="CC10" s="222">
        <f>CF10*CC13</f>
        <v>1368.2926829268292</v>
      </c>
      <c r="CD10" s="219">
        <f>'Standard Vorgaben'!C62</f>
        <v>0.6</v>
      </c>
      <c r="CE10" s="149">
        <f>CC10*CD10</f>
        <v>820.97560975609747</v>
      </c>
      <c r="CF10" s="730">
        <f>'Standard Vorgaben'!C85</f>
        <v>0.05</v>
      </c>
      <c r="CH10" s="87" t="str">
        <f>'Standard Vorgaben'!$C$50</f>
        <v>Kochobst BIO</v>
      </c>
      <c r="CI10" s="744">
        <f>CJ10/B6</f>
        <v>0.41463414634146345</v>
      </c>
      <c r="CJ10" s="222">
        <f>CM10*CJ13</f>
        <v>1243.9024390243903</v>
      </c>
      <c r="CK10" s="219">
        <f>'Standard Vorgaben'!C63</f>
        <v>0.6</v>
      </c>
      <c r="CL10" s="149">
        <f>CJ10*CK10</f>
        <v>746.34146341463418</v>
      </c>
      <c r="CM10" s="730">
        <f>'Standard Vorgaben'!C86</f>
        <v>0.05</v>
      </c>
      <c r="CO10" s="87" t="str">
        <f>'Standard Vorgaben'!$C$50</f>
        <v>Kochobst BIO</v>
      </c>
      <c r="CP10" s="744">
        <f>CQ10/B6</f>
        <v>0.41463414634146345</v>
      </c>
      <c r="CQ10" s="222">
        <f>CT10*CQ13</f>
        <v>1243.9024390243903</v>
      </c>
      <c r="CR10" s="219">
        <f>'Standard Vorgaben'!C64</f>
        <v>0.6</v>
      </c>
      <c r="CS10" s="149">
        <f>CQ10*CR10</f>
        <v>746.34146341463418</v>
      </c>
      <c r="CT10" s="730">
        <f>'Standard Vorgaben'!C87</f>
        <v>0.05</v>
      </c>
      <c r="CV10" s="87" t="str">
        <f>'Standard Vorgaben'!$C$50</f>
        <v>Kochobst BIO</v>
      </c>
      <c r="CW10" s="744">
        <f>CX10/B6</f>
        <v>0.41463414634146345</v>
      </c>
      <c r="CX10" s="222">
        <f>DA10*CX13</f>
        <v>1243.9024390243903</v>
      </c>
      <c r="CY10" s="219">
        <f>'Standard Vorgaben'!C65</f>
        <v>0.6</v>
      </c>
      <c r="CZ10" s="149">
        <f>CX10*CY10</f>
        <v>746.34146341463418</v>
      </c>
      <c r="DA10" s="730">
        <f>'Standard Vorgaben'!C88</f>
        <v>0.05</v>
      </c>
    </row>
    <row r="11" spans="1:105" s="87" customFormat="1" ht="13.75" customHeight="1" x14ac:dyDescent="0.3">
      <c r="B11" s="87" t="str">
        <f>'Standard Vorgaben'!$D$50</f>
        <v>Mostobst BIO</v>
      </c>
      <c r="C11" s="744">
        <f t="shared" ref="C11:C12" si="0">D11/$B$6</f>
        <v>0</v>
      </c>
      <c r="D11" s="460">
        <f>D13*G11</f>
        <v>0</v>
      </c>
      <c r="E11" s="219">
        <f>'Standard Vorgaben'!D51</f>
        <v>0.33</v>
      </c>
      <c r="F11" s="149">
        <f>D11*E11</f>
        <v>0</v>
      </c>
      <c r="G11" s="730">
        <f>'Standard Vorgaben'!G74</f>
        <v>0.18</v>
      </c>
      <c r="I11" s="87" t="str">
        <f>'Standard Vorgaben'!$D$50</f>
        <v>Mostobst BIO</v>
      </c>
      <c r="J11" s="744">
        <f>K11/$B$6</f>
        <v>0.14926829268292682</v>
      </c>
      <c r="K11" s="460">
        <f>K13*N11</f>
        <v>447.80487804878049</v>
      </c>
      <c r="L11" s="219">
        <f>'Standard Vorgaben'!D52</f>
        <v>0.33</v>
      </c>
      <c r="M11" s="149">
        <f>K11*L11</f>
        <v>147.77560975609757</v>
      </c>
      <c r="N11" s="730">
        <f>'Standard Vorgaben'!G75</f>
        <v>0.18</v>
      </c>
      <c r="P11" s="87" t="str">
        <f>'Standard Vorgaben'!$D$50</f>
        <v>Mostobst BIO</v>
      </c>
      <c r="Q11" s="744">
        <f>R11/$B$6</f>
        <v>0.54731707317073175</v>
      </c>
      <c r="R11" s="460">
        <f>R13*U11</f>
        <v>1641.9512195121952</v>
      </c>
      <c r="S11" s="219">
        <f>'Standard Vorgaben'!D53</f>
        <v>0.33</v>
      </c>
      <c r="T11" s="149">
        <f>R11*S11</f>
        <v>541.84390243902442</v>
      </c>
      <c r="U11" s="730">
        <f>'Standard Vorgaben'!G76</f>
        <v>0.18</v>
      </c>
      <c r="W11" s="87" t="str">
        <f>'Standard Vorgaben'!$D$50</f>
        <v>Mostobst BIO</v>
      </c>
      <c r="X11" s="744">
        <f>Y11/$B$6</f>
        <v>0.74634146341463403</v>
      </c>
      <c r="Y11" s="460">
        <f>Y13*AB11</f>
        <v>2239.024390243902</v>
      </c>
      <c r="Z11" s="219">
        <f>'Standard Vorgaben'!D54</f>
        <v>0.33</v>
      </c>
      <c r="AA11" s="149">
        <f>Y11*Z11</f>
        <v>738.87804878048769</v>
      </c>
      <c r="AB11" s="730">
        <f>'Standard Vorgaben'!G77</f>
        <v>0.18</v>
      </c>
      <c r="AD11" s="87" t="str">
        <f>'Standard Vorgaben'!$D$50</f>
        <v>Mostobst BIO</v>
      </c>
      <c r="AE11" s="744">
        <f>AF11/$B$6</f>
        <v>1.6419512195121948</v>
      </c>
      <c r="AF11" s="460">
        <f>AF13*AI11</f>
        <v>4925.8536585365846</v>
      </c>
      <c r="AG11" s="219">
        <f>'Standard Vorgaben'!D55</f>
        <v>0.33</v>
      </c>
      <c r="AH11" s="149">
        <f>AF11*AG11</f>
        <v>1625.5317073170729</v>
      </c>
      <c r="AI11" s="730">
        <f>'Standard Vorgaben'!G78</f>
        <v>0.18</v>
      </c>
      <c r="AK11" s="87" t="str">
        <f>'Standard Vorgaben'!$D$50</f>
        <v>Mostobst BIO</v>
      </c>
      <c r="AL11" s="744">
        <f>AM11/$B$6</f>
        <v>1.6419512195121948</v>
      </c>
      <c r="AM11" s="460">
        <f>AM13*AP11</f>
        <v>4925.8536585365846</v>
      </c>
      <c r="AN11" s="219">
        <f>'Standard Vorgaben'!D56</f>
        <v>0.33</v>
      </c>
      <c r="AO11" s="149">
        <f>AM11*AN11</f>
        <v>1625.5317073170729</v>
      </c>
      <c r="AP11" s="730">
        <f>'Standard Vorgaben'!G79</f>
        <v>0.18</v>
      </c>
      <c r="AR11" s="87" t="str">
        <f>'Standard Vorgaben'!$D$50</f>
        <v>Mostobst BIO</v>
      </c>
      <c r="AS11" s="744">
        <f>AT11/$B$6</f>
        <v>1.6419512195121948</v>
      </c>
      <c r="AT11" s="460">
        <f>AT13*AW11</f>
        <v>4925.8536585365846</v>
      </c>
      <c r="AU11" s="219">
        <f>'Standard Vorgaben'!D57</f>
        <v>0.33</v>
      </c>
      <c r="AV11" s="149">
        <f>AT11*AU11</f>
        <v>1625.5317073170729</v>
      </c>
      <c r="AW11" s="730">
        <f>'Standard Vorgaben'!G80</f>
        <v>0.18</v>
      </c>
      <c r="AY11" s="87" t="str">
        <f>'Standard Vorgaben'!$D$50</f>
        <v>Mostobst BIO</v>
      </c>
      <c r="AZ11" s="744">
        <f>BA11/$B$6</f>
        <v>1.6419512195121948</v>
      </c>
      <c r="BA11" s="460">
        <f>BA13*BD11</f>
        <v>4925.8536585365846</v>
      </c>
      <c r="BB11" s="219">
        <f>'Standard Vorgaben'!D58</f>
        <v>0.33</v>
      </c>
      <c r="BC11" s="149">
        <f>BA11*BB11</f>
        <v>1625.5317073170729</v>
      </c>
      <c r="BD11" s="730">
        <f>'Standard Vorgaben'!G81</f>
        <v>0.18</v>
      </c>
      <c r="BF11" s="87" t="str">
        <f>'Standard Vorgaben'!$D$50</f>
        <v>Mostobst BIO</v>
      </c>
      <c r="BG11" s="744">
        <f>BH11/$B$6</f>
        <v>1.6419512195121948</v>
      </c>
      <c r="BH11" s="460">
        <f>BH13*BK11</f>
        <v>4925.8536585365846</v>
      </c>
      <c r="BI11" s="219">
        <f>'Standard Vorgaben'!D59</f>
        <v>0.33</v>
      </c>
      <c r="BJ11" s="149">
        <f>BH11*BI11</f>
        <v>1625.5317073170729</v>
      </c>
      <c r="BK11" s="730">
        <f>'Standard Vorgaben'!G82</f>
        <v>0.18</v>
      </c>
      <c r="BM11" s="87" t="str">
        <f>'Standard Vorgaben'!$D$50</f>
        <v>Mostobst BIO</v>
      </c>
      <c r="BN11" s="744">
        <f>BO11/$B$6</f>
        <v>1.6419512195121948</v>
      </c>
      <c r="BO11" s="460">
        <f>BO13*BR11</f>
        <v>4925.8536585365846</v>
      </c>
      <c r="BP11" s="219">
        <f>'Standard Vorgaben'!D60</f>
        <v>0.33</v>
      </c>
      <c r="BQ11" s="149">
        <f>BO11*BP11</f>
        <v>1625.5317073170729</v>
      </c>
      <c r="BR11" s="730">
        <f>'Standard Vorgaben'!G83</f>
        <v>0.18</v>
      </c>
      <c r="BT11" s="87" t="str">
        <f>'Standard Vorgaben'!$D$50</f>
        <v>Mostobst BIO</v>
      </c>
      <c r="BU11" s="744">
        <f>BV11/$B$6</f>
        <v>1.6419512195121948</v>
      </c>
      <c r="BV11" s="460">
        <f>BV13*BY11</f>
        <v>4925.8536585365846</v>
      </c>
      <c r="BW11" s="219">
        <f>'Standard Vorgaben'!D61</f>
        <v>0.33</v>
      </c>
      <c r="BX11" s="149">
        <f>BV11*BW11</f>
        <v>1625.5317073170729</v>
      </c>
      <c r="BY11" s="730">
        <f>'Standard Vorgaben'!G84</f>
        <v>0.18</v>
      </c>
      <c r="CA11" s="87" t="str">
        <f>'Standard Vorgaben'!$D$50</f>
        <v>Mostobst BIO</v>
      </c>
      <c r="CB11" s="744">
        <f>CC11/$B$6</f>
        <v>1.6419512195121948</v>
      </c>
      <c r="CC11" s="460">
        <f>CC13*CF11</f>
        <v>4925.8536585365846</v>
      </c>
      <c r="CD11" s="219">
        <f>'Standard Vorgaben'!D62</f>
        <v>0.33</v>
      </c>
      <c r="CE11" s="149">
        <f>CC11*CD11</f>
        <v>1625.5317073170729</v>
      </c>
      <c r="CF11" s="730">
        <f>'Standard Vorgaben'!G85</f>
        <v>0.18</v>
      </c>
      <c r="CH11" s="87" t="str">
        <f>'Standard Vorgaben'!$D$50</f>
        <v>Mostobst BIO</v>
      </c>
      <c r="CI11" s="744">
        <f>CJ11/$B$6</f>
        <v>1.4926829268292681</v>
      </c>
      <c r="CJ11" s="460">
        <f>CJ13*CM11</f>
        <v>4478.0487804878039</v>
      </c>
      <c r="CK11" s="219">
        <f>'Standard Vorgaben'!D63</f>
        <v>0.33</v>
      </c>
      <c r="CL11" s="149">
        <f>CJ11*CK11</f>
        <v>1477.7560975609754</v>
      </c>
      <c r="CM11" s="730">
        <f>'Standard Vorgaben'!G86</f>
        <v>0.18</v>
      </c>
      <c r="CO11" s="87" t="str">
        <f>'Standard Vorgaben'!$D$50</f>
        <v>Mostobst BIO</v>
      </c>
      <c r="CP11" s="744">
        <f>CQ11/$B$6</f>
        <v>1.4926829268292681</v>
      </c>
      <c r="CQ11" s="460">
        <f>CQ13*CT11</f>
        <v>4478.0487804878039</v>
      </c>
      <c r="CR11" s="219">
        <f>'Standard Vorgaben'!D64</f>
        <v>0.33</v>
      </c>
      <c r="CS11" s="149">
        <f>CQ11*CR11</f>
        <v>1477.7560975609754</v>
      </c>
      <c r="CT11" s="730">
        <f>'Standard Vorgaben'!G87</f>
        <v>0.18</v>
      </c>
      <c r="CV11" s="87" t="str">
        <f>'Standard Vorgaben'!$D$50</f>
        <v>Mostobst BIO</v>
      </c>
      <c r="CW11" s="744">
        <f>CX11/$B$6</f>
        <v>1.4926829268292681</v>
      </c>
      <c r="CX11" s="460">
        <f>CX13*DA11</f>
        <v>4478.0487804878039</v>
      </c>
      <c r="CY11" s="219">
        <f>'Standard Vorgaben'!D65</f>
        <v>0.33</v>
      </c>
      <c r="CZ11" s="149">
        <f>CX11*CY11</f>
        <v>1477.7560975609754</v>
      </c>
      <c r="DA11" s="730">
        <f>'Standard Vorgaben'!G88</f>
        <v>0.18</v>
      </c>
    </row>
    <row r="12" spans="1:105" s="87" customFormat="1" ht="13.75" customHeight="1" x14ac:dyDescent="0.3">
      <c r="B12" s="87" t="str">
        <f>'Standard Vorgaben'!$E$50</f>
        <v>Sortierungsabgang faul</v>
      </c>
      <c r="C12" s="1363">
        <f t="shared" si="0"/>
        <v>0</v>
      </c>
      <c r="D12" s="1364">
        <f>D13*G12</f>
        <v>0</v>
      </c>
      <c r="E12" s="1365">
        <f>'Standard Vorgaben'!E51</f>
        <v>0</v>
      </c>
      <c r="F12" s="1366">
        <f>D12*E12</f>
        <v>0</v>
      </c>
      <c r="G12" s="730">
        <f>'Standard Vorgaben'!E74</f>
        <v>0.04</v>
      </c>
      <c r="I12" s="87" t="str">
        <f>'Standard Vorgaben'!$E$50</f>
        <v>Sortierungsabgang faul</v>
      </c>
      <c r="J12" s="1363">
        <f>K12/$B$6</f>
        <v>3.3170731707317075E-2</v>
      </c>
      <c r="K12" s="1364">
        <f>K13*N12</f>
        <v>99.512195121951223</v>
      </c>
      <c r="L12" s="1365">
        <f>'Standard Vorgaben'!E52</f>
        <v>0</v>
      </c>
      <c r="M12" s="1366">
        <f>K12*L12</f>
        <v>0</v>
      </c>
      <c r="N12" s="1367">
        <f>'Standard Vorgaben'!E75</f>
        <v>0.04</v>
      </c>
      <c r="P12" s="87" t="str">
        <f>'Standard Vorgaben'!$E$50</f>
        <v>Sortierungsabgang faul</v>
      </c>
      <c r="Q12" s="1363">
        <f>R12/$B$6</f>
        <v>0.1216260162601626</v>
      </c>
      <c r="R12" s="1364">
        <f>R13*U12</f>
        <v>364.8780487804878</v>
      </c>
      <c r="S12" s="1365">
        <f>'Standard Vorgaben'!L52</f>
        <v>0</v>
      </c>
      <c r="T12" s="1366">
        <f>R12*S12</f>
        <v>0</v>
      </c>
      <c r="U12" s="1367">
        <f>'Standard Vorgaben'!E76</f>
        <v>0.04</v>
      </c>
      <c r="W12" s="87" t="str">
        <f>'Standard Vorgaben'!$E$50</f>
        <v>Sortierungsabgang faul</v>
      </c>
      <c r="X12" s="1363">
        <f>Y12/$B$6</f>
        <v>0.16585365853658537</v>
      </c>
      <c r="Y12" s="1364">
        <f>Y13*AB12</f>
        <v>497.5609756097561</v>
      </c>
      <c r="Z12" s="1365">
        <f>'Standard Vorgaben'!S52</f>
        <v>0</v>
      </c>
      <c r="AA12" s="1366">
        <f>Y12*Z12</f>
        <v>0</v>
      </c>
      <c r="AB12" s="1367">
        <f>'Standard Vorgaben'!E77</f>
        <v>0.04</v>
      </c>
      <c r="AD12" s="87" t="str">
        <f>'Standard Vorgaben'!$E$50</f>
        <v>Sortierungsabgang faul</v>
      </c>
      <c r="AE12" s="1363">
        <f>AF12/$B$6</f>
        <v>0.36487804878048774</v>
      </c>
      <c r="AF12" s="1364">
        <f>AF13*AI12</f>
        <v>1094.6341463414633</v>
      </c>
      <c r="AG12" s="1365">
        <f>'Standard Vorgaben'!Z52</f>
        <v>0</v>
      </c>
      <c r="AH12" s="1366">
        <f>AF12*AG12</f>
        <v>0</v>
      </c>
      <c r="AI12" s="1367">
        <f>'Standard Vorgaben'!E78</f>
        <v>0.04</v>
      </c>
      <c r="AK12" s="87" t="str">
        <f>'Standard Vorgaben'!$E$50</f>
        <v>Sortierungsabgang faul</v>
      </c>
      <c r="AL12" s="1363">
        <f>AM12/$B$6</f>
        <v>0.36487804878048774</v>
      </c>
      <c r="AM12" s="1364">
        <f>AM13*AP12</f>
        <v>1094.6341463414633</v>
      </c>
      <c r="AN12" s="1365">
        <f>'Standard Vorgaben'!AG52</f>
        <v>0</v>
      </c>
      <c r="AO12" s="1366">
        <f>AM12*AN12</f>
        <v>0</v>
      </c>
      <c r="AP12" s="1367">
        <f>'Standard Vorgaben'!E79</f>
        <v>0.04</v>
      </c>
      <c r="AR12" s="87" t="str">
        <f>'Standard Vorgaben'!$E$50</f>
        <v>Sortierungsabgang faul</v>
      </c>
      <c r="AS12" s="1363">
        <f>AT12/$B$6</f>
        <v>0.36487804878048774</v>
      </c>
      <c r="AT12" s="1364">
        <f>AT13*AW12</f>
        <v>1094.6341463414633</v>
      </c>
      <c r="AU12" s="1365">
        <f>'Standard Vorgaben'!AN52</f>
        <v>0</v>
      </c>
      <c r="AV12" s="1366">
        <f>AT12*AU12</f>
        <v>0</v>
      </c>
      <c r="AW12" s="1367">
        <f>'Standard Vorgaben'!E80</f>
        <v>0.04</v>
      </c>
      <c r="AY12" s="87" t="str">
        <f>'Standard Vorgaben'!$E$50</f>
        <v>Sortierungsabgang faul</v>
      </c>
      <c r="AZ12" s="1363">
        <f>BA12/$B$6</f>
        <v>0.36487804878048774</v>
      </c>
      <c r="BA12" s="1364">
        <f>BA13*BD12</f>
        <v>1094.6341463414633</v>
      </c>
      <c r="BB12" s="1365">
        <f>'Standard Vorgaben'!AU52</f>
        <v>0</v>
      </c>
      <c r="BC12" s="1366">
        <f>BA12*BB12</f>
        <v>0</v>
      </c>
      <c r="BD12" s="1367">
        <f>'Standard Vorgaben'!E81</f>
        <v>0.04</v>
      </c>
      <c r="BF12" s="87" t="str">
        <f>'Standard Vorgaben'!$E$50</f>
        <v>Sortierungsabgang faul</v>
      </c>
      <c r="BG12" s="1363">
        <f>BH12/$B$6</f>
        <v>0.36487804878048774</v>
      </c>
      <c r="BH12" s="1364">
        <f>BH13*BK12</f>
        <v>1094.6341463414633</v>
      </c>
      <c r="BI12" s="1365">
        <f>'Standard Vorgaben'!BB52</f>
        <v>0</v>
      </c>
      <c r="BJ12" s="1366">
        <f>BH12*BI12</f>
        <v>0</v>
      </c>
      <c r="BK12" s="1367">
        <f>'Standard Vorgaben'!E82</f>
        <v>0.04</v>
      </c>
      <c r="BM12" s="87" t="str">
        <f>'Standard Vorgaben'!$E$50</f>
        <v>Sortierungsabgang faul</v>
      </c>
      <c r="BN12" s="1363">
        <f>BO12/$B$6</f>
        <v>0.36487804878048774</v>
      </c>
      <c r="BO12" s="1364">
        <f>BO13*BR12</f>
        <v>1094.6341463414633</v>
      </c>
      <c r="BP12" s="1365">
        <f>'Standard Vorgaben'!BI52</f>
        <v>0</v>
      </c>
      <c r="BQ12" s="1366">
        <f>BO12*BP12</f>
        <v>0</v>
      </c>
      <c r="BR12" s="1367">
        <f>'Standard Vorgaben'!E83</f>
        <v>0.04</v>
      </c>
      <c r="BT12" s="87" t="str">
        <f>'Standard Vorgaben'!$E$50</f>
        <v>Sortierungsabgang faul</v>
      </c>
      <c r="BU12" s="1363">
        <f>BV12/$B$6</f>
        <v>0.36487804878048774</v>
      </c>
      <c r="BV12" s="1364">
        <f>BV13*BY12</f>
        <v>1094.6341463414633</v>
      </c>
      <c r="BW12" s="1365">
        <f>'Standard Vorgaben'!BP52</f>
        <v>0</v>
      </c>
      <c r="BX12" s="1366">
        <f>BV12*BW12</f>
        <v>0</v>
      </c>
      <c r="BY12" s="1367">
        <f>'Standard Vorgaben'!E84</f>
        <v>0.04</v>
      </c>
      <c r="CA12" s="87" t="str">
        <f>'Standard Vorgaben'!$E$50</f>
        <v>Sortierungsabgang faul</v>
      </c>
      <c r="CB12" s="1363">
        <f>CC12/$B$6</f>
        <v>0.36487804878048774</v>
      </c>
      <c r="CC12" s="1364">
        <f>CC13*CF12</f>
        <v>1094.6341463414633</v>
      </c>
      <c r="CD12" s="1365">
        <f>'Standard Vorgaben'!BW52</f>
        <v>0</v>
      </c>
      <c r="CE12" s="1366">
        <f>CC12*CD12</f>
        <v>0</v>
      </c>
      <c r="CF12" s="1367">
        <f>'Standard Vorgaben'!E85</f>
        <v>0.04</v>
      </c>
      <c r="CH12" s="87" t="str">
        <f>'Standard Vorgaben'!$E$50</f>
        <v>Sortierungsabgang faul</v>
      </c>
      <c r="CI12" s="1363">
        <f>CJ12/$B$6</f>
        <v>0.33170731707317075</v>
      </c>
      <c r="CJ12" s="1364">
        <f>CJ13*CM12</f>
        <v>995.1219512195122</v>
      </c>
      <c r="CK12" s="1365">
        <f>'Standard Vorgaben'!CD52</f>
        <v>0</v>
      </c>
      <c r="CL12" s="1366">
        <f>CJ12*CK12</f>
        <v>0</v>
      </c>
      <c r="CM12" s="1367">
        <f>'Standard Vorgaben'!E86</f>
        <v>0.04</v>
      </c>
      <c r="CO12" s="87" t="str">
        <f>'Standard Vorgaben'!$E$50</f>
        <v>Sortierungsabgang faul</v>
      </c>
      <c r="CP12" s="1363">
        <f>CQ12/$B$6</f>
        <v>0.33170731707317075</v>
      </c>
      <c r="CQ12" s="1364">
        <f>CQ13*CT12</f>
        <v>995.1219512195122</v>
      </c>
      <c r="CR12" s="1365">
        <f>'Standard Vorgaben'!CK52</f>
        <v>0</v>
      </c>
      <c r="CS12" s="1366">
        <f>CQ12*CR12</f>
        <v>0</v>
      </c>
      <c r="CT12" s="1367">
        <f>'Standard Vorgaben'!E87</f>
        <v>0.04</v>
      </c>
      <c r="CV12" s="87" t="str">
        <f>'Standard Vorgaben'!$E$50</f>
        <v>Sortierungsabgang faul</v>
      </c>
      <c r="CW12" s="1363">
        <f>CX12/$B$6</f>
        <v>0.33170731707317075</v>
      </c>
      <c r="CX12" s="1364">
        <f>CX13*DA12</f>
        <v>995.1219512195122</v>
      </c>
      <c r="CY12" s="1365">
        <f>'Standard Vorgaben'!E65</f>
        <v>0</v>
      </c>
      <c r="CZ12" s="1366">
        <f>CX12*CY12</f>
        <v>0</v>
      </c>
      <c r="DA12" s="1367">
        <f>'Standard Vorgaben'!E88</f>
        <v>0.04</v>
      </c>
    </row>
    <row r="13" spans="1:105" s="87" customFormat="1" ht="13" x14ac:dyDescent="0.3">
      <c r="B13" s="145"/>
      <c r="C13" s="312">
        <f>SUM(C9:C12)</f>
        <v>0</v>
      </c>
      <c r="D13" s="313">
        <f>'Standard Vorgaben'!F51</f>
        <v>0</v>
      </c>
      <c r="E13" s="294">
        <v>0</v>
      </c>
      <c r="F13" s="85">
        <f>SUM(F9:F12)</f>
        <v>0</v>
      </c>
      <c r="G13" s="730">
        <f>SUM(G9:G12)</f>
        <v>1</v>
      </c>
      <c r="I13" s="145"/>
      <c r="J13" s="312">
        <f>SUM(J9:J12)</f>
        <v>0.82926829268292701</v>
      </c>
      <c r="K13" s="313">
        <f>'Standard Vorgaben'!F52</f>
        <v>2487.8048780487807</v>
      </c>
      <c r="L13" s="294">
        <f>M13/K13</f>
        <v>1.8414000000000001</v>
      </c>
      <c r="M13" s="85">
        <f>SUM(M9:M12)</f>
        <v>4581.0439024390253</v>
      </c>
      <c r="N13" s="730">
        <f>SUM(N9:N12)</f>
        <v>1</v>
      </c>
      <c r="P13" s="145"/>
      <c r="Q13" s="312">
        <f>SUM(Q9:Q12)</f>
        <v>3.0406504065040649</v>
      </c>
      <c r="R13" s="313">
        <f>'Standard Vorgaben'!F53</f>
        <v>9121.9512195121952</v>
      </c>
      <c r="S13" s="294">
        <f>T13/R13</f>
        <v>1.8413999999999997</v>
      </c>
      <c r="T13" s="85">
        <f>SUM(T9:T12)</f>
        <v>16797.160975609753</v>
      </c>
      <c r="U13" s="730">
        <f>SUM(U9:U12)</f>
        <v>1</v>
      </c>
      <c r="W13" s="145"/>
      <c r="X13" s="312">
        <f>SUM(X9:X12)</f>
        <v>4.1463414634146343</v>
      </c>
      <c r="Y13" s="313">
        <f>'Standard Vorgaben'!F54</f>
        <v>12439.024390243902</v>
      </c>
      <c r="Z13" s="294">
        <f>AA13/Y13</f>
        <v>1.8413999999999999</v>
      </c>
      <c r="AA13" s="85">
        <f>SUM(AA9:AA12)</f>
        <v>22905.219512195119</v>
      </c>
      <c r="AB13" s="730">
        <f>SUM(AB9:AB12)</f>
        <v>1</v>
      </c>
      <c r="AD13" s="145"/>
      <c r="AE13" s="312">
        <f>SUM(AE9:AE12)</f>
        <v>9.1219512195121943</v>
      </c>
      <c r="AF13" s="313">
        <f>'Standard Vorgaben'!F55</f>
        <v>27365.853658536584</v>
      </c>
      <c r="AG13" s="294">
        <f>AH13/AF13</f>
        <v>1.8414000000000001</v>
      </c>
      <c r="AH13" s="85">
        <f>SUM(AH9:AH12)</f>
        <v>50391.482926829267</v>
      </c>
      <c r="AI13" s="730">
        <f>SUM(AI9:AI12)</f>
        <v>1</v>
      </c>
      <c r="AK13" s="145"/>
      <c r="AL13" s="312">
        <f>SUM(AL9:AL12)</f>
        <v>9.1219512195121943</v>
      </c>
      <c r="AM13" s="313">
        <f>'Standard Vorgaben'!F56</f>
        <v>27365.853658536584</v>
      </c>
      <c r="AN13" s="294">
        <f>AO13/AM13</f>
        <v>1.8414000000000001</v>
      </c>
      <c r="AO13" s="85">
        <f>SUM(AO9:AO12)</f>
        <v>50391.482926829267</v>
      </c>
      <c r="AP13" s="730">
        <f>SUM(AP9:AP12)</f>
        <v>1</v>
      </c>
      <c r="AR13" s="145"/>
      <c r="AS13" s="312">
        <f>SUM(AS9:AS12)</f>
        <v>9.1219512195121943</v>
      </c>
      <c r="AT13" s="313">
        <f>'Standard Vorgaben'!F57</f>
        <v>27365.853658536584</v>
      </c>
      <c r="AU13" s="294">
        <f>AV13/AT13</f>
        <v>1.8414000000000001</v>
      </c>
      <c r="AV13" s="85">
        <f>SUM(AV9:AV12)</f>
        <v>50391.482926829267</v>
      </c>
      <c r="AW13" s="730">
        <f>SUM(AW9:AW12)</f>
        <v>1</v>
      </c>
      <c r="AY13" s="145"/>
      <c r="AZ13" s="312">
        <f>SUM(AZ9:AZ12)</f>
        <v>9.1219512195121943</v>
      </c>
      <c r="BA13" s="313">
        <f>'Standard Vorgaben'!F58</f>
        <v>27365.853658536584</v>
      </c>
      <c r="BB13" s="294">
        <f>BC13/BA13</f>
        <v>1.8414000000000001</v>
      </c>
      <c r="BC13" s="85">
        <f>SUM(BC9:BC12)</f>
        <v>50391.482926829267</v>
      </c>
      <c r="BD13" s="730">
        <f>SUM(BD9:BD11)</f>
        <v>0.96</v>
      </c>
      <c r="BF13" s="145"/>
      <c r="BG13" s="312">
        <f>SUM(BG9:BG12)</f>
        <v>9.1219512195121943</v>
      </c>
      <c r="BH13" s="313">
        <f>'Standard Vorgaben'!F59</f>
        <v>27365.853658536584</v>
      </c>
      <c r="BI13" s="294">
        <f>BJ13/BH13</f>
        <v>1.8414000000000001</v>
      </c>
      <c r="BJ13" s="85">
        <f>SUM(BJ9:BJ12)</f>
        <v>50391.482926829267</v>
      </c>
      <c r="BK13" s="730">
        <f>SUM(BK9:BK11)</f>
        <v>0.96</v>
      </c>
      <c r="BM13" s="145"/>
      <c r="BN13" s="312">
        <f>SUM(BN9:BN12)</f>
        <v>9.1219512195121943</v>
      </c>
      <c r="BO13" s="313">
        <f>'Standard Vorgaben'!F60</f>
        <v>27365.853658536584</v>
      </c>
      <c r="BP13" s="294">
        <f>BQ13/BO13</f>
        <v>1.8414000000000001</v>
      </c>
      <c r="BQ13" s="85">
        <f>SUM(BQ9:BQ12)</f>
        <v>50391.482926829267</v>
      </c>
      <c r="BR13" s="730">
        <f>SUM(BR9:BR12)</f>
        <v>1</v>
      </c>
      <c r="BT13" s="145"/>
      <c r="BU13" s="312">
        <f>SUM(BU9:BU12)</f>
        <v>9.1219512195121943</v>
      </c>
      <c r="BV13" s="313">
        <f>'Standard Vorgaben'!F61</f>
        <v>27365.853658536584</v>
      </c>
      <c r="BW13" s="294">
        <f>BX13/BV13</f>
        <v>1.8414000000000001</v>
      </c>
      <c r="BX13" s="85">
        <f>SUM(BX9:BX12)</f>
        <v>50391.482926829267</v>
      </c>
      <c r="BY13" s="730">
        <f>SUM(BY9:BY12)</f>
        <v>1</v>
      </c>
      <c r="CA13" s="145"/>
      <c r="CB13" s="312">
        <f>SUM(CB9:CB12)</f>
        <v>9.1219512195121943</v>
      </c>
      <c r="CC13" s="313">
        <f>'Standard Vorgaben'!F62</f>
        <v>27365.853658536584</v>
      </c>
      <c r="CD13" s="294">
        <f>CE13/CC13</f>
        <v>1.8414000000000001</v>
      </c>
      <c r="CE13" s="85">
        <f>SUM(CE9:CE12)</f>
        <v>50391.482926829267</v>
      </c>
      <c r="CF13" s="730">
        <f>SUM(CF9:CF12)</f>
        <v>1</v>
      </c>
      <c r="CH13" s="145"/>
      <c r="CI13" s="312">
        <f>SUM(CI9:CI12)</f>
        <v>8.2926829268292686</v>
      </c>
      <c r="CJ13" s="313">
        <f>'Standard Vorgaben'!F63</f>
        <v>24878.048780487803</v>
      </c>
      <c r="CK13" s="294">
        <f>CL13/CJ13</f>
        <v>1.8413999999999999</v>
      </c>
      <c r="CL13" s="85">
        <f>SUM(CL9:CL12)</f>
        <v>45810.439024390238</v>
      </c>
      <c r="CM13" s="730">
        <f>SUM(CM9:CM12)</f>
        <v>1</v>
      </c>
      <c r="CO13" s="145"/>
      <c r="CP13" s="312">
        <f>SUM(CP9:CP12)</f>
        <v>8.2926829268292686</v>
      </c>
      <c r="CQ13" s="313">
        <f>'Standard Vorgaben'!F64</f>
        <v>24878.048780487803</v>
      </c>
      <c r="CR13" s="294">
        <f>CS13/CQ13</f>
        <v>1.8413999999999999</v>
      </c>
      <c r="CS13" s="85">
        <f>SUM(CS9:CS12)</f>
        <v>45810.439024390238</v>
      </c>
      <c r="CT13" s="730">
        <f>SUM(CT9:CT12)</f>
        <v>1</v>
      </c>
      <c r="CV13" s="145"/>
      <c r="CW13" s="312">
        <f>SUM(CW9:CW12)</f>
        <v>8.2926829268292686</v>
      </c>
      <c r="CX13" s="313">
        <f>'Standard Vorgaben'!F65</f>
        <v>24878.048780487803</v>
      </c>
      <c r="CY13" s="294">
        <f>CZ13/CX13</f>
        <v>1.8413999999999999</v>
      </c>
      <c r="CZ13" s="85">
        <f>SUM(CZ9:CZ12)</f>
        <v>45810.439024390238</v>
      </c>
      <c r="DA13" s="730">
        <f>SUM(DA9:DA12)</f>
        <v>1</v>
      </c>
    </row>
    <row r="14" spans="1:105" s="87" customFormat="1" ht="13" x14ac:dyDescent="0.3">
      <c r="B14" s="145"/>
      <c r="C14" s="312"/>
      <c r="D14" s="313"/>
      <c r="E14" s="294"/>
      <c r="F14" s="85"/>
      <c r="G14" s="220"/>
      <c r="I14" s="145"/>
      <c r="J14" s="312"/>
      <c r="K14" s="313"/>
      <c r="L14" s="294"/>
      <c r="M14" s="85"/>
      <c r="N14" s="220"/>
      <c r="P14" s="145"/>
      <c r="Q14" s="312"/>
      <c r="R14" s="313"/>
      <c r="S14" s="294"/>
      <c r="T14" s="85"/>
      <c r="U14" s="220"/>
      <c r="W14" s="145"/>
      <c r="X14" s="312"/>
      <c r="Y14" s="313"/>
      <c r="Z14" s="294"/>
      <c r="AA14" s="85"/>
      <c r="AB14" s="220"/>
      <c r="AD14" s="145"/>
      <c r="AE14" s="312"/>
      <c r="AF14" s="313"/>
      <c r="AG14" s="294"/>
      <c r="AH14" s="85"/>
      <c r="AI14" s="220"/>
      <c r="AK14" s="145"/>
      <c r="AL14" s="312"/>
      <c r="AM14" s="313"/>
      <c r="AN14" s="294"/>
      <c r="AO14" s="85"/>
      <c r="AP14" s="220"/>
      <c r="AR14" s="145"/>
      <c r="AS14" s="312"/>
      <c r="AT14" s="313"/>
      <c r="AU14" s="294"/>
      <c r="AV14" s="85"/>
      <c r="AW14" s="220"/>
      <c r="AY14" s="145"/>
      <c r="AZ14" s="312"/>
      <c r="BA14" s="313"/>
      <c r="BB14" s="294"/>
      <c r="BC14" s="85"/>
      <c r="BD14" s="220"/>
      <c r="BF14" s="145"/>
      <c r="BG14" s="312"/>
      <c r="BH14" s="313"/>
      <c r="BI14" s="294"/>
      <c r="BJ14" s="85"/>
      <c r="BK14" s="220"/>
      <c r="BM14" s="145"/>
      <c r="BN14" s="312"/>
      <c r="BO14" s="313"/>
      <c r="BP14" s="294"/>
      <c r="BQ14" s="85"/>
      <c r="BR14" s="220"/>
      <c r="BT14" s="145"/>
      <c r="BU14" s="312"/>
      <c r="BV14" s="313"/>
      <c r="BW14" s="294"/>
      <c r="BX14" s="85"/>
      <c r="BY14" s="220"/>
      <c r="CA14" s="145"/>
      <c r="CB14" s="312"/>
      <c r="CC14" s="313"/>
      <c r="CD14" s="294"/>
      <c r="CE14" s="85"/>
      <c r="CF14" s="220"/>
      <c r="CH14" s="145"/>
      <c r="CI14" s="312"/>
      <c r="CJ14" s="313"/>
      <c r="CK14" s="294"/>
      <c r="CL14" s="85"/>
      <c r="CM14" s="220"/>
      <c r="CO14" s="145"/>
      <c r="CP14" s="312"/>
      <c r="CQ14" s="313"/>
      <c r="CR14" s="294"/>
      <c r="CS14" s="85"/>
      <c r="CT14" s="220"/>
      <c r="CV14" s="145"/>
      <c r="CW14" s="312"/>
      <c r="CX14" s="313"/>
      <c r="CY14" s="294"/>
      <c r="CZ14" s="85"/>
      <c r="DA14" s="220"/>
    </row>
    <row r="15" spans="1:105" s="87" customFormat="1" ht="13" x14ac:dyDescent="0.3">
      <c r="B15" s="87" t="str">
        <f>'Standard Vorgaben'!$A$39</f>
        <v>Direktzahlungen BIO</v>
      </c>
      <c r="C15" s="312"/>
      <c r="D15" s="313"/>
      <c r="E15" s="294"/>
      <c r="F15" s="149">
        <f>'Standard Vorgaben'!$C$39</f>
        <v>2700</v>
      </c>
      <c r="G15" s="220"/>
      <c r="I15" s="87" t="str">
        <f>'Standard Vorgaben'!$A$39</f>
        <v>Direktzahlungen BIO</v>
      </c>
      <c r="J15" s="312"/>
      <c r="K15" s="313"/>
      <c r="L15" s="294"/>
      <c r="M15" s="149">
        <f>'Standard Vorgaben'!$C$39</f>
        <v>2700</v>
      </c>
      <c r="N15" s="220"/>
      <c r="P15" s="87" t="str">
        <f>'Standard Vorgaben'!$A$39</f>
        <v>Direktzahlungen BIO</v>
      </c>
      <c r="Q15" s="312"/>
      <c r="R15" s="313"/>
      <c r="S15" s="294"/>
      <c r="T15" s="149">
        <f>'Standard Vorgaben'!$C$39</f>
        <v>2700</v>
      </c>
      <c r="U15" s="220"/>
      <c r="W15" s="87" t="str">
        <f>'Standard Vorgaben'!$A$39</f>
        <v>Direktzahlungen BIO</v>
      </c>
      <c r="X15" s="312"/>
      <c r="Y15" s="313"/>
      <c r="Z15" s="294"/>
      <c r="AA15" s="149">
        <f>'Standard Vorgaben'!$C$39</f>
        <v>2700</v>
      </c>
      <c r="AB15" s="220"/>
      <c r="AD15" s="87" t="str">
        <f>'Standard Vorgaben'!$A$39</f>
        <v>Direktzahlungen BIO</v>
      </c>
      <c r="AE15" s="312"/>
      <c r="AF15" s="313"/>
      <c r="AG15" s="294"/>
      <c r="AH15" s="149">
        <f>'Standard Vorgaben'!$C$39</f>
        <v>2700</v>
      </c>
      <c r="AI15" s="220"/>
      <c r="AK15" s="87" t="str">
        <f>'Standard Vorgaben'!$A$39</f>
        <v>Direktzahlungen BIO</v>
      </c>
      <c r="AL15" s="312"/>
      <c r="AM15" s="313"/>
      <c r="AN15" s="294"/>
      <c r="AO15" s="149">
        <f>'Standard Vorgaben'!$C$39</f>
        <v>2700</v>
      </c>
      <c r="AP15" s="220"/>
      <c r="AR15" s="87" t="str">
        <f>'Standard Vorgaben'!$A$39</f>
        <v>Direktzahlungen BIO</v>
      </c>
      <c r="AS15" s="312"/>
      <c r="AT15" s="313"/>
      <c r="AU15" s="294"/>
      <c r="AV15" s="149">
        <f>'Standard Vorgaben'!$C$39</f>
        <v>2700</v>
      </c>
      <c r="AW15" s="220"/>
      <c r="AY15" s="87" t="str">
        <f>'Standard Vorgaben'!$A$39</f>
        <v>Direktzahlungen BIO</v>
      </c>
      <c r="AZ15" s="312"/>
      <c r="BA15" s="313"/>
      <c r="BB15" s="294"/>
      <c r="BC15" s="149">
        <f>'Standard Vorgaben'!$C$39</f>
        <v>2700</v>
      </c>
      <c r="BD15" s="220"/>
      <c r="BF15" s="87" t="str">
        <f>'Standard Vorgaben'!$A$39</f>
        <v>Direktzahlungen BIO</v>
      </c>
      <c r="BG15" s="312"/>
      <c r="BH15" s="313"/>
      <c r="BI15" s="294"/>
      <c r="BJ15" s="149">
        <f>'Standard Vorgaben'!$C$39</f>
        <v>2700</v>
      </c>
      <c r="BK15" s="220"/>
      <c r="BM15" s="87" t="str">
        <f>'Standard Vorgaben'!$A$39</f>
        <v>Direktzahlungen BIO</v>
      </c>
      <c r="BN15" s="312"/>
      <c r="BO15" s="313"/>
      <c r="BP15" s="294"/>
      <c r="BQ15" s="149">
        <f>'Standard Vorgaben'!$C$39</f>
        <v>2700</v>
      </c>
      <c r="BR15" s="220"/>
      <c r="BT15" s="87" t="str">
        <f>'Standard Vorgaben'!$A$39</f>
        <v>Direktzahlungen BIO</v>
      </c>
      <c r="BU15" s="312"/>
      <c r="BV15" s="313"/>
      <c r="BW15" s="294"/>
      <c r="BX15" s="149">
        <f>'Standard Vorgaben'!$C$39</f>
        <v>2700</v>
      </c>
      <c r="BY15" s="220"/>
      <c r="CA15" s="87" t="str">
        <f>'Standard Vorgaben'!$A$39</f>
        <v>Direktzahlungen BIO</v>
      </c>
      <c r="CB15" s="312"/>
      <c r="CC15" s="313"/>
      <c r="CD15" s="294"/>
      <c r="CE15" s="149">
        <f>'Standard Vorgaben'!$C$39</f>
        <v>2700</v>
      </c>
      <c r="CF15" s="220"/>
      <c r="CH15" s="87" t="str">
        <f>'Standard Vorgaben'!$A$39</f>
        <v>Direktzahlungen BIO</v>
      </c>
      <c r="CI15" s="312"/>
      <c r="CJ15" s="313"/>
      <c r="CK15" s="294"/>
      <c r="CL15" s="149">
        <f>'Standard Vorgaben'!$C$39</f>
        <v>2700</v>
      </c>
      <c r="CM15" s="220"/>
      <c r="CO15" s="87" t="str">
        <f>'Standard Vorgaben'!$A$39</f>
        <v>Direktzahlungen BIO</v>
      </c>
      <c r="CP15" s="312"/>
      <c r="CQ15" s="313"/>
      <c r="CR15" s="294"/>
      <c r="CS15" s="149">
        <f>'Standard Vorgaben'!$C$39</f>
        <v>2700</v>
      </c>
      <c r="CT15" s="220"/>
      <c r="CV15" s="87" t="str">
        <f>'Standard Vorgaben'!$A$39</f>
        <v>Direktzahlungen BIO</v>
      </c>
      <c r="CW15" s="312"/>
      <c r="CX15" s="313"/>
      <c r="CY15" s="294"/>
      <c r="CZ15" s="149">
        <f>'Standard Vorgaben'!$C$39</f>
        <v>2700</v>
      </c>
      <c r="DA15" s="220"/>
    </row>
    <row r="16" spans="1:105" s="316" customFormat="1" ht="23.25" customHeight="1" x14ac:dyDescent="0.4">
      <c r="A16" s="742" t="s">
        <v>215</v>
      </c>
      <c r="B16" s="743"/>
      <c r="C16" s="743"/>
      <c r="D16" s="743"/>
      <c r="E16" s="743"/>
      <c r="F16" s="598">
        <f>SUM(F13:F15)</f>
        <v>2700</v>
      </c>
      <c r="G16" s="695"/>
      <c r="H16" s="742" t="s">
        <v>215</v>
      </c>
      <c r="I16" s="743"/>
      <c r="J16" s="743"/>
      <c r="K16" s="743"/>
      <c r="L16" s="743"/>
      <c r="M16" s="598">
        <f>SUM(M13:M15)</f>
        <v>7281.0439024390253</v>
      </c>
      <c r="N16" s="695"/>
      <c r="O16" s="742" t="s">
        <v>215</v>
      </c>
      <c r="P16" s="743"/>
      <c r="Q16" s="743"/>
      <c r="R16" s="743"/>
      <c r="S16" s="743"/>
      <c r="T16" s="598">
        <f>SUM(T13:T15)</f>
        <v>19497.160975609753</v>
      </c>
      <c r="U16" s="695"/>
      <c r="V16" s="742" t="s">
        <v>215</v>
      </c>
      <c r="W16" s="743"/>
      <c r="X16" s="743"/>
      <c r="Y16" s="743"/>
      <c r="Z16" s="743"/>
      <c r="AA16" s="598">
        <f>SUM(AA13:AA15)</f>
        <v>25605.219512195119</v>
      </c>
      <c r="AB16" s="695"/>
      <c r="AC16" s="742" t="s">
        <v>215</v>
      </c>
      <c r="AD16" s="743"/>
      <c r="AE16" s="743"/>
      <c r="AF16" s="743"/>
      <c r="AG16" s="743"/>
      <c r="AH16" s="598">
        <f>SUM(AH13:AH15)</f>
        <v>53091.482926829267</v>
      </c>
      <c r="AI16" s="695"/>
      <c r="AJ16" s="742" t="s">
        <v>215</v>
      </c>
      <c r="AK16" s="743"/>
      <c r="AL16" s="743"/>
      <c r="AM16" s="743"/>
      <c r="AN16" s="743"/>
      <c r="AO16" s="598">
        <f>SUM(AO13:AO15)</f>
        <v>53091.482926829267</v>
      </c>
      <c r="AP16" s="695"/>
      <c r="AQ16" s="742" t="s">
        <v>215</v>
      </c>
      <c r="AR16" s="743"/>
      <c r="AS16" s="743"/>
      <c r="AT16" s="743"/>
      <c r="AU16" s="743"/>
      <c r="AV16" s="598">
        <f>SUM(AV13:AV15)</f>
        <v>53091.482926829267</v>
      </c>
      <c r="AW16" s="695"/>
      <c r="AX16" s="742" t="s">
        <v>215</v>
      </c>
      <c r="AY16" s="743"/>
      <c r="AZ16" s="743"/>
      <c r="BA16" s="743"/>
      <c r="BB16" s="743"/>
      <c r="BC16" s="598">
        <f>SUM(BC13:BC15)</f>
        <v>53091.482926829267</v>
      </c>
      <c r="BD16" s="695"/>
      <c r="BE16" s="742" t="s">
        <v>215</v>
      </c>
      <c r="BF16" s="743"/>
      <c r="BG16" s="743"/>
      <c r="BH16" s="743"/>
      <c r="BI16" s="743"/>
      <c r="BJ16" s="598">
        <f>SUM(BJ13:BJ15)</f>
        <v>53091.482926829267</v>
      </c>
      <c r="BK16" s="695"/>
      <c r="BL16" s="742" t="s">
        <v>215</v>
      </c>
      <c r="BM16" s="743"/>
      <c r="BN16" s="743"/>
      <c r="BO16" s="743"/>
      <c r="BP16" s="743"/>
      <c r="BQ16" s="598">
        <f>SUM(BQ13:BQ15)</f>
        <v>53091.482926829267</v>
      </c>
      <c r="BR16" s="695"/>
      <c r="BS16" s="742" t="s">
        <v>215</v>
      </c>
      <c r="BT16" s="743"/>
      <c r="BU16" s="743"/>
      <c r="BV16" s="743"/>
      <c r="BW16" s="743"/>
      <c r="BX16" s="598">
        <f>SUM(BX13:BX15)</f>
        <v>53091.482926829267</v>
      </c>
      <c r="BY16" s="695"/>
      <c r="BZ16" s="742" t="s">
        <v>215</v>
      </c>
      <c r="CA16" s="743"/>
      <c r="CB16" s="743"/>
      <c r="CC16" s="743"/>
      <c r="CD16" s="743"/>
      <c r="CE16" s="598">
        <f>SUM(CE13:CE15)</f>
        <v>53091.482926829267</v>
      </c>
      <c r="CF16" s="695"/>
      <c r="CG16" s="742" t="s">
        <v>215</v>
      </c>
      <c r="CH16" s="743"/>
      <c r="CI16" s="743"/>
      <c r="CJ16" s="743"/>
      <c r="CK16" s="743"/>
      <c r="CL16" s="598">
        <f>SUM(CL13:CL15)</f>
        <v>48510.439024390238</v>
      </c>
      <c r="CM16" s="695"/>
      <c r="CN16" s="742" t="s">
        <v>215</v>
      </c>
      <c r="CO16" s="743"/>
      <c r="CP16" s="743"/>
      <c r="CQ16" s="743"/>
      <c r="CR16" s="743"/>
      <c r="CS16" s="598">
        <f>SUM(CS13:CS15)</f>
        <v>48510.439024390238</v>
      </c>
      <c r="CT16" s="695"/>
      <c r="CU16" s="742" t="s">
        <v>215</v>
      </c>
      <c r="CV16" s="743"/>
      <c r="CW16" s="743"/>
      <c r="CX16" s="743"/>
      <c r="CY16" s="743"/>
      <c r="CZ16" s="598">
        <f>SUM(CZ13:CZ15)</f>
        <v>48510.439024390238</v>
      </c>
      <c r="DA16" s="695"/>
    </row>
    <row r="17" spans="1:105" s="15" customFormat="1" ht="12.5" x14ac:dyDescent="0.25">
      <c r="A17" s="42"/>
      <c r="B17" s="4"/>
      <c r="C17" s="27" t="s">
        <v>11</v>
      </c>
      <c r="D17" s="27" t="s">
        <v>55</v>
      </c>
      <c r="E17" s="28" t="s">
        <v>56</v>
      </c>
      <c r="F17" s="33" t="s">
        <v>13</v>
      </c>
      <c r="G17" s="737" t="s">
        <v>57</v>
      </c>
      <c r="H17" s="42"/>
      <c r="I17" s="4"/>
      <c r="J17" s="27" t="s">
        <v>11</v>
      </c>
      <c r="K17" s="27" t="s">
        <v>55</v>
      </c>
      <c r="L17" s="28" t="s">
        <v>56</v>
      </c>
      <c r="M17" s="33" t="s">
        <v>13</v>
      </c>
      <c r="N17" s="737" t="s">
        <v>57</v>
      </c>
      <c r="O17" s="42"/>
      <c r="P17" s="4"/>
      <c r="Q17" s="27" t="s">
        <v>11</v>
      </c>
      <c r="R17" s="27" t="s">
        <v>55</v>
      </c>
      <c r="S17" s="28" t="s">
        <v>56</v>
      </c>
      <c r="T17" s="33" t="s">
        <v>13</v>
      </c>
      <c r="U17" s="737" t="s">
        <v>57</v>
      </c>
      <c r="V17" s="42"/>
      <c r="W17" s="4"/>
      <c r="X17" s="27" t="s">
        <v>11</v>
      </c>
      <c r="Y17" s="27" t="s">
        <v>55</v>
      </c>
      <c r="Z17" s="28" t="s">
        <v>56</v>
      </c>
      <c r="AA17" s="33" t="s">
        <v>13</v>
      </c>
      <c r="AB17" s="737" t="s">
        <v>57</v>
      </c>
      <c r="AC17" s="42"/>
      <c r="AD17" s="4"/>
      <c r="AE17" s="27" t="s">
        <v>11</v>
      </c>
      <c r="AF17" s="27" t="s">
        <v>55</v>
      </c>
      <c r="AG17" s="28" t="s">
        <v>56</v>
      </c>
      <c r="AH17" s="33" t="s">
        <v>13</v>
      </c>
      <c r="AI17" s="737" t="s">
        <v>57</v>
      </c>
      <c r="AJ17" s="42"/>
      <c r="AK17" s="4"/>
      <c r="AL17" s="27" t="s">
        <v>11</v>
      </c>
      <c r="AM17" s="27" t="s">
        <v>55</v>
      </c>
      <c r="AN17" s="28" t="s">
        <v>56</v>
      </c>
      <c r="AO17" s="33" t="s">
        <v>13</v>
      </c>
      <c r="AP17" s="737" t="s">
        <v>57</v>
      </c>
      <c r="AQ17" s="42"/>
      <c r="AR17" s="4"/>
      <c r="AS17" s="27" t="s">
        <v>11</v>
      </c>
      <c r="AT17" s="27" t="s">
        <v>55</v>
      </c>
      <c r="AU17" s="28" t="s">
        <v>56</v>
      </c>
      <c r="AV17" s="33" t="s">
        <v>13</v>
      </c>
      <c r="AW17" s="737" t="s">
        <v>57</v>
      </c>
      <c r="AX17" s="42"/>
      <c r="AY17" s="4"/>
      <c r="AZ17" s="27" t="s">
        <v>11</v>
      </c>
      <c r="BA17" s="27" t="s">
        <v>55</v>
      </c>
      <c r="BB17" s="28" t="s">
        <v>56</v>
      </c>
      <c r="BC17" s="33" t="s">
        <v>13</v>
      </c>
      <c r="BD17" s="737" t="s">
        <v>57</v>
      </c>
      <c r="BE17" s="42"/>
      <c r="BF17" s="4"/>
      <c r="BG17" s="27" t="s">
        <v>11</v>
      </c>
      <c r="BH17" s="27" t="s">
        <v>55</v>
      </c>
      <c r="BI17" s="28" t="s">
        <v>56</v>
      </c>
      <c r="BJ17" s="33" t="s">
        <v>13</v>
      </c>
      <c r="BK17" s="737" t="s">
        <v>57</v>
      </c>
      <c r="BL17" s="42"/>
      <c r="BM17" s="4"/>
      <c r="BN17" s="27" t="s">
        <v>11</v>
      </c>
      <c r="BO17" s="27" t="s">
        <v>55</v>
      </c>
      <c r="BP17" s="28" t="s">
        <v>56</v>
      </c>
      <c r="BQ17" s="33" t="s">
        <v>13</v>
      </c>
      <c r="BR17" s="737" t="s">
        <v>57</v>
      </c>
      <c r="BS17" s="42"/>
      <c r="BT17" s="4"/>
      <c r="BU17" s="27" t="s">
        <v>11</v>
      </c>
      <c r="BV17" s="27" t="s">
        <v>55</v>
      </c>
      <c r="BW17" s="28" t="s">
        <v>56</v>
      </c>
      <c r="BX17" s="33" t="s">
        <v>13</v>
      </c>
      <c r="BY17" s="737" t="s">
        <v>57</v>
      </c>
      <c r="BZ17" s="42"/>
      <c r="CA17" s="4"/>
      <c r="CB17" s="27" t="s">
        <v>11</v>
      </c>
      <c r="CC17" s="27" t="s">
        <v>55</v>
      </c>
      <c r="CD17" s="28" t="s">
        <v>56</v>
      </c>
      <c r="CE17" s="33" t="s">
        <v>13</v>
      </c>
      <c r="CF17" s="737" t="s">
        <v>57</v>
      </c>
      <c r="CG17" s="42"/>
      <c r="CH17" s="4"/>
      <c r="CI17" s="27" t="s">
        <v>11</v>
      </c>
      <c r="CJ17" s="27" t="s">
        <v>55</v>
      </c>
      <c r="CK17" s="28" t="s">
        <v>56</v>
      </c>
      <c r="CL17" s="33" t="s">
        <v>13</v>
      </c>
      <c r="CM17" s="737" t="s">
        <v>57</v>
      </c>
      <c r="CN17" s="42"/>
      <c r="CO17" s="4"/>
      <c r="CP17" s="27" t="s">
        <v>11</v>
      </c>
      <c r="CQ17" s="27" t="s">
        <v>55</v>
      </c>
      <c r="CR17" s="28" t="s">
        <v>56</v>
      </c>
      <c r="CS17" s="33" t="s">
        <v>13</v>
      </c>
      <c r="CT17" s="737" t="s">
        <v>57</v>
      </c>
      <c r="CU17" s="42"/>
      <c r="CV17" s="4"/>
      <c r="CW17" s="27" t="s">
        <v>11</v>
      </c>
      <c r="CX17" s="27" t="s">
        <v>55</v>
      </c>
      <c r="CY17" s="28" t="s">
        <v>56</v>
      </c>
      <c r="CZ17" s="33" t="s">
        <v>13</v>
      </c>
      <c r="DA17" s="737" t="s">
        <v>57</v>
      </c>
    </row>
    <row r="18" spans="1:105" s="42" customFormat="1" ht="13" x14ac:dyDescent="0.3">
      <c r="A18" s="41" t="s">
        <v>29</v>
      </c>
      <c r="C18" s="43"/>
      <c r="D18" s="43"/>
      <c r="E18" s="631"/>
      <c r="F18" s="475"/>
      <c r="G18" s="737"/>
      <c r="H18" s="41" t="s">
        <v>29</v>
      </c>
      <c r="J18" s="43"/>
      <c r="K18" s="43"/>
      <c r="L18" s="631"/>
      <c r="M18" s="475"/>
      <c r="N18" s="737"/>
      <c r="O18" s="41" t="s">
        <v>29</v>
      </c>
      <c r="Q18" s="43"/>
      <c r="R18" s="43"/>
      <c r="S18" s="1176"/>
      <c r="T18" s="475"/>
      <c r="U18" s="737"/>
      <c r="V18" s="41" t="s">
        <v>29</v>
      </c>
      <c r="X18" s="43"/>
      <c r="Y18" s="43"/>
      <c r="Z18" s="631"/>
      <c r="AA18" s="475"/>
      <c r="AB18" s="730">
        <f t="shared" ref="AB18:AB53" si="1">AA18/$AA$54</f>
        <v>0</v>
      </c>
      <c r="AC18" s="41" t="s">
        <v>29</v>
      </c>
      <c r="AE18" s="43"/>
      <c r="AF18" s="43"/>
      <c r="AG18" s="631"/>
      <c r="AH18" s="475"/>
      <c r="AI18" s="737"/>
      <c r="AJ18" s="41" t="s">
        <v>29</v>
      </c>
      <c r="AL18" s="43"/>
      <c r="AM18" s="43"/>
      <c r="AN18" s="631"/>
      <c r="AO18" s="475"/>
      <c r="AP18" s="737"/>
      <c r="AQ18" s="41" t="s">
        <v>29</v>
      </c>
      <c r="AS18" s="43"/>
      <c r="AT18" s="43"/>
      <c r="AU18" s="631"/>
      <c r="AV18" s="475"/>
      <c r="AW18" s="737"/>
      <c r="AX18" s="41" t="s">
        <v>29</v>
      </c>
      <c r="AZ18" s="43"/>
      <c r="BA18" s="43"/>
      <c r="BB18" s="631"/>
      <c r="BC18" s="475"/>
      <c r="BD18" s="737"/>
      <c r="BE18" s="41" t="s">
        <v>29</v>
      </c>
      <c r="BG18" s="43"/>
      <c r="BH18" s="43"/>
      <c r="BI18" s="631"/>
      <c r="BJ18" s="475"/>
      <c r="BK18" s="737"/>
      <c r="BL18" s="41" t="s">
        <v>29</v>
      </c>
      <c r="BN18" s="43"/>
      <c r="BO18" s="43"/>
      <c r="BP18" s="631"/>
      <c r="BQ18" s="475"/>
      <c r="BR18" s="737"/>
      <c r="BS18" s="41" t="s">
        <v>29</v>
      </c>
      <c r="BU18" s="43"/>
      <c r="BV18" s="43"/>
      <c r="BW18" s="631"/>
      <c r="BX18" s="475"/>
      <c r="BY18" s="737"/>
      <c r="BZ18" s="41" t="s">
        <v>29</v>
      </c>
      <c r="CB18" s="43"/>
      <c r="CC18" s="43"/>
      <c r="CD18" s="631"/>
      <c r="CE18" s="475"/>
      <c r="CF18" s="737"/>
      <c r="CG18" s="41" t="s">
        <v>29</v>
      </c>
      <c r="CI18" s="43"/>
      <c r="CJ18" s="43"/>
      <c r="CK18" s="631"/>
      <c r="CL18" s="475"/>
      <c r="CM18" s="737"/>
      <c r="CN18" s="41" t="s">
        <v>29</v>
      </c>
      <c r="CP18" s="43"/>
      <c r="CQ18" s="43"/>
      <c r="CR18" s="631"/>
      <c r="CS18" s="475"/>
      <c r="CT18" s="737"/>
      <c r="CU18" s="41" t="s">
        <v>29</v>
      </c>
      <c r="CW18" s="43"/>
      <c r="CX18" s="43"/>
      <c r="CY18" s="631"/>
      <c r="CZ18" s="475"/>
      <c r="DA18" s="737"/>
    </row>
    <row r="19" spans="1:105" s="13" customFormat="1" ht="13" x14ac:dyDescent="0.3">
      <c r="A19" s="41"/>
      <c r="B19" s="1171" t="str">
        <f>'Standard Vorgaben'!B103</f>
        <v>BIORGA N (12%)</v>
      </c>
      <c r="C19" s="753">
        <f>'Standard Vorgaben'!B109</f>
        <v>1</v>
      </c>
      <c r="D19" s="106">
        <f>'Standard Vorgaben'!B108</f>
        <v>125</v>
      </c>
      <c r="E19" s="1176">
        <f>'Standard Vorgaben'!B104</f>
        <v>1.22</v>
      </c>
      <c r="F19" s="30">
        <f>(D19*E19*C19)</f>
        <v>152.5</v>
      </c>
      <c r="G19" s="730">
        <f>F19/F$54</f>
        <v>2.921140321237322E-2</v>
      </c>
      <c r="H19" s="41"/>
      <c r="I19" s="1171" t="str">
        <f>'Standard Vorgaben'!B103</f>
        <v>BIORGA N (12%)</v>
      </c>
      <c r="J19" s="753">
        <f>'Standard Vorgaben'!B111</f>
        <v>1</v>
      </c>
      <c r="K19" s="106">
        <f>'Standard Vorgaben'!B110</f>
        <v>250</v>
      </c>
      <c r="L19" s="1176">
        <f>'Standard Vorgaben'!B104</f>
        <v>1.22</v>
      </c>
      <c r="M19" s="30">
        <f>J19*K19*L19</f>
        <v>305</v>
      </c>
      <c r="N19" s="730">
        <f t="shared" ref="N19:N53" si="2">M19/$M$54</f>
        <v>6.2171199866074146E-2</v>
      </c>
      <c r="O19" s="41"/>
      <c r="P19" s="1171" t="str">
        <f>'Standard Vorgaben'!B103</f>
        <v>BIORGA N (12%)</v>
      </c>
      <c r="Q19" s="753">
        <f>'Standard Vorgaben'!B113</f>
        <v>1</v>
      </c>
      <c r="R19" s="106">
        <f>'Standard Vorgaben'!B112</f>
        <v>375</v>
      </c>
      <c r="S19" s="1176">
        <f>'Standard Vorgaben'!$B$104</f>
        <v>1.22</v>
      </c>
      <c r="T19" s="30">
        <f>Q19*R19*S19</f>
        <v>457.5</v>
      </c>
      <c r="U19" s="730">
        <f t="shared" ref="U19:U53" si="3">T19/$T$54</f>
        <v>5.9429653637800388E-2</v>
      </c>
      <c r="V19" s="41"/>
      <c r="W19" s="1171" t="str">
        <f>'Standard Vorgaben'!$B$103</f>
        <v>BIORGA N (12%)</v>
      </c>
      <c r="X19" s="11">
        <f>'Standard Vorgaben'!$B$115</f>
        <v>1</v>
      </c>
      <c r="Y19" s="753">
        <f>'Standard Vorgaben'!$B$114</f>
        <v>500</v>
      </c>
      <c r="Z19" s="1176">
        <f>'Standard Vorgaben'!$B$104</f>
        <v>1.22</v>
      </c>
      <c r="AA19" s="30">
        <f>X19*Y19*Z19</f>
        <v>610</v>
      </c>
      <c r="AB19" s="730">
        <f t="shared" si="1"/>
        <v>7.2297697787494467E-2</v>
      </c>
      <c r="AC19" s="41"/>
      <c r="AD19" s="1171" t="str">
        <f>'Standard Vorgaben'!$B$103</f>
        <v>BIORGA N (12%)</v>
      </c>
      <c r="AE19" s="11">
        <f>'Standard Vorgaben'!$B$115</f>
        <v>1</v>
      </c>
      <c r="AF19" s="753">
        <f>'Standard Vorgaben'!$B$114</f>
        <v>500</v>
      </c>
      <c r="AG19" s="1176">
        <f>'Standard Vorgaben'!$B$104</f>
        <v>1.22</v>
      </c>
      <c r="AH19" s="30">
        <f>AE19*AF19*AG19</f>
        <v>610</v>
      </c>
      <c r="AI19" s="730">
        <f t="shared" ref="AI19:AI53" si="4">AH19/$AH$54</f>
        <v>7.4995665934196015E-2</v>
      </c>
      <c r="AJ19" s="41"/>
      <c r="AK19" s="1171" t="str">
        <f>'Standard Vorgaben'!$B$103</f>
        <v>BIORGA N (12%)</v>
      </c>
      <c r="AL19" s="11">
        <f>'Standard Vorgaben'!$B$115</f>
        <v>1</v>
      </c>
      <c r="AM19" s="753">
        <f>'Standard Vorgaben'!$B$114</f>
        <v>500</v>
      </c>
      <c r="AN19" s="1176">
        <f>'Standard Vorgaben'!$B$104</f>
        <v>1.22</v>
      </c>
      <c r="AO19" s="30">
        <f>AL19*AM19*AN19</f>
        <v>610</v>
      </c>
      <c r="AP19" s="730">
        <f t="shared" ref="AP19:AP53" si="5">AO19/$AO$54</f>
        <v>7.4995665934196015E-2</v>
      </c>
      <c r="AQ19" s="41"/>
      <c r="AR19" s="1171" t="str">
        <f>'Standard Vorgaben'!$B$103</f>
        <v>BIORGA N (12%)</v>
      </c>
      <c r="AS19" s="11">
        <f>'Standard Vorgaben'!$B$115</f>
        <v>1</v>
      </c>
      <c r="AT19" s="753">
        <f>'Standard Vorgaben'!$B$114</f>
        <v>500</v>
      </c>
      <c r="AU19" s="1176">
        <f>'Standard Vorgaben'!$B$104</f>
        <v>1.22</v>
      </c>
      <c r="AV19" s="30">
        <f>AS19*AT19*AU19</f>
        <v>610</v>
      </c>
      <c r="AW19" s="730">
        <f t="shared" ref="AW19:AW53" si="6">AV19/$AV$54</f>
        <v>7.0652524055913199E-2</v>
      </c>
      <c r="AX19" s="41"/>
      <c r="AY19" s="1171" t="str">
        <f>'Standard Vorgaben'!$B$103</f>
        <v>BIORGA N (12%)</v>
      </c>
      <c r="AZ19" s="11">
        <f>'Standard Vorgaben'!$B$115</f>
        <v>1</v>
      </c>
      <c r="BA19" s="753">
        <f>'Standard Vorgaben'!$B$114</f>
        <v>500</v>
      </c>
      <c r="BB19" s="1176">
        <f>'Standard Vorgaben'!$B$104</f>
        <v>1.22</v>
      </c>
      <c r="BC19" s="30">
        <f>AZ19*BA19*BB19</f>
        <v>610</v>
      </c>
      <c r="BD19" s="730">
        <f t="shared" ref="BD19:BD53" si="7">BC19/$BC$54</f>
        <v>7.4995665934196015E-2</v>
      </c>
      <c r="BE19" s="41"/>
      <c r="BF19" s="1171" t="str">
        <f>'Standard Vorgaben'!$B$103</f>
        <v>BIORGA N (12%)</v>
      </c>
      <c r="BG19" s="11">
        <f>'Standard Vorgaben'!$B$115</f>
        <v>1</v>
      </c>
      <c r="BH19" s="753">
        <f>'Standard Vorgaben'!$B$114</f>
        <v>500</v>
      </c>
      <c r="BI19" s="1176">
        <f>'Standard Vorgaben'!$B$104</f>
        <v>1.22</v>
      </c>
      <c r="BJ19" s="30">
        <f>BG19*BH19*BI19</f>
        <v>610</v>
      </c>
      <c r="BK19" s="730">
        <f t="shared" ref="BK19:BK53" si="8">BJ19/$BJ$54</f>
        <v>7.4995665934196015E-2</v>
      </c>
      <c r="BL19" s="41"/>
      <c r="BM19" s="1171" t="str">
        <f>'Standard Vorgaben'!$B$103</f>
        <v>BIORGA N (12%)</v>
      </c>
      <c r="BN19" s="11">
        <f>'Standard Vorgaben'!$B$115</f>
        <v>1</v>
      </c>
      <c r="BO19" s="753">
        <f>'Standard Vorgaben'!$B$114</f>
        <v>500</v>
      </c>
      <c r="BP19" s="1176">
        <f>'Standard Vorgaben'!$B$104</f>
        <v>1.22</v>
      </c>
      <c r="BQ19" s="30">
        <f>BN19*BO19*BP19</f>
        <v>610</v>
      </c>
      <c r="BR19" s="730">
        <f t="shared" ref="BR19:BR53" si="9">BQ19/$BQ$54</f>
        <v>7.0652524055913199E-2</v>
      </c>
      <c r="BS19" s="41"/>
      <c r="BT19" s="1171" t="str">
        <f>'Standard Vorgaben'!$B$103</f>
        <v>BIORGA N (12%)</v>
      </c>
      <c r="BU19" s="11">
        <f>'Standard Vorgaben'!$B$115</f>
        <v>1</v>
      </c>
      <c r="BV19" s="753">
        <f>'Standard Vorgaben'!$B$114</f>
        <v>500</v>
      </c>
      <c r="BW19" s="1176">
        <f>'Standard Vorgaben'!$B$104</f>
        <v>1.22</v>
      </c>
      <c r="BX19" s="30">
        <f>BU19*BV19*BW19</f>
        <v>610</v>
      </c>
      <c r="BY19" s="730">
        <f t="shared" ref="BY19:BY53" si="10">BX19/$BX$54</f>
        <v>7.4995665934196015E-2</v>
      </c>
      <c r="BZ19" s="41"/>
      <c r="CA19" s="1171" t="str">
        <f>'Standard Vorgaben'!$B$103</f>
        <v>BIORGA N (12%)</v>
      </c>
      <c r="CB19" s="11">
        <f>'Standard Vorgaben'!$B$115</f>
        <v>1</v>
      </c>
      <c r="CC19" s="753">
        <f>'Standard Vorgaben'!$B$114</f>
        <v>500</v>
      </c>
      <c r="CD19" s="1176">
        <f>'Standard Vorgaben'!$B$104</f>
        <v>1.22</v>
      </c>
      <c r="CE19" s="30">
        <f>CB19*CC19*CD19</f>
        <v>610</v>
      </c>
      <c r="CF19" s="730">
        <f t="shared" ref="CF19:CF53" si="11">CE19/$CE$54</f>
        <v>7.4995665934196015E-2</v>
      </c>
      <c r="CG19" s="41"/>
      <c r="CH19" s="1171" t="str">
        <f>'Standard Vorgaben'!$B$103</f>
        <v>BIORGA N (12%)</v>
      </c>
      <c r="CI19" s="11">
        <f>'Standard Vorgaben'!$B$115</f>
        <v>1</v>
      </c>
      <c r="CJ19" s="753">
        <f>'Standard Vorgaben'!$B$114</f>
        <v>500</v>
      </c>
      <c r="CK19" s="1176">
        <f>'Standard Vorgaben'!$B$104</f>
        <v>1.22</v>
      </c>
      <c r="CL19" s="30">
        <f>CI19*CJ19*CK19</f>
        <v>610</v>
      </c>
      <c r="CM19" s="730">
        <f t="shared" ref="CM19:CM53" si="12">CL19/$CL$54</f>
        <v>7.0921500323269909E-2</v>
      </c>
      <c r="CN19" s="41"/>
      <c r="CO19" s="1171" t="str">
        <f>'Standard Vorgaben'!$B$103</f>
        <v>BIORGA N (12%)</v>
      </c>
      <c r="CP19" s="11">
        <f>'Standard Vorgaben'!$B$115</f>
        <v>1</v>
      </c>
      <c r="CQ19" s="753">
        <f>'Standard Vorgaben'!$B$114</f>
        <v>500</v>
      </c>
      <c r="CR19" s="1176">
        <f>'Standard Vorgaben'!$B$104</f>
        <v>1.22</v>
      </c>
      <c r="CS19" s="30">
        <f>CP19*CQ19*CR19</f>
        <v>610</v>
      </c>
      <c r="CT19" s="730">
        <f t="shared" ref="CT19:CT53" si="13">CS19/$CS$54</f>
        <v>7.5298798488293989E-2</v>
      </c>
      <c r="CU19" s="41"/>
      <c r="CV19" s="1171" t="str">
        <f>'Standard Vorgaben'!$B$103</f>
        <v>BIORGA N (12%)</v>
      </c>
      <c r="CW19" s="11">
        <f>'Standard Vorgaben'!$B$115</f>
        <v>1</v>
      </c>
      <c r="CX19" s="753">
        <f>'Standard Vorgaben'!$B$114</f>
        <v>500</v>
      </c>
      <c r="CY19" s="1176">
        <f>'Standard Vorgaben'!$B$104</f>
        <v>1.22</v>
      </c>
      <c r="CZ19" s="30">
        <f>CW19*CX19*CY19</f>
        <v>610</v>
      </c>
      <c r="DA19" s="730">
        <f t="shared" ref="DA19:DA53" si="14">CZ19/$CZ$54</f>
        <v>7.5298798488293989E-2</v>
      </c>
    </row>
    <row r="20" spans="1:105" s="13" customFormat="1" ht="13" x14ac:dyDescent="0.3">
      <c r="A20" s="41"/>
      <c r="B20" s="1171" t="str">
        <f>'Standard Vorgaben'!C103</f>
        <v>Organisches Dünger (Kompost) Trockensubstanz</v>
      </c>
      <c r="C20" s="11">
        <f>'Standard Vorgaben'!C109</f>
        <v>15</v>
      </c>
      <c r="D20" s="1180">
        <f>'Standard Vorgaben'!C108</f>
        <v>25000</v>
      </c>
      <c r="E20" s="1176">
        <f>'Standard Vorgaben'!C104</f>
        <v>0.02</v>
      </c>
      <c r="F20" s="30">
        <f>E20*D20</f>
        <v>500</v>
      </c>
      <c r="G20" s="730">
        <f t="shared" ref="G20:G54" si="15">F20/$F$54</f>
        <v>9.5775092499584324E-2</v>
      </c>
      <c r="H20" s="41"/>
      <c r="I20" s="1171" t="str">
        <f>'Standard Vorgaben'!$C$103</f>
        <v>Organisches Dünger (Kompost) Trockensubstanz</v>
      </c>
      <c r="J20" s="753">
        <f>'Standard Vorgaben'!$C$111</f>
        <v>0</v>
      </c>
      <c r="K20" s="106">
        <f>'Standard Vorgaben'!$C$110</f>
        <v>0</v>
      </c>
      <c r="L20" s="1176">
        <f>'Standard Vorgaben'!C104</f>
        <v>0.02</v>
      </c>
      <c r="M20" s="30">
        <f>L20*K20</f>
        <v>0</v>
      </c>
      <c r="N20" s="730">
        <f t="shared" si="2"/>
        <v>0</v>
      </c>
      <c r="O20" s="41"/>
      <c r="P20" s="1171" t="str">
        <f>'Standard Vorgaben'!$C$103</f>
        <v>Organisches Dünger (Kompost) Trockensubstanz</v>
      </c>
      <c r="Q20" s="753">
        <f>'Standard Vorgaben'!C113</f>
        <v>0</v>
      </c>
      <c r="R20" s="106">
        <f>'Standard Vorgaben'!$C$110</f>
        <v>0</v>
      </c>
      <c r="S20" s="1176">
        <f>'Standard Vorgaben'!K104</f>
        <v>0</v>
      </c>
      <c r="T20" s="30">
        <f>S20*R20</f>
        <v>0</v>
      </c>
      <c r="U20" s="730">
        <f t="shared" si="3"/>
        <v>0</v>
      </c>
      <c r="V20" s="41"/>
      <c r="W20" s="1171" t="str">
        <f>'Standard Vorgaben'!$C$103</f>
        <v>Organisches Dünger (Kompost) Trockensubstanz</v>
      </c>
      <c r="X20" s="753">
        <f>'Standard Vorgaben'!$C$115</f>
        <v>15</v>
      </c>
      <c r="Y20" s="106">
        <f>'Standard Vorgaben'!$C$114</f>
        <v>25000</v>
      </c>
      <c r="Z20" s="1176">
        <f>'Standard Vorgaben'!$C$104</f>
        <v>0.02</v>
      </c>
      <c r="AA20" s="30">
        <f>Z20*Y20</f>
        <v>500</v>
      </c>
      <c r="AB20" s="730">
        <f t="shared" si="1"/>
        <v>5.9260408022536445E-2</v>
      </c>
      <c r="AC20" s="41"/>
      <c r="AD20" s="1171" t="str">
        <f>'Standard Vorgaben'!$C$103</f>
        <v>Organisches Dünger (Kompost) Trockensubstanz</v>
      </c>
      <c r="AE20" s="1359">
        <v>0</v>
      </c>
      <c r="AF20" s="106">
        <f>'Standard Vorgaben'!$C$114</f>
        <v>25000</v>
      </c>
      <c r="AG20" s="1176">
        <f>'Standard Vorgaben'!$C$104</f>
        <v>0.02</v>
      </c>
      <c r="AH20" s="30">
        <f>AE20*AG20*AF20</f>
        <v>0</v>
      </c>
      <c r="AI20" s="730">
        <f t="shared" si="4"/>
        <v>0</v>
      </c>
      <c r="AJ20" s="41"/>
      <c r="AK20" s="1171" t="str">
        <f>'Standard Vorgaben'!$C$103</f>
        <v>Organisches Dünger (Kompost) Trockensubstanz</v>
      </c>
      <c r="AL20" s="1359">
        <v>0</v>
      </c>
      <c r="AM20" s="106">
        <f>'Standard Vorgaben'!$C$114</f>
        <v>25000</v>
      </c>
      <c r="AN20" s="1176">
        <f>'Standard Vorgaben'!$C$104</f>
        <v>0.02</v>
      </c>
      <c r="AO20" s="30">
        <f>AL20*AN20*AM20</f>
        <v>0</v>
      </c>
      <c r="AP20" s="730">
        <f t="shared" si="5"/>
        <v>0</v>
      </c>
      <c r="AQ20" s="41"/>
      <c r="AR20" s="1171" t="str">
        <f>'Standard Vorgaben'!$C$103</f>
        <v>Organisches Dünger (Kompost) Trockensubstanz</v>
      </c>
      <c r="AS20" s="753">
        <f>'Standard Vorgaben'!$C$115</f>
        <v>15</v>
      </c>
      <c r="AT20" s="106">
        <f>'Standard Vorgaben'!$C$114</f>
        <v>25000</v>
      </c>
      <c r="AU20" s="1176">
        <f>'Standard Vorgaben'!$C$104</f>
        <v>0.02</v>
      </c>
      <c r="AV20" s="30">
        <f>AU20*AT20</f>
        <v>500</v>
      </c>
      <c r="AW20" s="730">
        <f t="shared" si="6"/>
        <v>5.7911904963863281E-2</v>
      </c>
      <c r="AX20" s="41"/>
      <c r="AY20" s="1171" t="str">
        <f>'Standard Vorgaben'!$C$103</f>
        <v>Organisches Dünger (Kompost) Trockensubstanz</v>
      </c>
      <c r="AZ20" s="1359">
        <v>0</v>
      </c>
      <c r="BA20" s="106">
        <f>'Standard Vorgaben'!$C$114</f>
        <v>25000</v>
      </c>
      <c r="BB20" s="1176">
        <f>'Standard Vorgaben'!$C$104</f>
        <v>0.02</v>
      </c>
      <c r="BC20" s="30">
        <f>AZ20*BB20*BA20</f>
        <v>0</v>
      </c>
      <c r="BD20" s="730">
        <f t="shared" si="7"/>
        <v>0</v>
      </c>
      <c r="BE20" s="41"/>
      <c r="BF20" s="1171" t="str">
        <f>'Standard Vorgaben'!$C$103</f>
        <v>Organisches Dünger (Kompost) Trockensubstanz</v>
      </c>
      <c r="BG20" s="1359">
        <v>0</v>
      </c>
      <c r="BH20" s="106">
        <f>'Standard Vorgaben'!$C$114</f>
        <v>25000</v>
      </c>
      <c r="BI20" s="1176">
        <f>'Standard Vorgaben'!$C$104</f>
        <v>0.02</v>
      </c>
      <c r="BJ20" s="30">
        <f>BG20*BI20*BH20</f>
        <v>0</v>
      </c>
      <c r="BK20" s="730">
        <f t="shared" si="8"/>
        <v>0</v>
      </c>
      <c r="BL20" s="41"/>
      <c r="BM20" s="1171" t="str">
        <f>'Standard Vorgaben'!$C$103</f>
        <v>Organisches Dünger (Kompost) Trockensubstanz</v>
      </c>
      <c r="BN20" s="753">
        <f>'Standard Vorgaben'!$C$115</f>
        <v>15</v>
      </c>
      <c r="BO20" s="106">
        <f>'Standard Vorgaben'!$C$114</f>
        <v>25000</v>
      </c>
      <c r="BP20" s="1176">
        <f>'Standard Vorgaben'!$C$104</f>
        <v>0.02</v>
      </c>
      <c r="BQ20" s="30">
        <f>BP20*BO20</f>
        <v>500</v>
      </c>
      <c r="BR20" s="730">
        <f t="shared" si="9"/>
        <v>5.7911904963863281E-2</v>
      </c>
      <c r="BS20" s="41"/>
      <c r="BT20" s="1171" t="str">
        <f>'Standard Vorgaben'!$C$103</f>
        <v>Organisches Dünger (Kompost) Trockensubstanz</v>
      </c>
      <c r="BU20" s="1359">
        <v>0</v>
      </c>
      <c r="BV20" s="106">
        <f>'Standard Vorgaben'!$C$114</f>
        <v>25000</v>
      </c>
      <c r="BW20" s="1176">
        <f>'Standard Vorgaben'!$C$104</f>
        <v>0.02</v>
      </c>
      <c r="BX20" s="30">
        <f>BU20*BW20*BV20</f>
        <v>0</v>
      </c>
      <c r="BY20" s="730">
        <f t="shared" si="10"/>
        <v>0</v>
      </c>
      <c r="BZ20" s="41"/>
      <c r="CA20" s="1171" t="str">
        <f>'Standard Vorgaben'!$C$103</f>
        <v>Organisches Dünger (Kompost) Trockensubstanz</v>
      </c>
      <c r="CB20" s="1359">
        <v>0</v>
      </c>
      <c r="CC20" s="106">
        <f>'Standard Vorgaben'!$C$114</f>
        <v>25000</v>
      </c>
      <c r="CD20" s="1176">
        <f>'Standard Vorgaben'!$C$104</f>
        <v>0.02</v>
      </c>
      <c r="CE20" s="30">
        <f>CB20*CD20*CC20</f>
        <v>0</v>
      </c>
      <c r="CF20" s="730">
        <f t="shared" si="11"/>
        <v>0</v>
      </c>
      <c r="CG20" s="41"/>
      <c r="CH20" s="1171" t="str">
        <f>'Standard Vorgaben'!$C$103</f>
        <v>Organisches Dünger (Kompost) Trockensubstanz</v>
      </c>
      <c r="CI20" s="753">
        <f>'Standard Vorgaben'!$C$115</f>
        <v>15</v>
      </c>
      <c r="CJ20" s="106">
        <f>'Standard Vorgaben'!$C$114</f>
        <v>25000</v>
      </c>
      <c r="CK20" s="1176">
        <f>'Standard Vorgaben'!$C$104</f>
        <v>0.02</v>
      </c>
      <c r="CL20" s="30">
        <f>CK20*CJ20</f>
        <v>500</v>
      </c>
      <c r="CM20" s="730">
        <f t="shared" si="12"/>
        <v>5.8132377314155659E-2</v>
      </c>
      <c r="CN20" s="41"/>
      <c r="CO20" s="1171" t="str">
        <f>'Standard Vorgaben'!$C$103</f>
        <v>Organisches Dünger (Kompost) Trockensubstanz</v>
      </c>
      <c r="CP20" s="1359">
        <v>0</v>
      </c>
      <c r="CQ20" s="106">
        <f>'Standard Vorgaben'!$C$114</f>
        <v>25000</v>
      </c>
      <c r="CR20" s="1176">
        <f>'Standard Vorgaben'!$C$104</f>
        <v>0.02</v>
      </c>
      <c r="CS20" s="30">
        <f>CP20*CR20*CQ20</f>
        <v>0</v>
      </c>
      <c r="CT20" s="730">
        <f t="shared" si="13"/>
        <v>0</v>
      </c>
      <c r="CU20" s="41"/>
      <c r="CV20" s="1171" t="str">
        <f>'Standard Vorgaben'!$C$103</f>
        <v>Organisches Dünger (Kompost) Trockensubstanz</v>
      </c>
      <c r="CW20" s="1359">
        <v>0</v>
      </c>
      <c r="CX20" s="106">
        <f>'Standard Vorgaben'!$C$114</f>
        <v>25000</v>
      </c>
      <c r="CY20" s="1176">
        <f>'Standard Vorgaben'!$C$104</f>
        <v>0.02</v>
      </c>
      <c r="CZ20" s="30">
        <f>CW20*CY20*CX20</f>
        <v>0</v>
      </c>
      <c r="DA20" s="730">
        <f t="shared" si="14"/>
        <v>0</v>
      </c>
    </row>
    <row r="21" spans="1:105" s="13" customFormat="1" ht="13" x14ac:dyDescent="0.3">
      <c r="A21" s="41"/>
      <c r="B21" s="1171" t="str">
        <f>'Standard Vorgaben'!D103</f>
        <v>Magnesiumkalk Dolomit (18%)</v>
      </c>
      <c r="C21" s="753">
        <f>'Standard Vorgaben'!D109</f>
        <v>0</v>
      </c>
      <c r="D21" s="106">
        <f>'Standard Vorgaben'!D110</f>
        <v>100</v>
      </c>
      <c r="E21" s="1176">
        <f>'Standard Vorgaben'!D104</f>
        <v>0.43</v>
      </c>
      <c r="F21" s="30">
        <f>(D21*E21*C21)</f>
        <v>0</v>
      </c>
      <c r="G21" s="730">
        <f t="shared" si="15"/>
        <v>0</v>
      </c>
      <c r="H21" s="41"/>
      <c r="I21" s="1171" t="str">
        <f>'Standard Vorgaben'!D103</f>
        <v>Magnesiumkalk Dolomit (18%)</v>
      </c>
      <c r="J21" s="753">
        <f>'Standard Vorgaben'!D111</f>
        <v>0</v>
      </c>
      <c r="K21" s="106">
        <f>'Standard Vorgaben'!D110</f>
        <v>100</v>
      </c>
      <c r="L21" s="1176">
        <f>'Standard Vorgaben'!D104</f>
        <v>0.43</v>
      </c>
      <c r="M21" s="30">
        <f>J21*K21*L21</f>
        <v>0</v>
      </c>
      <c r="N21" s="730">
        <f t="shared" si="2"/>
        <v>0</v>
      </c>
      <c r="O21" s="41"/>
      <c r="P21" s="1171" t="str">
        <f>'Standard Vorgaben'!D103</f>
        <v>Magnesiumkalk Dolomit (18%)</v>
      </c>
      <c r="Q21" s="753">
        <f>'Standard Vorgaben'!D113</f>
        <v>0</v>
      </c>
      <c r="R21" s="106">
        <f>'Standard Vorgaben'!D112</f>
        <v>100</v>
      </c>
      <c r="S21" s="1176">
        <f>'Standard Vorgaben'!D104</f>
        <v>0.43</v>
      </c>
      <c r="T21" s="30">
        <f>Q21*R21*S21</f>
        <v>0</v>
      </c>
      <c r="U21" s="730">
        <f t="shared" si="3"/>
        <v>0</v>
      </c>
      <c r="V21" s="41"/>
      <c r="W21" s="1171" t="str">
        <f>'Standard Vorgaben'!$D$103</f>
        <v>Magnesiumkalk Dolomit (18%)</v>
      </c>
      <c r="X21" s="753">
        <f>'Standard Vorgaben'!$D$115</f>
        <v>1</v>
      </c>
      <c r="Y21" s="106">
        <f>'Standard Vorgaben'!$D$114</f>
        <v>100</v>
      </c>
      <c r="Z21" s="1176">
        <f>'Standard Vorgaben'!$D$104</f>
        <v>0.43</v>
      </c>
      <c r="AA21" s="30">
        <f>X21*Y21*Z21</f>
        <v>43</v>
      </c>
      <c r="AB21" s="730">
        <f t="shared" si="1"/>
        <v>5.0963950899381343E-3</v>
      </c>
      <c r="AC21" s="41"/>
      <c r="AD21" s="1171" t="str">
        <f>'Standard Vorgaben'!$D$103</f>
        <v>Magnesiumkalk Dolomit (18%)</v>
      </c>
      <c r="AE21" s="753">
        <f>'Standard Vorgaben'!$D$115</f>
        <v>1</v>
      </c>
      <c r="AF21" s="106">
        <f>'Standard Vorgaben'!$D$114</f>
        <v>100</v>
      </c>
      <c r="AG21" s="1176">
        <f>'Standard Vorgaben'!$D$104</f>
        <v>0.43</v>
      </c>
      <c r="AH21" s="30">
        <f>AE21*AF21*AG21</f>
        <v>43</v>
      </c>
      <c r="AI21" s="730">
        <f t="shared" si="4"/>
        <v>5.2865797297875876E-3</v>
      </c>
      <c r="AJ21" s="41"/>
      <c r="AK21" s="1171" t="str">
        <f>'Standard Vorgaben'!$D$103</f>
        <v>Magnesiumkalk Dolomit (18%)</v>
      </c>
      <c r="AL21" s="753">
        <f>'Standard Vorgaben'!$D$115</f>
        <v>1</v>
      </c>
      <c r="AM21" s="106">
        <f>'Standard Vorgaben'!$D$114</f>
        <v>100</v>
      </c>
      <c r="AN21" s="1176">
        <f>'Standard Vorgaben'!$D$104</f>
        <v>0.43</v>
      </c>
      <c r="AO21" s="30">
        <f>AL21*AM21*AN21</f>
        <v>43</v>
      </c>
      <c r="AP21" s="730">
        <f t="shared" si="5"/>
        <v>5.2865797297875876E-3</v>
      </c>
      <c r="AQ21" s="41"/>
      <c r="AR21" s="1171" t="str">
        <f>'Standard Vorgaben'!$D$103</f>
        <v>Magnesiumkalk Dolomit (18%)</v>
      </c>
      <c r="AS21" s="753">
        <f>'Standard Vorgaben'!$D$115</f>
        <v>1</v>
      </c>
      <c r="AT21" s="106">
        <f>'Standard Vorgaben'!$D$114</f>
        <v>100</v>
      </c>
      <c r="AU21" s="1176">
        <f>'Standard Vorgaben'!$D$104</f>
        <v>0.43</v>
      </c>
      <c r="AV21" s="30">
        <f>AS21*AT21*AU21</f>
        <v>43</v>
      </c>
      <c r="AW21" s="730">
        <f t="shared" si="6"/>
        <v>4.9804238268922425E-3</v>
      </c>
      <c r="AX21" s="41"/>
      <c r="AY21" s="1171" t="str">
        <f>'Standard Vorgaben'!$D$103</f>
        <v>Magnesiumkalk Dolomit (18%)</v>
      </c>
      <c r="AZ21" s="753">
        <f>'Standard Vorgaben'!$D$115</f>
        <v>1</v>
      </c>
      <c r="BA21" s="106">
        <f>'Standard Vorgaben'!$D$114</f>
        <v>100</v>
      </c>
      <c r="BB21" s="1176">
        <f>'Standard Vorgaben'!$D$104</f>
        <v>0.43</v>
      </c>
      <c r="BC21" s="30">
        <f>AZ21*BA21*BB21</f>
        <v>43</v>
      </c>
      <c r="BD21" s="730">
        <f t="shared" si="7"/>
        <v>5.2865797297875876E-3</v>
      </c>
      <c r="BE21" s="41"/>
      <c r="BF21" s="1171" t="str">
        <f>'Standard Vorgaben'!$D$103</f>
        <v>Magnesiumkalk Dolomit (18%)</v>
      </c>
      <c r="BG21" s="753">
        <f>'Standard Vorgaben'!$D$115</f>
        <v>1</v>
      </c>
      <c r="BH21" s="106">
        <f>'Standard Vorgaben'!$D$114</f>
        <v>100</v>
      </c>
      <c r="BI21" s="1176">
        <f>'Standard Vorgaben'!$D$104</f>
        <v>0.43</v>
      </c>
      <c r="BJ21" s="30">
        <f>BG21*BH21*BI21</f>
        <v>43</v>
      </c>
      <c r="BK21" s="730">
        <f t="shared" si="8"/>
        <v>5.2865797297875876E-3</v>
      </c>
      <c r="BL21" s="41"/>
      <c r="BM21" s="1171" t="str">
        <f>'Standard Vorgaben'!$D$103</f>
        <v>Magnesiumkalk Dolomit (18%)</v>
      </c>
      <c r="BN21" s="753">
        <f>'Standard Vorgaben'!$D$115</f>
        <v>1</v>
      </c>
      <c r="BO21" s="106">
        <f>'Standard Vorgaben'!$D$114</f>
        <v>100</v>
      </c>
      <c r="BP21" s="1176">
        <f>'Standard Vorgaben'!$D$104</f>
        <v>0.43</v>
      </c>
      <c r="BQ21" s="30">
        <f>BN21*BO21*BP21</f>
        <v>43</v>
      </c>
      <c r="BR21" s="730">
        <f t="shared" si="9"/>
        <v>4.9804238268922425E-3</v>
      </c>
      <c r="BS21" s="41"/>
      <c r="BT21" s="1171" t="str">
        <f>'Standard Vorgaben'!$D$103</f>
        <v>Magnesiumkalk Dolomit (18%)</v>
      </c>
      <c r="BU21" s="753">
        <f>'Standard Vorgaben'!$D$115</f>
        <v>1</v>
      </c>
      <c r="BV21" s="106">
        <f>'Standard Vorgaben'!$D$114</f>
        <v>100</v>
      </c>
      <c r="BW21" s="1176">
        <f>'Standard Vorgaben'!$D$104</f>
        <v>0.43</v>
      </c>
      <c r="BX21" s="30">
        <f>BU21*BV21*BW21</f>
        <v>43</v>
      </c>
      <c r="BY21" s="730">
        <f t="shared" si="10"/>
        <v>5.2865797297875876E-3</v>
      </c>
      <c r="BZ21" s="41"/>
      <c r="CA21" s="1171" t="str">
        <f>'Standard Vorgaben'!$D$103</f>
        <v>Magnesiumkalk Dolomit (18%)</v>
      </c>
      <c r="CB21" s="753">
        <f>'Standard Vorgaben'!$D$115</f>
        <v>1</v>
      </c>
      <c r="CC21" s="106">
        <f>'Standard Vorgaben'!$D$114</f>
        <v>100</v>
      </c>
      <c r="CD21" s="1176">
        <f>'Standard Vorgaben'!$D$104</f>
        <v>0.43</v>
      </c>
      <c r="CE21" s="30">
        <f>CB21*CC21*CD21</f>
        <v>43</v>
      </c>
      <c r="CF21" s="730">
        <f t="shared" si="11"/>
        <v>5.2865797297875876E-3</v>
      </c>
      <c r="CG21" s="41"/>
      <c r="CH21" s="1171" t="str">
        <f>'Standard Vorgaben'!$D$103</f>
        <v>Magnesiumkalk Dolomit (18%)</v>
      </c>
      <c r="CI21" s="753">
        <f>'Standard Vorgaben'!$D$115</f>
        <v>1</v>
      </c>
      <c r="CJ21" s="106">
        <f>'Standard Vorgaben'!$D$114</f>
        <v>100</v>
      </c>
      <c r="CK21" s="1176">
        <f>'Standard Vorgaben'!$D$104</f>
        <v>0.43</v>
      </c>
      <c r="CL21" s="30">
        <f>CI21*CJ21*CK21</f>
        <v>43</v>
      </c>
      <c r="CM21" s="730">
        <f t="shared" si="12"/>
        <v>4.9993844490173866E-3</v>
      </c>
      <c r="CN21" s="41"/>
      <c r="CO21" s="1171" t="str">
        <f>'Standard Vorgaben'!$D$103</f>
        <v>Magnesiumkalk Dolomit (18%)</v>
      </c>
      <c r="CP21" s="753">
        <f>'Standard Vorgaben'!$D$115</f>
        <v>1</v>
      </c>
      <c r="CQ21" s="106">
        <f>'Standard Vorgaben'!$D$114</f>
        <v>100</v>
      </c>
      <c r="CR21" s="1176">
        <f>'Standard Vorgaben'!$D$104</f>
        <v>0.43</v>
      </c>
      <c r="CS21" s="30">
        <f>CP21*CQ21*CR21</f>
        <v>43</v>
      </c>
      <c r="CT21" s="730">
        <f t="shared" si="13"/>
        <v>5.3079480901584283E-3</v>
      </c>
      <c r="CU21" s="41"/>
      <c r="CV21" s="1171" t="str">
        <f>'Standard Vorgaben'!$D$103</f>
        <v>Magnesiumkalk Dolomit (18%)</v>
      </c>
      <c r="CW21" s="753">
        <f>'Standard Vorgaben'!$D$115</f>
        <v>1</v>
      </c>
      <c r="CX21" s="106">
        <f>'Standard Vorgaben'!$D$114</f>
        <v>100</v>
      </c>
      <c r="CY21" s="1176">
        <f>'Standard Vorgaben'!$D$104</f>
        <v>0.43</v>
      </c>
      <c r="CZ21" s="30">
        <f>CW21*CX21*CY21</f>
        <v>43</v>
      </c>
      <c r="DA21" s="730">
        <f t="shared" si="14"/>
        <v>5.3079480901584283E-3</v>
      </c>
    </row>
    <row r="22" spans="1:105" ht="13.5" thickBot="1" x14ac:dyDescent="0.35">
      <c r="A22" s="17"/>
      <c r="B22" s="1181">
        <f>'Standard Vorgaben'!F103</f>
        <v>0</v>
      </c>
      <c r="C22" s="741">
        <f>'Standard Vorgaben'!F109</f>
        <v>0</v>
      </c>
      <c r="D22" s="1175">
        <f>'Standard Vorgaben'!F108</f>
        <v>0</v>
      </c>
      <c r="E22" s="1177">
        <f>'Standard Vorgaben'!F104</f>
        <v>0</v>
      </c>
      <c r="F22" s="763">
        <f>(D22*E22*C22)</f>
        <v>0</v>
      </c>
      <c r="G22" s="730">
        <f t="shared" si="15"/>
        <v>0</v>
      </c>
      <c r="H22" s="17"/>
      <c r="I22" s="1171">
        <f>'Standard Vorgaben'!F103</f>
        <v>0</v>
      </c>
      <c r="J22" s="741">
        <f>'Standard Vorgaben'!F111</f>
        <v>0</v>
      </c>
      <c r="K22" s="1175">
        <f>'Standard Vorgaben'!F110</f>
        <v>0</v>
      </c>
      <c r="L22" s="1177">
        <f>'Standard Vorgaben'!F104</f>
        <v>0</v>
      </c>
      <c r="M22" s="763">
        <f>J22*K22*L22</f>
        <v>0</v>
      </c>
      <c r="N22" s="730">
        <f t="shared" si="2"/>
        <v>0</v>
      </c>
      <c r="O22" s="17"/>
      <c r="P22" s="29">
        <f>'Standard Vorgaben'!F103</f>
        <v>0</v>
      </c>
      <c r="Q22" s="741">
        <f>'Standard Vorgaben'!F113</f>
        <v>0</v>
      </c>
      <c r="R22" s="1175">
        <f>'Standard Vorgaben'!F112</f>
        <v>0</v>
      </c>
      <c r="S22" s="1177">
        <f>'Standard Vorgaben'!F104</f>
        <v>0</v>
      </c>
      <c r="T22" s="763">
        <f>Q22*R22*S22</f>
        <v>0</v>
      </c>
      <c r="U22" s="730">
        <f t="shared" si="3"/>
        <v>0</v>
      </c>
      <c r="V22" s="17"/>
      <c r="W22" s="1171">
        <f>'Standard Vorgaben'!$F$103</f>
        <v>0</v>
      </c>
      <c r="X22" s="741">
        <f>'Standard Vorgaben'!$F$115</f>
        <v>0</v>
      </c>
      <c r="Y22" s="1175">
        <f>'Standard Vorgaben'!$F$114</f>
        <v>0</v>
      </c>
      <c r="Z22" s="1174">
        <f>'Standard Vorgaben'!$F$104</f>
        <v>0</v>
      </c>
      <c r="AA22" s="763">
        <f>X22*Y22*Z22</f>
        <v>0</v>
      </c>
      <c r="AB22" s="730">
        <f t="shared" si="1"/>
        <v>0</v>
      </c>
      <c r="AC22" s="17"/>
      <c r="AD22" s="1171">
        <f>'Standard Vorgaben'!$F$103</f>
        <v>0</v>
      </c>
      <c r="AE22" s="741">
        <f>'Standard Vorgaben'!$F$115</f>
        <v>0</v>
      </c>
      <c r="AF22" s="1175">
        <f>'Standard Vorgaben'!$F$114</f>
        <v>0</v>
      </c>
      <c r="AG22" s="1174">
        <f>'Standard Vorgaben'!$F$104</f>
        <v>0</v>
      </c>
      <c r="AH22" s="763">
        <f>AE22*AF22*AG22</f>
        <v>0</v>
      </c>
      <c r="AI22" s="730">
        <f t="shared" si="4"/>
        <v>0</v>
      </c>
      <c r="AJ22" s="17"/>
      <c r="AK22" s="1171">
        <f>'Standard Vorgaben'!$F$103</f>
        <v>0</v>
      </c>
      <c r="AL22" s="741">
        <f>'Standard Vorgaben'!$F$115</f>
        <v>0</v>
      </c>
      <c r="AM22" s="1175">
        <f>'Standard Vorgaben'!$F$114</f>
        <v>0</v>
      </c>
      <c r="AN22" s="1174">
        <f>'Standard Vorgaben'!$F$104</f>
        <v>0</v>
      </c>
      <c r="AO22" s="763">
        <f>AL22*AM22*AN22</f>
        <v>0</v>
      </c>
      <c r="AP22" s="730">
        <f t="shared" si="5"/>
        <v>0</v>
      </c>
      <c r="AQ22" s="17"/>
      <c r="AR22" s="1171">
        <f>'Standard Vorgaben'!$F$103</f>
        <v>0</v>
      </c>
      <c r="AS22" s="741">
        <f>'Standard Vorgaben'!$F$115</f>
        <v>0</v>
      </c>
      <c r="AT22" s="1175">
        <f>'Standard Vorgaben'!$F$114</f>
        <v>0</v>
      </c>
      <c r="AU22" s="1174">
        <f>'Standard Vorgaben'!$F$104</f>
        <v>0</v>
      </c>
      <c r="AV22" s="763">
        <f>AS22*AT22*AU22</f>
        <v>0</v>
      </c>
      <c r="AW22" s="730">
        <f t="shared" si="6"/>
        <v>0</v>
      </c>
      <c r="AX22" s="17"/>
      <c r="AY22" s="1171">
        <f>'Standard Vorgaben'!$F$103</f>
        <v>0</v>
      </c>
      <c r="AZ22" s="741">
        <f>'Standard Vorgaben'!$F$115</f>
        <v>0</v>
      </c>
      <c r="BA22" s="1175">
        <f>'Standard Vorgaben'!$F$114</f>
        <v>0</v>
      </c>
      <c r="BB22" s="1174">
        <f>'Standard Vorgaben'!$F$104</f>
        <v>0</v>
      </c>
      <c r="BC22" s="763">
        <f>AZ22*BA22*BB22</f>
        <v>0</v>
      </c>
      <c r="BD22" s="730">
        <f t="shared" si="7"/>
        <v>0</v>
      </c>
      <c r="BE22" s="17"/>
      <c r="BF22" s="1171">
        <f>'Standard Vorgaben'!$F$103</f>
        <v>0</v>
      </c>
      <c r="BG22" s="741">
        <f>'Standard Vorgaben'!$F$115</f>
        <v>0</v>
      </c>
      <c r="BH22" s="1175">
        <f>'Standard Vorgaben'!$F$114</f>
        <v>0</v>
      </c>
      <c r="BI22" s="1174">
        <f>'Standard Vorgaben'!$F$104</f>
        <v>0</v>
      </c>
      <c r="BJ22" s="763">
        <f>BG22*BH22*BI22</f>
        <v>0</v>
      </c>
      <c r="BK22" s="730">
        <f t="shared" si="8"/>
        <v>0</v>
      </c>
      <c r="BL22" s="17"/>
      <c r="BM22" s="1171">
        <f>'Standard Vorgaben'!$F$103</f>
        <v>0</v>
      </c>
      <c r="BN22" s="741">
        <f>'Standard Vorgaben'!$F$115</f>
        <v>0</v>
      </c>
      <c r="BO22" s="1175">
        <f>'Standard Vorgaben'!$F$114</f>
        <v>0</v>
      </c>
      <c r="BP22" s="1174">
        <f>'Standard Vorgaben'!$F$104</f>
        <v>0</v>
      </c>
      <c r="BQ22" s="763">
        <f>BN22*BO22*BP22</f>
        <v>0</v>
      </c>
      <c r="BR22" s="730">
        <f t="shared" si="9"/>
        <v>0</v>
      </c>
      <c r="BS22" s="17"/>
      <c r="BT22" s="1171">
        <f>'Standard Vorgaben'!$F$103</f>
        <v>0</v>
      </c>
      <c r="BU22" s="741">
        <f>'Standard Vorgaben'!$F$115</f>
        <v>0</v>
      </c>
      <c r="BV22" s="1175">
        <f>'Standard Vorgaben'!$F$114</f>
        <v>0</v>
      </c>
      <c r="BW22" s="1174">
        <f>'Standard Vorgaben'!$F$104</f>
        <v>0</v>
      </c>
      <c r="BX22" s="763">
        <f>BU22*BV22*BW22</f>
        <v>0</v>
      </c>
      <c r="BY22" s="730">
        <f t="shared" si="10"/>
        <v>0</v>
      </c>
      <c r="BZ22" s="17"/>
      <c r="CA22" s="1171">
        <f>'Standard Vorgaben'!$F$103</f>
        <v>0</v>
      </c>
      <c r="CB22" s="741">
        <f>'Standard Vorgaben'!$F$115</f>
        <v>0</v>
      </c>
      <c r="CC22" s="1175">
        <f>'Standard Vorgaben'!$F$114</f>
        <v>0</v>
      </c>
      <c r="CD22" s="1174">
        <f>'Standard Vorgaben'!$F$104</f>
        <v>0</v>
      </c>
      <c r="CE22" s="763">
        <f>CB22*CC22*CD22</f>
        <v>0</v>
      </c>
      <c r="CF22" s="730">
        <f t="shared" si="11"/>
        <v>0</v>
      </c>
      <c r="CG22" s="17"/>
      <c r="CH22" s="1171">
        <f>'Standard Vorgaben'!$F$103</f>
        <v>0</v>
      </c>
      <c r="CI22" s="741">
        <f>'Standard Vorgaben'!$F$115</f>
        <v>0</v>
      </c>
      <c r="CJ22" s="1175">
        <f>'Standard Vorgaben'!$F$114</f>
        <v>0</v>
      </c>
      <c r="CK22" s="1174">
        <f>'Standard Vorgaben'!$F$104</f>
        <v>0</v>
      </c>
      <c r="CL22" s="763">
        <f>CI22*CJ22*CK22</f>
        <v>0</v>
      </c>
      <c r="CM22" s="730">
        <f t="shared" si="12"/>
        <v>0</v>
      </c>
      <c r="CN22" s="17"/>
      <c r="CO22" s="1171">
        <f>'Standard Vorgaben'!$F$103</f>
        <v>0</v>
      </c>
      <c r="CP22" s="741">
        <f>'Standard Vorgaben'!$F$115</f>
        <v>0</v>
      </c>
      <c r="CQ22" s="1175">
        <f>'Standard Vorgaben'!$F$114</f>
        <v>0</v>
      </c>
      <c r="CR22" s="1174">
        <f>'Standard Vorgaben'!$F$104</f>
        <v>0</v>
      </c>
      <c r="CS22" s="763">
        <f>CP22*CQ22*CR22</f>
        <v>0</v>
      </c>
      <c r="CT22" s="730">
        <f t="shared" si="13"/>
        <v>0</v>
      </c>
      <c r="CU22" s="17"/>
      <c r="CV22" s="1171">
        <f>'Standard Vorgaben'!$F$103</f>
        <v>0</v>
      </c>
      <c r="CW22" s="741">
        <f>'Standard Vorgaben'!$F$115</f>
        <v>0</v>
      </c>
      <c r="CX22" s="1175">
        <f>'Standard Vorgaben'!$F$114</f>
        <v>0</v>
      </c>
      <c r="CY22" s="1174">
        <f>'Standard Vorgaben'!$F$104</f>
        <v>0</v>
      </c>
      <c r="CZ22" s="763">
        <f>CW22*CX22*CY22</f>
        <v>0</v>
      </c>
      <c r="DA22" s="730">
        <f t="shared" si="14"/>
        <v>0</v>
      </c>
    </row>
    <row r="23" spans="1:105" ht="13" x14ac:dyDescent="0.3">
      <c r="A23" s="17"/>
      <c r="B23" s="42"/>
      <c r="C23" s="44">
        <f>SUM(C19:C22)</f>
        <v>16</v>
      </c>
      <c r="D23" s="131">
        <f>SUM(D19:D22)</f>
        <v>25225</v>
      </c>
      <c r="E23" s="45"/>
      <c r="F23" s="83">
        <f>SUM(F19:F22)</f>
        <v>652.5</v>
      </c>
      <c r="G23" s="730">
        <f t="shared" si="15"/>
        <v>0.12498649571195755</v>
      </c>
      <c r="H23" s="17"/>
      <c r="J23" s="44">
        <f>SUM(J19:J22)</f>
        <v>1</v>
      </c>
      <c r="K23" s="131">
        <f>SUM(K19:K22)</f>
        <v>350</v>
      </c>
      <c r="L23" s="45"/>
      <c r="M23" s="83">
        <f>SUM(M19:M22)</f>
        <v>305</v>
      </c>
      <c r="N23" s="730">
        <f t="shared" si="2"/>
        <v>6.2171199866074146E-2</v>
      </c>
      <c r="O23" s="17"/>
      <c r="Q23" s="10">
        <f>SUM(Q19:Q22)</f>
        <v>1</v>
      </c>
      <c r="T23" s="1179">
        <f>SUM(T18:T22)</f>
        <v>457.5</v>
      </c>
      <c r="U23" s="730">
        <f t="shared" si="3"/>
        <v>5.9429653637800388E-2</v>
      </c>
      <c r="V23" s="17"/>
      <c r="W23" s="29"/>
      <c r="X23" s="114">
        <f>SUM(X19:X22)</f>
        <v>17</v>
      </c>
      <c r="Y23" s="1185"/>
      <c r="Z23" s="1186"/>
      <c r="AA23" s="1028">
        <f>SUM(AA19:AA22)</f>
        <v>1153</v>
      </c>
      <c r="AB23" s="730">
        <f t="shared" si="1"/>
        <v>0.13665450089996903</v>
      </c>
      <c r="AC23" s="17"/>
      <c r="AD23" s="29"/>
      <c r="AE23" s="114">
        <f>SUM(AE19:AE22)</f>
        <v>2</v>
      </c>
      <c r="AF23" s="1185"/>
      <c r="AG23" s="1186"/>
      <c r="AH23" s="1028">
        <f>SUM(AH19:AH22)</f>
        <v>653</v>
      </c>
      <c r="AI23" s="730">
        <f t="shared" si="4"/>
        <v>8.0282245663983592E-2</v>
      </c>
      <c r="AJ23" s="17"/>
      <c r="AK23" s="29"/>
      <c r="AL23" s="114">
        <f>SUM(AL19:AL22)</f>
        <v>2</v>
      </c>
      <c r="AM23" s="1185"/>
      <c r="AN23" s="1186"/>
      <c r="AO23" s="1028">
        <f>SUM(AO19:AO22)</f>
        <v>653</v>
      </c>
      <c r="AP23" s="730">
        <f t="shared" si="5"/>
        <v>8.0282245663983592E-2</v>
      </c>
      <c r="AQ23" s="17"/>
      <c r="AR23" s="29"/>
      <c r="AS23" s="114">
        <f>SUM(AS19:AS22)</f>
        <v>17</v>
      </c>
      <c r="AT23" s="1185"/>
      <c r="AU23" s="1186"/>
      <c r="AV23" s="1028">
        <f>SUM(AV19:AV22)</f>
        <v>1153</v>
      </c>
      <c r="AW23" s="730">
        <f t="shared" si="6"/>
        <v>0.13354485284666873</v>
      </c>
      <c r="AX23" s="17"/>
      <c r="AY23" s="29"/>
      <c r="AZ23" s="114">
        <f>SUM(AZ19:AZ22)</f>
        <v>2</v>
      </c>
      <c r="BA23" s="1185"/>
      <c r="BB23" s="1186"/>
      <c r="BC23" s="1028">
        <f>SUM(BC19:BC22)</f>
        <v>653</v>
      </c>
      <c r="BD23" s="730">
        <f t="shared" si="7"/>
        <v>8.0282245663983592E-2</v>
      </c>
      <c r="BE23" s="17"/>
      <c r="BF23" s="29"/>
      <c r="BG23" s="114">
        <f>SUM(BG19:BG22)</f>
        <v>2</v>
      </c>
      <c r="BH23" s="1185"/>
      <c r="BI23" s="1186"/>
      <c r="BJ23" s="1028">
        <f>SUM(BJ19:BJ22)</f>
        <v>653</v>
      </c>
      <c r="BK23" s="730">
        <f t="shared" si="8"/>
        <v>8.0282245663983592E-2</v>
      </c>
      <c r="BL23" s="17"/>
      <c r="BM23" s="29"/>
      <c r="BN23" s="114">
        <f>SUM(BN19:BN22)</f>
        <v>17</v>
      </c>
      <c r="BO23" s="1185"/>
      <c r="BP23" s="1186"/>
      <c r="BQ23" s="1028">
        <f>SUM(BQ19:BQ22)</f>
        <v>1153</v>
      </c>
      <c r="BR23" s="730">
        <f t="shared" si="9"/>
        <v>0.13354485284666873</v>
      </c>
      <c r="BS23" s="17"/>
      <c r="BT23" s="29"/>
      <c r="BU23" s="114">
        <f>SUM(BU19:BU22)</f>
        <v>2</v>
      </c>
      <c r="BV23" s="1185"/>
      <c r="BW23" s="1186"/>
      <c r="BX23" s="1028">
        <f>SUM(BX19:BX22)</f>
        <v>653</v>
      </c>
      <c r="BY23" s="730">
        <f t="shared" si="10"/>
        <v>8.0282245663983592E-2</v>
      </c>
      <c r="BZ23" s="17"/>
      <c r="CA23" s="29"/>
      <c r="CB23" s="114">
        <f>SUM(CB19:CB22)</f>
        <v>2</v>
      </c>
      <c r="CC23" s="1185"/>
      <c r="CD23" s="1186"/>
      <c r="CE23" s="1028">
        <f>SUM(CE19:CE22)</f>
        <v>653</v>
      </c>
      <c r="CF23" s="730">
        <f t="shared" si="11"/>
        <v>8.0282245663983592E-2</v>
      </c>
      <c r="CG23" s="17"/>
      <c r="CH23" s="29"/>
      <c r="CI23" s="114">
        <f>SUM(CI19:CI22)</f>
        <v>17</v>
      </c>
      <c r="CJ23" s="1185"/>
      <c r="CK23" s="1186"/>
      <c r="CL23" s="1028">
        <f>SUM(CL19:CL22)</f>
        <v>1153</v>
      </c>
      <c r="CM23" s="730">
        <f t="shared" si="12"/>
        <v>0.13405326208644294</v>
      </c>
      <c r="CN23" s="17"/>
      <c r="CO23" s="29"/>
      <c r="CP23" s="114">
        <f>SUM(CP19:CP22)</f>
        <v>2</v>
      </c>
      <c r="CQ23" s="1185"/>
      <c r="CR23" s="1186"/>
      <c r="CS23" s="1028">
        <f>SUM(CS19:CS22)</f>
        <v>653</v>
      </c>
      <c r="CT23" s="730">
        <f t="shared" si="13"/>
        <v>8.0606746578452418E-2</v>
      </c>
      <c r="CU23" s="17"/>
      <c r="CV23" s="29"/>
      <c r="CW23" s="114">
        <f>SUM(CW19:CW22)</f>
        <v>2</v>
      </c>
      <c r="CX23" s="1185"/>
      <c r="CY23" s="1186"/>
      <c r="CZ23" s="1028">
        <f>SUM(CZ19:CZ22)</f>
        <v>653</v>
      </c>
      <c r="DA23" s="730">
        <f t="shared" si="14"/>
        <v>8.0606746578452418E-2</v>
      </c>
    </row>
    <row r="24" spans="1:105" ht="13" x14ac:dyDescent="0.3">
      <c r="A24" s="17" t="s">
        <v>347</v>
      </c>
      <c r="G24" s="730">
        <f t="shared" si="15"/>
        <v>0</v>
      </c>
      <c r="H24" s="17" t="s">
        <v>347</v>
      </c>
      <c r="N24" s="730">
        <f t="shared" si="2"/>
        <v>0</v>
      </c>
      <c r="O24" s="17" t="s">
        <v>347</v>
      </c>
      <c r="P24" s="29"/>
      <c r="Q24" s="11"/>
      <c r="R24" s="11"/>
      <c r="S24" s="107"/>
      <c r="T24" s="112"/>
      <c r="U24" s="730">
        <f t="shared" si="3"/>
        <v>0</v>
      </c>
      <c r="V24" s="17" t="s">
        <v>347</v>
      </c>
      <c r="W24" s="29"/>
      <c r="X24" s="11"/>
      <c r="Y24" s="11"/>
      <c r="Z24" s="107"/>
      <c r="AA24" s="112"/>
      <c r="AB24" s="730">
        <f t="shared" si="1"/>
        <v>0</v>
      </c>
      <c r="AC24" s="17" t="s">
        <v>347</v>
      </c>
      <c r="AD24" s="29"/>
      <c r="AE24" s="11"/>
      <c r="AF24" s="11"/>
      <c r="AG24" s="107"/>
      <c r="AH24" s="112"/>
      <c r="AI24" s="730">
        <f t="shared" si="4"/>
        <v>0</v>
      </c>
      <c r="AJ24" s="17" t="s">
        <v>347</v>
      </c>
      <c r="AK24" s="29"/>
      <c r="AL24" s="11"/>
      <c r="AM24" s="11"/>
      <c r="AN24" s="107"/>
      <c r="AO24" s="112"/>
      <c r="AP24" s="730">
        <f t="shared" si="5"/>
        <v>0</v>
      </c>
      <c r="AQ24" s="17" t="s">
        <v>347</v>
      </c>
      <c r="AR24" s="29"/>
      <c r="AS24" s="11"/>
      <c r="AT24" s="11"/>
      <c r="AU24" s="107"/>
      <c r="AV24" s="112"/>
      <c r="AW24" s="730">
        <f t="shared" si="6"/>
        <v>0</v>
      </c>
      <c r="AX24" s="17" t="s">
        <v>347</v>
      </c>
      <c r="AY24" s="29"/>
      <c r="AZ24" s="11"/>
      <c r="BA24" s="11"/>
      <c r="BB24" s="107"/>
      <c r="BC24" s="112"/>
      <c r="BD24" s="730">
        <f t="shared" si="7"/>
        <v>0</v>
      </c>
      <c r="BE24" s="17" t="s">
        <v>347</v>
      </c>
      <c r="BF24" s="29"/>
      <c r="BG24" s="11"/>
      <c r="BH24" s="11"/>
      <c r="BI24" s="107"/>
      <c r="BJ24" s="112"/>
      <c r="BK24" s="730">
        <f t="shared" si="8"/>
        <v>0</v>
      </c>
      <c r="BL24" s="17" t="s">
        <v>347</v>
      </c>
      <c r="BM24" s="29"/>
      <c r="BN24" s="11"/>
      <c r="BO24" s="11"/>
      <c r="BP24" s="107"/>
      <c r="BQ24" s="112"/>
      <c r="BR24" s="730">
        <f t="shared" si="9"/>
        <v>0</v>
      </c>
      <c r="BS24" s="17" t="s">
        <v>347</v>
      </c>
      <c r="BT24" s="29"/>
      <c r="BU24" s="11"/>
      <c r="BV24" s="11"/>
      <c r="BW24" s="107"/>
      <c r="BX24" s="112"/>
      <c r="BY24" s="730">
        <f t="shared" si="10"/>
        <v>0</v>
      </c>
      <c r="BZ24" s="17" t="s">
        <v>347</v>
      </c>
      <c r="CA24" s="29"/>
      <c r="CB24" s="11"/>
      <c r="CC24" s="11"/>
      <c r="CD24" s="107"/>
      <c r="CE24" s="112"/>
      <c r="CF24" s="730">
        <f t="shared" si="11"/>
        <v>0</v>
      </c>
      <c r="CG24" s="17" t="s">
        <v>347</v>
      </c>
      <c r="CH24" s="29"/>
      <c r="CI24" s="11"/>
      <c r="CJ24" s="11"/>
      <c r="CK24" s="107"/>
      <c r="CL24" s="112"/>
      <c r="CM24" s="730">
        <f t="shared" si="12"/>
        <v>0</v>
      </c>
      <c r="CN24" s="17" t="s">
        <v>347</v>
      </c>
      <c r="CO24" s="29"/>
      <c r="CP24" s="11"/>
      <c r="CQ24" s="11"/>
      <c r="CR24" s="107"/>
      <c r="CS24" s="112"/>
      <c r="CT24" s="730">
        <f t="shared" si="13"/>
        <v>0</v>
      </c>
      <c r="CU24" s="17" t="s">
        <v>347</v>
      </c>
      <c r="CV24" s="29"/>
      <c r="CW24" s="11"/>
      <c r="CX24" s="11"/>
      <c r="CY24" s="107"/>
      <c r="CZ24" s="112"/>
      <c r="DA24" s="730">
        <f t="shared" si="14"/>
        <v>0</v>
      </c>
    </row>
    <row r="25" spans="1:105" ht="14.15" customHeight="1" x14ac:dyDescent="0.25">
      <c r="A25" s="1454" t="s">
        <v>402</v>
      </c>
      <c r="B25" s="15" t="str">
        <f>'Standard Vorgaben'!B136</f>
        <v>Tonerde (Myko Sin)</v>
      </c>
      <c r="C25" s="1354">
        <f>'Standard Vorgaben'!C136</f>
        <v>6</v>
      </c>
      <c r="D25" s="1354">
        <f>'Standard Vorgaben'!D136</f>
        <v>8</v>
      </c>
      <c r="E25" s="1354">
        <f>'Standard Vorgaben'!E136</f>
        <v>9.7279999999999998</v>
      </c>
      <c r="F25" s="30">
        <f>C25*D25*E25</f>
        <v>466.94399999999996</v>
      </c>
      <c r="G25" s="730">
        <f t="shared" si="15"/>
        <v>8.9443209584251809E-2</v>
      </c>
      <c r="H25" s="1454" t="s">
        <v>402</v>
      </c>
      <c r="I25" s="13" t="str">
        <f>'Standard Vorgaben'!B153</f>
        <v>Tonerde (Myko Sin)</v>
      </c>
      <c r="J25" s="11">
        <f>'Standard Vorgaben'!C153</f>
        <v>6</v>
      </c>
      <c r="K25" s="296">
        <f>'Standard Vorgaben'!D153</f>
        <v>8</v>
      </c>
      <c r="L25" s="1176">
        <f>'Standard Vorgaben'!E153</f>
        <v>9.7279999999999998</v>
      </c>
      <c r="M25" s="30">
        <f>J25*K25*L25</f>
        <v>466.94399999999996</v>
      </c>
      <c r="N25" s="730">
        <f t="shared" si="2"/>
        <v>9.5181864754964332E-2</v>
      </c>
      <c r="O25" s="1455" t="s">
        <v>402</v>
      </c>
      <c r="P25" s="109" t="str">
        <f>'Standard Vorgaben'!$B$119</f>
        <v>Tonerde (Myko Sin)</v>
      </c>
      <c r="Q25" s="11">
        <f>'Standard Vorgaben'!$C$119</f>
        <v>6</v>
      </c>
      <c r="R25" s="11">
        <f>'Standard Vorgaben'!$D$119</f>
        <v>8</v>
      </c>
      <c r="S25" s="11">
        <f>'Standard Vorgaben'!$E$119</f>
        <v>9.7279999999999998</v>
      </c>
      <c r="T25" s="30">
        <f>Q25*R25*S25</f>
        <v>466.94399999999996</v>
      </c>
      <c r="U25" s="730">
        <f t="shared" si="3"/>
        <v>6.0656437569943301E-2</v>
      </c>
      <c r="V25" s="1455" t="s">
        <v>402</v>
      </c>
      <c r="W25" s="109" t="str">
        <f>'Standard Vorgaben'!$B$119</f>
        <v>Tonerde (Myko Sin)</v>
      </c>
      <c r="X25" s="11">
        <f>'Standard Vorgaben'!$C$119</f>
        <v>6</v>
      </c>
      <c r="Y25" s="11">
        <f>'Standard Vorgaben'!$D$119</f>
        <v>8</v>
      </c>
      <c r="Z25" s="11">
        <f>'Standard Vorgaben'!$E$119</f>
        <v>9.7279999999999998</v>
      </c>
      <c r="AA25" s="30">
        <f>X25*Y25*Z25</f>
        <v>466.94399999999996</v>
      </c>
      <c r="AB25" s="730">
        <f t="shared" si="1"/>
        <v>5.534258392735051E-2</v>
      </c>
      <c r="AC25" s="1455" t="s">
        <v>402</v>
      </c>
      <c r="AD25" s="109" t="str">
        <f>'Standard Vorgaben'!$B$119</f>
        <v>Tonerde (Myko Sin)</v>
      </c>
      <c r="AE25" s="11">
        <f>'Standard Vorgaben'!$C$119</f>
        <v>6</v>
      </c>
      <c r="AF25" s="11">
        <f>'Standard Vorgaben'!$D$119</f>
        <v>8</v>
      </c>
      <c r="AG25" s="11">
        <f>'Standard Vorgaben'!$E$119</f>
        <v>9.7279999999999998</v>
      </c>
      <c r="AH25" s="30">
        <f>AE25*AF25*AG25</f>
        <v>466.94399999999996</v>
      </c>
      <c r="AI25" s="730">
        <f t="shared" si="4"/>
        <v>5.7407829891765932E-2</v>
      </c>
      <c r="AJ25" s="1455" t="s">
        <v>402</v>
      </c>
      <c r="AK25" s="109" t="str">
        <f>'Standard Vorgaben'!$B$119</f>
        <v>Tonerde (Myko Sin)</v>
      </c>
      <c r="AL25" s="11">
        <f>'Standard Vorgaben'!$C$119</f>
        <v>6</v>
      </c>
      <c r="AM25" s="11">
        <f>'Standard Vorgaben'!$D$119</f>
        <v>8</v>
      </c>
      <c r="AN25" s="11">
        <f>'Standard Vorgaben'!$E$119</f>
        <v>9.7279999999999998</v>
      </c>
      <c r="AO25" s="30">
        <f>AL25*AM25*AN25</f>
        <v>466.94399999999996</v>
      </c>
      <c r="AP25" s="730">
        <f t="shared" si="5"/>
        <v>5.7407829891765932E-2</v>
      </c>
      <c r="AQ25" s="1455" t="s">
        <v>402</v>
      </c>
      <c r="AR25" s="109" t="str">
        <f>'Standard Vorgaben'!$B$119</f>
        <v>Tonerde (Myko Sin)</v>
      </c>
      <c r="AS25" s="11">
        <f>'Standard Vorgaben'!$C$119</f>
        <v>6</v>
      </c>
      <c r="AT25" s="11">
        <f>'Standard Vorgaben'!$D$119</f>
        <v>8</v>
      </c>
      <c r="AU25" s="11">
        <f>'Standard Vorgaben'!$E$119</f>
        <v>9.7279999999999998</v>
      </c>
      <c r="AV25" s="30">
        <f>AS25*AT25*AU25</f>
        <v>466.94399999999996</v>
      </c>
      <c r="AW25" s="730">
        <f t="shared" si="6"/>
        <v>5.4083233102892349E-2</v>
      </c>
      <c r="AX25" s="1455" t="s">
        <v>402</v>
      </c>
      <c r="AY25" s="109" t="str">
        <f>'Standard Vorgaben'!$B$119</f>
        <v>Tonerde (Myko Sin)</v>
      </c>
      <c r="AZ25" s="11">
        <f>'Standard Vorgaben'!$C$119</f>
        <v>6</v>
      </c>
      <c r="BA25" s="11">
        <f>'Standard Vorgaben'!$D$119</f>
        <v>8</v>
      </c>
      <c r="BB25" s="11">
        <f>'Standard Vorgaben'!$E$119</f>
        <v>9.7279999999999998</v>
      </c>
      <c r="BC25" s="30">
        <f>AZ25*BA25*BB25</f>
        <v>466.94399999999996</v>
      </c>
      <c r="BD25" s="730">
        <f t="shared" si="7"/>
        <v>5.7407829891765932E-2</v>
      </c>
      <c r="BE25" s="1455" t="s">
        <v>402</v>
      </c>
      <c r="BF25" s="109" t="str">
        <f>'Standard Vorgaben'!$B$119</f>
        <v>Tonerde (Myko Sin)</v>
      </c>
      <c r="BG25" s="11">
        <f>'Standard Vorgaben'!$C$119</f>
        <v>6</v>
      </c>
      <c r="BH25" s="11">
        <f>'Standard Vorgaben'!$D$119</f>
        <v>8</v>
      </c>
      <c r="BI25" s="11">
        <f>'Standard Vorgaben'!$E$119</f>
        <v>9.7279999999999998</v>
      </c>
      <c r="BJ25" s="30">
        <f>BG25*BH25*BI25</f>
        <v>466.94399999999996</v>
      </c>
      <c r="BK25" s="730">
        <f t="shared" si="8"/>
        <v>5.7407829891765932E-2</v>
      </c>
      <c r="BL25" s="1455" t="s">
        <v>402</v>
      </c>
      <c r="BM25" s="109" t="str">
        <f>'Standard Vorgaben'!$B$119</f>
        <v>Tonerde (Myko Sin)</v>
      </c>
      <c r="BN25" s="11">
        <f>'Standard Vorgaben'!$C$119</f>
        <v>6</v>
      </c>
      <c r="BO25" s="11">
        <f>'Standard Vorgaben'!$D$119</f>
        <v>8</v>
      </c>
      <c r="BP25" s="11">
        <f>'Standard Vorgaben'!$E$119</f>
        <v>9.7279999999999998</v>
      </c>
      <c r="BQ25" s="30">
        <f>BN25*BO25*BP25</f>
        <v>466.94399999999996</v>
      </c>
      <c r="BR25" s="730">
        <f t="shared" si="9"/>
        <v>5.4083233102892349E-2</v>
      </c>
      <c r="BS25" s="1455" t="s">
        <v>402</v>
      </c>
      <c r="BT25" s="109" t="str">
        <f>'Standard Vorgaben'!$B$119</f>
        <v>Tonerde (Myko Sin)</v>
      </c>
      <c r="BU25" s="11">
        <f>'Standard Vorgaben'!$C$119</f>
        <v>6</v>
      </c>
      <c r="BV25" s="11">
        <f>'Standard Vorgaben'!$D$119</f>
        <v>8</v>
      </c>
      <c r="BW25" s="11">
        <f>'Standard Vorgaben'!$E$119</f>
        <v>9.7279999999999998</v>
      </c>
      <c r="BX25" s="30">
        <f>BU25*BV25*BW25</f>
        <v>466.94399999999996</v>
      </c>
      <c r="BY25" s="730">
        <f t="shared" si="10"/>
        <v>5.7407829891765932E-2</v>
      </c>
      <c r="BZ25" s="1455" t="s">
        <v>402</v>
      </c>
      <c r="CA25" s="109" t="str">
        <f>'Standard Vorgaben'!$B$119</f>
        <v>Tonerde (Myko Sin)</v>
      </c>
      <c r="CB25" s="11">
        <f>'Standard Vorgaben'!$C$119</f>
        <v>6</v>
      </c>
      <c r="CC25" s="11">
        <f>'Standard Vorgaben'!$D$119</f>
        <v>8</v>
      </c>
      <c r="CD25" s="11">
        <f>'Standard Vorgaben'!$E$119</f>
        <v>9.7279999999999998</v>
      </c>
      <c r="CE25" s="30">
        <f>CB25*CC25*CD25</f>
        <v>466.94399999999996</v>
      </c>
      <c r="CF25" s="730">
        <f t="shared" si="11"/>
        <v>5.7407829891765932E-2</v>
      </c>
      <c r="CG25" s="1455" t="s">
        <v>402</v>
      </c>
      <c r="CH25" s="109" t="str">
        <f>'Standard Vorgaben'!$B$119</f>
        <v>Tonerde (Myko Sin)</v>
      </c>
      <c r="CI25" s="11">
        <f>'Standard Vorgaben'!$C$119</f>
        <v>6</v>
      </c>
      <c r="CJ25" s="11">
        <f>'Standard Vorgaben'!$D$119</f>
        <v>8</v>
      </c>
      <c r="CK25" s="11">
        <f>'Standard Vorgaben'!$E$119</f>
        <v>9.7279999999999998</v>
      </c>
      <c r="CL25" s="30">
        <f>CI25*CJ25*CK25</f>
        <v>466.94399999999996</v>
      </c>
      <c r="CM25" s="730">
        <f t="shared" si="12"/>
        <v>5.4289129585162195E-2</v>
      </c>
      <c r="CN25" s="1455" t="s">
        <v>402</v>
      </c>
      <c r="CO25" s="109" t="str">
        <f>'Standard Vorgaben'!$B$119</f>
        <v>Tonerde (Myko Sin)</v>
      </c>
      <c r="CP25" s="11">
        <f>'Standard Vorgaben'!$C$119</f>
        <v>6</v>
      </c>
      <c r="CQ25" s="11">
        <f>'Standard Vorgaben'!$D$119</f>
        <v>8</v>
      </c>
      <c r="CR25" s="11">
        <f>'Standard Vorgaben'!$E$119</f>
        <v>9.7279999999999998</v>
      </c>
      <c r="CS25" s="30">
        <f>CP25*CQ25*CR25</f>
        <v>466.94399999999996</v>
      </c>
      <c r="CT25" s="730">
        <f t="shared" si="13"/>
        <v>5.7639872395603184E-2</v>
      </c>
      <c r="CU25" s="1455" t="s">
        <v>402</v>
      </c>
      <c r="CV25" s="109" t="str">
        <f>'Standard Vorgaben'!$B$119</f>
        <v>Tonerde (Myko Sin)</v>
      </c>
      <c r="CW25" s="11">
        <f>'Standard Vorgaben'!$C$119</f>
        <v>6</v>
      </c>
      <c r="CX25" s="11">
        <f>'Standard Vorgaben'!$D$119</f>
        <v>8</v>
      </c>
      <c r="CY25" s="11">
        <f>'Standard Vorgaben'!$E$119</f>
        <v>9.7279999999999998</v>
      </c>
      <c r="CZ25" s="30">
        <f>CW25*CX25*CY25</f>
        <v>466.94399999999996</v>
      </c>
      <c r="DA25" s="730">
        <f t="shared" si="14"/>
        <v>5.7639872395603184E-2</v>
      </c>
    </row>
    <row r="26" spans="1:105" ht="12.5" x14ac:dyDescent="0.25">
      <c r="A26" s="1454"/>
      <c r="B26" s="15" t="str">
        <f>'Standard Vorgaben'!B137</f>
        <v xml:space="preserve">Netzschwefel (Stullin) </v>
      </c>
      <c r="C26" s="1354">
        <f>'Standard Vorgaben'!C137</f>
        <v>10</v>
      </c>
      <c r="D26" s="1354">
        <f>'Standard Vorgaben'!D137</f>
        <v>12</v>
      </c>
      <c r="E26" s="1354">
        <f>'Standard Vorgaben'!E137</f>
        <v>2.98</v>
      </c>
      <c r="F26" s="30">
        <f t="shared" ref="F26:F38" si="16">C26*D26*E26</f>
        <v>357.6</v>
      </c>
      <c r="G26" s="730">
        <f t="shared" si="15"/>
        <v>6.8498346155702716E-2</v>
      </c>
      <c r="H26" s="1454"/>
      <c r="I26" s="13" t="str">
        <f>'Standard Vorgaben'!B154</f>
        <v xml:space="preserve">Netzschwefel (Stullin) </v>
      </c>
      <c r="J26" s="11">
        <f>'Standard Vorgaben'!C154</f>
        <v>10</v>
      </c>
      <c r="K26" s="296">
        <f>'Standard Vorgaben'!D154</f>
        <v>12</v>
      </c>
      <c r="L26" s="1176">
        <f>'Standard Vorgaben'!E154</f>
        <v>2.98</v>
      </c>
      <c r="M26" s="30">
        <f t="shared" ref="M26:M37" si="17">J26*K26*L26</f>
        <v>357.6</v>
      </c>
      <c r="N26" s="730">
        <f t="shared" si="2"/>
        <v>7.2893183842977424E-2</v>
      </c>
      <c r="O26" s="1455"/>
      <c r="P26" s="109" t="str">
        <f>'Standard Vorgaben'!$B$120</f>
        <v xml:space="preserve">Netzschwefel (Stullin) </v>
      </c>
      <c r="Q26" s="11">
        <f>'Standard Vorgaben'!$C$120</f>
        <v>10</v>
      </c>
      <c r="R26" s="11">
        <f>'Standard Vorgaben'!$D$120</f>
        <v>12</v>
      </c>
      <c r="S26" s="11">
        <f>'Standard Vorgaben'!$E$120</f>
        <v>2.98</v>
      </c>
      <c r="T26" s="30">
        <f t="shared" ref="T26:T38" si="18">Q26*R26*S26</f>
        <v>357.6</v>
      </c>
      <c r="U26" s="730">
        <f t="shared" si="3"/>
        <v>4.6452555499185616E-2</v>
      </c>
      <c r="V26" s="1455"/>
      <c r="W26" s="109" t="str">
        <f>'Standard Vorgaben'!$B$120</f>
        <v xml:space="preserve">Netzschwefel (Stullin) </v>
      </c>
      <c r="X26" s="11">
        <f>'Standard Vorgaben'!$C$120</f>
        <v>10</v>
      </c>
      <c r="Y26" s="11">
        <f>'Standard Vorgaben'!$D$120</f>
        <v>12</v>
      </c>
      <c r="Z26" s="11">
        <f>'Standard Vorgaben'!$E$120</f>
        <v>2.98</v>
      </c>
      <c r="AA26" s="30">
        <f t="shared" ref="AA26:AA38" si="19">X26*Y26*Z26</f>
        <v>357.6</v>
      </c>
      <c r="AB26" s="730">
        <f t="shared" si="1"/>
        <v>4.2383043817718069E-2</v>
      </c>
      <c r="AC26" s="1455"/>
      <c r="AD26" s="109" t="str">
        <f>'Standard Vorgaben'!$B$120</f>
        <v xml:space="preserve">Netzschwefel (Stullin) </v>
      </c>
      <c r="AE26" s="11">
        <f>'Standard Vorgaben'!$C$120</f>
        <v>10</v>
      </c>
      <c r="AF26" s="11">
        <f>'Standard Vorgaben'!$D$120</f>
        <v>12</v>
      </c>
      <c r="AG26" s="11">
        <f>'Standard Vorgaben'!$E$120</f>
        <v>2.98</v>
      </c>
      <c r="AH26" s="30">
        <f t="shared" ref="AH26:AH38" si="20">AE26*AF26*AG26</f>
        <v>357.6</v>
      </c>
      <c r="AI26" s="730">
        <f t="shared" si="4"/>
        <v>4.3964672357489333E-2</v>
      </c>
      <c r="AJ26" s="1455"/>
      <c r="AK26" s="109" t="str">
        <f>'Standard Vorgaben'!$B$120</f>
        <v xml:space="preserve">Netzschwefel (Stullin) </v>
      </c>
      <c r="AL26" s="11">
        <f>'Standard Vorgaben'!$C$120</f>
        <v>10</v>
      </c>
      <c r="AM26" s="11">
        <f>'Standard Vorgaben'!$D$120</f>
        <v>12</v>
      </c>
      <c r="AN26" s="11">
        <f>'Standard Vorgaben'!$E$120</f>
        <v>2.98</v>
      </c>
      <c r="AO26" s="30">
        <f t="shared" ref="AO26:AO38" si="21">AL26*AM26*AN26</f>
        <v>357.6</v>
      </c>
      <c r="AP26" s="730">
        <f t="shared" si="5"/>
        <v>4.3964672357489333E-2</v>
      </c>
      <c r="AQ26" s="1455"/>
      <c r="AR26" s="109" t="str">
        <f>'Standard Vorgaben'!$B$120</f>
        <v xml:space="preserve">Netzschwefel (Stullin) </v>
      </c>
      <c r="AS26" s="11">
        <f>'Standard Vorgaben'!$C$120</f>
        <v>10</v>
      </c>
      <c r="AT26" s="11">
        <f>'Standard Vorgaben'!$D$120</f>
        <v>12</v>
      </c>
      <c r="AU26" s="11">
        <f>'Standard Vorgaben'!$E$120</f>
        <v>2.98</v>
      </c>
      <c r="AV26" s="30">
        <f t="shared" ref="AV26:AV38" si="22">AS26*AT26*AU26</f>
        <v>357.6</v>
      </c>
      <c r="AW26" s="730">
        <f t="shared" si="6"/>
        <v>4.1418594430155019E-2</v>
      </c>
      <c r="AX26" s="1455"/>
      <c r="AY26" s="109" t="str">
        <f>'Standard Vorgaben'!$B$120</f>
        <v xml:space="preserve">Netzschwefel (Stullin) </v>
      </c>
      <c r="AZ26" s="11">
        <f>'Standard Vorgaben'!$C$120</f>
        <v>10</v>
      </c>
      <c r="BA26" s="11">
        <f>'Standard Vorgaben'!$D$120</f>
        <v>12</v>
      </c>
      <c r="BB26" s="11">
        <f>'Standard Vorgaben'!$E$120</f>
        <v>2.98</v>
      </c>
      <c r="BC26" s="30">
        <f t="shared" ref="BC26:BC38" si="23">AZ26*BA26*BB26</f>
        <v>357.6</v>
      </c>
      <c r="BD26" s="730">
        <f t="shared" si="7"/>
        <v>4.3964672357489333E-2</v>
      </c>
      <c r="BE26" s="1455"/>
      <c r="BF26" s="109" t="str">
        <f>'Standard Vorgaben'!$B$120</f>
        <v xml:space="preserve">Netzschwefel (Stullin) </v>
      </c>
      <c r="BG26" s="11">
        <f>'Standard Vorgaben'!$C$120</f>
        <v>10</v>
      </c>
      <c r="BH26" s="11">
        <f>'Standard Vorgaben'!$D$120</f>
        <v>12</v>
      </c>
      <c r="BI26" s="11">
        <f>'Standard Vorgaben'!$E$120</f>
        <v>2.98</v>
      </c>
      <c r="BJ26" s="30">
        <f t="shared" ref="BJ26:BJ38" si="24">BG26*BH26*BI26</f>
        <v>357.6</v>
      </c>
      <c r="BK26" s="730">
        <f t="shared" si="8"/>
        <v>4.3964672357489333E-2</v>
      </c>
      <c r="BL26" s="1455"/>
      <c r="BM26" s="109" t="str">
        <f>'Standard Vorgaben'!$B$120</f>
        <v xml:space="preserve">Netzschwefel (Stullin) </v>
      </c>
      <c r="BN26" s="11">
        <f>'Standard Vorgaben'!$C$120</f>
        <v>10</v>
      </c>
      <c r="BO26" s="11">
        <f>'Standard Vorgaben'!$D$120</f>
        <v>12</v>
      </c>
      <c r="BP26" s="11">
        <f>'Standard Vorgaben'!$E$120</f>
        <v>2.98</v>
      </c>
      <c r="BQ26" s="30">
        <f t="shared" ref="BQ26:BQ38" si="25">BN26*BO26*BP26</f>
        <v>357.6</v>
      </c>
      <c r="BR26" s="730">
        <f t="shared" si="9"/>
        <v>4.1418594430155019E-2</v>
      </c>
      <c r="BS26" s="1455"/>
      <c r="BT26" s="109" t="str">
        <f>'Standard Vorgaben'!$B$120</f>
        <v xml:space="preserve">Netzschwefel (Stullin) </v>
      </c>
      <c r="BU26" s="11">
        <f>'Standard Vorgaben'!$C$120</f>
        <v>10</v>
      </c>
      <c r="BV26" s="11">
        <f>'Standard Vorgaben'!$D$120</f>
        <v>12</v>
      </c>
      <c r="BW26" s="11">
        <f>'Standard Vorgaben'!$E$120</f>
        <v>2.98</v>
      </c>
      <c r="BX26" s="30">
        <f t="shared" ref="BX26:BX38" si="26">BU26*BV26*BW26</f>
        <v>357.6</v>
      </c>
      <c r="BY26" s="730">
        <f t="shared" si="10"/>
        <v>4.3964672357489333E-2</v>
      </c>
      <c r="BZ26" s="1455"/>
      <c r="CA26" s="109" t="str">
        <f>'Standard Vorgaben'!$B$120</f>
        <v xml:space="preserve">Netzschwefel (Stullin) </v>
      </c>
      <c r="CB26" s="11">
        <f>'Standard Vorgaben'!$C$120</f>
        <v>10</v>
      </c>
      <c r="CC26" s="11">
        <f>'Standard Vorgaben'!$D$120</f>
        <v>12</v>
      </c>
      <c r="CD26" s="11">
        <f>'Standard Vorgaben'!$E$120</f>
        <v>2.98</v>
      </c>
      <c r="CE26" s="30">
        <f t="shared" ref="CE26:CE38" si="27">CB26*CC26*CD26</f>
        <v>357.6</v>
      </c>
      <c r="CF26" s="730">
        <f t="shared" si="11"/>
        <v>4.3964672357489333E-2</v>
      </c>
      <c r="CG26" s="1455"/>
      <c r="CH26" s="109" t="str">
        <f>'Standard Vorgaben'!$B$120</f>
        <v xml:space="preserve">Netzschwefel (Stullin) </v>
      </c>
      <c r="CI26" s="11">
        <f>'Standard Vorgaben'!$C$120</f>
        <v>10</v>
      </c>
      <c r="CJ26" s="11">
        <f>'Standard Vorgaben'!$D$120</f>
        <v>12</v>
      </c>
      <c r="CK26" s="11">
        <f>'Standard Vorgaben'!$E$120</f>
        <v>2.98</v>
      </c>
      <c r="CL26" s="30">
        <f t="shared" ref="CL26:CL38" si="28">CI26*CJ26*CK26</f>
        <v>357.6</v>
      </c>
      <c r="CM26" s="730">
        <f t="shared" si="12"/>
        <v>4.157627625508413E-2</v>
      </c>
      <c r="CN26" s="1455"/>
      <c r="CO26" s="109" t="str">
        <f>'Standard Vorgaben'!$B$120</f>
        <v xml:space="preserve">Netzschwefel (Stullin) </v>
      </c>
      <c r="CP26" s="11">
        <f>'Standard Vorgaben'!$C$120</f>
        <v>10</v>
      </c>
      <c r="CQ26" s="11">
        <f>'Standard Vorgaben'!$D$120</f>
        <v>12</v>
      </c>
      <c r="CR26" s="11">
        <f>'Standard Vorgaben'!$E$120</f>
        <v>2.98</v>
      </c>
      <c r="CS26" s="30">
        <f t="shared" ref="CS26:CS38" si="29">CP26*CQ26*CR26</f>
        <v>357.6</v>
      </c>
      <c r="CT26" s="730">
        <f t="shared" si="13"/>
        <v>4.4142377605596604E-2</v>
      </c>
      <c r="CU26" s="1455"/>
      <c r="CV26" s="109" t="str">
        <f>'Standard Vorgaben'!$B$120</f>
        <v xml:space="preserve">Netzschwefel (Stullin) </v>
      </c>
      <c r="CW26" s="11">
        <f>'Standard Vorgaben'!$C$120</f>
        <v>10</v>
      </c>
      <c r="CX26" s="11">
        <f>'Standard Vorgaben'!$D$120</f>
        <v>12</v>
      </c>
      <c r="CY26" s="11">
        <f>'Standard Vorgaben'!$E$120</f>
        <v>2.98</v>
      </c>
      <c r="CZ26" s="30">
        <f t="shared" ref="CZ26:CZ38" si="30">CW26*CX26*CY26</f>
        <v>357.6</v>
      </c>
      <c r="DA26" s="730">
        <f t="shared" si="14"/>
        <v>4.4142377605596604E-2</v>
      </c>
    </row>
    <row r="27" spans="1:105" ht="12.5" x14ac:dyDescent="0.25">
      <c r="A27" s="1454"/>
      <c r="B27" s="15" t="str">
        <f>'Standard Vorgaben'!B138</f>
        <v>Kaliumbicarbonat (Armicarb)</v>
      </c>
      <c r="C27" s="1354">
        <f>'Standard Vorgaben'!C138</f>
        <v>2</v>
      </c>
      <c r="D27" s="1354">
        <f>'Standard Vorgaben'!D138</f>
        <v>4.8</v>
      </c>
      <c r="E27" s="1354">
        <f>'Standard Vorgaben'!E138</f>
        <v>17</v>
      </c>
      <c r="F27" s="30">
        <f t="shared" si="16"/>
        <v>163.19999999999999</v>
      </c>
      <c r="G27" s="730">
        <f t="shared" si="15"/>
        <v>3.1260990191864325E-2</v>
      </c>
      <c r="H27" s="1454"/>
      <c r="I27" s="13" t="str">
        <f>'Standard Vorgaben'!B155</f>
        <v>Kaliumbicarbonat (Armicarb)</v>
      </c>
      <c r="J27" s="11">
        <f>'Standard Vorgaben'!C155</f>
        <v>2</v>
      </c>
      <c r="K27" s="296">
        <f>'Standard Vorgaben'!D155</f>
        <v>4.8</v>
      </c>
      <c r="L27" s="1176">
        <f>'Standard Vorgaben'!E155</f>
        <v>17</v>
      </c>
      <c r="M27" s="30">
        <f t="shared" si="17"/>
        <v>163.19999999999999</v>
      </c>
      <c r="N27" s="730">
        <f t="shared" si="2"/>
        <v>3.3266687928338687E-2</v>
      </c>
      <c r="O27" s="1455"/>
      <c r="P27" s="109" t="str">
        <f>'Standard Vorgaben'!$B$121</f>
        <v>Kaliumbicarbonat (Armicarb)</v>
      </c>
      <c r="Q27" s="11">
        <f>'Standard Vorgaben'!$C$121</f>
        <v>6</v>
      </c>
      <c r="R27" s="11">
        <f>'Standard Vorgaben'!$D$121</f>
        <v>4.8</v>
      </c>
      <c r="S27" s="11">
        <f>'Standard Vorgaben'!$E$121</f>
        <v>17</v>
      </c>
      <c r="T27" s="30">
        <f t="shared" si="18"/>
        <v>489.59999999999997</v>
      </c>
      <c r="U27" s="730">
        <f t="shared" si="3"/>
        <v>6.3599471958616538E-2</v>
      </c>
      <c r="V27" s="1455"/>
      <c r="W27" s="109" t="str">
        <f>'Standard Vorgaben'!$B$121</f>
        <v>Kaliumbicarbonat (Armicarb)</v>
      </c>
      <c r="X27" s="11">
        <f>'Standard Vorgaben'!$C$121</f>
        <v>6</v>
      </c>
      <c r="Y27" s="11">
        <f>'Standard Vorgaben'!$D$121</f>
        <v>4.8</v>
      </c>
      <c r="Z27" s="11">
        <f>'Standard Vorgaben'!$E$121</f>
        <v>17</v>
      </c>
      <c r="AA27" s="30">
        <f t="shared" si="19"/>
        <v>489.59999999999997</v>
      </c>
      <c r="AB27" s="730">
        <f t="shared" si="1"/>
        <v>5.8027791535667679E-2</v>
      </c>
      <c r="AC27" s="1455"/>
      <c r="AD27" s="109" t="str">
        <f>'Standard Vorgaben'!$B$121</f>
        <v>Kaliumbicarbonat (Armicarb)</v>
      </c>
      <c r="AE27" s="11">
        <f>'Standard Vorgaben'!$C$121</f>
        <v>6</v>
      </c>
      <c r="AF27" s="11">
        <f>'Standard Vorgaben'!$D$121</f>
        <v>4.8</v>
      </c>
      <c r="AG27" s="11">
        <f>'Standard Vorgaben'!$E$121</f>
        <v>17</v>
      </c>
      <c r="AH27" s="30">
        <f t="shared" si="20"/>
        <v>489.59999999999997</v>
      </c>
      <c r="AI27" s="730">
        <f t="shared" si="4"/>
        <v>6.0193242690790759E-2</v>
      </c>
      <c r="AJ27" s="1455"/>
      <c r="AK27" s="109" t="str">
        <f>'Standard Vorgaben'!$B$121</f>
        <v>Kaliumbicarbonat (Armicarb)</v>
      </c>
      <c r="AL27" s="11">
        <f>'Standard Vorgaben'!$C$121</f>
        <v>6</v>
      </c>
      <c r="AM27" s="11">
        <f>'Standard Vorgaben'!$D$121</f>
        <v>4.8</v>
      </c>
      <c r="AN27" s="11">
        <f>'Standard Vorgaben'!$E$121</f>
        <v>17</v>
      </c>
      <c r="AO27" s="30">
        <f t="shared" si="21"/>
        <v>489.59999999999997</v>
      </c>
      <c r="AP27" s="730">
        <f t="shared" si="5"/>
        <v>6.0193242690790759E-2</v>
      </c>
      <c r="AQ27" s="1455"/>
      <c r="AR27" s="109" t="str">
        <f>'Standard Vorgaben'!$B$121</f>
        <v>Kaliumbicarbonat (Armicarb)</v>
      </c>
      <c r="AS27" s="11">
        <f>'Standard Vorgaben'!$C$121</f>
        <v>6</v>
      </c>
      <c r="AT27" s="11">
        <f>'Standard Vorgaben'!$D$121</f>
        <v>4.8</v>
      </c>
      <c r="AU27" s="11">
        <f>'Standard Vorgaben'!$E$121</f>
        <v>17</v>
      </c>
      <c r="AV27" s="30">
        <f t="shared" si="22"/>
        <v>489.59999999999997</v>
      </c>
      <c r="AW27" s="730">
        <f t="shared" si="6"/>
        <v>5.6707337340614922E-2</v>
      </c>
      <c r="AX27" s="1455"/>
      <c r="AY27" s="109" t="str">
        <f>'Standard Vorgaben'!$B$121</f>
        <v>Kaliumbicarbonat (Armicarb)</v>
      </c>
      <c r="AZ27" s="11">
        <f>'Standard Vorgaben'!$C$121</f>
        <v>6</v>
      </c>
      <c r="BA27" s="11">
        <f>'Standard Vorgaben'!$D$121</f>
        <v>4.8</v>
      </c>
      <c r="BB27" s="11">
        <f>'Standard Vorgaben'!$E$121</f>
        <v>17</v>
      </c>
      <c r="BC27" s="30">
        <f t="shared" si="23"/>
        <v>489.59999999999997</v>
      </c>
      <c r="BD27" s="730">
        <f t="shared" si="7"/>
        <v>6.0193242690790759E-2</v>
      </c>
      <c r="BE27" s="1455"/>
      <c r="BF27" s="109" t="str">
        <f>'Standard Vorgaben'!$B$121</f>
        <v>Kaliumbicarbonat (Armicarb)</v>
      </c>
      <c r="BG27" s="11">
        <f>'Standard Vorgaben'!$C$121</f>
        <v>6</v>
      </c>
      <c r="BH27" s="11">
        <f>'Standard Vorgaben'!$D$121</f>
        <v>4.8</v>
      </c>
      <c r="BI27" s="11">
        <f>'Standard Vorgaben'!$E$121</f>
        <v>17</v>
      </c>
      <c r="BJ27" s="30">
        <f t="shared" si="24"/>
        <v>489.59999999999997</v>
      </c>
      <c r="BK27" s="730">
        <f t="shared" si="8"/>
        <v>6.0193242690790759E-2</v>
      </c>
      <c r="BL27" s="1455"/>
      <c r="BM27" s="109" t="str">
        <f>'Standard Vorgaben'!$B$121</f>
        <v>Kaliumbicarbonat (Armicarb)</v>
      </c>
      <c r="BN27" s="11">
        <f>'Standard Vorgaben'!$C$121</f>
        <v>6</v>
      </c>
      <c r="BO27" s="11">
        <f>'Standard Vorgaben'!$D$121</f>
        <v>4.8</v>
      </c>
      <c r="BP27" s="11">
        <f>'Standard Vorgaben'!$E$121</f>
        <v>17</v>
      </c>
      <c r="BQ27" s="30">
        <f t="shared" si="25"/>
        <v>489.59999999999997</v>
      </c>
      <c r="BR27" s="730">
        <f t="shared" si="9"/>
        <v>5.6707337340614922E-2</v>
      </c>
      <c r="BS27" s="1455"/>
      <c r="BT27" s="109" t="str">
        <f>'Standard Vorgaben'!$B$121</f>
        <v>Kaliumbicarbonat (Armicarb)</v>
      </c>
      <c r="BU27" s="11">
        <f>'Standard Vorgaben'!$C$121</f>
        <v>6</v>
      </c>
      <c r="BV27" s="11">
        <f>'Standard Vorgaben'!$D$121</f>
        <v>4.8</v>
      </c>
      <c r="BW27" s="11">
        <f>'Standard Vorgaben'!$E$121</f>
        <v>17</v>
      </c>
      <c r="BX27" s="30">
        <f t="shared" si="26"/>
        <v>489.59999999999997</v>
      </c>
      <c r="BY27" s="730">
        <f t="shared" si="10"/>
        <v>6.0193242690790759E-2</v>
      </c>
      <c r="BZ27" s="1455"/>
      <c r="CA27" s="109" t="str">
        <f>'Standard Vorgaben'!$B$121</f>
        <v>Kaliumbicarbonat (Armicarb)</v>
      </c>
      <c r="CB27" s="11">
        <f>'Standard Vorgaben'!$C$121</f>
        <v>6</v>
      </c>
      <c r="CC27" s="11">
        <f>'Standard Vorgaben'!$D$121</f>
        <v>4.8</v>
      </c>
      <c r="CD27" s="11">
        <f>'Standard Vorgaben'!$E$121</f>
        <v>17</v>
      </c>
      <c r="CE27" s="30">
        <f t="shared" si="27"/>
        <v>489.59999999999997</v>
      </c>
      <c r="CF27" s="730">
        <f t="shared" si="11"/>
        <v>6.0193242690790759E-2</v>
      </c>
      <c r="CG27" s="1455"/>
      <c r="CH27" s="109" t="str">
        <f>'Standard Vorgaben'!$B$121</f>
        <v>Kaliumbicarbonat (Armicarb)</v>
      </c>
      <c r="CI27" s="11">
        <f>'Standard Vorgaben'!$C$121</f>
        <v>6</v>
      </c>
      <c r="CJ27" s="11">
        <f>'Standard Vorgaben'!$D$121</f>
        <v>4.8</v>
      </c>
      <c r="CK27" s="11">
        <f>'Standard Vorgaben'!$E$121</f>
        <v>17</v>
      </c>
      <c r="CL27" s="30">
        <f t="shared" si="28"/>
        <v>489.59999999999997</v>
      </c>
      <c r="CM27" s="730">
        <f t="shared" si="12"/>
        <v>5.6923223866021215E-2</v>
      </c>
      <c r="CN27" s="1455"/>
      <c r="CO27" s="109" t="str">
        <f>'Standard Vorgaben'!$B$121</f>
        <v>Kaliumbicarbonat (Armicarb)</v>
      </c>
      <c r="CP27" s="11">
        <f>'Standard Vorgaben'!$C$121</f>
        <v>6</v>
      </c>
      <c r="CQ27" s="11">
        <f>'Standard Vorgaben'!$D$121</f>
        <v>4.8</v>
      </c>
      <c r="CR27" s="11">
        <f>'Standard Vorgaben'!$E$121</f>
        <v>17</v>
      </c>
      <c r="CS27" s="30">
        <f t="shared" si="29"/>
        <v>489.59999999999997</v>
      </c>
      <c r="CT27" s="730">
        <f t="shared" si="13"/>
        <v>6.0436543835850377E-2</v>
      </c>
      <c r="CU27" s="1455"/>
      <c r="CV27" s="109" t="str">
        <f>'Standard Vorgaben'!$B$121</f>
        <v>Kaliumbicarbonat (Armicarb)</v>
      </c>
      <c r="CW27" s="11">
        <f>'Standard Vorgaben'!$C$121</f>
        <v>6</v>
      </c>
      <c r="CX27" s="11">
        <f>'Standard Vorgaben'!$D$121</f>
        <v>4.8</v>
      </c>
      <c r="CY27" s="11">
        <f>'Standard Vorgaben'!$E$121</f>
        <v>17</v>
      </c>
      <c r="CZ27" s="30">
        <f t="shared" si="30"/>
        <v>489.59999999999997</v>
      </c>
      <c r="DA27" s="730">
        <f t="shared" si="14"/>
        <v>6.0436543835850377E-2</v>
      </c>
    </row>
    <row r="28" spans="1:105" ht="12.5" x14ac:dyDescent="0.25">
      <c r="A28" s="1454"/>
      <c r="B28" s="15" t="str">
        <f>'Standard Vorgaben'!B139</f>
        <v>Kupfer (Airone WG)</v>
      </c>
      <c r="C28" s="1354">
        <f>'Standard Vorgaben'!C139</f>
        <v>2</v>
      </c>
      <c r="D28" s="1354">
        <f>'Standard Vorgaben'!D139</f>
        <v>3</v>
      </c>
      <c r="E28" s="1354">
        <f>'Standard Vorgaben'!E139</f>
        <v>24.5</v>
      </c>
      <c r="F28" s="30">
        <f t="shared" si="16"/>
        <v>147</v>
      </c>
      <c r="G28" s="730">
        <f t="shared" si="15"/>
        <v>2.8157877194877792E-2</v>
      </c>
      <c r="H28" s="1454"/>
      <c r="I28" s="13" t="str">
        <f>'Standard Vorgaben'!B156</f>
        <v>Kupfer (Airone WG)</v>
      </c>
      <c r="J28" s="11">
        <f>'Standard Vorgaben'!C156</f>
        <v>2</v>
      </c>
      <c r="K28" s="296">
        <f>'Standard Vorgaben'!D156</f>
        <v>3</v>
      </c>
      <c r="L28" s="1176">
        <f>'Standard Vorgaben'!E156</f>
        <v>24.5</v>
      </c>
      <c r="M28" s="30">
        <f t="shared" si="17"/>
        <v>147</v>
      </c>
      <c r="N28" s="730">
        <f t="shared" si="2"/>
        <v>2.9964479935452128E-2</v>
      </c>
      <c r="O28" s="1455"/>
      <c r="P28" s="109" t="str">
        <f>'Standard Vorgaben'!$B$122</f>
        <v>Kupfer (Airone WG)</v>
      </c>
      <c r="Q28" s="11">
        <f>'Standard Vorgaben'!$C$122</f>
        <v>2</v>
      </c>
      <c r="R28" s="11">
        <f>'Standard Vorgaben'!$D$122</f>
        <v>3</v>
      </c>
      <c r="S28" s="11">
        <f>'Standard Vorgaben'!$E$122</f>
        <v>24.5</v>
      </c>
      <c r="T28" s="30">
        <f t="shared" si="18"/>
        <v>147</v>
      </c>
      <c r="U28" s="730">
        <f t="shared" si="3"/>
        <v>1.9095429693457174E-2</v>
      </c>
      <c r="V28" s="1455"/>
      <c r="W28" s="109" t="str">
        <f>'Standard Vorgaben'!$B$122</f>
        <v>Kupfer (Airone WG)</v>
      </c>
      <c r="X28" s="11">
        <f>'Standard Vorgaben'!$C$122</f>
        <v>2</v>
      </c>
      <c r="Y28" s="11">
        <f>'Standard Vorgaben'!$D$122</f>
        <v>3</v>
      </c>
      <c r="Z28" s="11">
        <f>'Standard Vorgaben'!$E$122</f>
        <v>24.5</v>
      </c>
      <c r="AA28" s="30">
        <f t="shared" si="19"/>
        <v>147</v>
      </c>
      <c r="AB28" s="730">
        <f t="shared" si="1"/>
        <v>1.7422559958625714E-2</v>
      </c>
      <c r="AC28" s="1455"/>
      <c r="AD28" s="109" t="str">
        <f>'Standard Vorgaben'!$B$122</f>
        <v>Kupfer (Airone WG)</v>
      </c>
      <c r="AE28" s="11">
        <f>'Standard Vorgaben'!$C$122</f>
        <v>2</v>
      </c>
      <c r="AF28" s="11">
        <f>'Standard Vorgaben'!$D$122</f>
        <v>3</v>
      </c>
      <c r="AG28" s="11">
        <f>'Standard Vorgaben'!$E$122</f>
        <v>24.5</v>
      </c>
      <c r="AH28" s="30">
        <f t="shared" si="20"/>
        <v>147</v>
      </c>
      <c r="AI28" s="730">
        <f t="shared" si="4"/>
        <v>1.8072726052994776E-2</v>
      </c>
      <c r="AJ28" s="1455"/>
      <c r="AK28" s="109" t="str">
        <f>'Standard Vorgaben'!$B$122</f>
        <v>Kupfer (Airone WG)</v>
      </c>
      <c r="AL28" s="11">
        <f>'Standard Vorgaben'!$C$122</f>
        <v>2</v>
      </c>
      <c r="AM28" s="11">
        <f>'Standard Vorgaben'!$D$122</f>
        <v>3</v>
      </c>
      <c r="AN28" s="11">
        <f>'Standard Vorgaben'!$E$122</f>
        <v>24.5</v>
      </c>
      <c r="AO28" s="30">
        <f t="shared" si="21"/>
        <v>147</v>
      </c>
      <c r="AP28" s="730">
        <f t="shared" si="5"/>
        <v>1.8072726052994776E-2</v>
      </c>
      <c r="AQ28" s="1455"/>
      <c r="AR28" s="109" t="str">
        <f>'Standard Vorgaben'!$B$122</f>
        <v>Kupfer (Airone WG)</v>
      </c>
      <c r="AS28" s="11">
        <f>'Standard Vorgaben'!$C$122</f>
        <v>2</v>
      </c>
      <c r="AT28" s="11">
        <f>'Standard Vorgaben'!$D$122</f>
        <v>3</v>
      </c>
      <c r="AU28" s="11">
        <f>'Standard Vorgaben'!$E$122</f>
        <v>24.5</v>
      </c>
      <c r="AV28" s="30">
        <f t="shared" si="22"/>
        <v>147</v>
      </c>
      <c r="AW28" s="730">
        <f t="shared" si="6"/>
        <v>1.7026100059375805E-2</v>
      </c>
      <c r="AX28" s="1455"/>
      <c r="AY28" s="109" t="str">
        <f>'Standard Vorgaben'!$B$122</f>
        <v>Kupfer (Airone WG)</v>
      </c>
      <c r="AZ28" s="11">
        <f>'Standard Vorgaben'!$C$122</f>
        <v>2</v>
      </c>
      <c r="BA28" s="11">
        <f>'Standard Vorgaben'!$D$122</f>
        <v>3</v>
      </c>
      <c r="BB28" s="11">
        <f>'Standard Vorgaben'!$E$122</f>
        <v>24.5</v>
      </c>
      <c r="BC28" s="30">
        <f t="shared" si="23"/>
        <v>147</v>
      </c>
      <c r="BD28" s="730">
        <f t="shared" si="7"/>
        <v>1.8072726052994776E-2</v>
      </c>
      <c r="BE28" s="1455"/>
      <c r="BF28" s="109" t="str">
        <f>'Standard Vorgaben'!$B$122</f>
        <v>Kupfer (Airone WG)</v>
      </c>
      <c r="BG28" s="11">
        <f>'Standard Vorgaben'!$C$122</f>
        <v>2</v>
      </c>
      <c r="BH28" s="11">
        <f>'Standard Vorgaben'!$D$122</f>
        <v>3</v>
      </c>
      <c r="BI28" s="11">
        <f>'Standard Vorgaben'!$E$122</f>
        <v>24.5</v>
      </c>
      <c r="BJ28" s="30">
        <f t="shared" si="24"/>
        <v>147</v>
      </c>
      <c r="BK28" s="730">
        <f t="shared" si="8"/>
        <v>1.8072726052994776E-2</v>
      </c>
      <c r="BL28" s="1455"/>
      <c r="BM28" s="109" t="str">
        <f>'Standard Vorgaben'!$B$122</f>
        <v>Kupfer (Airone WG)</v>
      </c>
      <c r="BN28" s="11">
        <f>'Standard Vorgaben'!$C$122</f>
        <v>2</v>
      </c>
      <c r="BO28" s="11">
        <f>'Standard Vorgaben'!$D$122</f>
        <v>3</v>
      </c>
      <c r="BP28" s="11">
        <f>'Standard Vorgaben'!$E$122</f>
        <v>24.5</v>
      </c>
      <c r="BQ28" s="30">
        <f t="shared" si="25"/>
        <v>147</v>
      </c>
      <c r="BR28" s="730">
        <f t="shared" si="9"/>
        <v>1.7026100059375805E-2</v>
      </c>
      <c r="BS28" s="1455"/>
      <c r="BT28" s="109" t="str">
        <f>'Standard Vorgaben'!$B$122</f>
        <v>Kupfer (Airone WG)</v>
      </c>
      <c r="BU28" s="11">
        <f>'Standard Vorgaben'!$C$122</f>
        <v>2</v>
      </c>
      <c r="BV28" s="11">
        <f>'Standard Vorgaben'!$D$122</f>
        <v>3</v>
      </c>
      <c r="BW28" s="11">
        <f>'Standard Vorgaben'!$E$122</f>
        <v>24.5</v>
      </c>
      <c r="BX28" s="30">
        <f t="shared" si="26"/>
        <v>147</v>
      </c>
      <c r="BY28" s="730">
        <f t="shared" si="10"/>
        <v>1.8072726052994776E-2</v>
      </c>
      <c r="BZ28" s="1455"/>
      <c r="CA28" s="109" t="str">
        <f>'Standard Vorgaben'!$B$122</f>
        <v>Kupfer (Airone WG)</v>
      </c>
      <c r="CB28" s="11">
        <f>'Standard Vorgaben'!$C$122</f>
        <v>2</v>
      </c>
      <c r="CC28" s="11">
        <f>'Standard Vorgaben'!$D$122</f>
        <v>3</v>
      </c>
      <c r="CD28" s="11">
        <f>'Standard Vorgaben'!$E$122</f>
        <v>24.5</v>
      </c>
      <c r="CE28" s="30">
        <f t="shared" si="27"/>
        <v>147</v>
      </c>
      <c r="CF28" s="730">
        <f t="shared" si="11"/>
        <v>1.8072726052994776E-2</v>
      </c>
      <c r="CG28" s="1455"/>
      <c r="CH28" s="109" t="str">
        <f>'Standard Vorgaben'!$B$122</f>
        <v>Kupfer (Airone WG)</v>
      </c>
      <c r="CI28" s="11">
        <f>'Standard Vorgaben'!$C$122</f>
        <v>2</v>
      </c>
      <c r="CJ28" s="11">
        <f>'Standard Vorgaben'!$D$122</f>
        <v>3</v>
      </c>
      <c r="CK28" s="11">
        <f>'Standard Vorgaben'!$E$122</f>
        <v>24.5</v>
      </c>
      <c r="CL28" s="30">
        <f t="shared" si="28"/>
        <v>147</v>
      </c>
      <c r="CM28" s="730">
        <f t="shared" si="12"/>
        <v>1.7090918930361763E-2</v>
      </c>
      <c r="CN28" s="1455"/>
      <c r="CO28" s="109" t="str">
        <f>'Standard Vorgaben'!$B$122</f>
        <v>Kupfer (Airone WG)</v>
      </c>
      <c r="CP28" s="11">
        <f>'Standard Vorgaben'!$C$122</f>
        <v>2</v>
      </c>
      <c r="CQ28" s="11">
        <f>'Standard Vorgaben'!$D$122</f>
        <v>3</v>
      </c>
      <c r="CR28" s="11">
        <f>'Standard Vorgaben'!$E$122</f>
        <v>24.5</v>
      </c>
      <c r="CS28" s="30">
        <f t="shared" si="29"/>
        <v>147</v>
      </c>
      <c r="CT28" s="730">
        <f t="shared" si="13"/>
        <v>1.8145776029146254E-2</v>
      </c>
      <c r="CU28" s="1455"/>
      <c r="CV28" s="109" t="str">
        <f>'Standard Vorgaben'!$B$122</f>
        <v>Kupfer (Airone WG)</v>
      </c>
      <c r="CW28" s="11">
        <f>'Standard Vorgaben'!$C$122</f>
        <v>2</v>
      </c>
      <c r="CX28" s="11">
        <f>'Standard Vorgaben'!$D$122</f>
        <v>3</v>
      </c>
      <c r="CY28" s="11">
        <f>'Standard Vorgaben'!$E$122</f>
        <v>24.5</v>
      </c>
      <c r="CZ28" s="30">
        <f t="shared" si="30"/>
        <v>147</v>
      </c>
      <c r="DA28" s="730">
        <f t="shared" si="14"/>
        <v>1.8145776029146254E-2</v>
      </c>
    </row>
    <row r="29" spans="1:105" ht="12.5" x14ac:dyDescent="0.25">
      <c r="A29" s="1454"/>
      <c r="B29" s="15" t="str">
        <f>'Standard Vorgaben'!B140</f>
        <v>Schwefelkalk (Curatio)</v>
      </c>
      <c r="C29" s="1354">
        <f>'Standard Vorgaben'!C140</f>
        <v>5</v>
      </c>
      <c r="D29" s="1354">
        <f>'Standard Vorgaben'!D140</f>
        <v>18</v>
      </c>
      <c r="E29" s="1354">
        <f>'Standard Vorgaben'!E140</f>
        <v>3.9450000000000003</v>
      </c>
      <c r="F29" s="30">
        <f t="shared" si="16"/>
        <v>355.05</v>
      </c>
      <c r="G29" s="730">
        <f t="shared" si="15"/>
        <v>6.8009893183954839E-2</v>
      </c>
      <c r="H29" s="1454"/>
      <c r="I29" s="13" t="str">
        <f>'Standard Vorgaben'!B157</f>
        <v>Schwefelkalk (Curatio)</v>
      </c>
      <c r="J29" s="11">
        <f>'Standard Vorgaben'!C157</f>
        <v>5</v>
      </c>
      <c r="K29" s="296">
        <f>'Standard Vorgaben'!D157</f>
        <v>18</v>
      </c>
      <c r="L29" s="1176">
        <f>'Standard Vorgaben'!E157</f>
        <v>3.9450000000000003</v>
      </c>
      <c r="M29" s="30">
        <f t="shared" si="17"/>
        <v>355.05</v>
      </c>
      <c r="N29" s="730">
        <f t="shared" si="2"/>
        <v>7.2373391844097135E-2</v>
      </c>
      <c r="O29" s="1455"/>
      <c r="P29" s="109" t="str">
        <f>'Standard Vorgaben'!$B$123</f>
        <v>Schwefelkalk (Curatio)</v>
      </c>
      <c r="Q29" s="11">
        <f>'Standard Vorgaben'!$C$123</f>
        <v>5</v>
      </c>
      <c r="R29" s="11">
        <f>'Standard Vorgaben'!$D$123</f>
        <v>18</v>
      </c>
      <c r="S29" s="11">
        <f>'Standard Vorgaben'!$E$123</f>
        <v>3.9450000000000003</v>
      </c>
      <c r="T29" s="30">
        <f t="shared" si="18"/>
        <v>355.05</v>
      </c>
      <c r="U29" s="730">
        <f t="shared" si="3"/>
        <v>4.6121308249401152E-2</v>
      </c>
      <c r="V29" s="1455"/>
      <c r="W29" s="109" t="str">
        <f>'Standard Vorgaben'!$B$123</f>
        <v>Schwefelkalk (Curatio)</v>
      </c>
      <c r="X29" s="11">
        <f>'Standard Vorgaben'!$C$123</f>
        <v>5</v>
      </c>
      <c r="Y29" s="11">
        <f>'Standard Vorgaben'!$D$123</f>
        <v>18</v>
      </c>
      <c r="Z29" s="11">
        <f>'Standard Vorgaben'!$E$123</f>
        <v>3.9450000000000003</v>
      </c>
      <c r="AA29" s="30">
        <f t="shared" si="19"/>
        <v>355.05</v>
      </c>
      <c r="AB29" s="730">
        <f t="shared" si="1"/>
        <v>4.2080815736803126E-2</v>
      </c>
      <c r="AC29" s="1455"/>
      <c r="AD29" s="109" t="str">
        <f>'Standard Vorgaben'!$B$123</f>
        <v>Schwefelkalk (Curatio)</v>
      </c>
      <c r="AE29" s="11">
        <f>'Standard Vorgaben'!$C$123</f>
        <v>5</v>
      </c>
      <c r="AF29" s="11">
        <f>'Standard Vorgaben'!$D$123</f>
        <v>18</v>
      </c>
      <c r="AG29" s="11">
        <f>'Standard Vorgaben'!$E$123</f>
        <v>3.9450000000000003</v>
      </c>
      <c r="AH29" s="30">
        <f t="shared" si="20"/>
        <v>355.05</v>
      </c>
      <c r="AI29" s="730">
        <f t="shared" si="4"/>
        <v>4.3651165885141466E-2</v>
      </c>
      <c r="AJ29" s="1455"/>
      <c r="AK29" s="109" t="str">
        <f>'Standard Vorgaben'!$B$123</f>
        <v>Schwefelkalk (Curatio)</v>
      </c>
      <c r="AL29" s="11">
        <f>'Standard Vorgaben'!$C$123</f>
        <v>5</v>
      </c>
      <c r="AM29" s="11">
        <f>'Standard Vorgaben'!$D$123</f>
        <v>18</v>
      </c>
      <c r="AN29" s="11">
        <f>'Standard Vorgaben'!$E$123</f>
        <v>3.9450000000000003</v>
      </c>
      <c r="AO29" s="30">
        <f t="shared" si="21"/>
        <v>355.05</v>
      </c>
      <c r="AP29" s="730">
        <f t="shared" si="5"/>
        <v>4.3651165885141466E-2</v>
      </c>
      <c r="AQ29" s="1455"/>
      <c r="AR29" s="109" t="str">
        <f>'Standard Vorgaben'!$B$123</f>
        <v>Schwefelkalk (Curatio)</v>
      </c>
      <c r="AS29" s="11">
        <f>'Standard Vorgaben'!$C$123</f>
        <v>5</v>
      </c>
      <c r="AT29" s="11">
        <f>'Standard Vorgaben'!$D$123</f>
        <v>18</v>
      </c>
      <c r="AU29" s="11">
        <f>'Standard Vorgaben'!$E$123</f>
        <v>3.9450000000000003</v>
      </c>
      <c r="AV29" s="30">
        <f t="shared" si="22"/>
        <v>355.05</v>
      </c>
      <c r="AW29" s="730">
        <f t="shared" si="6"/>
        <v>4.1123243714839317E-2</v>
      </c>
      <c r="AX29" s="1455"/>
      <c r="AY29" s="109" t="str">
        <f>'Standard Vorgaben'!$B$123</f>
        <v>Schwefelkalk (Curatio)</v>
      </c>
      <c r="AZ29" s="11">
        <f>'Standard Vorgaben'!$C$123</f>
        <v>5</v>
      </c>
      <c r="BA29" s="11">
        <f>'Standard Vorgaben'!$D$123</f>
        <v>18</v>
      </c>
      <c r="BB29" s="11">
        <f>'Standard Vorgaben'!$E$123</f>
        <v>3.9450000000000003</v>
      </c>
      <c r="BC29" s="30">
        <f t="shared" si="23"/>
        <v>355.05</v>
      </c>
      <c r="BD29" s="730">
        <f t="shared" si="7"/>
        <v>4.3651165885141466E-2</v>
      </c>
      <c r="BE29" s="1455"/>
      <c r="BF29" s="109" t="str">
        <f>'Standard Vorgaben'!$B$123</f>
        <v>Schwefelkalk (Curatio)</v>
      </c>
      <c r="BG29" s="11">
        <f>'Standard Vorgaben'!$C$123</f>
        <v>5</v>
      </c>
      <c r="BH29" s="11">
        <f>'Standard Vorgaben'!$D$123</f>
        <v>18</v>
      </c>
      <c r="BI29" s="11">
        <f>'Standard Vorgaben'!$E$123</f>
        <v>3.9450000000000003</v>
      </c>
      <c r="BJ29" s="30">
        <f t="shared" si="24"/>
        <v>355.05</v>
      </c>
      <c r="BK29" s="730">
        <f t="shared" si="8"/>
        <v>4.3651165885141466E-2</v>
      </c>
      <c r="BL29" s="1455"/>
      <c r="BM29" s="109" t="str">
        <f>'Standard Vorgaben'!$B$123</f>
        <v>Schwefelkalk (Curatio)</v>
      </c>
      <c r="BN29" s="11">
        <f>'Standard Vorgaben'!$C$123</f>
        <v>5</v>
      </c>
      <c r="BO29" s="11">
        <f>'Standard Vorgaben'!$D$123</f>
        <v>18</v>
      </c>
      <c r="BP29" s="11">
        <f>'Standard Vorgaben'!$E$123</f>
        <v>3.9450000000000003</v>
      </c>
      <c r="BQ29" s="30">
        <f t="shared" si="25"/>
        <v>355.05</v>
      </c>
      <c r="BR29" s="730">
        <f t="shared" si="9"/>
        <v>4.1123243714839317E-2</v>
      </c>
      <c r="BS29" s="1455"/>
      <c r="BT29" s="109" t="str">
        <f>'Standard Vorgaben'!$B$123</f>
        <v>Schwefelkalk (Curatio)</v>
      </c>
      <c r="BU29" s="11">
        <f>'Standard Vorgaben'!$C$123</f>
        <v>5</v>
      </c>
      <c r="BV29" s="11">
        <f>'Standard Vorgaben'!$D$123</f>
        <v>18</v>
      </c>
      <c r="BW29" s="11">
        <f>'Standard Vorgaben'!$E$123</f>
        <v>3.9450000000000003</v>
      </c>
      <c r="BX29" s="30">
        <f t="shared" si="26"/>
        <v>355.05</v>
      </c>
      <c r="BY29" s="730">
        <f t="shared" si="10"/>
        <v>4.3651165885141466E-2</v>
      </c>
      <c r="BZ29" s="1455"/>
      <c r="CA29" s="109" t="str">
        <f>'Standard Vorgaben'!$B$123</f>
        <v>Schwefelkalk (Curatio)</v>
      </c>
      <c r="CB29" s="11">
        <f>'Standard Vorgaben'!$C$123</f>
        <v>5</v>
      </c>
      <c r="CC29" s="11">
        <f>'Standard Vorgaben'!$D$123</f>
        <v>18</v>
      </c>
      <c r="CD29" s="11">
        <f>'Standard Vorgaben'!$E$123</f>
        <v>3.9450000000000003</v>
      </c>
      <c r="CE29" s="30">
        <f t="shared" si="27"/>
        <v>355.05</v>
      </c>
      <c r="CF29" s="730">
        <f t="shared" si="11"/>
        <v>4.3651165885141466E-2</v>
      </c>
      <c r="CG29" s="1455"/>
      <c r="CH29" s="109" t="str">
        <f>'Standard Vorgaben'!$B$123</f>
        <v>Schwefelkalk (Curatio)</v>
      </c>
      <c r="CI29" s="11">
        <f>'Standard Vorgaben'!$C$123</f>
        <v>5</v>
      </c>
      <c r="CJ29" s="11">
        <f>'Standard Vorgaben'!$D$123</f>
        <v>18</v>
      </c>
      <c r="CK29" s="11">
        <f>'Standard Vorgaben'!$E$123</f>
        <v>3.9450000000000003</v>
      </c>
      <c r="CL29" s="30">
        <f t="shared" si="28"/>
        <v>355.05</v>
      </c>
      <c r="CM29" s="730">
        <f t="shared" si="12"/>
        <v>4.1279801130781932E-2</v>
      </c>
      <c r="CN29" s="1455"/>
      <c r="CO29" s="109" t="str">
        <f>'Standard Vorgaben'!$B$123</f>
        <v>Schwefelkalk (Curatio)</v>
      </c>
      <c r="CP29" s="11">
        <f>'Standard Vorgaben'!$C$123</f>
        <v>5</v>
      </c>
      <c r="CQ29" s="11">
        <f>'Standard Vorgaben'!$D$123</f>
        <v>18</v>
      </c>
      <c r="CR29" s="11">
        <f>'Standard Vorgaben'!$E$123</f>
        <v>3.9450000000000003</v>
      </c>
      <c r="CS29" s="30">
        <f t="shared" si="29"/>
        <v>355.05</v>
      </c>
      <c r="CT29" s="730">
        <f t="shared" si="13"/>
        <v>4.3827603939784882E-2</v>
      </c>
      <c r="CU29" s="1455"/>
      <c r="CV29" s="109" t="str">
        <f>'Standard Vorgaben'!$B$123</f>
        <v>Schwefelkalk (Curatio)</v>
      </c>
      <c r="CW29" s="11">
        <f>'Standard Vorgaben'!$C$123</f>
        <v>5</v>
      </c>
      <c r="CX29" s="11">
        <f>'Standard Vorgaben'!$D$123</f>
        <v>18</v>
      </c>
      <c r="CY29" s="11">
        <f>'Standard Vorgaben'!$E$123</f>
        <v>3.9450000000000003</v>
      </c>
      <c r="CZ29" s="30">
        <f t="shared" si="30"/>
        <v>355.05</v>
      </c>
      <c r="DA29" s="730">
        <f t="shared" si="14"/>
        <v>4.3827603939784882E-2</v>
      </c>
    </row>
    <row r="30" spans="1:105" ht="12.5" x14ac:dyDescent="0.25">
      <c r="A30" s="1454"/>
      <c r="B30" s="15" t="str">
        <f>'Standard Vorgaben'!B141</f>
        <v>Laminarin (Vacciplant)</v>
      </c>
      <c r="C30" s="1354">
        <f>'Standard Vorgaben'!C141</f>
        <v>0</v>
      </c>
      <c r="D30" s="1354">
        <f>'Standard Vorgaben'!D141</f>
        <v>0.75</v>
      </c>
      <c r="E30" s="1354">
        <f>'Standard Vorgaben'!E141</f>
        <v>45</v>
      </c>
      <c r="F30" s="30">
        <f t="shared" si="16"/>
        <v>0</v>
      </c>
      <c r="G30" s="730">
        <f t="shared" si="15"/>
        <v>0</v>
      </c>
      <c r="H30" s="1454"/>
      <c r="I30" s="13" t="str">
        <f>'Standard Vorgaben'!B158</f>
        <v>Laminarin (Vacciplant)</v>
      </c>
      <c r="J30" s="11">
        <f>'Standard Vorgaben'!C158</f>
        <v>0</v>
      </c>
      <c r="K30" s="296">
        <f>'Standard Vorgaben'!D158</f>
        <v>0.75</v>
      </c>
      <c r="L30" s="1176">
        <f>'Standard Vorgaben'!E158</f>
        <v>45</v>
      </c>
      <c r="M30" s="30">
        <f t="shared" si="17"/>
        <v>0</v>
      </c>
      <c r="N30" s="730">
        <f t="shared" si="2"/>
        <v>0</v>
      </c>
      <c r="O30" s="1455"/>
      <c r="P30" s="109" t="str">
        <f>'Standard Vorgaben'!$B$124</f>
        <v>Laminarin (Vacciplant)</v>
      </c>
      <c r="Q30" s="11">
        <f>'Standard Vorgaben'!$C$124</f>
        <v>5</v>
      </c>
      <c r="R30" s="11">
        <f>'Standard Vorgaben'!$D$124</f>
        <v>0.75</v>
      </c>
      <c r="S30" s="11">
        <f>'Standard Vorgaben'!$E$124</f>
        <v>45</v>
      </c>
      <c r="T30" s="30">
        <f t="shared" si="18"/>
        <v>168.75</v>
      </c>
      <c r="U30" s="730">
        <f t="shared" si="3"/>
        <v>2.1920773882795223E-2</v>
      </c>
      <c r="V30" s="1455"/>
      <c r="W30" s="109" t="str">
        <f>'Standard Vorgaben'!$B$124</f>
        <v>Laminarin (Vacciplant)</v>
      </c>
      <c r="X30" s="11">
        <f>'Standard Vorgaben'!$C$124</f>
        <v>5</v>
      </c>
      <c r="Y30" s="11">
        <f>'Standard Vorgaben'!$D$124</f>
        <v>0.75</v>
      </c>
      <c r="Z30" s="11">
        <f>'Standard Vorgaben'!$E$124</f>
        <v>45</v>
      </c>
      <c r="AA30" s="30">
        <f t="shared" si="19"/>
        <v>168.75</v>
      </c>
      <c r="AB30" s="730">
        <f t="shared" si="1"/>
        <v>2.0000387707606048E-2</v>
      </c>
      <c r="AC30" s="1455"/>
      <c r="AD30" s="109" t="str">
        <f>'Standard Vorgaben'!$B$124</f>
        <v>Laminarin (Vacciplant)</v>
      </c>
      <c r="AE30" s="11">
        <f>'Standard Vorgaben'!$C$124</f>
        <v>5</v>
      </c>
      <c r="AF30" s="11">
        <f>'Standard Vorgaben'!$D$124</f>
        <v>0.75</v>
      </c>
      <c r="AG30" s="11">
        <f>'Standard Vorgaben'!$E$124</f>
        <v>45</v>
      </c>
      <c r="AH30" s="30">
        <f t="shared" si="20"/>
        <v>168.75</v>
      </c>
      <c r="AI30" s="730">
        <f t="shared" si="4"/>
        <v>2.0746751846550126E-2</v>
      </c>
      <c r="AJ30" s="1455"/>
      <c r="AK30" s="109" t="str">
        <f>'Standard Vorgaben'!$B$124</f>
        <v>Laminarin (Vacciplant)</v>
      </c>
      <c r="AL30" s="11">
        <f>'Standard Vorgaben'!$C$124</f>
        <v>5</v>
      </c>
      <c r="AM30" s="11">
        <f>'Standard Vorgaben'!$D$124</f>
        <v>0.75</v>
      </c>
      <c r="AN30" s="11">
        <f>'Standard Vorgaben'!$E$124</f>
        <v>45</v>
      </c>
      <c r="AO30" s="30">
        <f t="shared" si="21"/>
        <v>168.75</v>
      </c>
      <c r="AP30" s="730">
        <f t="shared" si="5"/>
        <v>2.0746751846550126E-2</v>
      </c>
      <c r="AQ30" s="1455"/>
      <c r="AR30" s="109" t="str">
        <f>'Standard Vorgaben'!$B$124</f>
        <v>Laminarin (Vacciplant)</v>
      </c>
      <c r="AS30" s="11">
        <f>'Standard Vorgaben'!$C$124</f>
        <v>5</v>
      </c>
      <c r="AT30" s="11">
        <f>'Standard Vorgaben'!$D$124</f>
        <v>0.75</v>
      </c>
      <c r="AU30" s="11">
        <f>'Standard Vorgaben'!$E$124</f>
        <v>45</v>
      </c>
      <c r="AV30" s="30">
        <f t="shared" si="22"/>
        <v>168.75</v>
      </c>
      <c r="AW30" s="730">
        <f t="shared" si="6"/>
        <v>1.9545267925303856E-2</v>
      </c>
      <c r="AX30" s="1455"/>
      <c r="AY30" s="109" t="str">
        <f>'Standard Vorgaben'!$B$124</f>
        <v>Laminarin (Vacciplant)</v>
      </c>
      <c r="AZ30" s="11">
        <f>'Standard Vorgaben'!$C$124</f>
        <v>5</v>
      </c>
      <c r="BA30" s="11">
        <f>'Standard Vorgaben'!$D$124</f>
        <v>0.75</v>
      </c>
      <c r="BB30" s="11">
        <f>'Standard Vorgaben'!$E$124</f>
        <v>45</v>
      </c>
      <c r="BC30" s="30">
        <f t="shared" si="23"/>
        <v>168.75</v>
      </c>
      <c r="BD30" s="730">
        <f t="shared" si="7"/>
        <v>2.0746751846550126E-2</v>
      </c>
      <c r="BE30" s="1455"/>
      <c r="BF30" s="109" t="str">
        <f>'Standard Vorgaben'!$B$124</f>
        <v>Laminarin (Vacciplant)</v>
      </c>
      <c r="BG30" s="11">
        <f>'Standard Vorgaben'!$C$124</f>
        <v>5</v>
      </c>
      <c r="BH30" s="11">
        <f>'Standard Vorgaben'!$D$124</f>
        <v>0.75</v>
      </c>
      <c r="BI30" s="11">
        <f>'Standard Vorgaben'!$E$124</f>
        <v>45</v>
      </c>
      <c r="BJ30" s="30">
        <f t="shared" si="24"/>
        <v>168.75</v>
      </c>
      <c r="BK30" s="730">
        <f t="shared" si="8"/>
        <v>2.0746751846550126E-2</v>
      </c>
      <c r="BL30" s="1455"/>
      <c r="BM30" s="109" t="str">
        <f>'Standard Vorgaben'!$B$124</f>
        <v>Laminarin (Vacciplant)</v>
      </c>
      <c r="BN30" s="11">
        <f>'Standard Vorgaben'!$C$124</f>
        <v>5</v>
      </c>
      <c r="BO30" s="11">
        <f>'Standard Vorgaben'!$D$124</f>
        <v>0.75</v>
      </c>
      <c r="BP30" s="11">
        <f>'Standard Vorgaben'!$E$124</f>
        <v>45</v>
      </c>
      <c r="BQ30" s="30">
        <f t="shared" si="25"/>
        <v>168.75</v>
      </c>
      <c r="BR30" s="730">
        <f t="shared" si="9"/>
        <v>1.9545267925303856E-2</v>
      </c>
      <c r="BS30" s="1455"/>
      <c r="BT30" s="109" t="str">
        <f>'Standard Vorgaben'!$B$124</f>
        <v>Laminarin (Vacciplant)</v>
      </c>
      <c r="BU30" s="11">
        <f>'Standard Vorgaben'!$C$124</f>
        <v>5</v>
      </c>
      <c r="BV30" s="11">
        <f>'Standard Vorgaben'!$D$124</f>
        <v>0.75</v>
      </c>
      <c r="BW30" s="11">
        <f>'Standard Vorgaben'!$E$124</f>
        <v>45</v>
      </c>
      <c r="BX30" s="30">
        <f t="shared" si="26"/>
        <v>168.75</v>
      </c>
      <c r="BY30" s="730">
        <f t="shared" si="10"/>
        <v>2.0746751846550126E-2</v>
      </c>
      <c r="BZ30" s="1455"/>
      <c r="CA30" s="109" t="str">
        <f>'Standard Vorgaben'!$B$124</f>
        <v>Laminarin (Vacciplant)</v>
      </c>
      <c r="CB30" s="11">
        <f>'Standard Vorgaben'!$C$124</f>
        <v>5</v>
      </c>
      <c r="CC30" s="11">
        <f>'Standard Vorgaben'!$D$124</f>
        <v>0.75</v>
      </c>
      <c r="CD30" s="11">
        <f>'Standard Vorgaben'!$E$124</f>
        <v>45</v>
      </c>
      <c r="CE30" s="30">
        <f t="shared" si="27"/>
        <v>168.75</v>
      </c>
      <c r="CF30" s="730">
        <f t="shared" si="11"/>
        <v>2.0746751846550126E-2</v>
      </c>
      <c r="CG30" s="1455"/>
      <c r="CH30" s="109" t="str">
        <f>'Standard Vorgaben'!$B$124</f>
        <v>Laminarin (Vacciplant)</v>
      </c>
      <c r="CI30" s="11">
        <f>'Standard Vorgaben'!$C$124</f>
        <v>5</v>
      </c>
      <c r="CJ30" s="11">
        <f>'Standard Vorgaben'!$D$124</f>
        <v>0.75</v>
      </c>
      <c r="CK30" s="11">
        <f>'Standard Vorgaben'!$E$124</f>
        <v>45</v>
      </c>
      <c r="CL30" s="30">
        <f t="shared" si="28"/>
        <v>168.75</v>
      </c>
      <c r="CM30" s="730">
        <f t="shared" si="12"/>
        <v>1.9619677343527535E-2</v>
      </c>
      <c r="CN30" s="1455"/>
      <c r="CO30" s="109" t="str">
        <f>'Standard Vorgaben'!$B$124</f>
        <v>Laminarin (Vacciplant)</v>
      </c>
      <c r="CP30" s="11">
        <f>'Standard Vorgaben'!$C$124</f>
        <v>5</v>
      </c>
      <c r="CQ30" s="11">
        <f>'Standard Vorgaben'!$D$124</f>
        <v>0.75</v>
      </c>
      <c r="CR30" s="11">
        <f>'Standard Vorgaben'!$E$124</f>
        <v>45</v>
      </c>
      <c r="CS30" s="30">
        <f t="shared" si="29"/>
        <v>168.75</v>
      </c>
      <c r="CT30" s="730">
        <f t="shared" si="13"/>
        <v>2.0830610237540344E-2</v>
      </c>
      <c r="CU30" s="1455"/>
      <c r="CV30" s="109" t="str">
        <f>'Standard Vorgaben'!$B$124</f>
        <v>Laminarin (Vacciplant)</v>
      </c>
      <c r="CW30" s="11">
        <f>'Standard Vorgaben'!$C$124</f>
        <v>5</v>
      </c>
      <c r="CX30" s="11">
        <f>'Standard Vorgaben'!$D$124</f>
        <v>0.75</v>
      </c>
      <c r="CY30" s="11">
        <f>'Standard Vorgaben'!$E$124</f>
        <v>45</v>
      </c>
      <c r="CZ30" s="30">
        <f t="shared" si="30"/>
        <v>168.75</v>
      </c>
      <c r="DA30" s="730">
        <f t="shared" si="14"/>
        <v>2.0830610237540344E-2</v>
      </c>
    </row>
    <row r="31" spans="1:105" ht="12.5" x14ac:dyDescent="0.25">
      <c r="A31" s="1454"/>
      <c r="B31" s="15" t="str">
        <f>'Standard Vorgaben'!B142</f>
        <v>Hefepräparat (Blossom protect)</v>
      </c>
      <c r="C31" s="1354">
        <f>'Standard Vorgaben'!C142</f>
        <v>0</v>
      </c>
      <c r="D31" s="1354">
        <f>'Standard Vorgaben'!D142</f>
        <v>1.5</v>
      </c>
      <c r="E31" s="1354">
        <f>'Standard Vorgaben'!E142</f>
        <v>86.600000000000009</v>
      </c>
      <c r="F31" s="30">
        <f t="shared" si="16"/>
        <v>0</v>
      </c>
      <c r="G31" s="730">
        <f t="shared" si="15"/>
        <v>0</v>
      </c>
      <c r="H31" s="1454"/>
      <c r="I31" s="13" t="str">
        <f>'Standard Vorgaben'!B159</f>
        <v>Hefepräparat (Blossom protect)</v>
      </c>
      <c r="J31" s="11">
        <f>'Standard Vorgaben'!C159</f>
        <v>0</v>
      </c>
      <c r="K31" s="296">
        <f>'Standard Vorgaben'!D159</f>
        <v>1.5</v>
      </c>
      <c r="L31" s="1176">
        <f>'Standard Vorgaben'!E159</f>
        <v>86.600000000000009</v>
      </c>
      <c r="M31" s="30">
        <f t="shared" si="17"/>
        <v>0</v>
      </c>
      <c r="N31" s="730">
        <f t="shared" si="2"/>
        <v>0</v>
      </c>
      <c r="O31" s="1455"/>
      <c r="P31" s="109" t="str">
        <f>'Standard Vorgaben'!$B$125</f>
        <v>Hefepräparat (Blossom protect)</v>
      </c>
      <c r="Q31" s="11">
        <f>'Standard Vorgaben'!$C$125</f>
        <v>2</v>
      </c>
      <c r="R31" s="11">
        <f>'Standard Vorgaben'!$D$125</f>
        <v>1.5</v>
      </c>
      <c r="S31" s="11">
        <f>'Standard Vorgaben'!$E$125</f>
        <v>86.600000000000009</v>
      </c>
      <c r="T31" s="30">
        <f t="shared" si="18"/>
        <v>259.8</v>
      </c>
      <c r="U31" s="730">
        <f t="shared" si="3"/>
        <v>3.3748249213334518E-2</v>
      </c>
      <c r="V31" s="1455"/>
      <c r="W31" s="109" t="str">
        <f>'Standard Vorgaben'!$B$125</f>
        <v>Hefepräparat (Blossom protect)</v>
      </c>
      <c r="X31" s="11">
        <f>'Standard Vorgaben'!$C$125</f>
        <v>2</v>
      </c>
      <c r="Y31" s="11">
        <f>'Standard Vorgaben'!$D$125</f>
        <v>1.5</v>
      </c>
      <c r="Z31" s="11">
        <f>'Standard Vorgaben'!$E$125</f>
        <v>86.600000000000009</v>
      </c>
      <c r="AA31" s="30">
        <f t="shared" si="19"/>
        <v>259.8</v>
      </c>
      <c r="AB31" s="730">
        <f t="shared" si="1"/>
        <v>3.0791708008509937E-2</v>
      </c>
      <c r="AC31" s="1455"/>
      <c r="AD31" s="109" t="str">
        <f>'Standard Vorgaben'!$B$125</f>
        <v>Hefepräparat (Blossom protect)</v>
      </c>
      <c r="AE31" s="11">
        <f>'Standard Vorgaben'!$C$125</f>
        <v>2</v>
      </c>
      <c r="AF31" s="11">
        <f>'Standard Vorgaben'!$D$125</f>
        <v>1.5</v>
      </c>
      <c r="AG31" s="11">
        <f>'Standard Vorgaben'!$E$125</f>
        <v>86.600000000000009</v>
      </c>
      <c r="AH31" s="30">
        <f t="shared" si="20"/>
        <v>259.8</v>
      </c>
      <c r="AI31" s="730">
        <f t="shared" si="4"/>
        <v>3.194077706508873E-2</v>
      </c>
      <c r="AJ31" s="1455"/>
      <c r="AK31" s="109" t="str">
        <f>'Standard Vorgaben'!$B$125</f>
        <v>Hefepräparat (Blossom protect)</v>
      </c>
      <c r="AL31" s="11">
        <f>'Standard Vorgaben'!$C$125</f>
        <v>2</v>
      </c>
      <c r="AM31" s="11">
        <f>'Standard Vorgaben'!$D$125</f>
        <v>1.5</v>
      </c>
      <c r="AN31" s="11">
        <f>'Standard Vorgaben'!$E$125</f>
        <v>86.600000000000009</v>
      </c>
      <c r="AO31" s="30">
        <f t="shared" si="21"/>
        <v>259.8</v>
      </c>
      <c r="AP31" s="730">
        <f t="shared" si="5"/>
        <v>3.194077706508873E-2</v>
      </c>
      <c r="AQ31" s="1455"/>
      <c r="AR31" s="109" t="str">
        <f>'Standard Vorgaben'!$B$125</f>
        <v>Hefepräparat (Blossom protect)</v>
      </c>
      <c r="AS31" s="11">
        <f>'Standard Vorgaben'!$C$125</f>
        <v>2</v>
      </c>
      <c r="AT31" s="11">
        <f>'Standard Vorgaben'!$D$125</f>
        <v>1.5</v>
      </c>
      <c r="AU31" s="11">
        <f>'Standard Vorgaben'!$E$125</f>
        <v>86.600000000000009</v>
      </c>
      <c r="AV31" s="30">
        <f t="shared" si="22"/>
        <v>259.8</v>
      </c>
      <c r="AW31" s="730">
        <f t="shared" si="6"/>
        <v>3.0091025819223363E-2</v>
      </c>
      <c r="AX31" s="1455"/>
      <c r="AY31" s="109" t="str">
        <f>'Standard Vorgaben'!$B$125</f>
        <v>Hefepräparat (Blossom protect)</v>
      </c>
      <c r="AZ31" s="11">
        <f>'Standard Vorgaben'!$C$125</f>
        <v>2</v>
      </c>
      <c r="BA31" s="11">
        <f>'Standard Vorgaben'!$D$125</f>
        <v>1.5</v>
      </c>
      <c r="BB31" s="11">
        <f>'Standard Vorgaben'!$E$125</f>
        <v>86.600000000000009</v>
      </c>
      <c r="BC31" s="30">
        <f t="shared" si="23"/>
        <v>259.8</v>
      </c>
      <c r="BD31" s="730">
        <f t="shared" si="7"/>
        <v>3.194077706508873E-2</v>
      </c>
      <c r="BE31" s="1455"/>
      <c r="BF31" s="109" t="str">
        <f>'Standard Vorgaben'!$B$125</f>
        <v>Hefepräparat (Blossom protect)</v>
      </c>
      <c r="BG31" s="11">
        <f>'Standard Vorgaben'!$C$125</f>
        <v>2</v>
      </c>
      <c r="BH31" s="11">
        <f>'Standard Vorgaben'!$D$125</f>
        <v>1.5</v>
      </c>
      <c r="BI31" s="11">
        <f>'Standard Vorgaben'!$E$125</f>
        <v>86.600000000000009</v>
      </c>
      <c r="BJ31" s="30">
        <f t="shared" si="24"/>
        <v>259.8</v>
      </c>
      <c r="BK31" s="730">
        <f t="shared" si="8"/>
        <v>3.194077706508873E-2</v>
      </c>
      <c r="BL31" s="1455"/>
      <c r="BM31" s="109" t="str">
        <f>'Standard Vorgaben'!$B$125</f>
        <v>Hefepräparat (Blossom protect)</v>
      </c>
      <c r="BN31" s="11">
        <f>'Standard Vorgaben'!$C$125</f>
        <v>2</v>
      </c>
      <c r="BO31" s="11">
        <f>'Standard Vorgaben'!$D$125</f>
        <v>1.5</v>
      </c>
      <c r="BP31" s="11">
        <f>'Standard Vorgaben'!$E$125</f>
        <v>86.600000000000009</v>
      </c>
      <c r="BQ31" s="30">
        <f t="shared" si="25"/>
        <v>259.8</v>
      </c>
      <c r="BR31" s="730">
        <f t="shared" si="9"/>
        <v>3.0091025819223363E-2</v>
      </c>
      <c r="BS31" s="1455"/>
      <c r="BT31" s="109" t="str">
        <f>'Standard Vorgaben'!$B$125</f>
        <v>Hefepräparat (Blossom protect)</v>
      </c>
      <c r="BU31" s="11">
        <f>'Standard Vorgaben'!$C$125</f>
        <v>2</v>
      </c>
      <c r="BV31" s="11">
        <f>'Standard Vorgaben'!$D$125</f>
        <v>1.5</v>
      </c>
      <c r="BW31" s="11">
        <f>'Standard Vorgaben'!$E$125</f>
        <v>86.600000000000009</v>
      </c>
      <c r="BX31" s="30">
        <f t="shared" si="26"/>
        <v>259.8</v>
      </c>
      <c r="BY31" s="730">
        <f t="shared" si="10"/>
        <v>3.194077706508873E-2</v>
      </c>
      <c r="BZ31" s="1455"/>
      <c r="CA31" s="109" t="str">
        <f>'Standard Vorgaben'!$B$125</f>
        <v>Hefepräparat (Blossom protect)</v>
      </c>
      <c r="CB31" s="11">
        <f>'Standard Vorgaben'!$C$125</f>
        <v>2</v>
      </c>
      <c r="CC31" s="11">
        <f>'Standard Vorgaben'!$D$125</f>
        <v>1.5</v>
      </c>
      <c r="CD31" s="11">
        <f>'Standard Vorgaben'!$E$125</f>
        <v>86.600000000000009</v>
      </c>
      <c r="CE31" s="30">
        <f t="shared" si="27"/>
        <v>259.8</v>
      </c>
      <c r="CF31" s="730">
        <f t="shared" si="11"/>
        <v>3.194077706508873E-2</v>
      </c>
      <c r="CG31" s="1455"/>
      <c r="CH31" s="109" t="str">
        <f>'Standard Vorgaben'!$B$125</f>
        <v>Hefepräparat (Blossom protect)</v>
      </c>
      <c r="CI31" s="11">
        <f>'Standard Vorgaben'!$C$125</f>
        <v>2</v>
      </c>
      <c r="CJ31" s="11">
        <f>'Standard Vorgaben'!$D$125</f>
        <v>1.5</v>
      </c>
      <c r="CK31" s="11">
        <f>'Standard Vorgaben'!$E$125</f>
        <v>86.600000000000009</v>
      </c>
      <c r="CL31" s="30">
        <f t="shared" si="28"/>
        <v>259.8</v>
      </c>
      <c r="CM31" s="730">
        <f t="shared" si="12"/>
        <v>3.0205583252435282E-2</v>
      </c>
      <c r="CN31" s="1455"/>
      <c r="CO31" s="109" t="str">
        <f>'Standard Vorgaben'!$B$125</f>
        <v>Hefepräparat (Blossom protect)</v>
      </c>
      <c r="CP31" s="11">
        <f>'Standard Vorgaben'!$C$125</f>
        <v>2</v>
      </c>
      <c r="CQ31" s="11">
        <f>'Standard Vorgaben'!$D$125</f>
        <v>1.5</v>
      </c>
      <c r="CR31" s="11">
        <f>'Standard Vorgaben'!$E$125</f>
        <v>86.600000000000009</v>
      </c>
      <c r="CS31" s="30">
        <f t="shared" si="29"/>
        <v>259.8</v>
      </c>
      <c r="CT31" s="730">
        <f t="shared" si="13"/>
        <v>3.2069881716817669E-2</v>
      </c>
      <c r="CU31" s="1455"/>
      <c r="CV31" s="109" t="str">
        <f>'Standard Vorgaben'!$B$125</f>
        <v>Hefepräparat (Blossom protect)</v>
      </c>
      <c r="CW31" s="11">
        <f>'Standard Vorgaben'!$C$125</f>
        <v>2</v>
      </c>
      <c r="CX31" s="11">
        <f>'Standard Vorgaben'!$D$125</f>
        <v>1.5</v>
      </c>
      <c r="CY31" s="11">
        <f>'Standard Vorgaben'!$E$125</f>
        <v>86.600000000000009</v>
      </c>
      <c r="CZ31" s="30">
        <f t="shared" si="30"/>
        <v>259.8</v>
      </c>
      <c r="DA31" s="730">
        <f t="shared" si="14"/>
        <v>3.2069881716817669E-2</v>
      </c>
    </row>
    <row r="32" spans="1:105" ht="12.5" x14ac:dyDescent="0.25">
      <c r="A32" s="1456" t="str">
        <f>'Standard Vorgaben'!$A$126</f>
        <v>Insektizide</v>
      </c>
      <c r="B32" s="13" t="str">
        <f>'Standard Vorgaben'!B143</f>
        <v>Neem (NeemAzal T/S)</v>
      </c>
      <c r="C32" s="1354">
        <f>'Standard Vorgaben'!C143</f>
        <v>1</v>
      </c>
      <c r="D32" s="1354">
        <f>'Standard Vorgaben'!D143</f>
        <v>4.8</v>
      </c>
      <c r="E32" s="1354">
        <f>'Standard Vorgaben'!E143</f>
        <v>89.1</v>
      </c>
      <c r="F32" s="30">
        <f t="shared" si="16"/>
        <v>427.67999999999995</v>
      </c>
      <c r="G32" s="730">
        <f t="shared" si="15"/>
        <v>8.1922183120444442E-2</v>
      </c>
      <c r="H32" s="1456" t="str">
        <f>'Standard Vorgaben'!$A$126</f>
        <v>Insektizide</v>
      </c>
      <c r="I32" s="13" t="str">
        <f>'Standard Vorgaben'!B160</f>
        <v>Neem (NeemAzal T/S)</v>
      </c>
      <c r="J32" s="11">
        <f>'Standard Vorgaben'!C160</f>
        <v>1</v>
      </c>
      <c r="K32" s="296">
        <f>'Standard Vorgaben'!D160</f>
        <v>4.8</v>
      </c>
      <c r="L32" s="1176">
        <f>'Standard Vorgaben'!E160</f>
        <v>89.1</v>
      </c>
      <c r="M32" s="30">
        <f t="shared" si="17"/>
        <v>427.67999999999995</v>
      </c>
      <c r="N32" s="730">
        <f t="shared" si="2"/>
        <v>8.71782910122052E-2</v>
      </c>
      <c r="O32" s="1456" t="str">
        <f>'Standard Vorgaben'!$A$126</f>
        <v>Insektizide</v>
      </c>
      <c r="P32" s="109" t="str">
        <f>'Standard Vorgaben'!$B$126</f>
        <v>Neem (NeemAzal T/S)</v>
      </c>
      <c r="Q32" s="11">
        <f>'Standard Vorgaben'!$C$126</f>
        <v>1</v>
      </c>
      <c r="R32" s="11">
        <f>'Standard Vorgaben'!$D$126</f>
        <v>4.8</v>
      </c>
      <c r="S32" s="11">
        <f>'Standard Vorgaben'!$E$126</f>
        <v>89.1</v>
      </c>
      <c r="T32" s="30">
        <f t="shared" si="18"/>
        <v>427.67999999999995</v>
      </c>
      <c r="U32" s="730">
        <f t="shared" si="3"/>
        <v>5.5556009328556213E-2</v>
      </c>
      <c r="V32" s="1456" t="str">
        <f>'Standard Vorgaben'!$A$126</f>
        <v>Insektizide</v>
      </c>
      <c r="W32" s="109" t="str">
        <f>'Standard Vorgaben'!$B$126</f>
        <v>Neem (NeemAzal T/S)</v>
      </c>
      <c r="X32" s="11">
        <f>'Standard Vorgaben'!$C$126</f>
        <v>1</v>
      </c>
      <c r="Y32" s="11">
        <f>'Standard Vorgaben'!$D$126</f>
        <v>4.8</v>
      </c>
      <c r="Z32" s="11">
        <f>'Standard Vorgaben'!$E$126</f>
        <v>89.1</v>
      </c>
      <c r="AA32" s="30">
        <f t="shared" si="19"/>
        <v>427.67999999999995</v>
      </c>
      <c r="AB32" s="730">
        <f t="shared" si="1"/>
        <v>5.0688982606156764E-2</v>
      </c>
      <c r="AC32" s="1456" t="str">
        <f>'Standard Vorgaben'!$A$126</f>
        <v>Insektizide</v>
      </c>
      <c r="AD32" s="109" t="str">
        <f>'Standard Vorgaben'!$B$126</f>
        <v>Neem (NeemAzal T/S)</v>
      </c>
      <c r="AE32" s="11">
        <f>'Standard Vorgaben'!$C$126</f>
        <v>1</v>
      </c>
      <c r="AF32" s="11">
        <f>'Standard Vorgaben'!$D$126</f>
        <v>4.8</v>
      </c>
      <c r="AG32" s="11">
        <f>'Standard Vorgaben'!$E$126</f>
        <v>89.1</v>
      </c>
      <c r="AH32" s="30">
        <f t="shared" si="20"/>
        <v>427.67999999999995</v>
      </c>
      <c r="AI32" s="730">
        <f t="shared" si="4"/>
        <v>5.2580567879896629E-2</v>
      </c>
      <c r="AJ32" s="1456" t="str">
        <f>'Standard Vorgaben'!$A$126</f>
        <v>Insektizide</v>
      </c>
      <c r="AK32" s="109" t="str">
        <f>'Standard Vorgaben'!$B$126</f>
        <v>Neem (NeemAzal T/S)</v>
      </c>
      <c r="AL32" s="11">
        <f>'Standard Vorgaben'!$C$126</f>
        <v>1</v>
      </c>
      <c r="AM32" s="11">
        <f>'Standard Vorgaben'!$D$126</f>
        <v>4.8</v>
      </c>
      <c r="AN32" s="11">
        <f>'Standard Vorgaben'!$E$126</f>
        <v>89.1</v>
      </c>
      <c r="AO32" s="30">
        <f t="shared" si="21"/>
        <v>427.67999999999995</v>
      </c>
      <c r="AP32" s="730">
        <f t="shared" si="5"/>
        <v>5.2580567879896629E-2</v>
      </c>
      <c r="AQ32" s="1456" t="str">
        <f>'Standard Vorgaben'!$A$126</f>
        <v>Insektizide</v>
      </c>
      <c r="AR32" s="109" t="str">
        <f>'Standard Vorgaben'!$B$126</f>
        <v>Neem (NeemAzal T/S)</v>
      </c>
      <c r="AS32" s="11">
        <f>'Standard Vorgaben'!$C$126</f>
        <v>1</v>
      </c>
      <c r="AT32" s="11">
        <f>'Standard Vorgaben'!$D$126</f>
        <v>4.8</v>
      </c>
      <c r="AU32" s="11">
        <f>'Standard Vorgaben'!$E$126</f>
        <v>89.1</v>
      </c>
      <c r="AV32" s="30">
        <f t="shared" si="22"/>
        <v>427.67999999999995</v>
      </c>
      <c r="AW32" s="730">
        <f t="shared" si="6"/>
        <v>4.9535527029890093E-2</v>
      </c>
      <c r="AX32" s="1456" t="str">
        <f>'Standard Vorgaben'!$A$126</f>
        <v>Insektizide</v>
      </c>
      <c r="AY32" s="109" t="str">
        <f>'Standard Vorgaben'!$B$126</f>
        <v>Neem (NeemAzal T/S)</v>
      </c>
      <c r="AZ32" s="11">
        <f>'Standard Vorgaben'!$C$126</f>
        <v>1</v>
      </c>
      <c r="BA32" s="11">
        <f>'Standard Vorgaben'!$D$126</f>
        <v>4.8</v>
      </c>
      <c r="BB32" s="11">
        <f>'Standard Vorgaben'!$E$126</f>
        <v>89.1</v>
      </c>
      <c r="BC32" s="30">
        <f t="shared" si="23"/>
        <v>427.67999999999995</v>
      </c>
      <c r="BD32" s="730">
        <f t="shared" si="7"/>
        <v>5.2580567879896629E-2</v>
      </c>
      <c r="BE32" s="1456" t="str">
        <f>'Standard Vorgaben'!$A$126</f>
        <v>Insektizide</v>
      </c>
      <c r="BF32" s="109" t="str">
        <f>'Standard Vorgaben'!$B$126</f>
        <v>Neem (NeemAzal T/S)</v>
      </c>
      <c r="BG32" s="11">
        <f>'Standard Vorgaben'!$C$126</f>
        <v>1</v>
      </c>
      <c r="BH32" s="11">
        <f>'Standard Vorgaben'!$D$126</f>
        <v>4.8</v>
      </c>
      <c r="BI32" s="11">
        <f>'Standard Vorgaben'!$E$126</f>
        <v>89.1</v>
      </c>
      <c r="BJ32" s="30">
        <f t="shared" si="24"/>
        <v>427.67999999999995</v>
      </c>
      <c r="BK32" s="730">
        <f t="shared" si="8"/>
        <v>5.2580567879896629E-2</v>
      </c>
      <c r="BL32" s="1456" t="str">
        <f>'Standard Vorgaben'!$A$126</f>
        <v>Insektizide</v>
      </c>
      <c r="BM32" s="109" t="str">
        <f>'Standard Vorgaben'!$B$126</f>
        <v>Neem (NeemAzal T/S)</v>
      </c>
      <c r="BN32" s="11">
        <f>'Standard Vorgaben'!$C$126</f>
        <v>1</v>
      </c>
      <c r="BO32" s="11">
        <f>'Standard Vorgaben'!$D$126</f>
        <v>4.8</v>
      </c>
      <c r="BP32" s="11">
        <f>'Standard Vorgaben'!$E$126</f>
        <v>89.1</v>
      </c>
      <c r="BQ32" s="30">
        <f t="shared" si="25"/>
        <v>427.67999999999995</v>
      </c>
      <c r="BR32" s="730">
        <f t="shared" si="9"/>
        <v>4.9535527029890093E-2</v>
      </c>
      <c r="BS32" s="1456" t="str">
        <f>'Standard Vorgaben'!$A$126</f>
        <v>Insektizide</v>
      </c>
      <c r="BT32" s="109" t="str">
        <f>'Standard Vorgaben'!$B$126</f>
        <v>Neem (NeemAzal T/S)</v>
      </c>
      <c r="BU32" s="11">
        <f>'Standard Vorgaben'!$C$126</f>
        <v>1</v>
      </c>
      <c r="BV32" s="11">
        <f>'Standard Vorgaben'!$D$126</f>
        <v>4.8</v>
      </c>
      <c r="BW32" s="11">
        <f>'Standard Vorgaben'!$E$126</f>
        <v>89.1</v>
      </c>
      <c r="BX32" s="30">
        <f t="shared" si="26"/>
        <v>427.67999999999995</v>
      </c>
      <c r="BY32" s="730">
        <f t="shared" si="10"/>
        <v>5.2580567879896629E-2</v>
      </c>
      <c r="BZ32" s="1456" t="str">
        <f>'Standard Vorgaben'!$A$126</f>
        <v>Insektizide</v>
      </c>
      <c r="CA32" s="109" t="str">
        <f>'Standard Vorgaben'!$B$126</f>
        <v>Neem (NeemAzal T/S)</v>
      </c>
      <c r="CB32" s="11">
        <f>'Standard Vorgaben'!$C$126</f>
        <v>1</v>
      </c>
      <c r="CC32" s="11">
        <f>'Standard Vorgaben'!$D$126</f>
        <v>4.8</v>
      </c>
      <c r="CD32" s="11">
        <f>'Standard Vorgaben'!$E$126</f>
        <v>89.1</v>
      </c>
      <c r="CE32" s="30">
        <f t="shared" si="27"/>
        <v>427.67999999999995</v>
      </c>
      <c r="CF32" s="730">
        <f t="shared" si="11"/>
        <v>5.2580567879896629E-2</v>
      </c>
      <c r="CG32" s="1456" t="str">
        <f>'Standard Vorgaben'!$A$126</f>
        <v>Insektizide</v>
      </c>
      <c r="CH32" s="109" t="str">
        <f>'Standard Vorgaben'!$B$126</f>
        <v>Neem (NeemAzal T/S)</v>
      </c>
      <c r="CI32" s="11">
        <f>'Standard Vorgaben'!$C$126</f>
        <v>1</v>
      </c>
      <c r="CJ32" s="11">
        <f>'Standard Vorgaben'!$D$126</f>
        <v>4.8</v>
      </c>
      <c r="CK32" s="11">
        <f>'Standard Vorgaben'!$E$126</f>
        <v>89.1</v>
      </c>
      <c r="CL32" s="30">
        <f t="shared" si="28"/>
        <v>427.67999999999995</v>
      </c>
      <c r="CM32" s="730">
        <f t="shared" si="12"/>
        <v>4.9724110259436176E-2</v>
      </c>
      <c r="CN32" s="1456" t="str">
        <f>'Standard Vorgaben'!$A$126</f>
        <v>Insektizide</v>
      </c>
      <c r="CO32" s="109" t="str">
        <f>'Standard Vorgaben'!$B$126</f>
        <v>Neem (NeemAzal T/S)</v>
      </c>
      <c r="CP32" s="11">
        <f>'Standard Vorgaben'!$C$126</f>
        <v>1</v>
      </c>
      <c r="CQ32" s="11">
        <f>'Standard Vorgaben'!$D$126</f>
        <v>4.8</v>
      </c>
      <c r="CR32" s="11">
        <f>'Standard Vorgaben'!$E$126</f>
        <v>89.1</v>
      </c>
      <c r="CS32" s="30">
        <f t="shared" si="29"/>
        <v>427.67999999999995</v>
      </c>
      <c r="CT32" s="730">
        <f t="shared" si="13"/>
        <v>5.2793098586022241E-2</v>
      </c>
      <c r="CU32" s="1456" t="str">
        <f>'Standard Vorgaben'!$A$126</f>
        <v>Insektizide</v>
      </c>
      <c r="CV32" s="109" t="str">
        <f>'Standard Vorgaben'!$B$126</f>
        <v>Neem (NeemAzal T/S)</v>
      </c>
      <c r="CW32" s="11">
        <f>'Standard Vorgaben'!$C$126</f>
        <v>1</v>
      </c>
      <c r="CX32" s="11">
        <f>'Standard Vorgaben'!$D$126</f>
        <v>4.8</v>
      </c>
      <c r="CY32" s="11">
        <f>'Standard Vorgaben'!$E$126</f>
        <v>89.1</v>
      </c>
      <c r="CZ32" s="30">
        <f t="shared" si="30"/>
        <v>427.67999999999995</v>
      </c>
      <c r="DA32" s="730">
        <f t="shared" si="14"/>
        <v>5.2793098586022241E-2</v>
      </c>
    </row>
    <row r="33" spans="1:105" ht="12.5" x14ac:dyDescent="0.25">
      <c r="A33" s="1456"/>
      <c r="B33" s="13" t="str">
        <f>'Standard Vorgaben'!B144</f>
        <v>Pyrethrum</v>
      </c>
      <c r="C33" s="1354">
        <f>'Standard Vorgaben'!C144</f>
        <v>1</v>
      </c>
      <c r="D33" s="1354">
        <f>'Standard Vorgaben'!D144</f>
        <v>0.5</v>
      </c>
      <c r="E33" s="1354">
        <f>'Standard Vorgaben'!E144</f>
        <v>250.04000000000002</v>
      </c>
      <c r="F33" s="30">
        <f t="shared" si="16"/>
        <v>125.02000000000001</v>
      </c>
      <c r="G33" s="730">
        <f t="shared" si="15"/>
        <v>2.3947604128596069E-2</v>
      </c>
      <c r="H33" s="1456"/>
      <c r="I33" s="13" t="str">
        <f>'Standard Vorgaben'!B161</f>
        <v>Pyrethrum</v>
      </c>
      <c r="J33" s="11">
        <f>'Standard Vorgaben'!C161</f>
        <v>1</v>
      </c>
      <c r="K33" s="296">
        <f>'Standard Vorgaben'!D161</f>
        <v>0.5</v>
      </c>
      <c r="L33" s="1176">
        <f>'Standard Vorgaben'!E161</f>
        <v>250.04000000000002</v>
      </c>
      <c r="M33" s="30">
        <f t="shared" si="17"/>
        <v>125.02000000000001</v>
      </c>
      <c r="N33" s="730">
        <f t="shared" si="2"/>
        <v>2.5484076745103574E-2</v>
      </c>
      <c r="O33" s="1456"/>
      <c r="P33" s="109" t="str">
        <f>'Standard Vorgaben'!$B$127</f>
        <v>Pyrethrum</v>
      </c>
      <c r="Q33" s="11">
        <f>'Standard Vorgaben'!$C$127</f>
        <v>1</v>
      </c>
      <c r="R33" s="11">
        <f>'Standard Vorgaben'!$D$127</f>
        <v>0.5</v>
      </c>
      <c r="S33" s="11">
        <f>'Standard Vorgaben'!$E$127</f>
        <v>250.04000000000002</v>
      </c>
      <c r="T33" s="30">
        <f t="shared" si="18"/>
        <v>125.02000000000001</v>
      </c>
      <c r="U33" s="730">
        <f t="shared" si="3"/>
        <v>1.6240208301197389E-2</v>
      </c>
      <c r="V33" s="1456"/>
      <c r="W33" s="109" t="str">
        <f>'Standard Vorgaben'!$B$127</f>
        <v>Pyrethrum</v>
      </c>
      <c r="X33" s="11">
        <f>'Standard Vorgaben'!$C$127</f>
        <v>1</v>
      </c>
      <c r="Y33" s="11">
        <f>'Standard Vorgaben'!$D$127</f>
        <v>0.5</v>
      </c>
      <c r="Z33" s="11">
        <f>'Standard Vorgaben'!$E$127</f>
        <v>250.04000000000002</v>
      </c>
      <c r="AA33" s="30">
        <f t="shared" si="19"/>
        <v>125.02000000000001</v>
      </c>
      <c r="AB33" s="730">
        <f t="shared" si="1"/>
        <v>1.4817472421955013E-2</v>
      </c>
      <c r="AC33" s="1456"/>
      <c r="AD33" s="109" t="str">
        <f>'Standard Vorgaben'!$B$127</f>
        <v>Pyrethrum</v>
      </c>
      <c r="AE33" s="11">
        <f>'Standard Vorgaben'!$C$127</f>
        <v>1</v>
      </c>
      <c r="AF33" s="11">
        <f>'Standard Vorgaben'!$D$127</f>
        <v>0.5</v>
      </c>
      <c r="AG33" s="11">
        <f>'Standard Vorgaben'!$E$127</f>
        <v>250.04000000000002</v>
      </c>
      <c r="AH33" s="30">
        <f t="shared" si="20"/>
        <v>125.02000000000001</v>
      </c>
      <c r="AI33" s="730">
        <f t="shared" si="4"/>
        <v>1.5370423205070797E-2</v>
      </c>
      <c r="AJ33" s="1456"/>
      <c r="AK33" s="109" t="str">
        <f>'Standard Vorgaben'!$B$127</f>
        <v>Pyrethrum</v>
      </c>
      <c r="AL33" s="11">
        <f>'Standard Vorgaben'!$C$127</f>
        <v>1</v>
      </c>
      <c r="AM33" s="11">
        <f>'Standard Vorgaben'!$D$127</f>
        <v>0.5</v>
      </c>
      <c r="AN33" s="11">
        <f>'Standard Vorgaben'!$E$127</f>
        <v>250.04000000000002</v>
      </c>
      <c r="AO33" s="30">
        <f t="shared" si="21"/>
        <v>125.02000000000001</v>
      </c>
      <c r="AP33" s="730">
        <f t="shared" si="5"/>
        <v>1.5370423205070797E-2</v>
      </c>
      <c r="AQ33" s="1456"/>
      <c r="AR33" s="109" t="str">
        <f>'Standard Vorgaben'!$B$127</f>
        <v>Pyrethrum</v>
      </c>
      <c r="AS33" s="11">
        <f>'Standard Vorgaben'!$C$127</f>
        <v>1</v>
      </c>
      <c r="AT33" s="11">
        <f>'Standard Vorgaben'!$D$127</f>
        <v>0.5</v>
      </c>
      <c r="AU33" s="11">
        <f>'Standard Vorgaben'!$E$127</f>
        <v>250.04000000000002</v>
      </c>
      <c r="AV33" s="30">
        <f t="shared" si="22"/>
        <v>125.02000000000001</v>
      </c>
      <c r="AW33" s="730">
        <f t="shared" si="6"/>
        <v>1.4480292717164375E-2</v>
      </c>
      <c r="AX33" s="1456"/>
      <c r="AY33" s="109" t="str">
        <f>'Standard Vorgaben'!$B$127</f>
        <v>Pyrethrum</v>
      </c>
      <c r="AZ33" s="11">
        <f>'Standard Vorgaben'!$C$127</f>
        <v>1</v>
      </c>
      <c r="BA33" s="11">
        <f>'Standard Vorgaben'!$D$127</f>
        <v>0.5</v>
      </c>
      <c r="BB33" s="11">
        <f>'Standard Vorgaben'!$E$127</f>
        <v>250.04000000000002</v>
      </c>
      <c r="BC33" s="30">
        <f t="shared" si="23"/>
        <v>125.02000000000001</v>
      </c>
      <c r="BD33" s="730">
        <f t="shared" si="7"/>
        <v>1.5370423205070797E-2</v>
      </c>
      <c r="BE33" s="1456"/>
      <c r="BF33" s="109" t="str">
        <f>'Standard Vorgaben'!$B$127</f>
        <v>Pyrethrum</v>
      </c>
      <c r="BG33" s="11">
        <f>'Standard Vorgaben'!$C$127</f>
        <v>1</v>
      </c>
      <c r="BH33" s="11">
        <f>'Standard Vorgaben'!$D$127</f>
        <v>0.5</v>
      </c>
      <c r="BI33" s="11">
        <f>'Standard Vorgaben'!$E$127</f>
        <v>250.04000000000002</v>
      </c>
      <c r="BJ33" s="30">
        <f t="shared" si="24"/>
        <v>125.02000000000001</v>
      </c>
      <c r="BK33" s="730">
        <f t="shared" si="8"/>
        <v>1.5370423205070797E-2</v>
      </c>
      <c r="BL33" s="1456"/>
      <c r="BM33" s="109" t="str">
        <f>'Standard Vorgaben'!$B$127</f>
        <v>Pyrethrum</v>
      </c>
      <c r="BN33" s="11">
        <f>'Standard Vorgaben'!$C$127</f>
        <v>1</v>
      </c>
      <c r="BO33" s="11">
        <f>'Standard Vorgaben'!$D$127</f>
        <v>0.5</v>
      </c>
      <c r="BP33" s="11">
        <f>'Standard Vorgaben'!$E$127</f>
        <v>250.04000000000002</v>
      </c>
      <c r="BQ33" s="30">
        <f t="shared" si="25"/>
        <v>125.02000000000001</v>
      </c>
      <c r="BR33" s="730">
        <f t="shared" si="9"/>
        <v>1.4480292717164375E-2</v>
      </c>
      <c r="BS33" s="1456"/>
      <c r="BT33" s="109" t="str">
        <f>'Standard Vorgaben'!$B$127</f>
        <v>Pyrethrum</v>
      </c>
      <c r="BU33" s="11">
        <f>'Standard Vorgaben'!$C$127</f>
        <v>1</v>
      </c>
      <c r="BV33" s="11">
        <f>'Standard Vorgaben'!$D$127</f>
        <v>0.5</v>
      </c>
      <c r="BW33" s="11">
        <f>'Standard Vorgaben'!$E$127</f>
        <v>250.04000000000002</v>
      </c>
      <c r="BX33" s="30">
        <f t="shared" si="26"/>
        <v>125.02000000000001</v>
      </c>
      <c r="BY33" s="730">
        <f t="shared" si="10"/>
        <v>1.5370423205070797E-2</v>
      </c>
      <c r="BZ33" s="1456"/>
      <c r="CA33" s="109" t="str">
        <f>'Standard Vorgaben'!$B$127</f>
        <v>Pyrethrum</v>
      </c>
      <c r="CB33" s="11">
        <f>'Standard Vorgaben'!$C$127</f>
        <v>1</v>
      </c>
      <c r="CC33" s="11">
        <f>'Standard Vorgaben'!$D$127</f>
        <v>0.5</v>
      </c>
      <c r="CD33" s="11">
        <f>'Standard Vorgaben'!$E$127</f>
        <v>250.04000000000002</v>
      </c>
      <c r="CE33" s="30">
        <f t="shared" si="27"/>
        <v>125.02000000000001</v>
      </c>
      <c r="CF33" s="730">
        <f t="shared" si="11"/>
        <v>1.5370423205070797E-2</v>
      </c>
      <c r="CG33" s="1456"/>
      <c r="CH33" s="109" t="str">
        <f>'Standard Vorgaben'!$B$127</f>
        <v>Pyrethrum</v>
      </c>
      <c r="CI33" s="11">
        <f>'Standard Vorgaben'!$C$127</f>
        <v>1</v>
      </c>
      <c r="CJ33" s="11">
        <f>'Standard Vorgaben'!$D$127</f>
        <v>0.5</v>
      </c>
      <c r="CK33" s="11">
        <f>'Standard Vorgaben'!$E$127</f>
        <v>250.04000000000002</v>
      </c>
      <c r="CL33" s="30">
        <f t="shared" si="28"/>
        <v>125.02000000000001</v>
      </c>
      <c r="CM33" s="730">
        <f t="shared" si="12"/>
        <v>1.4535419623631482E-2</v>
      </c>
      <c r="CN33" s="1456"/>
      <c r="CO33" s="109" t="str">
        <f>'Standard Vorgaben'!$B$127</f>
        <v>Pyrethrum</v>
      </c>
      <c r="CP33" s="11">
        <f>'Standard Vorgaben'!$C$127</f>
        <v>1</v>
      </c>
      <c r="CQ33" s="11">
        <f>'Standard Vorgaben'!$D$127</f>
        <v>0.5</v>
      </c>
      <c r="CR33" s="11">
        <f>'Standard Vorgaben'!$E$127</f>
        <v>250.04000000000002</v>
      </c>
      <c r="CS33" s="30">
        <f t="shared" si="29"/>
        <v>125.02000000000001</v>
      </c>
      <c r="CT33" s="730">
        <f t="shared" si="13"/>
        <v>1.5432550470502482E-2</v>
      </c>
      <c r="CU33" s="1456"/>
      <c r="CV33" s="109" t="str">
        <f>'Standard Vorgaben'!$B$127</f>
        <v>Pyrethrum</v>
      </c>
      <c r="CW33" s="11">
        <f>'Standard Vorgaben'!$C$127</f>
        <v>1</v>
      </c>
      <c r="CX33" s="11">
        <f>'Standard Vorgaben'!$D$127</f>
        <v>0.5</v>
      </c>
      <c r="CY33" s="11">
        <f>'Standard Vorgaben'!$E$127</f>
        <v>250.04000000000002</v>
      </c>
      <c r="CZ33" s="30">
        <f t="shared" si="30"/>
        <v>125.02000000000001</v>
      </c>
      <c r="DA33" s="730">
        <f t="shared" si="14"/>
        <v>1.5432550470502482E-2</v>
      </c>
    </row>
    <row r="34" spans="1:105" ht="12.5" x14ac:dyDescent="0.25">
      <c r="A34" s="1456"/>
      <c r="B34" s="13" t="str">
        <f>'Standard Vorgaben'!B145</f>
        <v>Schmierseife (Natural)</v>
      </c>
      <c r="C34" s="1354">
        <f>'Standard Vorgaben'!C145</f>
        <v>1</v>
      </c>
      <c r="D34" s="1354">
        <f>'Standard Vorgaben'!D145</f>
        <v>20</v>
      </c>
      <c r="E34" s="1354">
        <f>'Standard Vorgaben'!E145</f>
        <v>13.419999999999998</v>
      </c>
      <c r="F34" s="30">
        <f t="shared" si="16"/>
        <v>268.39999999999998</v>
      </c>
      <c r="G34" s="730">
        <f t="shared" si="15"/>
        <v>5.1412069653776864E-2</v>
      </c>
      <c r="H34" s="1456"/>
      <c r="I34" s="13" t="str">
        <f>'Standard Vorgaben'!B162</f>
        <v>Schmierseife (Natural)</v>
      </c>
      <c r="J34" s="11">
        <f>'Standard Vorgaben'!C162</f>
        <v>1</v>
      </c>
      <c r="K34" s="296">
        <f>'Standard Vorgaben'!D162</f>
        <v>20</v>
      </c>
      <c r="L34" s="1176">
        <f>'Standard Vorgaben'!E162</f>
        <v>13.419999999999998</v>
      </c>
      <c r="M34" s="30">
        <f t="shared" si="17"/>
        <v>268.39999999999998</v>
      </c>
      <c r="N34" s="730">
        <f t="shared" si="2"/>
        <v>5.4710655882145243E-2</v>
      </c>
      <c r="O34" s="1456"/>
      <c r="P34" s="109" t="str">
        <f>'Standard Vorgaben'!$B$128</f>
        <v>Schmierseife (Natural)</v>
      </c>
      <c r="Q34" s="11">
        <f>'Standard Vorgaben'!$C$128</f>
        <v>1</v>
      </c>
      <c r="R34" s="11">
        <f>'Standard Vorgaben'!$D$128</f>
        <v>20</v>
      </c>
      <c r="S34" s="11">
        <f>'Standard Vorgaben'!$E$128</f>
        <v>13.419999999999998</v>
      </c>
      <c r="T34" s="30">
        <f t="shared" si="18"/>
        <v>268.39999999999998</v>
      </c>
      <c r="U34" s="730">
        <f t="shared" si="3"/>
        <v>3.4865396800842892E-2</v>
      </c>
      <c r="V34" s="1456"/>
      <c r="W34" s="109" t="str">
        <f>'Standard Vorgaben'!$B$128</f>
        <v>Schmierseife (Natural)</v>
      </c>
      <c r="X34" s="11">
        <f>'Standard Vorgaben'!$C$128</f>
        <v>1</v>
      </c>
      <c r="Y34" s="11">
        <f>'Standard Vorgaben'!$D$128</f>
        <v>20</v>
      </c>
      <c r="Z34" s="11">
        <f>'Standard Vorgaben'!$E$128</f>
        <v>13.419999999999998</v>
      </c>
      <c r="AA34" s="30">
        <f t="shared" si="19"/>
        <v>268.39999999999998</v>
      </c>
      <c r="AB34" s="730">
        <f t="shared" si="1"/>
        <v>3.181098702649756E-2</v>
      </c>
      <c r="AC34" s="1456"/>
      <c r="AD34" s="109" t="str">
        <f>'Standard Vorgaben'!$B$128</f>
        <v>Schmierseife (Natural)</v>
      </c>
      <c r="AE34" s="11">
        <f>'Standard Vorgaben'!$C$128</f>
        <v>1</v>
      </c>
      <c r="AF34" s="11">
        <f>'Standard Vorgaben'!$D$128</f>
        <v>20</v>
      </c>
      <c r="AG34" s="11">
        <f>'Standard Vorgaben'!$E$128</f>
        <v>13.419999999999998</v>
      </c>
      <c r="AH34" s="30">
        <f t="shared" si="20"/>
        <v>268.39999999999998</v>
      </c>
      <c r="AI34" s="730">
        <f t="shared" si="4"/>
        <v>3.2998093011046239E-2</v>
      </c>
      <c r="AJ34" s="1456"/>
      <c r="AK34" s="109" t="str">
        <f>'Standard Vorgaben'!$B$128</f>
        <v>Schmierseife (Natural)</v>
      </c>
      <c r="AL34" s="11">
        <f>'Standard Vorgaben'!$C$128</f>
        <v>1</v>
      </c>
      <c r="AM34" s="11">
        <f>'Standard Vorgaben'!$D$128</f>
        <v>20</v>
      </c>
      <c r="AN34" s="11">
        <f>'Standard Vorgaben'!$E$128</f>
        <v>13.419999999999998</v>
      </c>
      <c r="AO34" s="30">
        <f t="shared" si="21"/>
        <v>268.39999999999998</v>
      </c>
      <c r="AP34" s="730">
        <f t="shared" si="5"/>
        <v>3.2998093011046239E-2</v>
      </c>
      <c r="AQ34" s="1456"/>
      <c r="AR34" s="109" t="str">
        <f>'Standard Vorgaben'!$B$128</f>
        <v>Schmierseife (Natural)</v>
      </c>
      <c r="AS34" s="11">
        <f>'Standard Vorgaben'!$C$128</f>
        <v>1</v>
      </c>
      <c r="AT34" s="11">
        <f>'Standard Vorgaben'!$D$128</f>
        <v>20</v>
      </c>
      <c r="AU34" s="11">
        <f>'Standard Vorgaben'!$E$128</f>
        <v>13.419999999999998</v>
      </c>
      <c r="AV34" s="30">
        <f t="shared" si="22"/>
        <v>268.39999999999998</v>
      </c>
      <c r="AW34" s="730">
        <f t="shared" si="6"/>
        <v>3.1087110584601806E-2</v>
      </c>
      <c r="AX34" s="1456"/>
      <c r="AY34" s="109" t="str">
        <f>'Standard Vorgaben'!$B$128</f>
        <v>Schmierseife (Natural)</v>
      </c>
      <c r="AZ34" s="11">
        <f>'Standard Vorgaben'!$C$128</f>
        <v>1</v>
      </c>
      <c r="BA34" s="11">
        <f>'Standard Vorgaben'!$D$128</f>
        <v>20</v>
      </c>
      <c r="BB34" s="11">
        <f>'Standard Vorgaben'!$E$128</f>
        <v>13.419999999999998</v>
      </c>
      <c r="BC34" s="30">
        <f t="shared" si="23"/>
        <v>268.39999999999998</v>
      </c>
      <c r="BD34" s="730">
        <f t="shared" si="7"/>
        <v>3.2998093011046239E-2</v>
      </c>
      <c r="BE34" s="1456"/>
      <c r="BF34" s="109" t="str">
        <f>'Standard Vorgaben'!$B$128</f>
        <v>Schmierseife (Natural)</v>
      </c>
      <c r="BG34" s="11">
        <f>'Standard Vorgaben'!$C$128</f>
        <v>1</v>
      </c>
      <c r="BH34" s="11">
        <f>'Standard Vorgaben'!$D$128</f>
        <v>20</v>
      </c>
      <c r="BI34" s="11">
        <f>'Standard Vorgaben'!$E$128</f>
        <v>13.419999999999998</v>
      </c>
      <c r="BJ34" s="30">
        <f t="shared" si="24"/>
        <v>268.39999999999998</v>
      </c>
      <c r="BK34" s="730">
        <f t="shared" si="8"/>
        <v>3.2998093011046239E-2</v>
      </c>
      <c r="BL34" s="1456"/>
      <c r="BM34" s="109" t="str">
        <f>'Standard Vorgaben'!$B$128</f>
        <v>Schmierseife (Natural)</v>
      </c>
      <c r="BN34" s="11">
        <f>'Standard Vorgaben'!$C$128</f>
        <v>1</v>
      </c>
      <c r="BO34" s="11">
        <f>'Standard Vorgaben'!$D$128</f>
        <v>20</v>
      </c>
      <c r="BP34" s="11">
        <f>'Standard Vorgaben'!$E$128</f>
        <v>13.419999999999998</v>
      </c>
      <c r="BQ34" s="30">
        <f t="shared" si="25"/>
        <v>268.39999999999998</v>
      </c>
      <c r="BR34" s="730">
        <f t="shared" si="9"/>
        <v>3.1087110584601806E-2</v>
      </c>
      <c r="BS34" s="1456"/>
      <c r="BT34" s="109" t="str">
        <f>'Standard Vorgaben'!$B$128</f>
        <v>Schmierseife (Natural)</v>
      </c>
      <c r="BU34" s="11">
        <f>'Standard Vorgaben'!$C$128</f>
        <v>1</v>
      </c>
      <c r="BV34" s="11">
        <f>'Standard Vorgaben'!$D$128</f>
        <v>20</v>
      </c>
      <c r="BW34" s="11">
        <f>'Standard Vorgaben'!$E$128</f>
        <v>13.419999999999998</v>
      </c>
      <c r="BX34" s="30">
        <f t="shared" si="26"/>
        <v>268.39999999999998</v>
      </c>
      <c r="BY34" s="730">
        <f t="shared" si="10"/>
        <v>3.2998093011046239E-2</v>
      </c>
      <c r="BZ34" s="1456"/>
      <c r="CA34" s="109" t="str">
        <f>'Standard Vorgaben'!$B$128</f>
        <v>Schmierseife (Natural)</v>
      </c>
      <c r="CB34" s="11">
        <f>'Standard Vorgaben'!$C$128</f>
        <v>1</v>
      </c>
      <c r="CC34" s="11">
        <f>'Standard Vorgaben'!$D$128</f>
        <v>20</v>
      </c>
      <c r="CD34" s="11">
        <f>'Standard Vorgaben'!$E$128</f>
        <v>13.419999999999998</v>
      </c>
      <c r="CE34" s="30">
        <f t="shared" si="27"/>
        <v>268.39999999999998</v>
      </c>
      <c r="CF34" s="730">
        <f t="shared" si="11"/>
        <v>3.2998093011046239E-2</v>
      </c>
      <c r="CG34" s="1456"/>
      <c r="CH34" s="109" t="str">
        <f>'Standard Vorgaben'!$B$128</f>
        <v>Schmierseife (Natural)</v>
      </c>
      <c r="CI34" s="11">
        <f>'Standard Vorgaben'!$C$128</f>
        <v>1</v>
      </c>
      <c r="CJ34" s="11">
        <f>'Standard Vorgaben'!$D$128</f>
        <v>20</v>
      </c>
      <c r="CK34" s="11">
        <f>'Standard Vorgaben'!$E$128</f>
        <v>13.419999999999998</v>
      </c>
      <c r="CL34" s="30">
        <f t="shared" si="28"/>
        <v>268.39999999999998</v>
      </c>
      <c r="CM34" s="730">
        <f t="shared" si="12"/>
        <v>3.1205460142238756E-2</v>
      </c>
      <c r="CN34" s="1456"/>
      <c r="CO34" s="109" t="str">
        <f>'Standard Vorgaben'!$B$128</f>
        <v>Schmierseife (Natural)</v>
      </c>
      <c r="CP34" s="11">
        <f>'Standard Vorgaben'!$C$128</f>
        <v>1</v>
      </c>
      <c r="CQ34" s="11">
        <f>'Standard Vorgaben'!$D$128</f>
        <v>20</v>
      </c>
      <c r="CR34" s="11">
        <f>'Standard Vorgaben'!$E$128</f>
        <v>13.419999999999998</v>
      </c>
      <c r="CS34" s="30">
        <f t="shared" si="29"/>
        <v>268.39999999999998</v>
      </c>
      <c r="CT34" s="730">
        <f t="shared" si="13"/>
        <v>3.3131471334849352E-2</v>
      </c>
      <c r="CU34" s="1456"/>
      <c r="CV34" s="109" t="str">
        <f>'Standard Vorgaben'!$B$128</f>
        <v>Schmierseife (Natural)</v>
      </c>
      <c r="CW34" s="11">
        <f>'Standard Vorgaben'!$C$128</f>
        <v>1</v>
      </c>
      <c r="CX34" s="11">
        <f>'Standard Vorgaben'!$D$128</f>
        <v>20</v>
      </c>
      <c r="CY34" s="11">
        <f>'Standard Vorgaben'!$E$128</f>
        <v>13.419999999999998</v>
      </c>
      <c r="CZ34" s="30">
        <f t="shared" si="30"/>
        <v>268.39999999999998</v>
      </c>
      <c r="DA34" s="730">
        <f t="shared" si="14"/>
        <v>3.3131471334849352E-2</v>
      </c>
    </row>
    <row r="35" spans="1:105" ht="12.5" x14ac:dyDescent="0.25">
      <c r="A35" s="1456"/>
      <c r="B35" s="13" t="str">
        <f>'Standard Vorgaben'!B146</f>
        <v>Granulosevirus (Madex Top)</v>
      </c>
      <c r="C35" s="1354">
        <f>'Standard Vorgaben'!C146</f>
        <v>0</v>
      </c>
      <c r="D35" s="1354">
        <f>'Standard Vorgaben'!D146</f>
        <v>0.1</v>
      </c>
      <c r="E35" s="1354">
        <f>'Standard Vorgaben'!E146</f>
        <v>573.6</v>
      </c>
      <c r="F35" s="30">
        <f t="shared" si="16"/>
        <v>0</v>
      </c>
      <c r="G35" s="730">
        <f t="shared" si="15"/>
        <v>0</v>
      </c>
      <c r="H35" s="1456"/>
      <c r="I35" s="13" t="str">
        <f>'Standard Vorgaben'!B163</f>
        <v>Granulosevirus (Madex Top)</v>
      </c>
      <c r="J35" s="11">
        <f>'Standard Vorgaben'!C163</f>
        <v>0</v>
      </c>
      <c r="K35" s="296">
        <f>'Standard Vorgaben'!D163</f>
        <v>0.1</v>
      </c>
      <c r="L35" s="1176">
        <f>'Standard Vorgaben'!E163</f>
        <v>573.6</v>
      </c>
      <c r="M35" s="30">
        <f t="shared" si="17"/>
        <v>0</v>
      </c>
      <c r="N35" s="730">
        <f t="shared" si="2"/>
        <v>0</v>
      </c>
      <c r="O35" s="1456"/>
      <c r="P35" s="109" t="str">
        <f>'Standard Vorgaben'!$B$129</f>
        <v>Granulosevirus (Madex Top)</v>
      </c>
      <c r="Q35" s="11">
        <f>'Standard Vorgaben'!$C$129</f>
        <v>10</v>
      </c>
      <c r="R35" s="11">
        <f>'Standard Vorgaben'!$D$129</f>
        <v>0.1</v>
      </c>
      <c r="S35" s="11">
        <f>'Standard Vorgaben'!$E$129</f>
        <v>573.6</v>
      </c>
      <c r="T35" s="30">
        <f t="shared" si="18"/>
        <v>573.6</v>
      </c>
      <c r="U35" s="730">
        <f t="shared" si="3"/>
        <v>7.4511146069163509E-2</v>
      </c>
      <c r="V35" s="1456"/>
      <c r="W35" s="109" t="str">
        <f>'Standard Vorgaben'!$B$129</f>
        <v>Granulosevirus (Madex Top)</v>
      </c>
      <c r="X35" s="11">
        <f>'Standard Vorgaben'!$C$129</f>
        <v>10</v>
      </c>
      <c r="Y35" s="11">
        <f>'Standard Vorgaben'!$D$129</f>
        <v>0.1</v>
      </c>
      <c r="Z35" s="11">
        <f>'Standard Vorgaben'!$E$129</f>
        <v>573.6</v>
      </c>
      <c r="AA35" s="30">
        <f t="shared" si="19"/>
        <v>573.6</v>
      </c>
      <c r="AB35" s="730">
        <f t="shared" si="1"/>
        <v>6.7983540083453808E-2</v>
      </c>
      <c r="AC35" s="1456"/>
      <c r="AD35" s="109" t="str">
        <f>'Standard Vorgaben'!$B$129</f>
        <v>Granulosevirus (Madex Top)</v>
      </c>
      <c r="AE35" s="11">
        <f>'Standard Vorgaben'!$C$129</f>
        <v>10</v>
      </c>
      <c r="AF35" s="11">
        <f>'Standard Vorgaben'!$D$129</f>
        <v>0.1</v>
      </c>
      <c r="AG35" s="11">
        <f>'Standard Vorgaben'!$E$129</f>
        <v>573.6</v>
      </c>
      <c r="AH35" s="30">
        <f t="shared" si="20"/>
        <v>573.6</v>
      </c>
      <c r="AI35" s="730">
        <f t="shared" si="4"/>
        <v>7.0520514721073499E-2</v>
      </c>
      <c r="AJ35" s="1456"/>
      <c r="AK35" s="109" t="str">
        <f>'Standard Vorgaben'!$B$129</f>
        <v>Granulosevirus (Madex Top)</v>
      </c>
      <c r="AL35" s="11">
        <f>'Standard Vorgaben'!$C$129</f>
        <v>10</v>
      </c>
      <c r="AM35" s="11">
        <f>'Standard Vorgaben'!$D$129</f>
        <v>0.1</v>
      </c>
      <c r="AN35" s="11">
        <f>'Standard Vorgaben'!$E$129</f>
        <v>573.6</v>
      </c>
      <c r="AO35" s="30">
        <f t="shared" si="21"/>
        <v>573.6</v>
      </c>
      <c r="AP35" s="730">
        <f t="shared" si="5"/>
        <v>7.0520514721073499E-2</v>
      </c>
      <c r="AQ35" s="1456"/>
      <c r="AR35" s="109" t="str">
        <f>'Standard Vorgaben'!$B$129</f>
        <v>Granulosevirus (Madex Top)</v>
      </c>
      <c r="AS35" s="11">
        <f>'Standard Vorgaben'!$C$129</f>
        <v>10</v>
      </c>
      <c r="AT35" s="11">
        <f>'Standard Vorgaben'!$D$129</f>
        <v>0.1</v>
      </c>
      <c r="AU35" s="11">
        <f>'Standard Vorgaben'!$E$129</f>
        <v>573.6</v>
      </c>
      <c r="AV35" s="30">
        <f t="shared" si="22"/>
        <v>573.6</v>
      </c>
      <c r="AW35" s="730">
        <f t="shared" si="6"/>
        <v>6.6436537374543955E-2</v>
      </c>
      <c r="AX35" s="1456"/>
      <c r="AY35" s="109" t="str">
        <f>'Standard Vorgaben'!$B$129</f>
        <v>Granulosevirus (Madex Top)</v>
      </c>
      <c r="AZ35" s="11">
        <f>'Standard Vorgaben'!$C$129</f>
        <v>10</v>
      </c>
      <c r="BA35" s="11">
        <f>'Standard Vorgaben'!$D$129</f>
        <v>0.1</v>
      </c>
      <c r="BB35" s="11">
        <f>'Standard Vorgaben'!$E$129</f>
        <v>573.6</v>
      </c>
      <c r="BC35" s="30">
        <f t="shared" si="23"/>
        <v>573.6</v>
      </c>
      <c r="BD35" s="730">
        <f t="shared" si="7"/>
        <v>7.0520514721073499E-2</v>
      </c>
      <c r="BE35" s="1456"/>
      <c r="BF35" s="109" t="str">
        <f>'Standard Vorgaben'!$B$129</f>
        <v>Granulosevirus (Madex Top)</v>
      </c>
      <c r="BG35" s="11">
        <f>'Standard Vorgaben'!$C$129</f>
        <v>10</v>
      </c>
      <c r="BH35" s="11">
        <f>'Standard Vorgaben'!$D$129</f>
        <v>0.1</v>
      </c>
      <c r="BI35" s="11">
        <f>'Standard Vorgaben'!$E$129</f>
        <v>573.6</v>
      </c>
      <c r="BJ35" s="30">
        <f t="shared" si="24"/>
        <v>573.6</v>
      </c>
      <c r="BK35" s="730">
        <f t="shared" si="8"/>
        <v>7.0520514721073499E-2</v>
      </c>
      <c r="BL35" s="1456"/>
      <c r="BM35" s="109" t="str">
        <f>'Standard Vorgaben'!$B$129</f>
        <v>Granulosevirus (Madex Top)</v>
      </c>
      <c r="BN35" s="11">
        <f>'Standard Vorgaben'!$C$129</f>
        <v>10</v>
      </c>
      <c r="BO35" s="11">
        <f>'Standard Vorgaben'!$D$129</f>
        <v>0.1</v>
      </c>
      <c r="BP35" s="11">
        <f>'Standard Vorgaben'!$E$129</f>
        <v>573.6</v>
      </c>
      <c r="BQ35" s="30">
        <f t="shared" si="25"/>
        <v>573.6</v>
      </c>
      <c r="BR35" s="730">
        <f t="shared" si="9"/>
        <v>6.6436537374543955E-2</v>
      </c>
      <c r="BS35" s="1456"/>
      <c r="BT35" s="109" t="str">
        <f>'Standard Vorgaben'!$B$129</f>
        <v>Granulosevirus (Madex Top)</v>
      </c>
      <c r="BU35" s="11">
        <f>'Standard Vorgaben'!$C$129</f>
        <v>10</v>
      </c>
      <c r="BV35" s="11">
        <f>'Standard Vorgaben'!$D$129</f>
        <v>0.1</v>
      </c>
      <c r="BW35" s="11">
        <f>'Standard Vorgaben'!$E$129</f>
        <v>573.6</v>
      </c>
      <c r="BX35" s="30">
        <f t="shared" si="26"/>
        <v>573.6</v>
      </c>
      <c r="BY35" s="730">
        <f t="shared" si="10"/>
        <v>7.0520514721073499E-2</v>
      </c>
      <c r="BZ35" s="1456"/>
      <c r="CA35" s="109" t="str">
        <f>'Standard Vorgaben'!$B$129</f>
        <v>Granulosevirus (Madex Top)</v>
      </c>
      <c r="CB35" s="11">
        <f>'Standard Vorgaben'!$C$129</f>
        <v>10</v>
      </c>
      <c r="CC35" s="11">
        <f>'Standard Vorgaben'!$D$129</f>
        <v>0.1</v>
      </c>
      <c r="CD35" s="11">
        <f>'Standard Vorgaben'!$E$129</f>
        <v>573.6</v>
      </c>
      <c r="CE35" s="30">
        <f t="shared" si="27"/>
        <v>573.6</v>
      </c>
      <c r="CF35" s="730">
        <f t="shared" si="11"/>
        <v>7.0520514721073499E-2</v>
      </c>
      <c r="CG35" s="1456"/>
      <c r="CH35" s="109" t="str">
        <f>'Standard Vorgaben'!$B$129</f>
        <v>Granulosevirus (Madex Top)</v>
      </c>
      <c r="CI35" s="11">
        <f>'Standard Vorgaben'!$C$129</f>
        <v>10</v>
      </c>
      <c r="CJ35" s="11">
        <f>'Standard Vorgaben'!$D$129</f>
        <v>0.1</v>
      </c>
      <c r="CK35" s="11">
        <f>'Standard Vorgaben'!$E$129</f>
        <v>573.6</v>
      </c>
      <c r="CL35" s="30">
        <f t="shared" si="28"/>
        <v>573.6</v>
      </c>
      <c r="CM35" s="730">
        <f t="shared" si="12"/>
        <v>6.668946325479938E-2</v>
      </c>
      <c r="CN35" s="1456"/>
      <c r="CO35" s="109" t="str">
        <f>'Standard Vorgaben'!$B$129</f>
        <v>Granulosevirus (Madex Top)</v>
      </c>
      <c r="CP35" s="11">
        <f>'Standard Vorgaben'!$C$129</f>
        <v>10</v>
      </c>
      <c r="CQ35" s="11">
        <f>'Standard Vorgaben'!$D$129</f>
        <v>0.1</v>
      </c>
      <c r="CR35" s="11">
        <f>'Standard Vorgaben'!$E$129</f>
        <v>573.6</v>
      </c>
      <c r="CS35" s="30">
        <f t="shared" si="29"/>
        <v>573.6</v>
      </c>
      <c r="CT35" s="730">
        <f t="shared" si="13"/>
        <v>7.0805558709648247E-2</v>
      </c>
      <c r="CU35" s="1456"/>
      <c r="CV35" s="109" t="str">
        <f>'Standard Vorgaben'!$B$129</f>
        <v>Granulosevirus (Madex Top)</v>
      </c>
      <c r="CW35" s="11">
        <f>'Standard Vorgaben'!$C$129</f>
        <v>10</v>
      </c>
      <c r="CX35" s="11">
        <f>'Standard Vorgaben'!$D$129</f>
        <v>0.1</v>
      </c>
      <c r="CY35" s="11">
        <f>'Standard Vorgaben'!$E$129</f>
        <v>573.6</v>
      </c>
      <c r="CZ35" s="30">
        <f t="shared" si="30"/>
        <v>573.6</v>
      </c>
      <c r="DA35" s="730">
        <f t="shared" si="14"/>
        <v>7.0805558709648247E-2</v>
      </c>
    </row>
    <row r="36" spans="1:105" ht="12.5" x14ac:dyDescent="0.25">
      <c r="A36" s="1456"/>
      <c r="B36" s="13" t="str">
        <f>'Standard Vorgaben'!B147</f>
        <v>Quassiaextrakt (Quassan)</v>
      </c>
      <c r="C36" s="1354">
        <f>'Standard Vorgaben'!C147</f>
        <v>0</v>
      </c>
      <c r="D36" s="1354">
        <f>'Standard Vorgaben'!D147</f>
        <v>3.5</v>
      </c>
      <c r="E36" s="1354">
        <f>'Standard Vorgaben'!E147</f>
        <v>222</v>
      </c>
      <c r="F36" s="30">
        <f t="shared" si="16"/>
        <v>0</v>
      </c>
      <c r="G36" s="730">
        <f t="shared" si="15"/>
        <v>0</v>
      </c>
      <c r="H36" s="1456"/>
      <c r="I36" s="13" t="str">
        <f>'Standard Vorgaben'!B164</f>
        <v>Quassiaextrakt (Quassan)</v>
      </c>
      <c r="J36" s="11">
        <f>'Standard Vorgaben'!C164</f>
        <v>0</v>
      </c>
      <c r="K36" s="296">
        <f>'Standard Vorgaben'!D164</f>
        <v>3.5</v>
      </c>
      <c r="L36" s="1176">
        <f>'Standard Vorgaben'!E164</f>
        <v>222</v>
      </c>
      <c r="M36" s="30">
        <f t="shared" si="17"/>
        <v>0</v>
      </c>
      <c r="N36" s="730">
        <f t="shared" si="2"/>
        <v>0</v>
      </c>
      <c r="O36" s="1456"/>
      <c r="P36" s="109" t="str">
        <f>'Standard Vorgaben'!$B$130</f>
        <v>Quassiaextrakt (Quassan)</v>
      </c>
      <c r="Q36" s="11">
        <f>'Standard Vorgaben'!$C$130</f>
        <v>1</v>
      </c>
      <c r="R36" s="11">
        <f>'Standard Vorgaben'!$D130</f>
        <v>3.5</v>
      </c>
      <c r="S36" s="11">
        <f>'Standard Vorgaben'!$E130</f>
        <v>222</v>
      </c>
      <c r="T36" s="30">
        <f t="shared" si="18"/>
        <v>777</v>
      </c>
      <c r="U36" s="730">
        <f t="shared" si="3"/>
        <v>0.10093298552255935</v>
      </c>
      <c r="V36" s="1456"/>
      <c r="W36" s="109" t="str">
        <f>'Standard Vorgaben'!$B$130</f>
        <v>Quassiaextrakt (Quassan)</v>
      </c>
      <c r="X36" s="11">
        <f>'Standard Vorgaben'!$C$130</f>
        <v>1</v>
      </c>
      <c r="Y36" s="11">
        <f>'Standard Vorgaben'!$D130</f>
        <v>3.5</v>
      </c>
      <c r="Z36" s="11">
        <f>'Standard Vorgaben'!$E130</f>
        <v>222</v>
      </c>
      <c r="AA36" s="30">
        <f t="shared" si="19"/>
        <v>777</v>
      </c>
      <c r="AB36" s="730">
        <f t="shared" si="1"/>
        <v>9.2090674067021636E-2</v>
      </c>
      <c r="AC36" s="1456"/>
      <c r="AD36" s="109" t="str">
        <f>'Standard Vorgaben'!$B$130</f>
        <v>Quassiaextrakt (Quassan)</v>
      </c>
      <c r="AE36" s="11">
        <f>'Standard Vorgaben'!$C$130</f>
        <v>1</v>
      </c>
      <c r="AF36" s="11">
        <f>'Standard Vorgaben'!$D130</f>
        <v>3.5</v>
      </c>
      <c r="AG36" s="11">
        <f>'Standard Vorgaben'!$E130</f>
        <v>222</v>
      </c>
      <c r="AH36" s="30">
        <f t="shared" si="20"/>
        <v>777</v>
      </c>
      <c r="AI36" s="730">
        <f t="shared" si="4"/>
        <v>9.552726628011525E-2</v>
      </c>
      <c r="AJ36" s="1456"/>
      <c r="AK36" s="109" t="str">
        <f>'Standard Vorgaben'!$B$130</f>
        <v>Quassiaextrakt (Quassan)</v>
      </c>
      <c r="AL36" s="11">
        <f>'Standard Vorgaben'!$C$130</f>
        <v>1</v>
      </c>
      <c r="AM36" s="11">
        <f>'Standard Vorgaben'!$D130</f>
        <v>3.5</v>
      </c>
      <c r="AN36" s="11">
        <f>'Standard Vorgaben'!$E130</f>
        <v>222</v>
      </c>
      <c r="AO36" s="30">
        <f t="shared" si="21"/>
        <v>777</v>
      </c>
      <c r="AP36" s="730">
        <f t="shared" si="5"/>
        <v>9.552726628011525E-2</v>
      </c>
      <c r="AQ36" s="1456"/>
      <c r="AR36" s="109" t="str">
        <f>'Standard Vorgaben'!$B$130</f>
        <v>Quassiaextrakt (Quassan)</v>
      </c>
      <c r="AS36" s="11">
        <f>'Standard Vorgaben'!$C$130</f>
        <v>1</v>
      </c>
      <c r="AT36" s="11">
        <f>'Standard Vorgaben'!$D130</f>
        <v>3.5</v>
      </c>
      <c r="AU36" s="11">
        <f>'Standard Vorgaben'!$E130</f>
        <v>222</v>
      </c>
      <c r="AV36" s="30">
        <f t="shared" si="22"/>
        <v>777</v>
      </c>
      <c r="AW36" s="730">
        <f t="shared" si="6"/>
        <v>8.9995100313843543E-2</v>
      </c>
      <c r="AX36" s="1456"/>
      <c r="AY36" s="109" t="str">
        <f>'Standard Vorgaben'!$B$130</f>
        <v>Quassiaextrakt (Quassan)</v>
      </c>
      <c r="AZ36" s="11">
        <f>'Standard Vorgaben'!$C$130</f>
        <v>1</v>
      </c>
      <c r="BA36" s="11">
        <f>'Standard Vorgaben'!$D130</f>
        <v>3.5</v>
      </c>
      <c r="BB36" s="11">
        <f>'Standard Vorgaben'!$E130</f>
        <v>222</v>
      </c>
      <c r="BC36" s="30">
        <f t="shared" si="23"/>
        <v>777</v>
      </c>
      <c r="BD36" s="730">
        <f t="shared" si="7"/>
        <v>9.552726628011525E-2</v>
      </c>
      <c r="BE36" s="1456"/>
      <c r="BF36" s="109" t="str">
        <f>'Standard Vorgaben'!$B$130</f>
        <v>Quassiaextrakt (Quassan)</v>
      </c>
      <c r="BG36" s="11">
        <f>'Standard Vorgaben'!$C$130</f>
        <v>1</v>
      </c>
      <c r="BH36" s="11">
        <f>'Standard Vorgaben'!$D130</f>
        <v>3.5</v>
      </c>
      <c r="BI36" s="11">
        <f>'Standard Vorgaben'!$E130</f>
        <v>222</v>
      </c>
      <c r="BJ36" s="30">
        <f t="shared" si="24"/>
        <v>777</v>
      </c>
      <c r="BK36" s="730">
        <f t="shared" si="8"/>
        <v>9.552726628011525E-2</v>
      </c>
      <c r="BL36" s="1456"/>
      <c r="BM36" s="109" t="str">
        <f>'Standard Vorgaben'!$B$130</f>
        <v>Quassiaextrakt (Quassan)</v>
      </c>
      <c r="BN36" s="11">
        <f>'Standard Vorgaben'!$C$130</f>
        <v>1</v>
      </c>
      <c r="BO36" s="11">
        <f>'Standard Vorgaben'!$D130</f>
        <v>3.5</v>
      </c>
      <c r="BP36" s="11">
        <f>'Standard Vorgaben'!$E130</f>
        <v>222</v>
      </c>
      <c r="BQ36" s="30">
        <f t="shared" si="25"/>
        <v>777</v>
      </c>
      <c r="BR36" s="730">
        <f t="shared" si="9"/>
        <v>8.9995100313843543E-2</v>
      </c>
      <c r="BS36" s="1456"/>
      <c r="BT36" s="109" t="str">
        <f>'Standard Vorgaben'!$B$130</f>
        <v>Quassiaextrakt (Quassan)</v>
      </c>
      <c r="BU36" s="11">
        <f>'Standard Vorgaben'!$C$130</f>
        <v>1</v>
      </c>
      <c r="BV36" s="11">
        <f>'Standard Vorgaben'!$D130</f>
        <v>3.5</v>
      </c>
      <c r="BW36" s="11">
        <f>'Standard Vorgaben'!$E130</f>
        <v>222</v>
      </c>
      <c r="BX36" s="30">
        <f t="shared" si="26"/>
        <v>777</v>
      </c>
      <c r="BY36" s="730">
        <f t="shared" si="10"/>
        <v>9.552726628011525E-2</v>
      </c>
      <c r="BZ36" s="1456"/>
      <c r="CA36" s="109" t="str">
        <f>'Standard Vorgaben'!$B$130</f>
        <v>Quassiaextrakt (Quassan)</v>
      </c>
      <c r="CB36" s="11">
        <f>'Standard Vorgaben'!$C$130</f>
        <v>1</v>
      </c>
      <c r="CC36" s="11">
        <f>'Standard Vorgaben'!$D130</f>
        <v>3.5</v>
      </c>
      <c r="CD36" s="11">
        <f>'Standard Vorgaben'!$E130</f>
        <v>222</v>
      </c>
      <c r="CE36" s="30">
        <f t="shared" si="27"/>
        <v>777</v>
      </c>
      <c r="CF36" s="730">
        <f t="shared" si="11"/>
        <v>9.552726628011525E-2</v>
      </c>
      <c r="CG36" s="1456"/>
      <c r="CH36" s="109" t="str">
        <f>'Standard Vorgaben'!$B$130</f>
        <v>Quassiaextrakt (Quassan)</v>
      </c>
      <c r="CI36" s="11">
        <f>'Standard Vorgaben'!$C$130</f>
        <v>1</v>
      </c>
      <c r="CJ36" s="11">
        <f>'Standard Vorgaben'!$D130</f>
        <v>3.5</v>
      </c>
      <c r="CK36" s="11">
        <f>'Standard Vorgaben'!$E130</f>
        <v>222</v>
      </c>
      <c r="CL36" s="30">
        <f t="shared" si="28"/>
        <v>777</v>
      </c>
      <c r="CM36" s="730">
        <f t="shared" si="12"/>
        <v>9.0337714346197889E-2</v>
      </c>
      <c r="CN36" s="1456"/>
      <c r="CO36" s="109" t="str">
        <f>'Standard Vorgaben'!$B$130</f>
        <v>Quassiaextrakt (Quassan)</v>
      </c>
      <c r="CP36" s="11">
        <f>'Standard Vorgaben'!$C$130</f>
        <v>1</v>
      </c>
      <c r="CQ36" s="11">
        <f>'Standard Vorgaben'!$D130</f>
        <v>3.5</v>
      </c>
      <c r="CR36" s="11">
        <f>'Standard Vorgaben'!$E130</f>
        <v>222</v>
      </c>
      <c r="CS36" s="30">
        <f t="shared" si="29"/>
        <v>777</v>
      </c>
      <c r="CT36" s="730">
        <f t="shared" si="13"/>
        <v>9.5913387582630211E-2</v>
      </c>
      <c r="CU36" s="1456"/>
      <c r="CV36" s="109" t="str">
        <f>'Standard Vorgaben'!$B$130</f>
        <v>Quassiaextrakt (Quassan)</v>
      </c>
      <c r="CW36" s="11">
        <f>'Standard Vorgaben'!$C$130</f>
        <v>1</v>
      </c>
      <c r="CX36" s="11">
        <f>'Standard Vorgaben'!$D130</f>
        <v>3.5</v>
      </c>
      <c r="CY36" s="11">
        <f>'Standard Vorgaben'!$E130</f>
        <v>222</v>
      </c>
      <c r="CZ36" s="30">
        <f t="shared" si="30"/>
        <v>777</v>
      </c>
      <c r="DA36" s="730">
        <f t="shared" si="14"/>
        <v>9.5913387582630211E-2</v>
      </c>
    </row>
    <row r="37" spans="1:105" ht="12.5" x14ac:dyDescent="0.25">
      <c r="A37" s="1456"/>
      <c r="B37" s="13" t="str">
        <f>'Standard Vorgaben'!B148</f>
        <v>Weissöl (Weissöl Omya)</v>
      </c>
      <c r="C37" s="1354">
        <f>'Standard Vorgaben'!C148</f>
        <v>1</v>
      </c>
      <c r="D37" s="1354">
        <f>'Standard Vorgaben'!D148</f>
        <v>50</v>
      </c>
      <c r="E37" s="1354">
        <f>'Standard Vorgaben'!E148</f>
        <v>3.7833999999999999</v>
      </c>
      <c r="F37" s="30">
        <f t="shared" si="16"/>
        <v>189.17</v>
      </c>
      <c r="G37" s="730">
        <f t="shared" si="15"/>
        <v>3.6235548496292735E-2</v>
      </c>
      <c r="H37" s="1456"/>
      <c r="I37" s="13" t="str">
        <f>'Standard Vorgaben'!B165</f>
        <v>Weissöl (Weissöl Omya)</v>
      </c>
      <c r="J37" s="11">
        <f>'Standard Vorgaben'!C165</f>
        <v>1</v>
      </c>
      <c r="K37" s="296">
        <f>'Standard Vorgaben'!D165</f>
        <v>50</v>
      </c>
      <c r="L37" s="1176">
        <f>'Standard Vorgaben'!E165</f>
        <v>3.7833999999999999</v>
      </c>
      <c r="M37" s="30">
        <f t="shared" si="17"/>
        <v>189.17</v>
      </c>
      <c r="N37" s="730">
        <f t="shared" si="2"/>
        <v>3.8560412716935229E-2</v>
      </c>
      <c r="O37" s="1456"/>
      <c r="P37" s="109" t="str">
        <f>'Standard Vorgaben'!$B$131</f>
        <v>Weissöl (Weissöl Omya)</v>
      </c>
      <c r="Q37" s="11">
        <f>'Standard Vorgaben'!$C$131</f>
        <v>1</v>
      </c>
      <c r="R37" s="11">
        <f>'Standard Vorgaben'!$D131</f>
        <v>50</v>
      </c>
      <c r="S37" s="11">
        <f>'Standard Vorgaben'!$E$131</f>
        <v>3.7833999999999999</v>
      </c>
      <c r="T37" s="30">
        <f t="shared" si="18"/>
        <v>189.17</v>
      </c>
      <c r="U37" s="730">
        <f t="shared" si="3"/>
        <v>2.457334989871628E-2</v>
      </c>
      <c r="V37" s="1456"/>
      <c r="W37" s="109" t="str">
        <f>'Standard Vorgaben'!$B$131</f>
        <v>Weissöl (Weissöl Omya)</v>
      </c>
      <c r="X37" s="11">
        <f>'Standard Vorgaben'!$C$131</f>
        <v>1</v>
      </c>
      <c r="Y37" s="11">
        <f>'Standard Vorgaben'!$D131</f>
        <v>50</v>
      </c>
      <c r="Z37" s="11">
        <f>'Standard Vorgaben'!$E$131</f>
        <v>3.7833999999999999</v>
      </c>
      <c r="AA37" s="30">
        <f t="shared" si="19"/>
        <v>189.17</v>
      </c>
      <c r="AB37" s="730">
        <f t="shared" si="1"/>
        <v>2.2420582771246436E-2</v>
      </c>
      <c r="AC37" s="1456"/>
      <c r="AD37" s="109" t="str">
        <f>'Standard Vorgaben'!$B$131</f>
        <v>Weissöl (Weissöl Omya)</v>
      </c>
      <c r="AE37" s="11">
        <f>'Standard Vorgaben'!$C$131</f>
        <v>1</v>
      </c>
      <c r="AF37" s="11">
        <f>'Standard Vorgaben'!$D131</f>
        <v>50</v>
      </c>
      <c r="AG37" s="11">
        <f>'Standard Vorgaben'!$E$131</f>
        <v>3.7833999999999999</v>
      </c>
      <c r="AH37" s="30">
        <f t="shared" si="20"/>
        <v>189.17</v>
      </c>
      <c r="AI37" s="730">
        <f t="shared" si="4"/>
        <v>2.3257262499625998E-2</v>
      </c>
      <c r="AJ37" s="1456"/>
      <c r="AK37" s="109" t="str">
        <f>'Standard Vorgaben'!$B$131</f>
        <v>Weissöl (Weissöl Omya)</v>
      </c>
      <c r="AL37" s="11">
        <f>'Standard Vorgaben'!$C$131</f>
        <v>1</v>
      </c>
      <c r="AM37" s="11">
        <f>'Standard Vorgaben'!$D131</f>
        <v>50</v>
      </c>
      <c r="AN37" s="11">
        <f>'Standard Vorgaben'!$E$131</f>
        <v>3.7833999999999999</v>
      </c>
      <c r="AO37" s="30">
        <f t="shared" si="21"/>
        <v>189.17</v>
      </c>
      <c r="AP37" s="730">
        <f t="shared" si="5"/>
        <v>2.3257262499625998E-2</v>
      </c>
      <c r="AQ37" s="1456"/>
      <c r="AR37" s="109" t="str">
        <f>'Standard Vorgaben'!$B$131</f>
        <v>Weissöl (Weissöl Omya)</v>
      </c>
      <c r="AS37" s="11">
        <f>'Standard Vorgaben'!$C$131</f>
        <v>1</v>
      </c>
      <c r="AT37" s="11">
        <f>'Standard Vorgaben'!$D131</f>
        <v>50</v>
      </c>
      <c r="AU37" s="11">
        <f>'Standard Vorgaben'!$E$131</f>
        <v>3.7833999999999999</v>
      </c>
      <c r="AV37" s="30">
        <f t="shared" si="22"/>
        <v>189.17</v>
      </c>
      <c r="AW37" s="730">
        <f t="shared" si="6"/>
        <v>2.1910390124028033E-2</v>
      </c>
      <c r="AX37" s="1456"/>
      <c r="AY37" s="109" t="str">
        <f>'Standard Vorgaben'!$B$131</f>
        <v>Weissöl (Weissöl Omya)</v>
      </c>
      <c r="AZ37" s="11">
        <f>'Standard Vorgaben'!$C$131</f>
        <v>1</v>
      </c>
      <c r="BA37" s="11">
        <f>'Standard Vorgaben'!$D131</f>
        <v>50</v>
      </c>
      <c r="BB37" s="11">
        <f>'Standard Vorgaben'!$E$131</f>
        <v>3.7833999999999999</v>
      </c>
      <c r="BC37" s="30">
        <f t="shared" si="23"/>
        <v>189.17</v>
      </c>
      <c r="BD37" s="730">
        <f t="shared" si="7"/>
        <v>2.3257262499625998E-2</v>
      </c>
      <c r="BE37" s="1456"/>
      <c r="BF37" s="109" t="str">
        <f>'Standard Vorgaben'!$B$131</f>
        <v>Weissöl (Weissöl Omya)</v>
      </c>
      <c r="BG37" s="11">
        <f>'Standard Vorgaben'!$C$131</f>
        <v>1</v>
      </c>
      <c r="BH37" s="11">
        <f>'Standard Vorgaben'!$D131</f>
        <v>50</v>
      </c>
      <c r="BI37" s="11">
        <f>'Standard Vorgaben'!$E$131</f>
        <v>3.7833999999999999</v>
      </c>
      <c r="BJ37" s="30">
        <f t="shared" si="24"/>
        <v>189.17</v>
      </c>
      <c r="BK37" s="730">
        <f t="shared" si="8"/>
        <v>2.3257262499625998E-2</v>
      </c>
      <c r="BL37" s="1456"/>
      <c r="BM37" s="109" t="str">
        <f>'Standard Vorgaben'!$B$131</f>
        <v>Weissöl (Weissöl Omya)</v>
      </c>
      <c r="BN37" s="11">
        <f>'Standard Vorgaben'!$C$131</f>
        <v>1</v>
      </c>
      <c r="BO37" s="11">
        <f>'Standard Vorgaben'!$D131</f>
        <v>50</v>
      </c>
      <c r="BP37" s="11">
        <f>'Standard Vorgaben'!$E$131</f>
        <v>3.7833999999999999</v>
      </c>
      <c r="BQ37" s="30">
        <f t="shared" si="25"/>
        <v>189.17</v>
      </c>
      <c r="BR37" s="730">
        <f t="shared" si="9"/>
        <v>2.1910390124028033E-2</v>
      </c>
      <c r="BS37" s="1456"/>
      <c r="BT37" s="109" t="str">
        <f>'Standard Vorgaben'!$B$131</f>
        <v>Weissöl (Weissöl Omya)</v>
      </c>
      <c r="BU37" s="11">
        <f>'Standard Vorgaben'!$C$131</f>
        <v>1</v>
      </c>
      <c r="BV37" s="11">
        <f>'Standard Vorgaben'!$D131</f>
        <v>50</v>
      </c>
      <c r="BW37" s="11">
        <f>'Standard Vorgaben'!$E$131</f>
        <v>3.7833999999999999</v>
      </c>
      <c r="BX37" s="30">
        <f t="shared" si="26"/>
        <v>189.17</v>
      </c>
      <c r="BY37" s="730">
        <f t="shared" si="10"/>
        <v>2.3257262499625998E-2</v>
      </c>
      <c r="BZ37" s="1456"/>
      <c r="CA37" s="109" t="str">
        <f>'Standard Vorgaben'!$B$131</f>
        <v>Weissöl (Weissöl Omya)</v>
      </c>
      <c r="CB37" s="11">
        <f>'Standard Vorgaben'!$C$131</f>
        <v>1</v>
      </c>
      <c r="CC37" s="11">
        <f>'Standard Vorgaben'!$D131</f>
        <v>50</v>
      </c>
      <c r="CD37" s="11">
        <f>'Standard Vorgaben'!$E$131</f>
        <v>3.7833999999999999</v>
      </c>
      <c r="CE37" s="30">
        <f t="shared" si="27"/>
        <v>189.17</v>
      </c>
      <c r="CF37" s="730">
        <f t="shared" si="11"/>
        <v>2.3257262499625998E-2</v>
      </c>
      <c r="CG37" s="1456"/>
      <c r="CH37" s="109" t="str">
        <f>'Standard Vorgaben'!$B$131</f>
        <v>Weissöl (Weissöl Omya)</v>
      </c>
      <c r="CI37" s="11">
        <f>'Standard Vorgaben'!$C$131</f>
        <v>1</v>
      </c>
      <c r="CJ37" s="11">
        <f>'Standard Vorgaben'!$D131</f>
        <v>50</v>
      </c>
      <c r="CK37" s="11">
        <f>'Standard Vorgaben'!$E$131</f>
        <v>3.7833999999999999</v>
      </c>
      <c r="CL37" s="30">
        <f t="shared" si="28"/>
        <v>189.17</v>
      </c>
      <c r="CM37" s="730">
        <f t="shared" si="12"/>
        <v>2.1993803633037649E-2</v>
      </c>
      <c r="CN37" s="1456"/>
      <c r="CO37" s="109" t="str">
        <f>'Standard Vorgaben'!$B$131</f>
        <v>Weissöl (Weissöl Omya)</v>
      </c>
      <c r="CP37" s="11">
        <f>'Standard Vorgaben'!$C$131</f>
        <v>1</v>
      </c>
      <c r="CQ37" s="11">
        <f>'Standard Vorgaben'!$D131</f>
        <v>50</v>
      </c>
      <c r="CR37" s="11">
        <f>'Standard Vorgaben'!$E$131</f>
        <v>3.7833999999999999</v>
      </c>
      <c r="CS37" s="30">
        <f t="shared" si="29"/>
        <v>189.17</v>
      </c>
      <c r="CT37" s="730">
        <f t="shared" si="13"/>
        <v>2.3351268377099298E-2</v>
      </c>
      <c r="CU37" s="1456"/>
      <c r="CV37" s="109" t="str">
        <f>'Standard Vorgaben'!$B$131</f>
        <v>Weissöl (Weissöl Omya)</v>
      </c>
      <c r="CW37" s="11">
        <f>'Standard Vorgaben'!$C$131</f>
        <v>1</v>
      </c>
      <c r="CX37" s="11">
        <f>'Standard Vorgaben'!$D131</f>
        <v>50</v>
      </c>
      <c r="CY37" s="11">
        <f>'Standard Vorgaben'!$E$131</f>
        <v>3.7833999999999999</v>
      </c>
      <c r="CZ37" s="30">
        <f t="shared" si="30"/>
        <v>189.17</v>
      </c>
      <c r="DA37" s="730">
        <f t="shared" si="14"/>
        <v>2.3351268377099298E-2</v>
      </c>
    </row>
    <row r="38" spans="1:105" ht="12.5" x14ac:dyDescent="0.25">
      <c r="A38" s="1351" t="s">
        <v>632</v>
      </c>
      <c r="B38" s="13" t="str">
        <f>'Standard Vorgaben'!B149</f>
        <v>Insektenlockstoff (Isomate CLR Max Andermatt)</v>
      </c>
      <c r="C38" s="1355">
        <f>'Standard Vorgaben'!C149</f>
        <v>0</v>
      </c>
      <c r="D38" s="1355">
        <f>'Standard Vorgaben'!D149</f>
        <v>750</v>
      </c>
      <c r="E38" s="1355">
        <f>'Standard Vorgaben'!E149</f>
        <v>0.59599999999999997</v>
      </c>
      <c r="F38" s="1329">
        <f t="shared" si="16"/>
        <v>0</v>
      </c>
      <c r="G38" s="730">
        <f t="shared" si="15"/>
        <v>0</v>
      </c>
      <c r="H38" s="1352"/>
      <c r="I38" s="13"/>
      <c r="J38" s="31"/>
      <c r="K38" s="1360"/>
      <c r="L38" s="1361"/>
      <c r="M38" s="1329"/>
      <c r="N38" s="730">
        <f t="shared" si="2"/>
        <v>0</v>
      </c>
      <c r="O38" s="1353" t="s">
        <v>632</v>
      </c>
      <c r="P38" s="1357" t="str">
        <f>'Standard Vorgaben'!$B$132</f>
        <v>Insektenlockstoff (Isomate CLR Max Andermatt)</v>
      </c>
      <c r="Q38" s="31">
        <f>'Standard Vorgaben'!$C132</f>
        <v>1</v>
      </c>
      <c r="R38" s="218">
        <f>'Standard Vorgaben'!$D132</f>
        <v>750</v>
      </c>
      <c r="S38" s="31">
        <f>'Standard Vorgaben'!$E$132</f>
        <v>0.59599999999999997</v>
      </c>
      <c r="T38" s="1329">
        <f t="shared" si="18"/>
        <v>447</v>
      </c>
      <c r="U38" s="730">
        <f t="shared" si="3"/>
        <v>5.806569437398202E-2</v>
      </c>
      <c r="V38" s="1353" t="s">
        <v>632</v>
      </c>
      <c r="W38" s="1357" t="str">
        <f>'Standard Vorgaben'!$B$132</f>
        <v>Insektenlockstoff (Isomate CLR Max Andermatt)</v>
      </c>
      <c r="X38" s="31">
        <f>'Standard Vorgaben'!$C132</f>
        <v>1</v>
      </c>
      <c r="Y38" s="218">
        <f>'Standard Vorgaben'!$D132</f>
        <v>750</v>
      </c>
      <c r="Z38" s="31">
        <f>'Standard Vorgaben'!$E$132</f>
        <v>0.59599999999999997</v>
      </c>
      <c r="AA38" s="1329">
        <f t="shared" si="19"/>
        <v>447</v>
      </c>
      <c r="AB38" s="730">
        <f t="shared" si="1"/>
        <v>5.2978804772147579E-2</v>
      </c>
      <c r="AC38" s="1353" t="s">
        <v>632</v>
      </c>
      <c r="AD38" s="1357" t="str">
        <f>'Standard Vorgaben'!$B$132</f>
        <v>Insektenlockstoff (Isomate CLR Max Andermatt)</v>
      </c>
      <c r="AE38" s="31">
        <f>'Standard Vorgaben'!$C132</f>
        <v>1</v>
      </c>
      <c r="AF38" s="218">
        <f>'Standard Vorgaben'!$D132</f>
        <v>750</v>
      </c>
      <c r="AG38" s="31">
        <f>'Standard Vorgaben'!$E$132</f>
        <v>0.59599999999999997</v>
      </c>
      <c r="AH38" s="1329">
        <f t="shared" si="20"/>
        <v>447</v>
      </c>
      <c r="AI38" s="730">
        <f t="shared" si="4"/>
        <v>5.4955840446861665E-2</v>
      </c>
      <c r="AJ38" s="1353" t="s">
        <v>632</v>
      </c>
      <c r="AK38" s="1357" t="str">
        <f>'Standard Vorgaben'!$B$132</f>
        <v>Insektenlockstoff (Isomate CLR Max Andermatt)</v>
      </c>
      <c r="AL38" s="31">
        <f>'Standard Vorgaben'!$C132</f>
        <v>1</v>
      </c>
      <c r="AM38" s="218">
        <f>'Standard Vorgaben'!$D132</f>
        <v>750</v>
      </c>
      <c r="AN38" s="31">
        <f>'Standard Vorgaben'!$E$132</f>
        <v>0.59599999999999997</v>
      </c>
      <c r="AO38" s="1329">
        <f t="shared" si="21"/>
        <v>447</v>
      </c>
      <c r="AP38" s="730">
        <f t="shared" si="5"/>
        <v>5.4955840446861665E-2</v>
      </c>
      <c r="AQ38" s="1353" t="s">
        <v>632</v>
      </c>
      <c r="AR38" s="1357" t="str">
        <f>'Standard Vorgaben'!$B$132</f>
        <v>Insektenlockstoff (Isomate CLR Max Andermatt)</v>
      </c>
      <c r="AS38" s="31">
        <f>'Standard Vorgaben'!$C132</f>
        <v>1</v>
      </c>
      <c r="AT38" s="218">
        <f>'Standard Vorgaben'!$D132</f>
        <v>750</v>
      </c>
      <c r="AU38" s="31">
        <f>'Standard Vorgaben'!$E$132</f>
        <v>0.59599999999999997</v>
      </c>
      <c r="AV38" s="1329">
        <f t="shared" si="22"/>
        <v>447</v>
      </c>
      <c r="AW38" s="730">
        <f t="shared" si="6"/>
        <v>5.1773243037693775E-2</v>
      </c>
      <c r="AX38" s="1353" t="s">
        <v>632</v>
      </c>
      <c r="AY38" s="1357" t="str">
        <f>'Standard Vorgaben'!$B$132</f>
        <v>Insektenlockstoff (Isomate CLR Max Andermatt)</v>
      </c>
      <c r="AZ38" s="31">
        <f>'Standard Vorgaben'!$C132</f>
        <v>1</v>
      </c>
      <c r="BA38" s="218">
        <f>'Standard Vorgaben'!$D132</f>
        <v>750</v>
      </c>
      <c r="BB38" s="31">
        <f>'Standard Vorgaben'!$E$132</f>
        <v>0.59599999999999997</v>
      </c>
      <c r="BC38" s="1329">
        <f t="shared" si="23"/>
        <v>447</v>
      </c>
      <c r="BD38" s="730">
        <f t="shared" si="7"/>
        <v>5.4955840446861665E-2</v>
      </c>
      <c r="BE38" s="1353" t="s">
        <v>632</v>
      </c>
      <c r="BF38" s="1357" t="str">
        <f>'Standard Vorgaben'!$B$132</f>
        <v>Insektenlockstoff (Isomate CLR Max Andermatt)</v>
      </c>
      <c r="BG38" s="31">
        <f>'Standard Vorgaben'!$C132</f>
        <v>1</v>
      </c>
      <c r="BH38" s="218">
        <f>'Standard Vorgaben'!$D132</f>
        <v>750</v>
      </c>
      <c r="BI38" s="31">
        <f>'Standard Vorgaben'!$E$132</f>
        <v>0.59599999999999997</v>
      </c>
      <c r="BJ38" s="1329">
        <f t="shared" si="24"/>
        <v>447</v>
      </c>
      <c r="BK38" s="730">
        <f t="shared" si="8"/>
        <v>5.4955840446861665E-2</v>
      </c>
      <c r="BL38" s="1353" t="s">
        <v>632</v>
      </c>
      <c r="BM38" s="1357" t="str">
        <f>'Standard Vorgaben'!$B$132</f>
        <v>Insektenlockstoff (Isomate CLR Max Andermatt)</v>
      </c>
      <c r="BN38" s="31">
        <f>'Standard Vorgaben'!$C132</f>
        <v>1</v>
      </c>
      <c r="BO38" s="218">
        <f>'Standard Vorgaben'!$D132</f>
        <v>750</v>
      </c>
      <c r="BP38" s="31">
        <f>'Standard Vorgaben'!$E$132</f>
        <v>0.59599999999999997</v>
      </c>
      <c r="BQ38" s="1329">
        <f t="shared" si="25"/>
        <v>447</v>
      </c>
      <c r="BR38" s="730">
        <f t="shared" si="9"/>
        <v>5.1773243037693775E-2</v>
      </c>
      <c r="BS38" s="1353" t="s">
        <v>632</v>
      </c>
      <c r="BT38" s="1357" t="str">
        <f>'Standard Vorgaben'!$B$132</f>
        <v>Insektenlockstoff (Isomate CLR Max Andermatt)</v>
      </c>
      <c r="BU38" s="31">
        <f>'Standard Vorgaben'!$C132</f>
        <v>1</v>
      </c>
      <c r="BV38" s="218">
        <f>'Standard Vorgaben'!$D132</f>
        <v>750</v>
      </c>
      <c r="BW38" s="31">
        <f>'Standard Vorgaben'!$E$132</f>
        <v>0.59599999999999997</v>
      </c>
      <c r="BX38" s="1329">
        <f t="shared" si="26"/>
        <v>447</v>
      </c>
      <c r="BY38" s="730">
        <f t="shared" si="10"/>
        <v>5.4955840446861665E-2</v>
      </c>
      <c r="BZ38" s="1353" t="s">
        <v>632</v>
      </c>
      <c r="CA38" s="1357" t="str">
        <f>'Standard Vorgaben'!$B$132</f>
        <v>Insektenlockstoff (Isomate CLR Max Andermatt)</v>
      </c>
      <c r="CB38" s="31">
        <f>'Standard Vorgaben'!$C132</f>
        <v>1</v>
      </c>
      <c r="CC38" s="218">
        <f>'Standard Vorgaben'!$D132</f>
        <v>750</v>
      </c>
      <c r="CD38" s="31">
        <f>'Standard Vorgaben'!$E$132</f>
        <v>0.59599999999999997</v>
      </c>
      <c r="CE38" s="1329">
        <f t="shared" si="27"/>
        <v>447</v>
      </c>
      <c r="CF38" s="730">
        <f t="shared" si="11"/>
        <v>5.4955840446861665E-2</v>
      </c>
      <c r="CG38" s="1353" t="s">
        <v>632</v>
      </c>
      <c r="CH38" s="1357" t="str">
        <f>'Standard Vorgaben'!$B$132</f>
        <v>Insektenlockstoff (Isomate CLR Max Andermatt)</v>
      </c>
      <c r="CI38" s="31">
        <f>'Standard Vorgaben'!$C132</f>
        <v>1</v>
      </c>
      <c r="CJ38" s="218">
        <f>'Standard Vorgaben'!$D132</f>
        <v>750</v>
      </c>
      <c r="CK38" s="31">
        <f>'Standard Vorgaben'!$E$132</f>
        <v>0.59599999999999997</v>
      </c>
      <c r="CL38" s="1329">
        <f t="shared" si="28"/>
        <v>447</v>
      </c>
      <c r="CM38" s="730">
        <f t="shared" si="12"/>
        <v>5.1970345318855159E-2</v>
      </c>
      <c r="CN38" s="1353" t="s">
        <v>632</v>
      </c>
      <c r="CO38" s="1357" t="str">
        <f>'Standard Vorgaben'!$B$132</f>
        <v>Insektenlockstoff (Isomate CLR Max Andermatt)</v>
      </c>
      <c r="CP38" s="31">
        <f>'Standard Vorgaben'!$C132</f>
        <v>1</v>
      </c>
      <c r="CQ38" s="218">
        <f>'Standard Vorgaben'!$D132</f>
        <v>750</v>
      </c>
      <c r="CR38" s="31">
        <f>'Standard Vorgaben'!$E$132</f>
        <v>0.59599999999999997</v>
      </c>
      <c r="CS38" s="1329">
        <f t="shared" si="29"/>
        <v>447</v>
      </c>
      <c r="CT38" s="730">
        <f t="shared" si="13"/>
        <v>5.5177972006995757E-2</v>
      </c>
      <c r="CU38" s="1353" t="s">
        <v>632</v>
      </c>
      <c r="CV38" s="1357" t="str">
        <f>'Standard Vorgaben'!$B$132</f>
        <v>Insektenlockstoff (Isomate CLR Max Andermatt)</v>
      </c>
      <c r="CW38" s="31">
        <f>'Standard Vorgaben'!$C132</f>
        <v>1</v>
      </c>
      <c r="CX38" s="218">
        <f>'Standard Vorgaben'!$D132</f>
        <v>750</v>
      </c>
      <c r="CY38" s="31">
        <f>'Standard Vorgaben'!$E$132</f>
        <v>0.59599999999999997</v>
      </c>
      <c r="CZ38" s="1329">
        <f t="shared" si="30"/>
        <v>447</v>
      </c>
      <c r="DA38" s="730">
        <f t="shared" si="14"/>
        <v>5.5177972006995757E-2</v>
      </c>
    </row>
    <row r="39" spans="1:105" ht="13" x14ac:dyDescent="0.3">
      <c r="A39" s="615" t="s">
        <v>140</v>
      </c>
      <c r="B39" s="108">
        <v>0</v>
      </c>
      <c r="C39" s="114">
        <f>SUM(C25:C38)</f>
        <v>29</v>
      </c>
      <c r="D39" s="114"/>
      <c r="E39" s="1185">
        <f>SUM(E25:E38)</f>
        <v>1342.2924</v>
      </c>
      <c r="F39" s="1185">
        <f>SUM(F25:F38)</f>
        <v>2500.0639999999999</v>
      </c>
      <c r="G39" s="730">
        <f>F39/$F$54</f>
        <v>0.47888772170976157</v>
      </c>
      <c r="H39" s="615" t="s">
        <v>140</v>
      </c>
      <c r="I39" s="1370">
        <f>'Standard Vorgaben'!B166</f>
        <v>0</v>
      </c>
      <c r="J39" s="114">
        <f>SUM(J25:J38)</f>
        <v>29</v>
      </c>
      <c r="K39" s="114"/>
      <c r="L39" s="1185">
        <f>SUM(L25:L38)</f>
        <v>1341.6964</v>
      </c>
      <c r="M39" s="1185">
        <f>SUM(M25:M38)</f>
        <v>2500.0639999999999</v>
      </c>
      <c r="N39" s="730">
        <f t="shared" si="2"/>
        <v>0.50961304466221891</v>
      </c>
      <c r="O39" s="615" t="s">
        <v>140</v>
      </c>
      <c r="P39" s="1371">
        <f>'Standard Vorgaben'!$B$133</f>
        <v>26</v>
      </c>
      <c r="Q39" s="114">
        <f>SUM(Q25:Q38)</f>
        <v>52</v>
      </c>
      <c r="R39" s="114"/>
      <c r="S39" s="1185">
        <f>SUM(S25:S38)</f>
        <v>1342.2924</v>
      </c>
      <c r="T39" s="1185">
        <f>SUM(T25:T38)</f>
        <v>5052.6139999999996</v>
      </c>
      <c r="U39" s="730">
        <f t="shared" si="3"/>
        <v>0.65633901636175118</v>
      </c>
      <c r="V39" s="615" t="s">
        <v>140</v>
      </c>
      <c r="W39" s="1371">
        <f>'Standard Vorgaben'!$B$133</f>
        <v>26</v>
      </c>
      <c r="X39" s="114">
        <f>SUM(X25:X38)</f>
        <v>52</v>
      </c>
      <c r="Y39" s="114"/>
      <c r="Z39" s="1185">
        <f>SUM(Z25:Z38)</f>
        <v>1342.2924</v>
      </c>
      <c r="AA39" s="1185">
        <f>SUM(AA25:AA38)</f>
        <v>5052.6139999999996</v>
      </c>
      <c r="AB39" s="730">
        <f t="shared" si="1"/>
        <v>0.59883993444075989</v>
      </c>
      <c r="AC39" s="615" t="s">
        <v>140</v>
      </c>
      <c r="AD39" s="1371">
        <f>'Standard Vorgaben'!$B$133</f>
        <v>26</v>
      </c>
      <c r="AE39" s="114">
        <f>SUM(AE25:AE38)</f>
        <v>52</v>
      </c>
      <c r="AF39" s="114"/>
      <c r="AG39" s="1185">
        <f>SUM(AG25:AG38)</f>
        <v>1342.2924</v>
      </c>
      <c r="AH39" s="1185">
        <f>SUM(AH25:AH38)</f>
        <v>5052.6139999999996</v>
      </c>
      <c r="AI39" s="730">
        <f t="shared" si="4"/>
        <v>0.6211871338335111</v>
      </c>
      <c r="AJ39" s="615" t="s">
        <v>140</v>
      </c>
      <c r="AK39" s="1371">
        <f>'Standard Vorgaben'!$B$133</f>
        <v>26</v>
      </c>
      <c r="AL39" s="114">
        <f>SUM(AL25:AL38)</f>
        <v>52</v>
      </c>
      <c r="AM39" s="114"/>
      <c r="AN39" s="1185">
        <f>SUM(AN25:AN38)</f>
        <v>1342.2924</v>
      </c>
      <c r="AO39" s="1185">
        <f>SUM(AO25:AO38)</f>
        <v>5052.6139999999996</v>
      </c>
      <c r="AP39" s="730">
        <f t="shared" si="5"/>
        <v>0.6211871338335111</v>
      </c>
      <c r="AQ39" s="615" t="s">
        <v>140</v>
      </c>
      <c r="AR39" s="1371">
        <f>'Standard Vorgaben'!$B$133</f>
        <v>26</v>
      </c>
      <c r="AS39" s="114">
        <f>SUM(AS25:AS38)</f>
        <v>52</v>
      </c>
      <c r="AT39" s="114"/>
      <c r="AU39" s="1185">
        <f>SUM(AU25:AU38)</f>
        <v>1342.2924</v>
      </c>
      <c r="AV39" s="1185">
        <f>SUM(AV25:AV38)</f>
        <v>5052.6139999999996</v>
      </c>
      <c r="AW39" s="730">
        <f t="shared" si="6"/>
        <v>0.58521300357417017</v>
      </c>
      <c r="AX39" s="615" t="s">
        <v>140</v>
      </c>
      <c r="AY39" s="1371">
        <f>'Standard Vorgaben'!$B$133</f>
        <v>26</v>
      </c>
      <c r="AZ39" s="114">
        <f>SUM(AZ25:AZ38)</f>
        <v>52</v>
      </c>
      <c r="BA39" s="114"/>
      <c r="BB39" s="1185">
        <f>SUM(BB25:BB38)</f>
        <v>1342.2924</v>
      </c>
      <c r="BC39" s="1185">
        <f>SUM(BC25:BC38)</f>
        <v>5052.6139999999996</v>
      </c>
      <c r="BD39" s="730">
        <f t="shared" si="7"/>
        <v>0.6211871338335111</v>
      </c>
      <c r="BE39" s="615" t="s">
        <v>140</v>
      </c>
      <c r="BF39" s="1371">
        <f>'Standard Vorgaben'!$B$133</f>
        <v>26</v>
      </c>
      <c r="BG39" s="114">
        <f>SUM(BG25:BG38)</f>
        <v>52</v>
      </c>
      <c r="BH39" s="114"/>
      <c r="BI39" s="1185">
        <f>SUM(BI25:BI38)</f>
        <v>1342.2924</v>
      </c>
      <c r="BJ39" s="1185">
        <f>SUM(BJ25:BJ38)</f>
        <v>5052.6139999999996</v>
      </c>
      <c r="BK39" s="730">
        <f t="shared" si="8"/>
        <v>0.6211871338335111</v>
      </c>
      <c r="BL39" s="615" t="s">
        <v>140</v>
      </c>
      <c r="BM39" s="1371">
        <f>'Standard Vorgaben'!$B$133</f>
        <v>26</v>
      </c>
      <c r="BN39" s="114">
        <f>SUM(BN25:BN38)</f>
        <v>52</v>
      </c>
      <c r="BO39" s="114"/>
      <c r="BP39" s="1185">
        <f>SUM(BP25:BP38)</f>
        <v>1342.2924</v>
      </c>
      <c r="BQ39" s="1185">
        <f>SUM(BQ25:BQ38)</f>
        <v>5052.6139999999996</v>
      </c>
      <c r="BR39" s="730">
        <f t="shared" si="9"/>
        <v>0.58521300357417017</v>
      </c>
      <c r="BS39" s="615" t="s">
        <v>140</v>
      </c>
      <c r="BT39" s="1371">
        <f>'Standard Vorgaben'!$B$133</f>
        <v>26</v>
      </c>
      <c r="BU39" s="114">
        <f>SUM(BU25:BU38)</f>
        <v>52</v>
      </c>
      <c r="BV39" s="114"/>
      <c r="BW39" s="1185">
        <f>SUM(BW25:BW38)</f>
        <v>1342.2924</v>
      </c>
      <c r="BX39" s="1185">
        <f>SUM(BX25:BX38)</f>
        <v>5052.6139999999996</v>
      </c>
      <c r="BY39" s="730">
        <f t="shared" si="10"/>
        <v>0.6211871338335111</v>
      </c>
      <c r="BZ39" s="615" t="s">
        <v>140</v>
      </c>
      <c r="CA39" s="1371">
        <f>'Standard Vorgaben'!$B$133</f>
        <v>26</v>
      </c>
      <c r="CB39" s="114">
        <f>SUM(CB25:CB38)</f>
        <v>52</v>
      </c>
      <c r="CC39" s="114"/>
      <c r="CD39" s="1185">
        <f>SUM(CD25:CD38)</f>
        <v>1342.2924</v>
      </c>
      <c r="CE39" s="1185">
        <f>SUM(CE25:CE38)</f>
        <v>5052.6139999999996</v>
      </c>
      <c r="CF39" s="730">
        <f t="shared" si="11"/>
        <v>0.6211871338335111</v>
      </c>
      <c r="CG39" s="615" t="s">
        <v>140</v>
      </c>
      <c r="CH39" s="1371">
        <f>'Standard Vorgaben'!$B$133</f>
        <v>26</v>
      </c>
      <c r="CI39" s="114">
        <f>SUM(CI25:CI38)</f>
        <v>52</v>
      </c>
      <c r="CJ39" s="114"/>
      <c r="CK39" s="1185">
        <f>SUM(CK25:CK38)</f>
        <v>1342.2924</v>
      </c>
      <c r="CL39" s="1185">
        <f>SUM(CL25:CL38)</f>
        <v>5052.6139999999996</v>
      </c>
      <c r="CM39" s="730">
        <f t="shared" si="12"/>
        <v>0.58744092694157046</v>
      </c>
      <c r="CN39" s="615" t="s">
        <v>140</v>
      </c>
      <c r="CO39" s="1371">
        <f>'Standard Vorgaben'!$B$133</f>
        <v>26</v>
      </c>
      <c r="CP39" s="114">
        <f>SUM(CP25:CP38)</f>
        <v>52</v>
      </c>
      <c r="CQ39" s="114"/>
      <c r="CR39" s="1185">
        <f>SUM(CR25:CR38)</f>
        <v>1342.2924</v>
      </c>
      <c r="CS39" s="1185">
        <f>SUM(CS25:CS38)</f>
        <v>5052.6139999999996</v>
      </c>
      <c r="CT39" s="730">
        <f t="shared" si="13"/>
        <v>0.62369797282808681</v>
      </c>
      <c r="CU39" s="615" t="s">
        <v>140</v>
      </c>
      <c r="CV39" s="1371">
        <f>'Standard Vorgaben'!$B$133</f>
        <v>26</v>
      </c>
      <c r="CW39" s="114">
        <f>SUM(CW25:CW38)</f>
        <v>52</v>
      </c>
      <c r="CX39" s="114"/>
      <c r="CY39" s="1185">
        <f>SUM(CY25:CY38)</f>
        <v>1342.2924</v>
      </c>
      <c r="CZ39" s="1185">
        <f>SUM(CZ25:CZ38)</f>
        <v>5052.6139999999996</v>
      </c>
      <c r="DA39" s="730">
        <f t="shared" si="14"/>
        <v>0.62369797282808681</v>
      </c>
    </row>
    <row r="40" spans="1:105" ht="16.5" customHeight="1" x14ac:dyDescent="0.3">
      <c r="A40" s="145" t="str">
        <f>'Standard Hagel'!A75</f>
        <v>Hagelversicherung</v>
      </c>
      <c r="B40" s="303">
        <f>Eingabeseite!B34</f>
        <v>1</v>
      </c>
      <c r="C40" s="618">
        <f>'Standard Hagel'!D82</f>
        <v>0.112</v>
      </c>
      <c r="D40" s="131">
        <f>'Standard Hagel'!C97</f>
        <v>0</v>
      </c>
      <c r="E40" s="45">
        <f>'Standard Hagel'!E82</f>
        <v>0.8</v>
      </c>
      <c r="F40" s="83">
        <f>B40*C40*D40*E40</f>
        <v>0</v>
      </c>
      <c r="G40" s="730">
        <f t="shared" si="15"/>
        <v>0</v>
      </c>
      <c r="H40" s="145" t="str">
        <f>'Standard Hagel'!A75</f>
        <v>Hagelversicherung</v>
      </c>
      <c r="I40" s="303">
        <f>Eingabeseite!I34</f>
        <v>0</v>
      </c>
      <c r="J40" s="618">
        <f>'Standard Hagel'!K82</f>
        <v>0</v>
      </c>
      <c r="K40" s="131">
        <f>'Standard Hagel'!J97</f>
        <v>0</v>
      </c>
      <c r="L40" s="45">
        <f>'Standard Hagel'!L82</f>
        <v>0</v>
      </c>
      <c r="M40" s="83">
        <f>I40*J40*K40*L40</f>
        <v>0</v>
      </c>
      <c r="N40" s="730">
        <f t="shared" si="2"/>
        <v>0</v>
      </c>
      <c r="O40" s="293"/>
      <c r="P40" s="303"/>
      <c r="Q40" s="11"/>
      <c r="R40" s="11"/>
      <c r="S40" s="107"/>
      <c r="T40" s="112"/>
      <c r="U40" s="730">
        <f t="shared" si="3"/>
        <v>0</v>
      </c>
      <c r="V40" s="293"/>
      <c r="W40" s="303"/>
      <c r="X40" s="11"/>
      <c r="Y40" s="11"/>
      <c r="Z40" s="107"/>
      <c r="AA40" s="112"/>
      <c r="AB40" s="730">
        <f t="shared" si="1"/>
        <v>0</v>
      </c>
      <c r="AC40" s="293"/>
      <c r="AD40" s="303"/>
      <c r="AE40" s="11"/>
      <c r="AF40" s="11"/>
      <c r="AG40" s="107"/>
      <c r="AH40" s="112"/>
      <c r="AI40" s="730">
        <f t="shared" si="4"/>
        <v>0</v>
      </c>
      <c r="AJ40" s="293"/>
      <c r="AK40" s="303"/>
      <c r="AL40" s="11"/>
      <c r="AM40" s="11"/>
      <c r="AN40" s="107"/>
      <c r="AO40" s="112"/>
      <c r="AP40" s="730">
        <f t="shared" si="5"/>
        <v>0</v>
      </c>
      <c r="AQ40" s="293"/>
      <c r="AR40" s="303"/>
      <c r="AS40" s="11"/>
      <c r="AT40" s="11"/>
      <c r="AU40" s="107"/>
      <c r="AV40" s="112"/>
      <c r="AW40" s="730">
        <f t="shared" si="6"/>
        <v>0</v>
      </c>
      <c r="AX40" s="293"/>
      <c r="AY40" s="303"/>
      <c r="AZ40" s="11"/>
      <c r="BA40" s="11"/>
      <c r="BB40" s="107"/>
      <c r="BC40" s="112"/>
      <c r="BD40" s="730">
        <f t="shared" si="7"/>
        <v>0</v>
      </c>
      <c r="BE40" s="293"/>
      <c r="BF40" s="303"/>
      <c r="BG40" s="11"/>
      <c r="BH40" s="11"/>
      <c r="BI40" s="107"/>
      <c r="BJ40" s="112"/>
      <c r="BK40" s="730">
        <f t="shared" si="8"/>
        <v>0</v>
      </c>
      <c r="BL40" s="293"/>
      <c r="BM40" s="303"/>
      <c r="BN40" s="11"/>
      <c r="BO40" s="11"/>
      <c r="BP40" s="107"/>
      <c r="BQ40" s="112"/>
      <c r="BR40" s="730">
        <f t="shared" si="9"/>
        <v>0</v>
      </c>
      <c r="BS40" s="293"/>
      <c r="BT40" s="303"/>
      <c r="BU40" s="11"/>
      <c r="BV40" s="11"/>
      <c r="BW40" s="107"/>
      <c r="BX40" s="112"/>
      <c r="BY40" s="730">
        <f t="shared" si="10"/>
        <v>0</v>
      </c>
      <c r="BZ40" s="293"/>
      <c r="CA40" s="303"/>
      <c r="CB40" s="11"/>
      <c r="CC40" s="11"/>
      <c r="CD40" s="107"/>
      <c r="CE40" s="112"/>
      <c r="CF40" s="730">
        <f t="shared" si="11"/>
        <v>0</v>
      </c>
      <c r="CG40" s="293"/>
      <c r="CH40" s="303"/>
      <c r="CI40" s="11"/>
      <c r="CJ40" s="11"/>
      <c r="CK40" s="107"/>
      <c r="CL40" s="112"/>
      <c r="CM40" s="730">
        <f t="shared" si="12"/>
        <v>0</v>
      </c>
      <c r="CN40" s="293"/>
      <c r="CO40" s="303"/>
      <c r="CP40" s="11"/>
      <c r="CQ40" s="11"/>
      <c r="CR40" s="107"/>
      <c r="CS40" s="112"/>
      <c r="CT40" s="730">
        <f t="shared" si="13"/>
        <v>0</v>
      </c>
      <c r="CU40" s="293"/>
      <c r="CV40" s="303"/>
      <c r="CW40" s="11"/>
      <c r="CX40" s="11"/>
      <c r="CY40" s="107"/>
      <c r="CZ40" s="112"/>
      <c r="DA40" s="730">
        <f t="shared" si="14"/>
        <v>0</v>
      </c>
    </row>
    <row r="41" spans="1:105" ht="16.5" customHeight="1" x14ac:dyDescent="0.3">
      <c r="A41" s="87" t="s">
        <v>553</v>
      </c>
      <c r="B41" t="s">
        <v>486</v>
      </c>
      <c r="C41" s="96">
        <f>'Standard Vorgaben'!$C$236</f>
        <v>1</v>
      </c>
      <c r="D41" s="10">
        <f>'Standard Erstellung'!$C$131</f>
        <v>500</v>
      </c>
      <c r="E41" s="1060">
        <f>'Standard Erstellung'!$D$131</f>
        <v>2</v>
      </c>
      <c r="F41" s="1061">
        <f>C41*D41*E41</f>
        <v>1000</v>
      </c>
      <c r="G41" s="730">
        <f t="shared" si="15"/>
        <v>0.19155018499916865</v>
      </c>
      <c r="H41" s="87" t="s">
        <v>553</v>
      </c>
      <c r="I41" t="s">
        <v>486</v>
      </c>
      <c r="J41" s="96">
        <f>'Standard Vorgaben'!$C$236</f>
        <v>1</v>
      </c>
      <c r="K41" s="10">
        <f>'Standard Erstellung'!$C$131</f>
        <v>500</v>
      </c>
      <c r="L41" s="1060">
        <f>'Standard Erstellung'!$D$131</f>
        <v>2</v>
      </c>
      <c r="M41" s="1061">
        <f>J41*K41*L41</f>
        <v>1000</v>
      </c>
      <c r="N41" s="730">
        <f t="shared" si="2"/>
        <v>0.20383999956089882</v>
      </c>
      <c r="O41" s="87" t="s">
        <v>553</v>
      </c>
      <c r="P41" t="s">
        <v>486</v>
      </c>
      <c r="Q41" s="96">
        <f>'Standard Vorgaben'!$C$236</f>
        <v>1</v>
      </c>
      <c r="R41" s="10">
        <f>'Standard Erstellung'!$C$131</f>
        <v>500</v>
      </c>
      <c r="S41" s="1060">
        <f>'Standard Erstellung'!$D$131</f>
        <v>2</v>
      </c>
      <c r="T41" s="1061">
        <f>Q41*R41*S41</f>
        <v>1000</v>
      </c>
      <c r="U41" s="730">
        <f t="shared" si="3"/>
        <v>0.12990088226841615</v>
      </c>
      <c r="V41" s="87" t="s">
        <v>553</v>
      </c>
      <c r="W41" t="s">
        <v>486</v>
      </c>
      <c r="X41" s="96">
        <f>'Standard Vorgaben'!$C$236</f>
        <v>1</v>
      </c>
      <c r="Y41" s="10">
        <f>'Standard Erstellung'!$C$131</f>
        <v>500</v>
      </c>
      <c r="Z41" s="1060">
        <f>'Standard Erstellung'!$D$131</f>
        <v>2</v>
      </c>
      <c r="AA41" s="1061">
        <f>X41*Y41*Z41</f>
        <v>1000</v>
      </c>
      <c r="AB41" s="730">
        <f t="shared" si="1"/>
        <v>0.11852081604507289</v>
      </c>
      <c r="AC41" s="87" t="s">
        <v>553</v>
      </c>
      <c r="AD41" t="s">
        <v>486</v>
      </c>
      <c r="AE41" s="96">
        <f>'Standard Vorgaben'!$C$236</f>
        <v>1</v>
      </c>
      <c r="AF41" s="10">
        <f>'Standard Erstellung'!$C$131</f>
        <v>500</v>
      </c>
      <c r="AG41" s="1060">
        <f>'Standard Erstellung'!$D$131</f>
        <v>2</v>
      </c>
      <c r="AH41" s="1061">
        <f>AE41*AF41*AG41</f>
        <v>1000</v>
      </c>
      <c r="AI41" s="730">
        <f t="shared" si="4"/>
        <v>0.12294371464622296</v>
      </c>
      <c r="AJ41" s="87" t="s">
        <v>553</v>
      </c>
      <c r="AK41" t="s">
        <v>486</v>
      </c>
      <c r="AL41" s="96">
        <f>'Standard Vorgaben'!$C$236</f>
        <v>1</v>
      </c>
      <c r="AM41" s="10">
        <f>'Standard Erstellung'!$C$131</f>
        <v>500</v>
      </c>
      <c r="AN41" s="1060">
        <f>'Standard Erstellung'!$D$131</f>
        <v>2</v>
      </c>
      <c r="AO41" s="1061">
        <f>AL41*AM41*AN41</f>
        <v>1000</v>
      </c>
      <c r="AP41" s="730">
        <f t="shared" si="5"/>
        <v>0.12294371464622296</v>
      </c>
      <c r="AQ41" s="87" t="s">
        <v>553</v>
      </c>
      <c r="AR41" t="s">
        <v>486</v>
      </c>
      <c r="AS41" s="96">
        <f>'Standard Vorgaben'!$C$236</f>
        <v>1</v>
      </c>
      <c r="AT41" s="10">
        <f>'Standard Erstellung'!$C$131</f>
        <v>500</v>
      </c>
      <c r="AU41" s="1060">
        <f>'Standard Erstellung'!$D$131</f>
        <v>2</v>
      </c>
      <c r="AV41" s="1061">
        <f>AS41*AT41*AU41</f>
        <v>1000</v>
      </c>
      <c r="AW41" s="730">
        <f t="shared" si="6"/>
        <v>0.11582380992772656</v>
      </c>
      <c r="AX41" s="87" t="s">
        <v>553</v>
      </c>
      <c r="AY41" t="s">
        <v>486</v>
      </c>
      <c r="AZ41" s="96">
        <f>'Standard Vorgaben'!$C$236</f>
        <v>1</v>
      </c>
      <c r="BA41" s="10">
        <f>'Standard Erstellung'!$C$131</f>
        <v>500</v>
      </c>
      <c r="BB41" s="1060">
        <f>'Standard Erstellung'!$D$131</f>
        <v>2</v>
      </c>
      <c r="BC41" s="1061">
        <f>AZ41*BA41*BB41</f>
        <v>1000</v>
      </c>
      <c r="BD41" s="730">
        <f t="shared" si="7"/>
        <v>0.12294371464622296</v>
      </c>
      <c r="BE41" s="87" t="s">
        <v>553</v>
      </c>
      <c r="BF41" t="s">
        <v>486</v>
      </c>
      <c r="BG41" s="96">
        <f>'Standard Vorgaben'!$C$236</f>
        <v>1</v>
      </c>
      <c r="BH41" s="10">
        <f>'Standard Erstellung'!$C$131</f>
        <v>500</v>
      </c>
      <c r="BI41" s="1060">
        <f>'Standard Erstellung'!$D$131</f>
        <v>2</v>
      </c>
      <c r="BJ41" s="1061">
        <f>BG41*BH41*BI41</f>
        <v>1000</v>
      </c>
      <c r="BK41" s="730">
        <f t="shared" si="8"/>
        <v>0.12294371464622296</v>
      </c>
      <c r="BL41" s="87" t="s">
        <v>553</v>
      </c>
      <c r="BM41" t="s">
        <v>486</v>
      </c>
      <c r="BN41" s="96">
        <f>'Standard Vorgaben'!$C$236</f>
        <v>1</v>
      </c>
      <c r="BO41" s="10">
        <f>'Standard Erstellung'!$C$131</f>
        <v>500</v>
      </c>
      <c r="BP41" s="1060">
        <f>'Standard Erstellung'!$D$131</f>
        <v>2</v>
      </c>
      <c r="BQ41" s="1061">
        <f>BN41*BO41*BP41</f>
        <v>1000</v>
      </c>
      <c r="BR41" s="730">
        <f t="shared" si="9"/>
        <v>0.11582380992772656</v>
      </c>
      <c r="BS41" s="87" t="s">
        <v>553</v>
      </c>
      <c r="BT41" t="s">
        <v>486</v>
      </c>
      <c r="BU41" s="96">
        <f>'Standard Vorgaben'!$C$236</f>
        <v>1</v>
      </c>
      <c r="BV41" s="10">
        <f>'Standard Erstellung'!$C$131</f>
        <v>500</v>
      </c>
      <c r="BW41" s="1060">
        <f>'Standard Erstellung'!$D$131</f>
        <v>2</v>
      </c>
      <c r="BX41" s="1061">
        <f>BU41*BV41*BW41</f>
        <v>1000</v>
      </c>
      <c r="BY41" s="730">
        <f t="shared" si="10"/>
        <v>0.12294371464622296</v>
      </c>
      <c r="BZ41" s="87" t="s">
        <v>553</v>
      </c>
      <c r="CA41" t="s">
        <v>486</v>
      </c>
      <c r="CB41" s="96">
        <f>'Standard Vorgaben'!$C$236</f>
        <v>1</v>
      </c>
      <c r="CC41" s="10">
        <f>'Standard Erstellung'!$C$131</f>
        <v>500</v>
      </c>
      <c r="CD41" s="1060">
        <f>'Standard Erstellung'!$D$131</f>
        <v>2</v>
      </c>
      <c r="CE41" s="1061">
        <f>CB41*CC41*CD41</f>
        <v>1000</v>
      </c>
      <c r="CF41" s="730">
        <f t="shared" si="11"/>
        <v>0.12294371464622296</v>
      </c>
      <c r="CG41" s="87" t="s">
        <v>553</v>
      </c>
      <c r="CH41" t="s">
        <v>486</v>
      </c>
      <c r="CI41" s="96">
        <f>'Standard Vorgaben'!$C$236</f>
        <v>1</v>
      </c>
      <c r="CJ41" s="10">
        <f>'Standard Erstellung'!$C$131</f>
        <v>500</v>
      </c>
      <c r="CK41" s="1060">
        <f>'Standard Erstellung'!$D$131</f>
        <v>2</v>
      </c>
      <c r="CL41" s="1061">
        <f>CI41*CJ41*CK41</f>
        <v>1000</v>
      </c>
      <c r="CM41" s="730">
        <f t="shared" si="12"/>
        <v>0.11626475462831132</v>
      </c>
      <c r="CN41" s="87" t="s">
        <v>553</v>
      </c>
      <c r="CO41" t="s">
        <v>486</v>
      </c>
      <c r="CP41" s="96">
        <f>'Standard Vorgaben'!$C$236</f>
        <v>1</v>
      </c>
      <c r="CQ41" s="1263">
        <f>'Standard Erstellung'!$C$131</f>
        <v>500</v>
      </c>
      <c r="CR41" s="1264">
        <f>'Standard Erstellung'!$D$131</f>
        <v>2</v>
      </c>
      <c r="CS41" s="1061">
        <f>CP41*CQ41*CR41</f>
        <v>1000</v>
      </c>
      <c r="CT41" s="730">
        <f t="shared" si="13"/>
        <v>0.12344065325949834</v>
      </c>
      <c r="CU41" s="87" t="s">
        <v>553</v>
      </c>
      <c r="CV41" t="s">
        <v>486</v>
      </c>
      <c r="CW41" s="96">
        <f>'Standard Vorgaben'!$C$236</f>
        <v>1</v>
      </c>
      <c r="CX41" s="10">
        <f>'Standard Erstellung'!$C$131</f>
        <v>500</v>
      </c>
      <c r="CY41" s="1060">
        <f>'Standard Erstellung'!$D$131</f>
        <v>2</v>
      </c>
      <c r="CZ41" s="1061">
        <f>CW41*CX41*CY41</f>
        <v>1000</v>
      </c>
      <c r="DA41" s="730">
        <f t="shared" si="14"/>
        <v>0.12344065325949834</v>
      </c>
    </row>
    <row r="42" spans="1:105" ht="16.5" customHeight="1" x14ac:dyDescent="0.3">
      <c r="A42" s="72" t="s">
        <v>404</v>
      </c>
      <c r="B42" s="303"/>
      <c r="C42" s="11"/>
      <c r="D42" s="11"/>
      <c r="E42" s="107"/>
      <c r="F42" s="112"/>
      <c r="G42" s="730"/>
      <c r="H42" s="72" t="s">
        <v>404</v>
      </c>
      <c r="I42" s="303"/>
      <c r="J42" s="11"/>
      <c r="K42" s="11"/>
      <c r="L42" s="107"/>
      <c r="M42" s="112"/>
      <c r="N42" s="730">
        <f t="shared" si="2"/>
        <v>0</v>
      </c>
      <c r="O42" s="72" t="s">
        <v>404</v>
      </c>
      <c r="P42" s="303"/>
      <c r="Q42" s="11"/>
      <c r="R42" s="11"/>
      <c r="S42" s="107"/>
      <c r="T42" s="112"/>
      <c r="U42" s="730">
        <f t="shared" si="3"/>
        <v>0</v>
      </c>
      <c r="V42" s="72" t="s">
        <v>404</v>
      </c>
      <c r="W42" s="303"/>
      <c r="X42" s="11"/>
      <c r="Y42" s="11"/>
      <c r="Z42" s="107"/>
      <c r="AA42" s="112"/>
      <c r="AB42" s="730">
        <f t="shared" si="1"/>
        <v>0</v>
      </c>
      <c r="AC42" s="72" t="s">
        <v>404</v>
      </c>
      <c r="AD42" s="303"/>
      <c r="AE42" s="11"/>
      <c r="AF42" s="11"/>
      <c r="AG42" s="107"/>
      <c r="AH42" s="112"/>
      <c r="AI42" s="730">
        <f t="shared" si="4"/>
        <v>0</v>
      </c>
      <c r="AJ42" s="72" t="s">
        <v>404</v>
      </c>
      <c r="AK42" s="303"/>
      <c r="AL42" s="11"/>
      <c r="AM42" s="11"/>
      <c r="AN42" s="107"/>
      <c r="AO42" s="112"/>
      <c r="AP42" s="730">
        <f t="shared" si="5"/>
        <v>0</v>
      </c>
      <c r="AQ42" s="72" t="s">
        <v>404</v>
      </c>
      <c r="AR42" s="303"/>
      <c r="AS42" s="11"/>
      <c r="AT42" s="11"/>
      <c r="AU42" s="107"/>
      <c r="AV42" s="112"/>
      <c r="AW42" s="730">
        <f t="shared" si="6"/>
        <v>0</v>
      </c>
      <c r="AX42" s="72" t="s">
        <v>404</v>
      </c>
      <c r="AY42" s="303"/>
      <c r="AZ42" s="11"/>
      <c r="BA42" s="11"/>
      <c r="BB42" s="107"/>
      <c r="BC42" s="112"/>
      <c r="BD42" s="730">
        <f t="shared" si="7"/>
        <v>0</v>
      </c>
      <c r="BE42" s="72" t="s">
        <v>404</v>
      </c>
      <c r="BF42" s="303"/>
      <c r="BG42" s="11"/>
      <c r="BH42" s="11"/>
      <c r="BI42" s="107"/>
      <c r="BJ42" s="112"/>
      <c r="BK42" s="730">
        <f t="shared" si="8"/>
        <v>0</v>
      </c>
      <c r="BL42" s="72" t="s">
        <v>404</v>
      </c>
      <c r="BM42" s="303"/>
      <c r="BN42" s="11"/>
      <c r="BO42" s="11"/>
      <c r="BP42" s="107"/>
      <c r="BQ42" s="112"/>
      <c r="BR42" s="730">
        <f t="shared" si="9"/>
        <v>0</v>
      </c>
      <c r="BS42" s="72" t="s">
        <v>404</v>
      </c>
      <c r="BT42" s="303"/>
      <c r="BU42" s="11"/>
      <c r="BV42" s="11"/>
      <c r="BW42" s="107"/>
      <c r="BX42" s="112"/>
      <c r="BY42" s="730">
        <f t="shared" si="10"/>
        <v>0</v>
      </c>
      <c r="BZ42" s="72" t="s">
        <v>404</v>
      </c>
      <c r="CA42" s="303"/>
      <c r="CB42" s="11"/>
      <c r="CC42" s="11"/>
      <c r="CD42" s="107"/>
      <c r="CE42" s="112"/>
      <c r="CF42" s="730">
        <f t="shared" si="11"/>
        <v>0</v>
      </c>
      <c r="CG42" s="72" t="s">
        <v>404</v>
      </c>
      <c r="CH42" s="303"/>
      <c r="CI42" s="11"/>
      <c r="CJ42" s="11"/>
      <c r="CK42" s="107"/>
      <c r="CL42" s="112"/>
      <c r="CM42" s="730">
        <f t="shared" si="12"/>
        <v>0</v>
      </c>
      <c r="CN42" s="72" t="s">
        <v>404</v>
      </c>
      <c r="CO42" s="303"/>
      <c r="CP42" s="11"/>
      <c r="CQ42" s="11"/>
      <c r="CR42" s="107"/>
      <c r="CS42" s="112"/>
      <c r="CT42" s="730">
        <f t="shared" si="13"/>
        <v>0</v>
      </c>
      <c r="CU42" s="72" t="s">
        <v>404</v>
      </c>
      <c r="CV42" s="303"/>
      <c r="CW42" s="11"/>
      <c r="CX42" s="11"/>
      <c r="CY42" s="107"/>
      <c r="CZ42" s="112"/>
      <c r="DA42" s="730">
        <f t="shared" si="14"/>
        <v>0</v>
      </c>
    </row>
    <row r="43" spans="1:105" s="1" customFormat="1" ht="18" customHeight="1" x14ac:dyDescent="0.25">
      <c r="A43" s="1417" t="s">
        <v>635</v>
      </c>
      <c r="B43" s="19" t="s">
        <v>613</v>
      </c>
      <c r="C43" s="19"/>
      <c r="D43" s="42" t="s">
        <v>136</v>
      </c>
      <c r="E43" s="45">
        <f>'Standard Vorgaben'!$H$38+'Variante Vorgaben'!$G$40+'Standard Vorgaben'!$H$48</f>
        <v>468</v>
      </c>
      <c r="F43" s="149">
        <f>E43</f>
        <v>468</v>
      </c>
      <c r="G43" s="730">
        <f t="shared" si="15"/>
        <v>8.9645486579610939E-2</v>
      </c>
      <c r="H43" s="1417" t="str">
        <f>A43</f>
        <v xml:space="preserve">                  Branchenbeiträge und Biobeiträge</v>
      </c>
      <c r="I43" s="19" t="str">
        <f>B43</f>
        <v>SGA + Bio (Flächebeiträge)+ BioKontrolle</v>
      </c>
      <c r="J43" s="19"/>
      <c r="K43" s="42" t="str">
        <f>D43</f>
        <v>pro ha</v>
      </c>
      <c r="L43" s="45">
        <f>'Standard Vorgaben'!$H$38+'Variante Vorgaben'!$G$40+'Standard Vorgaben'!$H$48</f>
        <v>468</v>
      </c>
      <c r="M43" s="149">
        <f>L43</f>
        <v>468</v>
      </c>
      <c r="N43" s="730">
        <f t="shared" si="2"/>
        <v>9.5397119794500648E-2</v>
      </c>
      <c r="O43" s="1417" t="s">
        <v>635</v>
      </c>
      <c r="P43" s="19" t="s">
        <v>602</v>
      </c>
      <c r="Q43" s="19"/>
      <c r="R43" s="42" t="str">
        <f>K43</f>
        <v>pro ha</v>
      </c>
      <c r="S43" s="45">
        <f>'Standard Vorgaben'!$H$38+'Variante Vorgaben'!$G$40+'Standard Vorgaben'!$H$48</f>
        <v>468</v>
      </c>
      <c r="T43" s="149">
        <f>S43</f>
        <v>468</v>
      </c>
      <c r="U43" s="730">
        <f t="shared" si="3"/>
        <v>6.0793612901618756E-2</v>
      </c>
      <c r="V43" s="1417" t="s">
        <v>635</v>
      </c>
      <c r="W43" s="19" t="s">
        <v>602</v>
      </c>
      <c r="X43" s="19"/>
      <c r="Y43" s="42" t="str">
        <f>R43</f>
        <v>pro ha</v>
      </c>
      <c r="Z43" s="45">
        <f>'Standard Vorgaben'!$H$38+'Variante Vorgaben'!$G$40+'Standard Vorgaben'!$H$48</f>
        <v>468</v>
      </c>
      <c r="AA43" s="149">
        <f>Z43</f>
        <v>468</v>
      </c>
      <c r="AB43" s="730">
        <f t="shared" si="1"/>
        <v>5.5467741909094113E-2</v>
      </c>
      <c r="AC43" s="1417" t="s">
        <v>635</v>
      </c>
      <c r="AD43" s="19" t="s">
        <v>602</v>
      </c>
      <c r="AE43" s="19"/>
      <c r="AF43" s="42" t="str">
        <f>Y43</f>
        <v>pro ha</v>
      </c>
      <c r="AG43" s="45">
        <f>'Standard Vorgaben'!$H$38+'Variante Vorgaben'!$G$40+'Standard Vorgaben'!$H$48</f>
        <v>468</v>
      </c>
      <c r="AH43" s="149">
        <f>AG43</f>
        <v>468</v>
      </c>
      <c r="AI43" s="730">
        <f t="shared" si="4"/>
        <v>5.7537658454432344E-2</v>
      </c>
      <c r="AJ43" s="1417" t="s">
        <v>635</v>
      </c>
      <c r="AK43" s="19" t="s">
        <v>602</v>
      </c>
      <c r="AL43" s="19"/>
      <c r="AM43" s="42" t="str">
        <f>AF43</f>
        <v>pro ha</v>
      </c>
      <c r="AN43" s="45">
        <f>'Standard Vorgaben'!$H$38+'Variante Vorgaben'!$G$40+'Standard Vorgaben'!$H$48</f>
        <v>468</v>
      </c>
      <c r="AO43" s="149">
        <f>AN43</f>
        <v>468</v>
      </c>
      <c r="AP43" s="730">
        <f t="shared" si="5"/>
        <v>5.7537658454432344E-2</v>
      </c>
      <c r="AQ43" s="1417" t="s">
        <v>635</v>
      </c>
      <c r="AR43" s="19" t="s">
        <v>602</v>
      </c>
      <c r="AS43" s="19"/>
      <c r="AT43" s="42" t="str">
        <f>AM43</f>
        <v>pro ha</v>
      </c>
      <c r="AU43" s="45">
        <f>'Standard Vorgaben'!$H$38+'Variante Vorgaben'!$G$40+'Standard Vorgaben'!$H$48</f>
        <v>468</v>
      </c>
      <c r="AV43" s="149">
        <f>AU43</f>
        <v>468</v>
      </c>
      <c r="AW43" s="730">
        <f t="shared" si="6"/>
        <v>5.420554304617603E-2</v>
      </c>
      <c r="AX43" s="1417" t="s">
        <v>635</v>
      </c>
      <c r="AY43" s="19" t="s">
        <v>602</v>
      </c>
      <c r="AZ43" s="19"/>
      <c r="BA43" s="42" t="str">
        <f>AT43</f>
        <v>pro ha</v>
      </c>
      <c r="BB43" s="45">
        <f>'Standard Vorgaben'!$H$38+'Variante Vorgaben'!$G$40+'Standard Vorgaben'!$H$48</f>
        <v>468</v>
      </c>
      <c r="BC43" s="149">
        <f>BB43</f>
        <v>468</v>
      </c>
      <c r="BD43" s="730">
        <f t="shared" si="7"/>
        <v>5.7537658454432344E-2</v>
      </c>
      <c r="BE43" s="1417" t="s">
        <v>635</v>
      </c>
      <c r="BF43" s="19" t="s">
        <v>602</v>
      </c>
      <c r="BG43" s="19"/>
      <c r="BH43" s="42" t="str">
        <f>BA43</f>
        <v>pro ha</v>
      </c>
      <c r="BI43" s="45">
        <f>'Standard Vorgaben'!$H$38+'Variante Vorgaben'!$G$40+'Standard Vorgaben'!$H$48</f>
        <v>468</v>
      </c>
      <c r="BJ43" s="149">
        <f>BI43</f>
        <v>468</v>
      </c>
      <c r="BK43" s="730">
        <f t="shared" si="8"/>
        <v>5.7537658454432344E-2</v>
      </c>
      <c r="BL43" s="1417" t="s">
        <v>635</v>
      </c>
      <c r="BM43" s="19" t="s">
        <v>602</v>
      </c>
      <c r="BN43" s="19"/>
      <c r="BO43" s="42" t="str">
        <f>BH43</f>
        <v>pro ha</v>
      </c>
      <c r="BP43" s="45">
        <f>'Standard Vorgaben'!$H$38+'Variante Vorgaben'!$G$40+'Standard Vorgaben'!$H$48</f>
        <v>468</v>
      </c>
      <c r="BQ43" s="149">
        <f>BP43</f>
        <v>468</v>
      </c>
      <c r="BR43" s="730">
        <f t="shared" si="9"/>
        <v>5.420554304617603E-2</v>
      </c>
      <c r="BS43" s="1417" t="s">
        <v>635</v>
      </c>
      <c r="BT43" s="19" t="s">
        <v>602</v>
      </c>
      <c r="BU43" s="19"/>
      <c r="BV43" s="42" t="str">
        <f>BO43</f>
        <v>pro ha</v>
      </c>
      <c r="BW43" s="45">
        <f>'Standard Vorgaben'!$H$38+'Variante Vorgaben'!$G$40+'Standard Vorgaben'!$H$48</f>
        <v>468</v>
      </c>
      <c r="BX43" s="149">
        <f>BW43</f>
        <v>468</v>
      </c>
      <c r="BY43" s="730">
        <f t="shared" si="10"/>
        <v>5.7537658454432344E-2</v>
      </c>
      <c r="BZ43" s="1417" t="s">
        <v>635</v>
      </c>
      <c r="CA43" s="19" t="s">
        <v>602</v>
      </c>
      <c r="CB43" s="19"/>
      <c r="CC43" s="42" t="str">
        <f>BV43</f>
        <v>pro ha</v>
      </c>
      <c r="CD43" s="45">
        <f>'Standard Vorgaben'!$H$38+'Variante Vorgaben'!$G$40+'Standard Vorgaben'!$H$48</f>
        <v>468</v>
      </c>
      <c r="CE43" s="149">
        <f>CD43</f>
        <v>468</v>
      </c>
      <c r="CF43" s="730">
        <f t="shared" si="11"/>
        <v>5.7537658454432344E-2</v>
      </c>
      <c r="CG43" s="1417" t="s">
        <v>635</v>
      </c>
      <c r="CH43" s="19" t="s">
        <v>602</v>
      </c>
      <c r="CI43" s="19"/>
      <c r="CJ43" s="42" t="str">
        <f>CC43</f>
        <v>pro ha</v>
      </c>
      <c r="CK43" s="45">
        <f>'Standard Vorgaben'!$H$38+'Variante Vorgaben'!$G$40+'Standard Vorgaben'!$H$48</f>
        <v>468</v>
      </c>
      <c r="CL43" s="149">
        <f>CK43</f>
        <v>468</v>
      </c>
      <c r="CM43" s="730">
        <f t="shared" si="12"/>
        <v>5.4411905166049698E-2</v>
      </c>
      <c r="CN43" s="1417" t="s">
        <v>635</v>
      </c>
      <c r="CO43" s="19" t="s">
        <v>602</v>
      </c>
      <c r="CP43" s="19"/>
      <c r="CQ43" s="42" t="str">
        <f>CJ43</f>
        <v>pro ha</v>
      </c>
      <c r="CR43" s="45">
        <f>'Standard Vorgaben'!$H$38+'Variante Vorgaben'!$G$40+'Standard Vorgaben'!$H$48</f>
        <v>468</v>
      </c>
      <c r="CS43" s="149">
        <f>CR43</f>
        <v>468</v>
      </c>
      <c r="CT43" s="730">
        <f t="shared" si="13"/>
        <v>5.7770225725445219E-2</v>
      </c>
      <c r="CU43" s="1417" t="s">
        <v>635</v>
      </c>
      <c r="CV43" s="19" t="s">
        <v>602</v>
      </c>
      <c r="CW43" s="19"/>
      <c r="CX43" s="42" t="str">
        <f>CQ43</f>
        <v>pro ha</v>
      </c>
      <c r="CY43" s="45">
        <f>'Standard Vorgaben'!$H$38+'Variante Vorgaben'!$G$40+'Standard Vorgaben'!$H$48</f>
        <v>468</v>
      </c>
      <c r="CZ43" s="149">
        <f>CY43</f>
        <v>468</v>
      </c>
      <c r="DA43" s="730">
        <f t="shared" si="14"/>
        <v>5.7770225725445219E-2</v>
      </c>
    </row>
    <row r="44" spans="1:105" s="1" customFormat="1" ht="18" customHeight="1" x14ac:dyDescent="0.25">
      <c r="A44" s="1417"/>
      <c r="B44" s="19" t="str">
        <f>'Variante Vorgaben'!$F$39</f>
        <v>Mostobst</v>
      </c>
      <c r="C44" s="19"/>
      <c r="D44" s="42" t="s">
        <v>58</v>
      </c>
      <c r="E44" s="45">
        <f>'Standard Vorgaben'!$H$39</f>
        <v>1.1499999999999999</v>
      </c>
      <c r="F44" s="149">
        <f>E44*D11/100</f>
        <v>0</v>
      </c>
      <c r="G44" s="730">
        <f t="shared" si="15"/>
        <v>0</v>
      </c>
      <c r="H44" s="1417"/>
      <c r="I44" s="19" t="str">
        <f>'Standard Vorgaben'!$G$39</f>
        <v>Mostobst</v>
      </c>
      <c r="J44" s="19"/>
      <c r="K44" s="42" t="str">
        <f>D44</f>
        <v>pro 100 kg</v>
      </c>
      <c r="L44" s="45">
        <f>'Standard Vorgaben'!$H$39</f>
        <v>1.1499999999999999</v>
      </c>
      <c r="M44" s="149">
        <f>L44*K11/100</f>
        <v>5.1497560975609762</v>
      </c>
      <c r="N44" s="730">
        <f t="shared" si="2"/>
        <v>1.0497262806655654E-3</v>
      </c>
      <c r="O44" s="1417"/>
      <c r="P44" s="19" t="str">
        <f>'Variante Vorgaben'!$F$39</f>
        <v>Mostobst</v>
      </c>
      <c r="Q44" s="19"/>
      <c r="R44" s="42" t="str">
        <f>K44</f>
        <v>pro 100 kg</v>
      </c>
      <c r="S44" s="45">
        <f>'Standard Vorgaben'!$H$39</f>
        <v>1.1499999999999999</v>
      </c>
      <c r="T44" s="149">
        <f>S44*R11/100</f>
        <v>18.882439024390244</v>
      </c>
      <c r="U44" s="730">
        <f t="shared" si="3"/>
        <v>2.4528454886478639E-3</v>
      </c>
      <c r="V44" s="1417"/>
      <c r="W44" s="19" t="str">
        <f>'Variante Vorgaben'!$F$39</f>
        <v>Mostobst</v>
      </c>
      <c r="X44" s="19"/>
      <c r="Y44" s="42" t="str">
        <f>R44</f>
        <v>pro 100 kg</v>
      </c>
      <c r="Z44" s="45">
        <f>'Standard Vorgaben'!$H$39</f>
        <v>1.1499999999999999</v>
      </c>
      <c r="AA44" s="149">
        <f>Z44*Y11/100</f>
        <v>25.748780487804868</v>
      </c>
      <c r="AB44" s="730">
        <f t="shared" si="1"/>
        <v>3.0517664755800827E-3</v>
      </c>
      <c r="AC44" s="1417"/>
      <c r="AD44" s="19" t="str">
        <f>'Variante Vorgaben'!$F$39</f>
        <v>Mostobst</v>
      </c>
      <c r="AE44" s="19"/>
      <c r="AF44" s="42" t="str">
        <f>Y44</f>
        <v>pro 100 kg</v>
      </c>
      <c r="AG44" s="45">
        <f>'Standard Vorgaben'!$H$39</f>
        <v>1.1499999999999999</v>
      </c>
      <c r="AH44" s="149">
        <f>AG44*AF11/100</f>
        <v>56.647317073170719</v>
      </c>
      <c r="AI44" s="730">
        <f t="shared" si="4"/>
        <v>6.964431585718015E-3</v>
      </c>
      <c r="AJ44" s="1417"/>
      <c r="AK44" s="19" t="str">
        <f>'Variante Vorgaben'!$F$39</f>
        <v>Mostobst</v>
      </c>
      <c r="AL44" s="19"/>
      <c r="AM44" s="42" t="str">
        <f>AF44</f>
        <v>pro 100 kg</v>
      </c>
      <c r="AN44" s="45">
        <f>'Standard Vorgaben'!$H$39</f>
        <v>1.1499999999999999</v>
      </c>
      <c r="AO44" s="149">
        <f>AN44*AM11/100</f>
        <v>56.647317073170719</v>
      </c>
      <c r="AP44" s="730">
        <f t="shared" si="5"/>
        <v>6.964431585718015E-3</v>
      </c>
      <c r="AQ44" s="1417"/>
      <c r="AR44" s="19" t="str">
        <f>'Variante Vorgaben'!$F$39</f>
        <v>Mostobst</v>
      </c>
      <c r="AS44" s="19"/>
      <c r="AT44" s="42" t="str">
        <f>AM44</f>
        <v>pro 100 kg</v>
      </c>
      <c r="AU44" s="45">
        <f>'Standard Vorgaben'!$H$39</f>
        <v>1.1499999999999999</v>
      </c>
      <c r="AV44" s="149">
        <f>AU44*AT11/100</f>
        <v>56.647317073170719</v>
      </c>
      <c r="AW44" s="730">
        <f t="shared" si="6"/>
        <v>6.561108085598585E-3</v>
      </c>
      <c r="AX44" s="1417"/>
      <c r="AY44" s="19" t="str">
        <f>'Variante Vorgaben'!$F$39</f>
        <v>Mostobst</v>
      </c>
      <c r="AZ44" s="19"/>
      <c r="BA44" s="42" t="str">
        <f>AT44</f>
        <v>pro 100 kg</v>
      </c>
      <c r="BB44" s="45">
        <f>'Standard Vorgaben'!$H$39</f>
        <v>1.1499999999999999</v>
      </c>
      <c r="BC44" s="149">
        <f>BB44*BA11/100</f>
        <v>56.647317073170719</v>
      </c>
      <c r="BD44" s="730">
        <f t="shared" si="7"/>
        <v>6.964431585718015E-3</v>
      </c>
      <c r="BE44" s="1417"/>
      <c r="BF44" s="19" t="str">
        <f>'Variante Vorgaben'!$F$39</f>
        <v>Mostobst</v>
      </c>
      <c r="BG44" s="19"/>
      <c r="BH44" s="42" t="str">
        <f>BA44</f>
        <v>pro 100 kg</v>
      </c>
      <c r="BI44" s="45">
        <f>'Standard Vorgaben'!$H$39</f>
        <v>1.1499999999999999</v>
      </c>
      <c r="BJ44" s="149">
        <f>BI44*BH11/100</f>
        <v>56.647317073170719</v>
      </c>
      <c r="BK44" s="730">
        <f t="shared" si="8"/>
        <v>6.964431585718015E-3</v>
      </c>
      <c r="BL44" s="1417"/>
      <c r="BM44" s="19" t="str">
        <f>'Variante Vorgaben'!$F$39</f>
        <v>Mostobst</v>
      </c>
      <c r="BN44" s="19"/>
      <c r="BO44" s="42" t="str">
        <f>BH44</f>
        <v>pro 100 kg</v>
      </c>
      <c r="BP44" s="45">
        <f>'Standard Vorgaben'!$H$39</f>
        <v>1.1499999999999999</v>
      </c>
      <c r="BQ44" s="149">
        <f>BP44*BO11/100</f>
        <v>56.647317073170719</v>
      </c>
      <c r="BR44" s="730">
        <f t="shared" si="9"/>
        <v>6.561108085598585E-3</v>
      </c>
      <c r="BS44" s="1417"/>
      <c r="BT44" s="19" t="str">
        <f>'Variante Vorgaben'!$F$39</f>
        <v>Mostobst</v>
      </c>
      <c r="BU44" s="19"/>
      <c r="BV44" s="42" t="str">
        <f>BO44</f>
        <v>pro 100 kg</v>
      </c>
      <c r="BW44" s="45">
        <f>'Standard Vorgaben'!$H$39</f>
        <v>1.1499999999999999</v>
      </c>
      <c r="BX44" s="149">
        <f>BW44*BV11/100</f>
        <v>56.647317073170719</v>
      </c>
      <c r="BY44" s="730">
        <f t="shared" si="10"/>
        <v>6.964431585718015E-3</v>
      </c>
      <c r="BZ44" s="1417"/>
      <c r="CA44" s="19" t="str">
        <f>'Variante Vorgaben'!$F$39</f>
        <v>Mostobst</v>
      </c>
      <c r="CB44" s="19"/>
      <c r="CC44" s="42" t="str">
        <f>BV44</f>
        <v>pro 100 kg</v>
      </c>
      <c r="CD44" s="45">
        <f>'Standard Vorgaben'!$H$39</f>
        <v>1.1499999999999999</v>
      </c>
      <c r="CE44" s="149">
        <f>CD44*CC11/100</f>
        <v>56.647317073170719</v>
      </c>
      <c r="CF44" s="730">
        <f t="shared" si="11"/>
        <v>6.964431585718015E-3</v>
      </c>
      <c r="CG44" s="1417"/>
      <c r="CH44" s="19" t="str">
        <f>'Variante Vorgaben'!$F$39</f>
        <v>Mostobst</v>
      </c>
      <c r="CI44" s="19"/>
      <c r="CJ44" s="42" t="str">
        <f>CC44</f>
        <v>pro 100 kg</v>
      </c>
      <c r="CK44" s="45">
        <f>'Standard Vorgaben'!$H$39</f>
        <v>1.1499999999999999</v>
      </c>
      <c r="CL44" s="149">
        <f>CK44*CJ11/100</f>
        <v>51.497560975609737</v>
      </c>
      <c r="CM44" s="730">
        <f t="shared" si="12"/>
        <v>5.9873512907857663E-3</v>
      </c>
      <c r="CN44" s="1417"/>
      <c r="CO44" s="19" t="str">
        <f>'Variante Vorgaben'!$F$39</f>
        <v>Mostobst</v>
      </c>
      <c r="CP44" s="19"/>
      <c r="CQ44" s="42" t="str">
        <f>CJ44</f>
        <v>pro 100 kg</v>
      </c>
      <c r="CR44" s="45">
        <f>'Standard Vorgaben'!$H$39</f>
        <v>1.1499999999999999</v>
      </c>
      <c r="CS44" s="149">
        <f>CR44*CQ11/100</f>
        <v>51.497560975609737</v>
      </c>
      <c r="CT44" s="730">
        <f t="shared" si="13"/>
        <v>6.3568925681001141E-3</v>
      </c>
      <c r="CU44" s="1417"/>
      <c r="CV44" s="19" t="str">
        <f>'Variante Vorgaben'!$F$39</f>
        <v>Mostobst</v>
      </c>
      <c r="CW44" s="19"/>
      <c r="CX44" s="42" t="str">
        <f>CQ44</f>
        <v>pro 100 kg</v>
      </c>
      <c r="CY44" s="45">
        <f>'Standard Vorgaben'!$H$39</f>
        <v>1.1499999999999999</v>
      </c>
      <c r="CZ44" s="149">
        <f>CY44*CX11/100</f>
        <v>51.497560975609737</v>
      </c>
      <c r="DA44" s="730">
        <f t="shared" si="14"/>
        <v>6.3568925681001141E-3</v>
      </c>
    </row>
    <row r="45" spans="1:105" s="1" customFormat="1" ht="18" customHeight="1" x14ac:dyDescent="0.25">
      <c r="A45" s="1417"/>
      <c r="B45" s="19" t="s">
        <v>603</v>
      </c>
      <c r="C45" s="19"/>
      <c r="D45" s="42" t="str">
        <f>D44</f>
        <v>pro 100 kg</v>
      </c>
      <c r="E45" s="45">
        <f>'Standard Vorgaben'!$H$41</f>
        <v>0.85</v>
      </c>
      <c r="F45" s="149">
        <f>E45*D13/100</f>
        <v>0</v>
      </c>
      <c r="G45" s="730">
        <f t="shared" si="15"/>
        <v>0</v>
      </c>
      <c r="H45" s="1417"/>
      <c r="I45" s="19" t="str">
        <f>B45</f>
        <v>Bio (Mengenbeiträge)</v>
      </c>
      <c r="J45" s="19"/>
      <c r="K45" s="42" t="str">
        <f>K44</f>
        <v>pro 100 kg</v>
      </c>
      <c r="L45" s="45">
        <f>'Standard Vorgaben'!$H$41</f>
        <v>0.85</v>
      </c>
      <c r="M45" s="149">
        <f>L45*K13/100</f>
        <v>21.146341463414632</v>
      </c>
      <c r="N45" s="730">
        <f t="shared" si="2"/>
        <v>4.3104702346170552E-3</v>
      </c>
      <c r="O45" s="1417"/>
      <c r="P45" s="19" t="s">
        <v>603</v>
      </c>
      <c r="Q45" s="19"/>
      <c r="R45" s="42" t="str">
        <f>R44</f>
        <v>pro 100 kg</v>
      </c>
      <c r="S45" s="45">
        <f>'Standard Vorgaben'!$H$41</f>
        <v>0.85</v>
      </c>
      <c r="T45" s="149">
        <f>S45*R13/100</f>
        <v>77.536585365853654</v>
      </c>
      <c r="U45" s="730">
        <f t="shared" si="3"/>
        <v>1.0072070847104753E-2</v>
      </c>
      <c r="V45" s="1417"/>
      <c r="W45" s="19" t="s">
        <v>603</v>
      </c>
      <c r="X45" s="19"/>
      <c r="Y45" s="42" t="str">
        <f>Y44</f>
        <v>pro 100 kg</v>
      </c>
      <c r="Z45" s="45">
        <f>'Standard Vorgaben'!$H$41</f>
        <v>0.85</v>
      </c>
      <c r="AA45" s="149">
        <f>Z45*Y13/100</f>
        <v>105.73170731707316</v>
      </c>
      <c r="AB45" s="730">
        <f t="shared" si="1"/>
        <v>1.2531408233058315E-2</v>
      </c>
      <c r="AC45" s="1417"/>
      <c r="AD45" s="19" t="s">
        <v>603</v>
      </c>
      <c r="AE45" s="19"/>
      <c r="AF45" s="42" t="str">
        <f>AF44</f>
        <v>pro 100 kg</v>
      </c>
      <c r="AG45" s="45">
        <f>'Standard Vorgaben'!$H$41</f>
        <v>0.85</v>
      </c>
      <c r="AH45" s="149">
        <f>AG45*AF13/100</f>
        <v>232.60975609756096</v>
      </c>
      <c r="AI45" s="730">
        <f t="shared" si="4"/>
        <v>2.8597907477586056E-2</v>
      </c>
      <c r="AJ45" s="1417"/>
      <c r="AK45" s="19" t="s">
        <v>603</v>
      </c>
      <c r="AL45" s="19"/>
      <c r="AM45" s="42" t="str">
        <f>AM44</f>
        <v>pro 100 kg</v>
      </c>
      <c r="AN45" s="45">
        <f>'Standard Vorgaben'!$H$41</f>
        <v>0.85</v>
      </c>
      <c r="AO45" s="149">
        <f>AN45*AM13/100</f>
        <v>232.60975609756096</v>
      </c>
      <c r="AP45" s="730">
        <f t="shared" si="5"/>
        <v>2.8597907477586056E-2</v>
      </c>
      <c r="AQ45" s="1417"/>
      <c r="AR45" s="19" t="s">
        <v>603</v>
      </c>
      <c r="AS45" s="19"/>
      <c r="AT45" s="42" t="str">
        <f>AT44</f>
        <v>pro 100 kg</v>
      </c>
      <c r="AU45" s="45">
        <f>'Standard Vorgaben'!$H$41</f>
        <v>0.85</v>
      </c>
      <c r="AV45" s="149">
        <f>AU45*AT13/100</f>
        <v>232.60975609756096</v>
      </c>
      <c r="AW45" s="730">
        <f t="shared" si="6"/>
        <v>2.6941748177578734E-2</v>
      </c>
      <c r="AX45" s="1417"/>
      <c r="AY45" s="19" t="s">
        <v>603</v>
      </c>
      <c r="AZ45" s="19"/>
      <c r="BA45" s="42" t="str">
        <f>BA44</f>
        <v>pro 100 kg</v>
      </c>
      <c r="BB45" s="45">
        <f>'Standard Vorgaben'!$H$41</f>
        <v>0.85</v>
      </c>
      <c r="BC45" s="149">
        <f>BB45*BA13/100</f>
        <v>232.60975609756096</v>
      </c>
      <c r="BD45" s="730">
        <f t="shared" si="7"/>
        <v>2.8597907477586056E-2</v>
      </c>
      <c r="BE45" s="1417"/>
      <c r="BF45" s="19" t="s">
        <v>603</v>
      </c>
      <c r="BG45" s="19"/>
      <c r="BH45" s="42" t="str">
        <f>BH44</f>
        <v>pro 100 kg</v>
      </c>
      <c r="BI45" s="45">
        <f>'Standard Vorgaben'!$H$41</f>
        <v>0.85</v>
      </c>
      <c r="BJ45" s="149">
        <f>BI45*BH13/100</f>
        <v>232.60975609756096</v>
      </c>
      <c r="BK45" s="730">
        <f t="shared" si="8"/>
        <v>2.8597907477586056E-2</v>
      </c>
      <c r="BL45" s="1417"/>
      <c r="BM45" s="19" t="s">
        <v>603</v>
      </c>
      <c r="BN45" s="19"/>
      <c r="BO45" s="42" t="str">
        <f>BO44</f>
        <v>pro 100 kg</v>
      </c>
      <c r="BP45" s="45">
        <f>'Standard Vorgaben'!$H$41</f>
        <v>0.85</v>
      </c>
      <c r="BQ45" s="149">
        <f>BP45*BO13/100</f>
        <v>232.60975609756096</v>
      </c>
      <c r="BR45" s="730">
        <f t="shared" si="9"/>
        <v>2.6941748177578734E-2</v>
      </c>
      <c r="BS45" s="1417"/>
      <c r="BT45" s="19" t="s">
        <v>603</v>
      </c>
      <c r="BU45" s="19"/>
      <c r="BV45" s="42" t="str">
        <f>BV44</f>
        <v>pro 100 kg</v>
      </c>
      <c r="BW45" s="45">
        <f>'Standard Vorgaben'!$H$41</f>
        <v>0.85</v>
      </c>
      <c r="BX45" s="149">
        <f>BW45*BV13/100</f>
        <v>232.60975609756096</v>
      </c>
      <c r="BY45" s="730">
        <f t="shared" si="10"/>
        <v>2.8597907477586056E-2</v>
      </c>
      <c r="BZ45" s="1417"/>
      <c r="CA45" s="19" t="s">
        <v>603</v>
      </c>
      <c r="CB45" s="19"/>
      <c r="CC45" s="42" t="str">
        <f>CC44</f>
        <v>pro 100 kg</v>
      </c>
      <c r="CD45" s="45">
        <f>'Standard Vorgaben'!$H$41</f>
        <v>0.85</v>
      </c>
      <c r="CE45" s="149">
        <f>CD45*CC13/100</f>
        <v>232.60975609756096</v>
      </c>
      <c r="CF45" s="730">
        <f t="shared" si="11"/>
        <v>2.8597907477586056E-2</v>
      </c>
      <c r="CG45" s="1417"/>
      <c r="CH45" s="19" t="s">
        <v>603</v>
      </c>
      <c r="CI45" s="19"/>
      <c r="CJ45" s="42" t="str">
        <f>CJ44</f>
        <v>pro 100 kg</v>
      </c>
      <c r="CK45" s="45">
        <f>'Standard Vorgaben'!$H$41</f>
        <v>0.85</v>
      </c>
      <c r="CL45" s="149">
        <f>CK45*CJ13/100</f>
        <v>211.46341463414632</v>
      </c>
      <c r="CM45" s="730">
        <f t="shared" si="12"/>
        <v>2.4585742015303877E-2</v>
      </c>
      <c r="CN45" s="1417"/>
      <c r="CO45" s="19" t="s">
        <v>603</v>
      </c>
      <c r="CP45" s="19"/>
      <c r="CQ45" s="42" t="str">
        <f>CQ44</f>
        <v>pro 100 kg</v>
      </c>
      <c r="CR45" s="45">
        <f>'Standard Vorgaben'!$H$41</f>
        <v>0.85</v>
      </c>
      <c r="CS45" s="149">
        <f>CR45*CQ13/100</f>
        <v>211.46341463414632</v>
      </c>
      <c r="CT45" s="730">
        <f t="shared" si="13"/>
        <v>2.6103182042923181E-2</v>
      </c>
      <c r="CU45" s="1417"/>
      <c r="CV45" s="19" t="s">
        <v>603</v>
      </c>
      <c r="CW45" s="19"/>
      <c r="CX45" s="42" t="str">
        <f>CX44</f>
        <v>pro 100 kg</v>
      </c>
      <c r="CY45" s="45">
        <f>'Standard Vorgaben'!$H$41</f>
        <v>0.85</v>
      </c>
      <c r="CZ45" s="149">
        <f>CY45*CX13/100</f>
        <v>211.46341463414632</v>
      </c>
      <c r="DA45" s="730">
        <f t="shared" si="14"/>
        <v>2.6103182042923181E-2</v>
      </c>
    </row>
    <row r="46" spans="1:105" s="19" customFormat="1" ht="12.5" x14ac:dyDescent="0.25">
      <c r="A46" s="756" t="str">
        <f>'Standard Vorgaben'!$F$43</f>
        <v>Gebindekosten</v>
      </c>
      <c r="B46" s="150" t="str">
        <f>'Standard Vorgaben'!$G$43</f>
        <v xml:space="preserve">Tafelobst </v>
      </c>
      <c r="D46" s="19" t="s">
        <v>58</v>
      </c>
      <c r="E46" s="616">
        <f>'Standard Vorgaben'!$H$43</f>
        <v>0</v>
      </c>
      <c r="F46" s="149">
        <f>(D9+D10)/100*E46</f>
        <v>0</v>
      </c>
      <c r="G46" s="730">
        <f t="shared" si="15"/>
        <v>0</v>
      </c>
      <c r="H46" s="756" t="str">
        <f>'Standard Vorgaben'!$F$43</f>
        <v>Gebindekosten</v>
      </c>
      <c r="I46" s="150" t="str">
        <f>'Standard Vorgaben'!$G$43</f>
        <v xml:space="preserve">Tafelobst </v>
      </c>
      <c r="K46" s="42" t="str">
        <f>D46</f>
        <v>pro 100 kg</v>
      </c>
      <c r="L46" s="616">
        <f>'Standard Vorgaben'!$H$43</f>
        <v>0</v>
      </c>
      <c r="M46" s="149">
        <f>(K9+K10)/100*L46</f>
        <v>0</v>
      </c>
      <c r="N46" s="730">
        <f t="shared" si="2"/>
        <v>0</v>
      </c>
      <c r="O46" s="756" t="str">
        <f>'Standard Vorgaben'!$F$43</f>
        <v>Gebindekosten</v>
      </c>
      <c r="P46" s="150" t="str">
        <f>'Standard Vorgaben'!$G$43</f>
        <v xml:space="preserve">Tafelobst </v>
      </c>
      <c r="R46" s="42" t="str">
        <f>K46</f>
        <v>pro 100 kg</v>
      </c>
      <c r="S46" s="616">
        <f>'Standard Vorgaben'!$H$43</f>
        <v>0</v>
      </c>
      <c r="T46" s="149">
        <f>(R9+R10)/100*S46</f>
        <v>0</v>
      </c>
      <c r="U46" s="730">
        <f t="shared" si="3"/>
        <v>0</v>
      </c>
      <c r="V46" s="756" t="str">
        <f>'Standard Vorgaben'!$F$43</f>
        <v>Gebindekosten</v>
      </c>
      <c r="W46" s="150" t="str">
        <f>'Standard Vorgaben'!$G$43</f>
        <v xml:space="preserve">Tafelobst </v>
      </c>
      <c r="Y46" s="42" t="str">
        <f>R46</f>
        <v>pro 100 kg</v>
      </c>
      <c r="Z46" s="616">
        <f>'Standard Vorgaben'!$H$43</f>
        <v>0</v>
      </c>
      <c r="AA46" s="149">
        <f>(Y9+Y10)/100*Z46</f>
        <v>0</v>
      </c>
      <c r="AB46" s="730">
        <f t="shared" si="1"/>
        <v>0</v>
      </c>
      <c r="AC46" s="756" t="str">
        <f>'Standard Vorgaben'!$F$43</f>
        <v>Gebindekosten</v>
      </c>
      <c r="AD46" s="150" t="str">
        <f>'Standard Vorgaben'!$G$43</f>
        <v xml:space="preserve">Tafelobst </v>
      </c>
      <c r="AF46" s="42" t="str">
        <f>Y46</f>
        <v>pro 100 kg</v>
      </c>
      <c r="AG46" s="616">
        <f>'Standard Vorgaben'!$H$43</f>
        <v>0</v>
      </c>
      <c r="AH46" s="149">
        <f>(AF9+AF10)/100*AG46</f>
        <v>0</v>
      </c>
      <c r="AI46" s="730">
        <f t="shared" si="4"/>
        <v>0</v>
      </c>
      <c r="AJ46" s="756" t="str">
        <f>'Standard Vorgaben'!$F$43</f>
        <v>Gebindekosten</v>
      </c>
      <c r="AK46" s="150" t="str">
        <f>'Standard Vorgaben'!$G$43</f>
        <v xml:space="preserve">Tafelobst </v>
      </c>
      <c r="AM46" s="42" t="str">
        <f>AF46</f>
        <v>pro 100 kg</v>
      </c>
      <c r="AN46" s="616">
        <f>'Standard Vorgaben'!$H$43</f>
        <v>0</v>
      </c>
      <c r="AO46" s="149">
        <f>(AM9+AM10)/100*AN46</f>
        <v>0</v>
      </c>
      <c r="AP46" s="730">
        <f t="shared" si="5"/>
        <v>0</v>
      </c>
      <c r="AQ46" s="756" t="str">
        <f>'Standard Vorgaben'!$F$43</f>
        <v>Gebindekosten</v>
      </c>
      <c r="AR46" s="150" t="str">
        <f>'Standard Vorgaben'!$G$43</f>
        <v xml:space="preserve">Tafelobst </v>
      </c>
      <c r="AT46" s="42" t="str">
        <f>AM46</f>
        <v>pro 100 kg</v>
      </c>
      <c r="AU46" s="616">
        <f>'Standard Vorgaben'!$H$43</f>
        <v>0</v>
      </c>
      <c r="AV46" s="149">
        <f>(AT9+AT10)/100*AU46</f>
        <v>0</v>
      </c>
      <c r="AW46" s="730">
        <f t="shared" si="6"/>
        <v>0</v>
      </c>
      <c r="AX46" s="756" t="str">
        <f>'Standard Vorgaben'!$F$43</f>
        <v>Gebindekosten</v>
      </c>
      <c r="AY46" s="150" t="str">
        <f>'Standard Vorgaben'!$G$43</f>
        <v xml:space="preserve">Tafelobst </v>
      </c>
      <c r="BA46" s="42" t="str">
        <f>AT46</f>
        <v>pro 100 kg</v>
      </c>
      <c r="BB46" s="616">
        <f>'Standard Vorgaben'!$H$43</f>
        <v>0</v>
      </c>
      <c r="BC46" s="149">
        <f>(BA9+BA10)/100*BB46</f>
        <v>0</v>
      </c>
      <c r="BD46" s="730">
        <f t="shared" si="7"/>
        <v>0</v>
      </c>
      <c r="BE46" s="756" t="str">
        <f>'Standard Vorgaben'!$F$43</f>
        <v>Gebindekosten</v>
      </c>
      <c r="BF46" s="150" t="str">
        <f>'Standard Vorgaben'!$G$43</f>
        <v xml:space="preserve">Tafelobst </v>
      </c>
      <c r="BH46" s="42" t="str">
        <f>BA46</f>
        <v>pro 100 kg</v>
      </c>
      <c r="BI46" s="616">
        <f>'Standard Vorgaben'!$H$43</f>
        <v>0</v>
      </c>
      <c r="BJ46" s="149">
        <f>(BH9+BH10)/100*BI46</f>
        <v>0</v>
      </c>
      <c r="BK46" s="730">
        <f t="shared" si="8"/>
        <v>0</v>
      </c>
      <c r="BL46" s="756" t="str">
        <f>'Standard Vorgaben'!$F$43</f>
        <v>Gebindekosten</v>
      </c>
      <c r="BM46" s="150" t="str">
        <f>'Standard Vorgaben'!$G$43</f>
        <v xml:space="preserve">Tafelobst </v>
      </c>
      <c r="BO46" s="42" t="str">
        <f>BH46</f>
        <v>pro 100 kg</v>
      </c>
      <c r="BP46" s="616">
        <f>'Standard Vorgaben'!$H$43</f>
        <v>0</v>
      </c>
      <c r="BQ46" s="149">
        <f>(BO9+BO10)/100*BP46</f>
        <v>0</v>
      </c>
      <c r="BR46" s="730">
        <f t="shared" si="9"/>
        <v>0</v>
      </c>
      <c r="BS46" s="756" t="str">
        <f>'Standard Vorgaben'!$F$43</f>
        <v>Gebindekosten</v>
      </c>
      <c r="BT46" s="150" t="str">
        <f>'Standard Vorgaben'!$G$43</f>
        <v xml:space="preserve">Tafelobst </v>
      </c>
      <c r="BV46" s="42" t="str">
        <f>BO46</f>
        <v>pro 100 kg</v>
      </c>
      <c r="BW46" s="616">
        <f>'Standard Vorgaben'!$H$43</f>
        <v>0</v>
      </c>
      <c r="BX46" s="149">
        <f>(BV9+BV10)/100*BW46</f>
        <v>0</v>
      </c>
      <c r="BY46" s="730">
        <f t="shared" si="10"/>
        <v>0</v>
      </c>
      <c r="BZ46" s="756" t="str">
        <f>'Standard Vorgaben'!$F$43</f>
        <v>Gebindekosten</v>
      </c>
      <c r="CA46" s="150" t="str">
        <f>'Standard Vorgaben'!$G$43</f>
        <v xml:space="preserve">Tafelobst </v>
      </c>
      <c r="CC46" s="42" t="str">
        <f>BV46</f>
        <v>pro 100 kg</v>
      </c>
      <c r="CD46" s="616">
        <f>'Standard Vorgaben'!$H$43</f>
        <v>0</v>
      </c>
      <c r="CE46" s="149">
        <f>(CC9+CC10)/100*CD46</f>
        <v>0</v>
      </c>
      <c r="CF46" s="730">
        <f t="shared" si="11"/>
        <v>0</v>
      </c>
      <c r="CG46" s="756" t="str">
        <f>'Standard Vorgaben'!$F$43</f>
        <v>Gebindekosten</v>
      </c>
      <c r="CH46" s="150" t="str">
        <f>'Standard Vorgaben'!$G$43</f>
        <v xml:space="preserve">Tafelobst </v>
      </c>
      <c r="CJ46" s="42" t="str">
        <f>CC46</f>
        <v>pro 100 kg</v>
      </c>
      <c r="CK46" s="616">
        <f>'Standard Vorgaben'!$H$43</f>
        <v>0</v>
      </c>
      <c r="CL46" s="149">
        <f>(CJ9+CJ10)/100*CK46</f>
        <v>0</v>
      </c>
      <c r="CM46" s="730">
        <f t="shared" si="12"/>
        <v>0</v>
      </c>
      <c r="CN46" s="756" t="str">
        <f>'Standard Vorgaben'!$F$43</f>
        <v>Gebindekosten</v>
      </c>
      <c r="CO46" s="150" t="str">
        <f>'Standard Vorgaben'!$G$43</f>
        <v xml:space="preserve">Tafelobst </v>
      </c>
      <c r="CQ46" s="42" t="str">
        <f>CJ46</f>
        <v>pro 100 kg</v>
      </c>
      <c r="CR46" s="616">
        <f>'Standard Vorgaben'!$H$43</f>
        <v>0</v>
      </c>
      <c r="CS46" s="149">
        <f>(CQ9+CQ10)/100*CR46</f>
        <v>0</v>
      </c>
      <c r="CT46" s="730">
        <f t="shared" si="13"/>
        <v>0</v>
      </c>
      <c r="CU46" s="756" t="str">
        <f>'Standard Vorgaben'!$F$43</f>
        <v>Gebindekosten</v>
      </c>
      <c r="CV46" s="150" t="str">
        <f>'Standard Vorgaben'!$G$43</f>
        <v xml:space="preserve">Tafelobst </v>
      </c>
      <c r="CX46" s="42" t="str">
        <f>CQ46</f>
        <v>pro 100 kg</v>
      </c>
      <c r="CY46" s="616">
        <f>'Standard Vorgaben'!$H$43</f>
        <v>0</v>
      </c>
      <c r="CZ46" s="149">
        <f>(CX9+CX10)/100*CY46</f>
        <v>0</v>
      </c>
      <c r="DA46" s="730">
        <f t="shared" si="14"/>
        <v>0</v>
      </c>
    </row>
    <row r="47" spans="1:105" s="19" customFormat="1" ht="12.5" x14ac:dyDescent="0.25">
      <c r="A47" s="756" t="str">
        <f>'Standard Vorgaben'!$F$44</f>
        <v>Sortierkosten</v>
      </c>
      <c r="B47" s="19" t="str">
        <f>'Standard Vorgaben'!$G$44</f>
        <v xml:space="preserve">Tafelobst </v>
      </c>
      <c r="D47" s="19" t="s">
        <v>58</v>
      </c>
      <c r="E47" s="45">
        <f>'Standard Vorgaben'!$H$44</f>
        <v>0</v>
      </c>
      <c r="F47" s="149">
        <f>(D9+D10)/100*E47</f>
        <v>0</v>
      </c>
      <c r="G47" s="730">
        <f t="shared" si="15"/>
        <v>0</v>
      </c>
      <c r="H47" s="756" t="str">
        <f>'Standard Vorgaben'!$F$44</f>
        <v>Sortierkosten</v>
      </c>
      <c r="I47" s="19" t="str">
        <f>'Standard Vorgaben'!$G$44</f>
        <v xml:space="preserve">Tafelobst </v>
      </c>
      <c r="K47" s="42" t="str">
        <f>D47</f>
        <v>pro 100 kg</v>
      </c>
      <c r="L47" s="45">
        <f>'Standard Vorgaben'!$H$44</f>
        <v>0</v>
      </c>
      <c r="M47" s="149">
        <f>(K9+K10)/100*L47</f>
        <v>0</v>
      </c>
      <c r="N47" s="730">
        <f t="shared" si="2"/>
        <v>0</v>
      </c>
      <c r="O47" s="756" t="str">
        <f>'Standard Vorgaben'!$F$44</f>
        <v>Sortierkosten</v>
      </c>
      <c r="P47" s="19" t="str">
        <f>'Standard Vorgaben'!$G$44</f>
        <v xml:space="preserve">Tafelobst </v>
      </c>
      <c r="R47" s="42" t="str">
        <f>K47</f>
        <v>pro 100 kg</v>
      </c>
      <c r="S47" s="45">
        <f>'Standard Vorgaben'!$H$44</f>
        <v>0</v>
      </c>
      <c r="T47" s="149">
        <f>(R9+R10)/100*S47</f>
        <v>0</v>
      </c>
      <c r="U47" s="730">
        <f t="shared" si="3"/>
        <v>0</v>
      </c>
      <c r="V47" s="756" t="str">
        <f>'Standard Vorgaben'!$F$44</f>
        <v>Sortierkosten</v>
      </c>
      <c r="W47" s="19" t="str">
        <f>'Standard Vorgaben'!$G$44</f>
        <v xml:space="preserve">Tafelobst </v>
      </c>
      <c r="Y47" s="42" t="str">
        <f>R47</f>
        <v>pro 100 kg</v>
      </c>
      <c r="Z47" s="45">
        <f>'Standard Vorgaben'!$H$44</f>
        <v>0</v>
      </c>
      <c r="AA47" s="149">
        <f>(Y9+Y10)/100*Z47</f>
        <v>0</v>
      </c>
      <c r="AB47" s="730">
        <f t="shared" si="1"/>
        <v>0</v>
      </c>
      <c r="AC47" s="756" t="str">
        <f>'Standard Vorgaben'!$F$44</f>
        <v>Sortierkosten</v>
      </c>
      <c r="AD47" s="19" t="str">
        <f>'Standard Vorgaben'!$G$44</f>
        <v xml:space="preserve">Tafelobst </v>
      </c>
      <c r="AF47" s="42" t="str">
        <f>Y47</f>
        <v>pro 100 kg</v>
      </c>
      <c r="AG47" s="45">
        <f>'Standard Vorgaben'!$H$44</f>
        <v>0</v>
      </c>
      <c r="AH47" s="149">
        <f>(AF9+AF10)/100*AG47</f>
        <v>0</v>
      </c>
      <c r="AI47" s="730">
        <f t="shared" si="4"/>
        <v>0</v>
      </c>
      <c r="AJ47" s="756" t="str">
        <f>'Standard Vorgaben'!$F$44</f>
        <v>Sortierkosten</v>
      </c>
      <c r="AK47" s="19" t="str">
        <f>'Standard Vorgaben'!$G$44</f>
        <v xml:space="preserve">Tafelobst </v>
      </c>
      <c r="AM47" s="42" t="str">
        <f>AF47</f>
        <v>pro 100 kg</v>
      </c>
      <c r="AN47" s="45">
        <f>'Standard Vorgaben'!$H$44</f>
        <v>0</v>
      </c>
      <c r="AO47" s="149">
        <f>(AM9+AM10)/100*AN47</f>
        <v>0</v>
      </c>
      <c r="AP47" s="730">
        <f t="shared" si="5"/>
        <v>0</v>
      </c>
      <c r="AQ47" s="756" t="str">
        <f>'Standard Vorgaben'!$F$44</f>
        <v>Sortierkosten</v>
      </c>
      <c r="AR47" s="19" t="str">
        <f>'Standard Vorgaben'!$G$44</f>
        <v xml:space="preserve">Tafelobst </v>
      </c>
      <c r="AT47" s="42" t="str">
        <f>AM47</f>
        <v>pro 100 kg</v>
      </c>
      <c r="AU47" s="45">
        <f>'Standard Vorgaben'!$H$44</f>
        <v>0</v>
      </c>
      <c r="AV47" s="149">
        <f>(AT9+AT10)/100*AU47</f>
        <v>0</v>
      </c>
      <c r="AW47" s="730">
        <f t="shared" si="6"/>
        <v>0</v>
      </c>
      <c r="AX47" s="756" t="str">
        <f>'Standard Vorgaben'!$F$44</f>
        <v>Sortierkosten</v>
      </c>
      <c r="AY47" s="19" t="str">
        <f>'Standard Vorgaben'!$G$44</f>
        <v xml:space="preserve">Tafelobst </v>
      </c>
      <c r="BA47" s="42" t="str">
        <f>AT47</f>
        <v>pro 100 kg</v>
      </c>
      <c r="BB47" s="45">
        <f>'Standard Vorgaben'!$H$44</f>
        <v>0</v>
      </c>
      <c r="BC47" s="149">
        <f>(BA9+BA10)/100*BB47</f>
        <v>0</v>
      </c>
      <c r="BD47" s="730">
        <f t="shared" si="7"/>
        <v>0</v>
      </c>
      <c r="BE47" s="756" t="str">
        <f>'Standard Vorgaben'!$F$44</f>
        <v>Sortierkosten</v>
      </c>
      <c r="BF47" s="19" t="str">
        <f>'Standard Vorgaben'!$G$44</f>
        <v xml:space="preserve">Tafelobst </v>
      </c>
      <c r="BH47" s="42" t="str">
        <f>BA47</f>
        <v>pro 100 kg</v>
      </c>
      <c r="BI47" s="45">
        <f>'Standard Vorgaben'!$H$44</f>
        <v>0</v>
      </c>
      <c r="BJ47" s="149">
        <f>(BH9+BH10)/100*BI47</f>
        <v>0</v>
      </c>
      <c r="BK47" s="730">
        <f t="shared" si="8"/>
        <v>0</v>
      </c>
      <c r="BL47" s="756" t="str">
        <f>'Standard Vorgaben'!$F$44</f>
        <v>Sortierkosten</v>
      </c>
      <c r="BM47" s="19" t="str">
        <f>'Standard Vorgaben'!$G$44</f>
        <v xml:space="preserve">Tafelobst </v>
      </c>
      <c r="BO47" s="42" t="str">
        <f>BH47</f>
        <v>pro 100 kg</v>
      </c>
      <c r="BP47" s="45">
        <f>'Standard Vorgaben'!$H$44</f>
        <v>0</v>
      </c>
      <c r="BQ47" s="149">
        <f>(BO9+BO10)/100*BP47</f>
        <v>0</v>
      </c>
      <c r="BR47" s="730">
        <f t="shared" si="9"/>
        <v>0</v>
      </c>
      <c r="BS47" s="756" t="str">
        <f>'Standard Vorgaben'!$F$44</f>
        <v>Sortierkosten</v>
      </c>
      <c r="BT47" s="19" t="str">
        <f>'Standard Vorgaben'!$G$44</f>
        <v xml:space="preserve">Tafelobst </v>
      </c>
      <c r="BV47" s="42" t="str">
        <f>BO47</f>
        <v>pro 100 kg</v>
      </c>
      <c r="BW47" s="45">
        <f>'Standard Vorgaben'!$H$44</f>
        <v>0</v>
      </c>
      <c r="BX47" s="149">
        <f>(BV9+BV10)/100*BW47</f>
        <v>0</v>
      </c>
      <c r="BY47" s="730">
        <f t="shared" si="10"/>
        <v>0</v>
      </c>
      <c r="BZ47" s="756" t="str">
        <f>'Standard Vorgaben'!$F$44</f>
        <v>Sortierkosten</v>
      </c>
      <c r="CA47" s="19" t="str">
        <f>'Standard Vorgaben'!$G$44</f>
        <v xml:space="preserve">Tafelobst </v>
      </c>
      <c r="CC47" s="42" t="str">
        <f>BV47</f>
        <v>pro 100 kg</v>
      </c>
      <c r="CD47" s="45">
        <f>'Standard Vorgaben'!$H$44</f>
        <v>0</v>
      </c>
      <c r="CE47" s="149">
        <f>(CC9+CC10)/100*CD47</f>
        <v>0</v>
      </c>
      <c r="CF47" s="730">
        <f t="shared" si="11"/>
        <v>0</v>
      </c>
      <c r="CG47" s="756" t="str">
        <f>'Standard Vorgaben'!$F$44</f>
        <v>Sortierkosten</v>
      </c>
      <c r="CH47" s="19" t="str">
        <f>'Standard Vorgaben'!$G$44</f>
        <v xml:space="preserve">Tafelobst </v>
      </c>
      <c r="CJ47" s="42" t="str">
        <f>CC47</f>
        <v>pro 100 kg</v>
      </c>
      <c r="CK47" s="45">
        <f>'Standard Vorgaben'!$H$44</f>
        <v>0</v>
      </c>
      <c r="CL47" s="149">
        <f>(CJ9+CJ10)/100*CK47</f>
        <v>0</v>
      </c>
      <c r="CM47" s="730">
        <f t="shared" si="12"/>
        <v>0</v>
      </c>
      <c r="CN47" s="756" t="str">
        <f>'Standard Vorgaben'!$F$44</f>
        <v>Sortierkosten</v>
      </c>
      <c r="CO47" s="19" t="str">
        <f>'Standard Vorgaben'!$G$44</f>
        <v xml:space="preserve">Tafelobst </v>
      </c>
      <c r="CQ47" s="42" t="str">
        <f>CJ47</f>
        <v>pro 100 kg</v>
      </c>
      <c r="CR47" s="45">
        <f>'Standard Vorgaben'!$H$44</f>
        <v>0</v>
      </c>
      <c r="CS47" s="149">
        <f>(CQ9+CQ10)/100*CR47</f>
        <v>0</v>
      </c>
      <c r="CT47" s="730">
        <f t="shared" si="13"/>
        <v>0</v>
      </c>
      <c r="CU47" s="756" t="str">
        <f>'Standard Vorgaben'!$F$44</f>
        <v>Sortierkosten</v>
      </c>
      <c r="CV47" s="19" t="str">
        <f>'Standard Vorgaben'!$G$44</f>
        <v xml:space="preserve">Tafelobst </v>
      </c>
      <c r="CX47" s="42" t="str">
        <f>CQ47</f>
        <v>pro 100 kg</v>
      </c>
      <c r="CY47" s="45">
        <f>'Standard Vorgaben'!$H$44</f>
        <v>0</v>
      </c>
      <c r="CZ47" s="149">
        <f>(CX9+CX10)/100*CY47</f>
        <v>0</v>
      </c>
      <c r="DA47" s="730">
        <f t="shared" si="14"/>
        <v>0</v>
      </c>
    </row>
    <row r="48" spans="1:105" s="1" customFormat="1" ht="12.5" x14ac:dyDescent="0.25">
      <c r="A48" s="756"/>
      <c r="B48" s="19" t="str">
        <f>'Standard Vorgaben'!G45</f>
        <v>Abgang</v>
      </c>
      <c r="C48" s="19"/>
      <c r="D48" s="19" t="s">
        <v>58</v>
      </c>
      <c r="E48" s="45">
        <f>'Standard Vorgaben'!$H$45</f>
        <v>12</v>
      </c>
      <c r="F48" s="149">
        <f>(E48/100)*('Standard Vorgaben'!$D$89*D11)</f>
        <v>0</v>
      </c>
      <c r="G48" s="730">
        <f t="shared" si="15"/>
        <v>0</v>
      </c>
      <c r="H48" s="756"/>
      <c r="I48" s="19" t="str">
        <f>'Standard Vorgaben'!G45</f>
        <v>Abgang</v>
      </c>
      <c r="J48" s="19"/>
      <c r="K48" s="42" t="str">
        <f>D48</f>
        <v>pro 100 kg</v>
      </c>
      <c r="L48" s="45">
        <f>'Standard Vorgaben'!$H$45</f>
        <v>12</v>
      </c>
      <c r="M48" s="149">
        <f>(L48/100)*('Standard Vorgaben'!$D$89*K11)</f>
        <v>6.4483902439024412</v>
      </c>
      <c r="N48" s="730">
        <f t="shared" si="2"/>
        <v>1.3144398644855779E-3</v>
      </c>
      <c r="O48" s="756"/>
      <c r="P48" s="19" t="str">
        <f>'Standard Vorgaben'!G45</f>
        <v>Abgang</v>
      </c>
      <c r="Q48" s="19"/>
      <c r="R48" s="42" t="str">
        <f>K48</f>
        <v>pro 100 kg</v>
      </c>
      <c r="S48" s="45">
        <f>'Standard Vorgaben'!$H$45</f>
        <v>12</v>
      </c>
      <c r="T48" s="149">
        <f>(S48/100)*('Standard Vorgaben'!$D$89*R11)</f>
        <v>23.644097560975617</v>
      </c>
      <c r="U48" s="730">
        <f t="shared" si="3"/>
        <v>3.0713891336112392E-3</v>
      </c>
      <c r="V48" s="756"/>
      <c r="W48" s="19" t="str">
        <f>'Standard Vorgaben'!G45</f>
        <v>Abgang</v>
      </c>
      <c r="X48" s="19"/>
      <c r="Y48" s="42" t="str">
        <f>R48</f>
        <v>pro 100 kg</v>
      </c>
      <c r="Z48" s="45">
        <f>'Standard Vorgaben'!$H$45</f>
        <v>12</v>
      </c>
      <c r="AA48" s="149">
        <f>(Z48/100)*('Standard Vorgaben'!$D$89*Y11)</f>
        <v>32.241951219512195</v>
      </c>
      <c r="AB48" s="730">
        <f t="shared" si="1"/>
        <v>3.8213423694220183E-3</v>
      </c>
      <c r="AC48" s="756"/>
      <c r="AD48" s="19" t="str">
        <f>'Standard Vorgaben'!G45</f>
        <v>Abgang</v>
      </c>
      <c r="AE48" s="19"/>
      <c r="AF48" s="42" t="str">
        <f>Y48</f>
        <v>pro 100 kg</v>
      </c>
      <c r="AG48" s="45">
        <f>'Standard Vorgaben'!$H$45</f>
        <v>12</v>
      </c>
      <c r="AH48" s="149">
        <f>(AG48/100)*('Standard Vorgaben'!$D$89*AF11)</f>
        <v>70.932292682926843</v>
      </c>
      <c r="AI48" s="730">
        <f t="shared" si="4"/>
        <v>8.7206795508121271E-3</v>
      </c>
      <c r="AJ48" s="756"/>
      <c r="AK48" s="19" t="str">
        <f>'Standard Vorgaben'!G45</f>
        <v>Abgang</v>
      </c>
      <c r="AL48" s="19"/>
      <c r="AM48" s="42" t="str">
        <f>AF48</f>
        <v>pro 100 kg</v>
      </c>
      <c r="AN48" s="45">
        <f>'Standard Vorgaben'!$H$45</f>
        <v>12</v>
      </c>
      <c r="AO48" s="149">
        <f>(AN48/100)*('Standard Vorgaben'!$D$89*AM11)</f>
        <v>70.932292682926843</v>
      </c>
      <c r="AP48" s="730">
        <f t="shared" si="5"/>
        <v>8.7206795508121271E-3</v>
      </c>
      <c r="AQ48" s="756"/>
      <c r="AR48" s="19" t="str">
        <f>'Standard Vorgaben'!G45</f>
        <v>Abgang</v>
      </c>
      <c r="AS48" s="19"/>
      <c r="AT48" s="42" t="str">
        <f>AM48</f>
        <v>pro 100 kg</v>
      </c>
      <c r="AU48" s="45">
        <f>'Standard Vorgaben'!$H$45</f>
        <v>12</v>
      </c>
      <c r="AV48" s="149">
        <f>(AU48/100)*('Standard Vorgaben'!$D$89*AT11)</f>
        <v>70.932292682926843</v>
      </c>
      <c r="AW48" s="730">
        <f t="shared" si="6"/>
        <v>8.2156483854451887E-3</v>
      </c>
      <c r="AX48" s="756"/>
      <c r="AY48" s="19" t="str">
        <f>'Standard Vorgaben'!G45</f>
        <v>Abgang</v>
      </c>
      <c r="AZ48" s="19"/>
      <c r="BA48" s="42" t="str">
        <f>AT48</f>
        <v>pro 100 kg</v>
      </c>
      <c r="BB48" s="45">
        <f>'Standard Vorgaben'!$H$45</f>
        <v>12</v>
      </c>
      <c r="BC48" s="149">
        <f>(BB48/100)*('Standard Vorgaben'!$D$89*BA11)</f>
        <v>70.932292682926843</v>
      </c>
      <c r="BD48" s="730">
        <f t="shared" si="7"/>
        <v>8.7206795508121271E-3</v>
      </c>
      <c r="BE48" s="756"/>
      <c r="BF48" s="19" t="str">
        <f>'Standard Vorgaben'!G45</f>
        <v>Abgang</v>
      </c>
      <c r="BG48" s="19"/>
      <c r="BH48" s="42" t="str">
        <f>BA48</f>
        <v>pro 100 kg</v>
      </c>
      <c r="BI48" s="45">
        <f>'Standard Vorgaben'!$H$45</f>
        <v>12</v>
      </c>
      <c r="BJ48" s="149">
        <f>(BI48/100)*('Standard Vorgaben'!$D$89*BH11)</f>
        <v>70.932292682926843</v>
      </c>
      <c r="BK48" s="730">
        <f t="shared" si="8"/>
        <v>8.7206795508121271E-3</v>
      </c>
      <c r="BL48" s="756"/>
      <c r="BM48" s="19" t="str">
        <f>'Standard Vorgaben'!G45</f>
        <v>Abgang</v>
      </c>
      <c r="BN48" s="19"/>
      <c r="BO48" s="42" t="str">
        <f>BH48</f>
        <v>pro 100 kg</v>
      </c>
      <c r="BP48" s="45">
        <f>'Standard Vorgaben'!$H$45</f>
        <v>12</v>
      </c>
      <c r="BQ48" s="149">
        <f>(BP48/100)*('Standard Vorgaben'!$D$89*BO11)</f>
        <v>70.932292682926843</v>
      </c>
      <c r="BR48" s="730">
        <f t="shared" si="9"/>
        <v>8.2156483854451887E-3</v>
      </c>
      <c r="BS48" s="756"/>
      <c r="BT48" s="19" t="str">
        <f>'Standard Vorgaben'!G45</f>
        <v>Abgang</v>
      </c>
      <c r="BU48" s="19"/>
      <c r="BV48" s="42" t="str">
        <f>BO48</f>
        <v>pro 100 kg</v>
      </c>
      <c r="BW48" s="45">
        <f>'Standard Vorgaben'!$H$45</f>
        <v>12</v>
      </c>
      <c r="BX48" s="149">
        <f>(BW48/100)*('Standard Vorgaben'!$D$89*BV11)</f>
        <v>70.932292682926843</v>
      </c>
      <c r="BY48" s="730">
        <f t="shared" si="10"/>
        <v>8.7206795508121271E-3</v>
      </c>
      <c r="BZ48" s="756"/>
      <c r="CA48" s="19" t="str">
        <f>'Standard Vorgaben'!G45</f>
        <v>Abgang</v>
      </c>
      <c r="CB48" s="19"/>
      <c r="CC48" s="42" t="str">
        <f>BV48</f>
        <v>pro 100 kg</v>
      </c>
      <c r="CD48" s="45">
        <f>'Standard Vorgaben'!$H$45</f>
        <v>12</v>
      </c>
      <c r="CE48" s="149">
        <f>(CD48/100)*('Standard Vorgaben'!$D$89*CC11)</f>
        <v>70.932292682926843</v>
      </c>
      <c r="CF48" s="730">
        <f t="shared" si="11"/>
        <v>8.7206795508121271E-3</v>
      </c>
      <c r="CG48" s="756"/>
      <c r="CH48" s="19" t="str">
        <f>'Standard Vorgaben'!G45</f>
        <v>Abgang</v>
      </c>
      <c r="CI48" s="19"/>
      <c r="CJ48" s="42" t="str">
        <f>CC48</f>
        <v>pro 100 kg</v>
      </c>
      <c r="CK48" s="45">
        <f>'Standard Vorgaben'!$H$45</f>
        <v>12</v>
      </c>
      <c r="CL48" s="149">
        <f>(CK48/100)*('Standard Vorgaben'!$D$89*CJ11)</f>
        <v>64.483902439024391</v>
      </c>
      <c r="CM48" s="730">
        <f t="shared" si="12"/>
        <v>7.4972050945491366E-3</v>
      </c>
      <c r="CN48" s="756"/>
      <c r="CO48" s="19" t="str">
        <f>'Standard Vorgaben'!G45</f>
        <v>Abgang</v>
      </c>
      <c r="CP48" s="19"/>
      <c r="CQ48" s="42" t="str">
        <f>CJ48</f>
        <v>pro 100 kg</v>
      </c>
      <c r="CR48" s="45">
        <f>'Standard Vorgaben'!$H$45</f>
        <v>12</v>
      </c>
      <c r="CS48" s="149">
        <f>(CR48/100)*('Standard Vorgaben'!$D$89*CQ11)</f>
        <v>64.483902439024391</v>
      </c>
      <c r="CT48" s="730">
        <f t="shared" si="13"/>
        <v>7.9599350417949282E-3</v>
      </c>
      <c r="CU48" s="756"/>
      <c r="CV48" s="19" t="str">
        <f>'Standard Vorgaben'!G45</f>
        <v>Abgang</v>
      </c>
      <c r="CW48" s="19"/>
      <c r="CX48" s="42" t="str">
        <f>CQ48</f>
        <v>pro 100 kg</v>
      </c>
      <c r="CY48" s="45">
        <f>'Standard Vorgaben'!$H$45</f>
        <v>12</v>
      </c>
      <c r="CZ48" s="149">
        <f>(CY48/100)*('Standard Vorgaben'!$D$89*CX11)</f>
        <v>64.483902439024391</v>
      </c>
      <c r="DA48" s="730">
        <f t="shared" si="14"/>
        <v>7.9599350417949282E-3</v>
      </c>
    </row>
    <row r="49" spans="1:105" s="1" customFormat="1" ht="12.5" x14ac:dyDescent="0.25">
      <c r="A49" s="756" t="str">
        <f>'Standard Vorgaben'!$F$46</f>
        <v>Bürsten</v>
      </c>
      <c r="B49" s="19"/>
      <c r="C49" s="47">
        <f>'Standard Vorgaben'!$I$46</f>
        <v>0</v>
      </c>
      <c r="D49" s="19" t="s">
        <v>58</v>
      </c>
      <c r="E49" s="45">
        <f>'Standard Vorgaben'!$H$46</f>
        <v>5</v>
      </c>
      <c r="F49" s="149">
        <f>C49*E49*D9/100</f>
        <v>0</v>
      </c>
      <c r="G49" s="730">
        <f t="shared" si="15"/>
        <v>0</v>
      </c>
      <c r="H49" s="756" t="str">
        <f>'Standard Vorgaben'!$F$46</f>
        <v>Bürsten</v>
      </c>
      <c r="I49" s="19"/>
      <c r="J49" s="47">
        <f>'Standard Vorgaben'!$I$46</f>
        <v>0</v>
      </c>
      <c r="K49" s="19" t="s">
        <v>58</v>
      </c>
      <c r="L49" s="45">
        <f>'Standard Vorgaben'!$H$46</f>
        <v>5</v>
      </c>
      <c r="M49" s="149">
        <f>J49*L49*K9/100</f>
        <v>0</v>
      </c>
      <c r="N49" s="730">
        <f t="shared" si="2"/>
        <v>0</v>
      </c>
      <c r="O49" s="756" t="str">
        <f>'Standard Vorgaben'!$F$46</f>
        <v>Bürsten</v>
      </c>
      <c r="P49" s="19"/>
      <c r="Q49" s="47">
        <f>'Standard Vorgaben'!$I$46</f>
        <v>0</v>
      </c>
      <c r="R49" s="19" t="s">
        <v>58</v>
      </c>
      <c r="S49" s="45">
        <f>'Standard Vorgaben'!$H$46</f>
        <v>5</v>
      </c>
      <c r="T49" s="149">
        <f>Q49*S49*R9/100</f>
        <v>0</v>
      </c>
      <c r="U49" s="730">
        <f t="shared" si="3"/>
        <v>0</v>
      </c>
      <c r="V49" s="756" t="str">
        <f>'Standard Vorgaben'!$F$46</f>
        <v>Bürsten</v>
      </c>
      <c r="W49" s="19"/>
      <c r="X49" s="47">
        <f>'Standard Vorgaben'!$I$46</f>
        <v>0</v>
      </c>
      <c r="Y49" s="19" t="s">
        <v>58</v>
      </c>
      <c r="Z49" s="45">
        <f>'Standard Vorgaben'!$H$46</f>
        <v>5</v>
      </c>
      <c r="AA49" s="149">
        <f>X49*Z49*Y9/100</f>
        <v>0</v>
      </c>
      <c r="AB49" s="730">
        <f t="shared" si="1"/>
        <v>0</v>
      </c>
      <c r="AC49" s="756" t="str">
        <f>'Standard Vorgaben'!$F$46</f>
        <v>Bürsten</v>
      </c>
      <c r="AD49" s="19"/>
      <c r="AE49" s="47">
        <f>'Standard Vorgaben'!$I$46</f>
        <v>0</v>
      </c>
      <c r="AF49" s="19" t="s">
        <v>58</v>
      </c>
      <c r="AG49" s="45">
        <f>'Standard Vorgaben'!$H$46</f>
        <v>5</v>
      </c>
      <c r="AH49" s="149">
        <f>AE49*AG49*AF9/100</f>
        <v>0</v>
      </c>
      <c r="AI49" s="730">
        <f t="shared" si="4"/>
        <v>0</v>
      </c>
      <c r="AJ49" s="756" t="str">
        <f>'Standard Vorgaben'!$F$46</f>
        <v>Bürsten</v>
      </c>
      <c r="AK49" s="19"/>
      <c r="AL49" s="47">
        <f>'Standard Vorgaben'!$I$46</f>
        <v>0</v>
      </c>
      <c r="AM49" s="19" t="s">
        <v>58</v>
      </c>
      <c r="AN49" s="45">
        <f>'Standard Vorgaben'!$H$46</f>
        <v>5</v>
      </c>
      <c r="AO49" s="149">
        <f>AL49*AN49*AM9/100</f>
        <v>0</v>
      </c>
      <c r="AP49" s="730">
        <f t="shared" si="5"/>
        <v>0</v>
      </c>
      <c r="AQ49" s="756" t="str">
        <f>'Standard Vorgaben'!$F$46</f>
        <v>Bürsten</v>
      </c>
      <c r="AR49" s="19"/>
      <c r="AS49" s="47">
        <f>'Standard Vorgaben'!$I$46</f>
        <v>0</v>
      </c>
      <c r="AT49" s="19" t="s">
        <v>58</v>
      </c>
      <c r="AU49" s="45">
        <f>'Standard Vorgaben'!$H$46</f>
        <v>5</v>
      </c>
      <c r="AV49" s="149">
        <f>AS49*AU49*AT9/100</f>
        <v>0</v>
      </c>
      <c r="AW49" s="730">
        <f t="shared" si="6"/>
        <v>0</v>
      </c>
      <c r="AX49" s="756" t="str">
        <f>'Standard Vorgaben'!$F$46</f>
        <v>Bürsten</v>
      </c>
      <c r="AY49" s="19"/>
      <c r="AZ49" s="47">
        <f>'Standard Vorgaben'!$I$46</f>
        <v>0</v>
      </c>
      <c r="BA49" s="19" t="s">
        <v>58</v>
      </c>
      <c r="BB49" s="45">
        <f>'Standard Vorgaben'!$H$46</f>
        <v>5</v>
      </c>
      <c r="BC49" s="149">
        <f>AZ49*BB49*BA9/100</f>
        <v>0</v>
      </c>
      <c r="BD49" s="730">
        <f t="shared" si="7"/>
        <v>0</v>
      </c>
      <c r="BE49" s="756" t="str">
        <f>'Standard Vorgaben'!$F$46</f>
        <v>Bürsten</v>
      </c>
      <c r="BF49" s="19"/>
      <c r="BG49" s="47">
        <f>'Standard Vorgaben'!$I$46</f>
        <v>0</v>
      </c>
      <c r="BH49" s="19" t="s">
        <v>58</v>
      </c>
      <c r="BI49" s="45">
        <f>'Standard Vorgaben'!$H$46</f>
        <v>5</v>
      </c>
      <c r="BJ49" s="149">
        <f>BG49*BI49*BH9/100</f>
        <v>0</v>
      </c>
      <c r="BK49" s="730">
        <f t="shared" si="8"/>
        <v>0</v>
      </c>
      <c r="BL49" s="756" t="str">
        <f>'Standard Vorgaben'!$F$46</f>
        <v>Bürsten</v>
      </c>
      <c r="BM49" s="19"/>
      <c r="BN49" s="47">
        <f>'Standard Vorgaben'!$I$46</f>
        <v>0</v>
      </c>
      <c r="BO49" s="19" t="s">
        <v>58</v>
      </c>
      <c r="BP49" s="45">
        <f>'Standard Vorgaben'!$H$46</f>
        <v>5</v>
      </c>
      <c r="BQ49" s="149">
        <f>BN49*BP49*BO9/100</f>
        <v>0</v>
      </c>
      <c r="BR49" s="730">
        <f t="shared" si="9"/>
        <v>0</v>
      </c>
      <c r="BS49" s="756" t="str">
        <f>'Standard Vorgaben'!$F$46</f>
        <v>Bürsten</v>
      </c>
      <c r="BT49" s="19"/>
      <c r="BU49" s="47">
        <f>'Standard Vorgaben'!$I$46</f>
        <v>0</v>
      </c>
      <c r="BV49" s="19" t="s">
        <v>58</v>
      </c>
      <c r="BW49" s="45">
        <f>'Standard Vorgaben'!$H$46</f>
        <v>5</v>
      </c>
      <c r="BX49" s="149">
        <f>BU49*BW49*BV9/100</f>
        <v>0</v>
      </c>
      <c r="BY49" s="730">
        <f t="shared" si="10"/>
        <v>0</v>
      </c>
      <c r="BZ49" s="756" t="str">
        <f>'Standard Vorgaben'!$F$46</f>
        <v>Bürsten</v>
      </c>
      <c r="CA49" s="19"/>
      <c r="CB49" s="47">
        <f>'Standard Vorgaben'!$I$46</f>
        <v>0</v>
      </c>
      <c r="CC49" s="19" t="s">
        <v>58</v>
      </c>
      <c r="CD49" s="45">
        <f>'Standard Vorgaben'!$H$46</f>
        <v>5</v>
      </c>
      <c r="CE49" s="149">
        <f>CB49*CD49*CC9/100</f>
        <v>0</v>
      </c>
      <c r="CF49" s="730">
        <f t="shared" si="11"/>
        <v>0</v>
      </c>
      <c r="CG49" s="756" t="str">
        <f>'Standard Vorgaben'!$F$46</f>
        <v>Bürsten</v>
      </c>
      <c r="CH49" s="19"/>
      <c r="CI49" s="47">
        <f>'Standard Vorgaben'!$I$46</f>
        <v>0</v>
      </c>
      <c r="CJ49" s="19" t="s">
        <v>58</v>
      </c>
      <c r="CK49" s="45">
        <f>'Standard Vorgaben'!$H$46</f>
        <v>5</v>
      </c>
      <c r="CL49" s="149">
        <f>CI49*CK49*CJ9/100</f>
        <v>0</v>
      </c>
      <c r="CM49" s="730">
        <f t="shared" si="12"/>
        <v>0</v>
      </c>
      <c r="CN49" s="756" t="str">
        <f>'Standard Vorgaben'!$F$46</f>
        <v>Bürsten</v>
      </c>
      <c r="CO49" s="19"/>
      <c r="CP49" s="47">
        <f>'Standard Vorgaben'!$I$46</f>
        <v>0</v>
      </c>
      <c r="CQ49" s="19" t="s">
        <v>58</v>
      </c>
      <c r="CR49" s="45">
        <f>'Standard Vorgaben'!$H$46</f>
        <v>5</v>
      </c>
      <c r="CS49" s="149">
        <f>CP49*CR49*CQ9/100</f>
        <v>0</v>
      </c>
      <c r="CT49" s="730">
        <f t="shared" si="13"/>
        <v>0</v>
      </c>
      <c r="CU49" s="756" t="str">
        <f>'Standard Vorgaben'!$F$46</f>
        <v>Bürsten</v>
      </c>
      <c r="CV49" s="19"/>
      <c r="CW49" s="47">
        <f>'Standard Vorgaben'!$I$46</f>
        <v>0</v>
      </c>
      <c r="CX49" s="19" t="s">
        <v>58</v>
      </c>
      <c r="CY49" s="45">
        <f>'Standard Vorgaben'!$H$46</f>
        <v>5</v>
      </c>
      <c r="CZ49" s="149">
        <f>CW49*CY49*CX9/100</f>
        <v>0</v>
      </c>
      <c r="DA49" s="730">
        <f t="shared" si="14"/>
        <v>0</v>
      </c>
    </row>
    <row r="50" spans="1:105" s="1" customFormat="1" ht="13" thickBot="1" x14ac:dyDescent="0.3">
      <c r="A50" s="756" t="str">
        <f>'Standard Vorgaben'!$F$47</f>
        <v>Heisswassertauchen</v>
      </c>
      <c r="B50" s="19"/>
      <c r="C50" s="47">
        <f>'Standard Vorgaben'!$I$47</f>
        <v>0</v>
      </c>
      <c r="D50" s="19" t="s">
        <v>58</v>
      </c>
      <c r="E50" s="45">
        <f>'Standard Vorgaben'!$H$47</f>
        <v>15</v>
      </c>
      <c r="F50" s="587">
        <f>C50*E50*D9/100</f>
        <v>0</v>
      </c>
      <c r="G50" s="730">
        <f t="shared" si="15"/>
        <v>0</v>
      </c>
      <c r="H50" s="756" t="str">
        <f>'Standard Vorgaben'!$F$47</f>
        <v>Heisswassertauchen</v>
      </c>
      <c r="I50" s="19"/>
      <c r="J50" s="47">
        <f>'Standard Vorgaben'!$I$47</f>
        <v>0</v>
      </c>
      <c r="K50" s="19" t="s">
        <v>58</v>
      </c>
      <c r="L50" s="45">
        <f>'Standard Vorgaben'!$H$47</f>
        <v>15</v>
      </c>
      <c r="M50" s="587">
        <f>J50*L50*K9/100</f>
        <v>0</v>
      </c>
      <c r="N50" s="730">
        <f t="shared" si="2"/>
        <v>0</v>
      </c>
      <c r="O50" s="756" t="str">
        <f>'Standard Vorgaben'!$F$47</f>
        <v>Heisswassertauchen</v>
      </c>
      <c r="P50" s="19"/>
      <c r="Q50" s="47">
        <f>'Standard Vorgaben'!$I$47</f>
        <v>0</v>
      </c>
      <c r="R50" s="19" t="s">
        <v>58</v>
      </c>
      <c r="S50" s="45">
        <f>'Standard Vorgaben'!$H$47</f>
        <v>15</v>
      </c>
      <c r="T50" s="587">
        <f>Q50*S50*R9/100</f>
        <v>0</v>
      </c>
      <c r="U50" s="730">
        <f t="shared" si="3"/>
        <v>0</v>
      </c>
      <c r="V50" s="756" t="str">
        <f>'Standard Vorgaben'!$F$47</f>
        <v>Heisswassertauchen</v>
      </c>
      <c r="W50" s="19"/>
      <c r="X50" s="47">
        <f>'Standard Vorgaben'!$I$47</f>
        <v>0</v>
      </c>
      <c r="Y50" s="19" t="s">
        <v>58</v>
      </c>
      <c r="Z50" s="45">
        <f>'Standard Vorgaben'!$H$47</f>
        <v>15</v>
      </c>
      <c r="AA50" s="587">
        <f>X50*Z50*Y9/100</f>
        <v>0</v>
      </c>
      <c r="AB50" s="730">
        <f t="shared" si="1"/>
        <v>0</v>
      </c>
      <c r="AC50" s="756" t="str">
        <f>'Standard Vorgaben'!$F$47</f>
        <v>Heisswassertauchen</v>
      </c>
      <c r="AD50" s="19"/>
      <c r="AE50" s="47">
        <f>'Standard Vorgaben'!$I$47</f>
        <v>0</v>
      </c>
      <c r="AF50" s="19" t="s">
        <v>58</v>
      </c>
      <c r="AG50" s="45">
        <f>'Standard Vorgaben'!$H$47</f>
        <v>15</v>
      </c>
      <c r="AH50" s="587">
        <f>AE50*AG50*AF9/100</f>
        <v>0</v>
      </c>
      <c r="AI50" s="730">
        <f t="shared" si="4"/>
        <v>0</v>
      </c>
      <c r="AJ50" s="756" t="str">
        <f>'Standard Vorgaben'!$F$47</f>
        <v>Heisswassertauchen</v>
      </c>
      <c r="AK50" s="19"/>
      <c r="AL50" s="47">
        <f>'Standard Vorgaben'!$I$47</f>
        <v>0</v>
      </c>
      <c r="AM50" s="19" t="s">
        <v>58</v>
      </c>
      <c r="AN50" s="45">
        <f>'Standard Vorgaben'!$H$47</f>
        <v>15</v>
      </c>
      <c r="AO50" s="587">
        <f>AL50*AN50*AM9/100</f>
        <v>0</v>
      </c>
      <c r="AP50" s="730">
        <f t="shared" si="5"/>
        <v>0</v>
      </c>
      <c r="AQ50" s="756" t="str">
        <f>'Standard Vorgaben'!$F$47</f>
        <v>Heisswassertauchen</v>
      </c>
      <c r="AR50" s="19"/>
      <c r="AS50" s="47">
        <f>'Standard Vorgaben'!$I$47</f>
        <v>0</v>
      </c>
      <c r="AT50" s="19" t="s">
        <v>58</v>
      </c>
      <c r="AU50" s="45">
        <f>'Standard Vorgaben'!$H$47</f>
        <v>15</v>
      </c>
      <c r="AV50" s="587">
        <f>AS50*AU50*AT9/100</f>
        <v>0</v>
      </c>
      <c r="AW50" s="730">
        <f t="shared" si="6"/>
        <v>0</v>
      </c>
      <c r="AX50" s="756" t="str">
        <f>'Standard Vorgaben'!$F$47</f>
        <v>Heisswassertauchen</v>
      </c>
      <c r="AY50" s="19"/>
      <c r="AZ50" s="47">
        <f>'Standard Vorgaben'!$I$47</f>
        <v>0</v>
      </c>
      <c r="BA50" s="19" t="s">
        <v>58</v>
      </c>
      <c r="BB50" s="45">
        <f>'Standard Vorgaben'!$H$47</f>
        <v>15</v>
      </c>
      <c r="BC50" s="587">
        <f>AZ50*BB50*BA9/100</f>
        <v>0</v>
      </c>
      <c r="BD50" s="730">
        <f t="shared" si="7"/>
        <v>0</v>
      </c>
      <c r="BE50" s="756" t="str">
        <f>'Standard Vorgaben'!$F$47</f>
        <v>Heisswassertauchen</v>
      </c>
      <c r="BF50" s="19"/>
      <c r="BG50" s="47">
        <f>'Standard Vorgaben'!$I$47</f>
        <v>0</v>
      </c>
      <c r="BH50" s="19" t="s">
        <v>58</v>
      </c>
      <c r="BI50" s="45">
        <f>'Standard Vorgaben'!$H$47</f>
        <v>15</v>
      </c>
      <c r="BJ50" s="587">
        <f>BG50*BI50*BH9/100</f>
        <v>0</v>
      </c>
      <c r="BK50" s="730">
        <f t="shared" si="8"/>
        <v>0</v>
      </c>
      <c r="BL50" s="756" t="str">
        <f>'Standard Vorgaben'!$F$47</f>
        <v>Heisswassertauchen</v>
      </c>
      <c r="BM50" s="19"/>
      <c r="BN50" s="47">
        <f>'Standard Vorgaben'!$I$47</f>
        <v>0</v>
      </c>
      <c r="BO50" s="19" t="s">
        <v>58</v>
      </c>
      <c r="BP50" s="45">
        <f>'Standard Vorgaben'!$H$47</f>
        <v>15</v>
      </c>
      <c r="BQ50" s="587">
        <f>BN50*BP50*BO9/100</f>
        <v>0</v>
      </c>
      <c r="BR50" s="730">
        <f t="shared" si="9"/>
        <v>0</v>
      </c>
      <c r="BS50" s="756" t="str">
        <f>'Standard Vorgaben'!$F$47</f>
        <v>Heisswassertauchen</v>
      </c>
      <c r="BT50" s="19"/>
      <c r="BU50" s="47">
        <f>'Standard Vorgaben'!$I$47</f>
        <v>0</v>
      </c>
      <c r="BV50" s="19" t="s">
        <v>58</v>
      </c>
      <c r="BW50" s="45">
        <f>'Standard Vorgaben'!$H$47</f>
        <v>15</v>
      </c>
      <c r="BX50" s="587">
        <f>BU50*BW50*BV9/100</f>
        <v>0</v>
      </c>
      <c r="BY50" s="730">
        <f t="shared" si="10"/>
        <v>0</v>
      </c>
      <c r="BZ50" s="756" t="str">
        <f>'Standard Vorgaben'!$F$47</f>
        <v>Heisswassertauchen</v>
      </c>
      <c r="CA50" s="19"/>
      <c r="CB50" s="47">
        <f>'Standard Vorgaben'!$I$47</f>
        <v>0</v>
      </c>
      <c r="CC50" s="19" t="s">
        <v>58</v>
      </c>
      <c r="CD50" s="45">
        <f>'Standard Vorgaben'!$H$47</f>
        <v>15</v>
      </c>
      <c r="CE50" s="587">
        <f>CB50*CD50*CC9/100</f>
        <v>0</v>
      </c>
      <c r="CF50" s="730">
        <f t="shared" si="11"/>
        <v>0</v>
      </c>
      <c r="CG50" s="756" t="str">
        <f>'Standard Vorgaben'!$F$47</f>
        <v>Heisswassertauchen</v>
      </c>
      <c r="CH50" s="19"/>
      <c r="CI50" s="47">
        <f>'Standard Vorgaben'!$I$47</f>
        <v>0</v>
      </c>
      <c r="CJ50" s="19" t="s">
        <v>58</v>
      </c>
      <c r="CK50" s="45">
        <f>'Standard Vorgaben'!$H$47</f>
        <v>15</v>
      </c>
      <c r="CL50" s="587">
        <f>CI50*CK50*CJ9/100</f>
        <v>0</v>
      </c>
      <c r="CM50" s="730">
        <f t="shared" si="12"/>
        <v>0</v>
      </c>
      <c r="CN50" s="756" t="str">
        <f>'Standard Vorgaben'!$F$47</f>
        <v>Heisswassertauchen</v>
      </c>
      <c r="CO50" s="19"/>
      <c r="CP50" s="47">
        <f>'Standard Vorgaben'!$I$47</f>
        <v>0</v>
      </c>
      <c r="CQ50" s="19" t="s">
        <v>58</v>
      </c>
      <c r="CR50" s="45">
        <f>'Standard Vorgaben'!$H$47</f>
        <v>15</v>
      </c>
      <c r="CS50" s="587">
        <f>CP50*CR50*CQ9/100</f>
        <v>0</v>
      </c>
      <c r="CT50" s="730">
        <f t="shared" si="13"/>
        <v>0</v>
      </c>
      <c r="CU50" s="756" t="str">
        <f>'Standard Vorgaben'!$F$47</f>
        <v>Heisswassertauchen</v>
      </c>
      <c r="CV50" s="19"/>
      <c r="CW50" s="47">
        <f>'Standard Vorgaben'!$I$47</f>
        <v>0</v>
      </c>
      <c r="CX50" s="19" t="s">
        <v>58</v>
      </c>
      <c r="CY50" s="45">
        <f>'Standard Vorgaben'!$H$47</f>
        <v>15</v>
      </c>
      <c r="CZ50" s="587">
        <f>CW50*CY50*CX9/100</f>
        <v>0</v>
      </c>
      <c r="DA50" s="730">
        <f t="shared" si="14"/>
        <v>0</v>
      </c>
    </row>
    <row r="51" spans="1:105" s="1" customFormat="1" ht="13" x14ac:dyDescent="0.3">
      <c r="A51" s="617"/>
      <c r="B51" s="19"/>
      <c r="C51" s="19"/>
      <c r="D51" s="19"/>
      <c r="E51" s="45"/>
      <c r="F51" s="83">
        <f>SUM(F43:F50)</f>
        <v>468</v>
      </c>
      <c r="G51" s="730"/>
      <c r="H51" s="617"/>
      <c r="I51" s="19"/>
      <c r="J51" s="19"/>
      <c r="K51" s="19"/>
      <c r="L51" s="45"/>
      <c r="M51" s="83">
        <f>SUM(M43:M50)</f>
        <v>500.74448780487802</v>
      </c>
      <c r="N51" s="730">
        <f t="shared" si="2"/>
        <v>0.10207175617426885</v>
      </c>
      <c r="O51" s="617"/>
      <c r="P51" s="19"/>
      <c r="Q51" s="19"/>
      <c r="R51" s="19"/>
      <c r="S51" s="45"/>
      <c r="T51" s="83">
        <f>SUM(T43:T50)</f>
        <v>588.0631219512195</v>
      </c>
      <c r="U51" s="730">
        <f t="shared" si="3"/>
        <v>7.6389918370982607E-2</v>
      </c>
      <c r="V51" s="617"/>
      <c r="W51" s="19"/>
      <c r="X51" s="19"/>
      <c r="Y51" s="19"/>
      <c r="Z51" s="45"/>
      <c r="AA51" s="83">
        <f>SUM(AA43:AA50)</f>
        <v>631.72243902439027</v>
      </c>
      <c r="AB51" s="730">
        <f t="shared" si="1"/>
        <v>7.4872258987154536E-2</v>
      </c>
      <c r="AC51" s="617"/>
      <c r="AD51" s="19"/>
      <c r="AE51" s="19"/>
      <c r="AF51" s="19"/>
      <c r="AG51" s="45"/>
      <c r="AH51" s="83">
        <f>SUM(AH43:AH50)</f>
        <v>828.1893658536585</v>
      </c>
      <c r="AI51" s="730">
        <f t="shared" si="4"/>
        <v>0.10182067706854854</v>
      </c>
      <c r="AJ51" s="617"/>
      <c r="AK51" s="19"/>
      <c r="AL51" s="19"/>
      <c r="AM51" s="19"/>
      <c r="AN51" s="45"/>
      <c r="AO51" s="83">
        <f>SUM(AO43:AO50)</f>
        <v>828.1893658536585</v>
      </c>
      <c r="AP51" s="730">
        <f t="shared" si="5"/>
        <v>0.10182067706854854</v>
      </c>
      <c r="AQ51" s="617"/>
      <c r="AR51" s="19"/>
      <c r="AS51" s="19"/>
      <c r="AT51" s="19"/>
      <c r="AU51" s="45"/>
      <c r="AV51" s="83">
        <f>SUM(AV43:AV50)</f>
        <v>828.1893658536585</v>
      </c>
      <c r="AW51" s="730">
        <f t="shared" si="6"/>
        <v>9.5924047694798537E-2</v>
      </c>
      <c r="AX51" s="617"/>
      <c r="AY51" s="19"/>
      <c r="AZ51" s="19"/>
      <c r="BA51" s="19"/>
      <c r="BB51" s="45"/>
      <c r="BC51" s="83">
        <f>SUM(BC43:BC50)</f>
        <v>828.1893658536585</v>
      </c>
      <c r="BD51" s="730">
        <f t="shared" si="7"/>
        <v>0.10182067706854854</v>
      </c>
      <c r="BE51" s="617"/>
      <c r="BF51" s="19"/>
      <c r="BG51" s="19"/>
      <c r="BH51" s="19"/>
      <c r="BI51" s="45"/>
      <c r="BJ51" s="83">
        <f>SUM(BJ43:BJ50)</f>
        <v>828.1893658536585</v>
      </c>
      <c r="BK51" s="730">
        <f t="shared" si="8"/>
        <v>0.10182067706854854</v>
      </c>
      <c r="BL51" s="617"/>
      <c r="BM51" s="19"/>
      <c r="BN51" s="19"/>
      <c r="BO51" s="19"/>
      <c r="BP51" s="45"/>
      <c r="BQ51" s="83">
        <f>SUM(BQ43:BQ50)</f>
        <v>828.1893658536585</v>
      </c>
      <c r="BR51" s="730">
        <f t="shared" si="9"/>
        <v>9.5924047694798537E-2</v>
      </c>
      <c r="BS51" s="617"/>
      <c r="BT51" s="19"/>
      <c r="BU51" s="19"/>
      <c r="BV51" s="19"/>
      <c r="BW51" s="45"/>
      <c r="BX51" s="83">
        <f>SUM(BX43:BX50)</f>
        <v>828.1893658536585</v>
      </c>
      <c r="BY51" s="730">
        <f t="shared" si="10"/>
        <v>0.10182067706854854</v>
      </c>
      <c r="BZ51" s="617"/>
      <c r="CA51" s="19"/>
      <c r="CB51" s="19"/>
      <c r="CC51" s="19"/>
      <c r="CD51" s="45"/>
      <c r="CE51" s="83">
        <f>SUM(CE43:CE50)</f>
        <v>828.1893658536585</v>
      </c>
      <c r="CF51" s="730">
        <f t="shared" si="11"/>
        <v>0.10182067706854854</v>
      </c>
      <c r="CG51" s="617"/>
      <c r="CH51" s="19"/>
      <c r="CI51" s="19"/>
      <c r="CJ51" s="19"/>
      <c r="CK51" s="45"/>
      <c r="CL51" s="83">
        <f>SUM(CL43:CL50)</f>
        <v>795.44487804878054</v>
      </c>
      <c r="CM51" s="730">
        <f t="shared" si="12"/>
        <v>9.2482203566688487E-2</v>
      </c>
      <c r="CN51" s="617"/>
      <c r="CO51" s="19"/>
      <c r="CP51" s="19"/>
      <c r="CQ51" s="19"/>
      <c r="CR51" s="45"/>
      <c r="CS51" s="83">
        <f>SUM(CS43:CS50)</f>
        <v>795.44487804878054</v>
      </c>
      <c r="CT51" s="730">
        <f t="shared" si="13"/>
        <v>9.8190235378263449E-2</v>
      </c>
      <c r="CU51" s="617"/>
      <c r="CV51" s="19"/>
      <c r="CW51" s="19"/>
      <c r="CX51" s="19"/>
      <c r="CY51" s="45"/>
      <c r="CZ51" s="83">
        <f>SUM(CZ43:CZ50)</f>
        <v>795.44487804878054</v>
      </c>
      <c r="DA51" s="730">
        <f t="shared" si="14"/>
        <v>9.8190235378263449E-2</v>
      </c>
    </row>
    <row r="52" spans="1:105" s="1" customFormat="1" ht="6" customHeight="1" x14ac:dyDescent="0.25">
      <c r="A52" s="756"/>
      <c r="B52" s="757"/>
      <c r="C52" s="758"/>
      <c r="D52" s="44"/>
      <c r="E52" s="616"/>
      <c r="F52" s="149"/>
      <c r="G52" s="730"/>
      <c r="H52" s="756"/>
      <c r="I52" s="757"/>
      <c r="J52" s="758"/>
      <c r="K52" s="44"/>
      <c r="L52" s="616"/>
      <c r="M52" s="149"/>
      <c r="N52" s="730">
        <f t="shared" si="2"/>
        <v>0</v>
      </c>
      <c r="O52" s="756"/>
      <c r="P52" s="757"/>
      <c r="Q52" s="758"/>
      <c r="R52" s="44"/>
      <c r="S52" s="616"/>
      <c r="T52" s="149"/>
      <c r="U52" s="730">
        <f t="shared" si="3"/>
        <v>0</v>
      </c>
      <c r="V52" s="756"/>
      <c r="W52" s="757"/>
      <c r="X52" s="758"/>
      <c r="Y52" s="44"/>
      <c r="Z52" s="616"/>
      <c r="AA52" s="149"/>
      <c r="AB52" s="730">
        <f t="shared" si="1"/>
        <v>0</v>
      </c>
      <c r="AC52" s="756"/>
      <c r="AD52" s="757"/>
      <c r="AE52" s="758"/>
      <c r="AF52" s="44"/>
      <c r="AG52" s="616"/>
      <c r="AH52" s="149"/>
      <c r="AI52" s="730">
        <f t="shared" si="4"/>
        <v>0</v>
      </c>
      <c r="AJ52" s="756"/>
      <c r="AK52" s="757"/>
      <c r="AL52" s="758"/>
      <c r="AM52" s="44"/>
      <c r="AN52" s="616"/>
      <c r="AO52" s="149"/>
      <c r="AP52" s="730">
        <f t="shared" si="5"/>
        <v>0</v>
      </c>
      <c r="AQ52" s="756"/>
      <c r="AR52" s="757"/>
      <c r="AS52" s="758"/>
      <c r="AT52" s="44"/>
      <c r="AU52" s="616"/>
      <c r="AV52" s="149"/>
      <c r="AW52" s="730">
        <f t="shared" si="6"/>
        <v>0</v>
      </c>
      <c r="AX52" s="756"/>
      <c r="AY52" s="757"/>
      <c r="AZ52" s="758"/>
      <c r="BA52" s="44"/>
      <c r="BB52" s="616"/>
      <c r="BC52" s="149"/>
      <c r="BD52" s="730">
        <f t="shared" si="7"/>
        <v>0</v>
      </c>
      <c r="BE52" s="756"/>
      <c r="BF52" s="757"/>
      <c r="BG52" s="758"/>
      <c r="BH52" s="44"/>
      <c r="BI52" s="616"/>
      <c r="BJ52" s="149"/>
      <c r="BK52" s="730">
        <f t="shared" si="8"/>
        <v>0</v>
      </c>
      <c r="BL52" s="756"/>
      <c r="BM52" s="757"/>
      <c r="BN52" s="758"/>
      <c r="BO52" s="44"/>
      <c r="BP52" s="616"/>
      <c r="BQ52" s="149"/>
      <c r="BR52" s="730">
        <f t="shared" si="9"/>
        <v>0</v>
      </c>
      <c r="BS52" s="756"/>
      <c r="BT52" s="757"/>
      <c r="BU52" s="758"/>
      <c r="BV52" s="44"/>
      <c r="BW52" s="616"/>
      <c r="BX52" s="149"/>
      <c r="BY52" s="730">
        <f t="shared" si="10"/>
        <v>0</v>
      </c>
      <c r="BZ52" s="756"/>
      <c r="CA52" s="757"/>
      <c r="CB52" s="758"/>
      <c r="CC52" s="44"/>
      <c r="CD52" s="616"/>
      <c r="CE52" s="149"/>
      <c r="CF52" s="730">
        <f t="shared" si="11"/>
        <v>0</v>
      </c>
      <c r="CG52" s="756"/>
      <c r="CH52" s="757"/>
      <c r="CI52" s="758"/>
      <c r="CJ52" s="44"/>
      <c r="CK52" s="616"/>
      <c r="CL52" s="149"/>
      <c r="CM52" s="730">
        <f t="shared" si="12"/>
        <v>0</v>
      </c>
      <c r="CN52" s="756"/>
      <c r="CO52" s="757"/>
      <c r="CP52" s="758"/>
      <c r="CQ52" s="44"/>
      <c r="CR52" s="616"/>
      <c r="CS52" s="149"/>
      <c r="CT52" s="730">
        <f t="shared" si="13"/>
        <v>0</v>
      </c>
      <c r="CU52" s="756"/>
      <c r="CV52" s="757"/>
      <c r="CW52" s="758"/>
      <c r="CX52" s="44"/>
      <c r="CY52" s="616"/>
      <c r="CZ52" s="149"/>
      <c r="DA52" s="730">
        <f t="shared" si="14"/>
        <v>0</v>
      </c>
    </row>
    <row r="53" spans="1:105" s="69" customFormat="1" ht="15" customHeight="1" x14ac:dyDescent="0.3">
      <c r="A53" s="87" t="s">
        <v>175</v>
      </c>
      <c r="B53" s="759" t="s">
        <v>403</v>
      </c>
      <c r="C53" s="760"/>
      <c r="D53" s="756"/>
      <c r="E53" s="761"/>
      <c r="F53" s="85">
        <f>'Standard Vorgaben'!F207</f>
        <v>600</v>
      </c>
      <c r="G53" s="730">
        <f t="shared" si="15"/>
        <v>0.11493011099950119</v>
      </c>
      <c r="H53" s="87" t="s">
        <v>175</v>
      </c>
      <c r="I53" s="759" t="s">
        <v>403</v>
      </c>
      <c r="J53" s="760"/>
      <c r="K53" s="756"/>
      <c r="L53" s="761"/>
      <c r="M53" s="85">
        <f>'Standard Vorgaben'!F207</f>
        <v>600</v>
      </c>
      <c r="N53" s="730">
        <f t="shared" si="2"/>
        <v>0.1223039997365393</v>
      </c>
      <c r="O53" s="87" t="s">
        <v>175</v>
      </c>
      <c r="P53" s="759" t="s">
        <v>403</v>
      </c>
      <c r="Q53" s="760"/>
      <c r="R53" s="756"/>
      <c r="S53" s="761"/>
      <c r="T53" s="85">
        <f>'Standard Vorgaben'!F207</f>
        <v>600</v>
      </c>
      <c r="U53" s="730">
        <f t="shared" si="3"/>
        <v>7.7940529361049685E-2</v>
      </c>
      <c r="V53" s="87" t="s">
        <v>175</v>
      </c>
      <c r="W53" s="759" t="s">
        <v>403</v>
      </c>
      <c r="X53" s="760"/>
      <c r="Y53" s="756"/>
      <c r="Z53" s="761"/>
      <c r="AA53" s="85">
        <f>'Standard Vorgaben'!F207</f>
        <v>600</v>
      </c>
      <c r="AB53" s="730">
        <f t="shared" si="1"/>
        <v>7.1112489627043737E-2</v>
      </c>
      <c r="AC53" s="87" t="s">
        <v>175</v>
      </c>
      <c r="AD53" s="759" t="s">
        <v>403</v>
      </c>
      <c r="AE53" s="760"/>
      <c r="AF53" s="756"/>
      <c r="AG53" s="761"/>
      <c r="AH53" s="85">
        <f>'Standard Vorgaben'!F207</f>
        <v>600</v>
      </c>
      <c r="AI53" s="730">
        <f t="shared" si="4"/>
        <v>7.3766228787733784E-2</v>
      </c>
      <c r="AJ53" s="87" t="s">
        <v>175</v>
      </c>
      <c r="AK53" s="759" t="s">
        <v>403</v>
      </c>
      <c r="AL53" s="760"/>
      <c r="AM53" s="756"/>
      <c r="AN53" s="761"/>
      <c r="AO53" s="85">
        <f>'Standard Vorgaben'!F207</f>
        <v>600</v>
      </c>
      <c r="AP53" s="730">
        <f t="shared" si="5"/>
        <v>7.3766228787733784E-2</v>
      </c>
      <c r="AQ53" s="87" t="s">
        <v>175</v>
      </c>
      <c r="AR53" s="759" t="s">
        <v>403</v>
      </c>
      <c r="AS53" s="760"/>
      <c r="AT53" s="756"/>
      <c r="AU53" s="761"/>
      <c r="AV53" s="85">
        <f>'Standard Vorgaben'!F207</f>
        <v>600</v>
      </c>
      <c r="AW53" s="730">
        <f t="shared" si="6"/>
        <v>6.949428595663594E-2</v>
      </c>
      <c r="AX53" s="87" t="s">
        <v>175</v>
      </c>
      <c r="AY53" s="759" t="s">
        <v>403</v>
      </c>
      <c r="AZ53" s="760"/>
      <c r="BA53" s="756"/>
      <c r="BB53" s="761"/>
      <c r="BC53" s="85">
        <f>'Standard Vorgaben'!F207</f>
        <v>600</v>
      </c>
      <c r="BD53" s="730">
        <f t="shared" si="7"/>
        <v>7.3766228787733784E-2</v>
      </c>
      <c r="BE53" s="87" t="s">
        <v>175</v>
      </c>
      <c r="BF53" s="759" t="s">
        <v>403</v>
      </c>
      <c r="BG53" s="760"/>
      <c r="BH53" s="756"/>
      <c r="BI53" s="761"/>
      <c r="BJ53" s="85">
        <f>'Standard Vorgaben'!F207</f>
        <v>600</v>
      </c>
      <c r="BK53" s="730">
        <f t="shared" si="8"/>
        <v>7.3766228787733784E-2</v>
      </c>
      <c r="BL53" s="87" t="s">
        <v>175</v>
      </c>
      <c r="BM53" s="759" t="s">
        <v>403</v>
      </c>
      <c r="BN53" s="760"/>
      <c r="BO53" s="756"/>
      <c r="BP53" s="761"/>
      <c r="BQ53" s="85">
        <f>'Standard Vorgaben'!F207</f>
        <v>600</v>
      </c>
      <c r="BR53" s="730">
        <f t="shared" si="9"/>
        <v>6.949428595663594E-2</v>
      </c>
      <c r="BS53" s="87" t="s">
        <v>175</v>
      </c>
      <c r="BT53" s="759" t="s">
        <v>403</v>
      </c>
      <c r="BU53" s="760"/>
      <c r="BV53" s="756"/>
      <c r="BW53" s="761"/>
      <c r="BX53" s="85">
        <f>'Standard Vorgaben'!F207</f>
        <v>600</v>
      </c>
      <c r="BY53" s="730">
        <f t="shared" si="10"/>
        <v>7.3766228787733784E-2</v>
      </c>
      <c r="BZ53" s="87" t="s">
        <v>175</v>
      </c>
      <c r="CA53" s="759" t="s">
        <v>403</v>
      </c>
      <c r="CB53" s="760"/>
      <c r="CC53" s="756"/>
      <c r="CD53" s="761"/>
      <c r="CE53" s="85">
        <f>'Standard Vorgaben'!F207</f>
        <v>600</v>
      </c>
      <c r="CF53" s="730">
        <f t="shared" si="11"/>
        <v>7.3766228787733784E-2</v>
      </c>
      <c r="CG53" s="87" t="s">
        <v>175</v>
      </c>
      <c r="CH53" s="759" t="s">
        <v>403</v>
      </c>
      <c r="CI53" s="760"/>
      <c r="CJ53" s="756"/>
      <c r="CK53" s="761"/>
      <c r="CL53" s="85">
        <f>'Standard Vorgaben'!F207</f>
        <v>600</v>
      </c>
      <c r="CM53" s="730">
        <f t="shared" si="12"/>
        <v>6.9758852776986791E-2</v>
      </c>
      <c r="CN53" s="87" t="s">
        <v>175</v>
      </c>
      <c r="CO53" s="759" t="s">
        <v>403</v>
      </c>
      <c r="CP53" s="760"/>
      <c r="CQ53" s="756"/>
      <c r="CR53" s="761"/>
      <c r="CS53" s="85">
        <f>'Standard Vorgaben'!F207</f>
        <v>600</v>
      </c>
      <c r="CT53" s="730">
        <f t="shared" si="13"/>
        <v>7.4064391955698999E-2</v>
      </c>
      <c r="CU53" s="87" t="s">
        <v>175</v>
      </c>
      <c r="CV53" s="759" t="s">
        <v>403</v>
      </c>
      <c r="CW53" s="760"/>
      <c r="CX53" s="756"/>
      <c r="CY53" s="761"/>
      <c r="CZ53" s="85">
        <f>'Standard Vorgaben'!F207</f>
        <v>600</v>
      </c>
      <c r="DA53" s="730">
        <f t="shared" si="14"/>
        <v>7.4064391955698999E-2</v>
      </c>
    </row>
    <row r="54" spans="1:105" s="291" customFormat="1" ht="18.75" customHeight="1" x14ac:dyDescent="0.4">
      <c r="A54" s="588" t="s">
        <v>214</v>
      </c>
      <c r="B54" s="589"/>
      <c r="C54" s="632"/>
      <c r="D54" s="632"/>
      <c r="E54" s="633"/>
      <c r="F54" s="592">
        <f>F23+F39+F41+F51+F53</f>
        <v>5220.5640000000003</v>
      </c>
      <c r="G54" s="730">
        <f t="shared" si="15"/>
        <v>1</v>
      </c>
      <c r="H54" s="588" t="s">
        <v>214</v>
      </c>
      <c r="I54" s="589"/>
      <c r="J54" s="632"/>
      <c r="K54" s="632"/>
      <c r="L54" s="633"/>
      <c r="M54" s="592">
        <f>M23+M39+M41+M51+M53</f>
        <v>4905.8084878048776</v>
      </c>
      <c r="N54" s="730">
        <f>M54/$M$54</f>
        <v>1</v>
      </c>
      <c r="O54" s="588" t="s">
        <v>214</v>
      </c>
      <c r="P54" s="589"/>
      <c r="Q54" s="632"/>
      <c r="R54" s="632"/>
      <c r="S54" s="633"/>
      <c r="T54" s="592">
        <f>T23+T39+T41+T51+T53</f>
        <v>7698.1771219512193</v>
      </c>
      <c r="U54" s="730">
        <f>T54/$T$54</f>
        <v>1</v>
      </c>
      <c r="V54" s="588" t="s">
        <v>214</v>
      </c>
      <c r="W54" s="589"/>
      <c r="X54" s="632"/>
      <c r="Y54" s="632"/>
      <c r="Z54" s="633"/>
      <c r="AA54" s="592">
        <f>AA23+AA39+AA41+AA51+AA53</f>
        <v>8437.3364390243896</v>
      </c>
      <c r="AB54" s="730">
        <f>AA54/$AA$54</f>
        <v>1</v>
      </c>
      <c r="AC54" s="588" t="s">
        <v>214</v>
      </c>
      <c r="AD54" s="589"/>
      <c r="AE54" s="632"/>
      <c r="AF54" s="632"/>
      <c r="AG54" s="633"/>
      <c r="AH54" s="592">
        <f>AH23+AH39+AH41+AH51+AH53</f>
        <v>8133.8033658536579</v>
      </c>
      <c r="AI54" s="730">
        <f>AH54/$AH$54</f>
        <v>1</v>
      </c>
      <c r="AJ54" s="588" t="s">
        <v>214</v>
      </c>
      <c r="AK54" s="589"/>
      <c r="AL54" s="632"/>
      <c r="AM54" s="632"/>
      <c r="AN54" s="633"/>
      <c r="AO54" s="592">
        <f>AO23+AO39+AO41+AO51+AO53</f>
        <v>8133.8033658536579</v>
      </c>
      <c r="AP54" s="730">
        <f>AO54/$AO$54</f>
        <v>1</v>
      </c>
      <c r="AQ54" s="588" t="s">
        <v>214</v>
      </c>
      <c r="AR54" s="589"/>
      <c r="AS54" s="632"/>
      <c r="AT54" s="632"/>
      <c r="AU54" s="633"/>
      <c r="AV54" s="592">
        <f>AV23+AV39+AV41+AV51+AV53</f>
        <v>8633.8033658536588</v>
      </c>
      <c r="AW54" s="730">
        <f>AV54/$AV$54</f>
        <v>1</v>
      </c>
      <c r="AX54" s="588" t="s">
        <v>214</v>
      </c>
      <c r="AY54" s="589"/>
      <c r="AZ54" s="632"/>
      <c r="BA54" s="632"/>
      <c r="BB54" s="633"/>
      <c r="BC54" s="592">
        <f>BC23+BC39+BC41+BC51+BC53</f>
        <v>8133.8033658536579</v>
      </c>
      <c r="BD54" s="730">
        <f>BC54/$BC$54</f>
        <v>1</v>
      </c>
      <c r="BE54" s="588" t="s">
        <v>214</v>
      </c>
      <c r="BF54" s="589"/>
      <c r="BG54" s="632"/>
      <c r="BH54" s="632"/>
      <c r="BI54" s="633"/>
      <c r="BJ54" s="592">
        <f>BJ23+BJ39+BJ41+BJ51+BJ53</f>
        <v>8133.8033658536579</v>
      </c>
      <c r="BK54" s="730">
        <f>BJ54/$BJ$54</f>
        <v>1</v>
      </c>
      <c r="BL54" s="588" t="s">
        <v>214</v>
      </c>
      <c r="BM54" s="589"/>
      <c r="BN54" s="632"/>
      <c r="BO54" s="632"/>
      <c r="BP54" s="633"/>
      <c r="BQ54" s="592">
        <f>BQ23+BQ39+BQ41+BQ51+BQ53</f>
        <v>8633.8033658536588</v>
      </c>
      <c r="BR54" s="730">
        <f>BQ54/$BQ$54</f>
        <v>1</v>
      </c>
      <c r="BS54" s="588" t="s">
        <v>214</v>
      </c>
      <c r="BT54" s="589"/>
      <c r="BU54" s="632"/>
      <c r="BV54" s="632"/>
      <c r="BW54" s="633"/>
      <c r="BX54" s="592">
        <f>BX23+BX39+BX41+BX51+BX53</f>
        <v>8133.8033658536579</v>
      </c>
      <c r="BY54" s="730">
        <f>BX54/$BX$54</f>
        <v>1</v>
      </c>
      <c r="BZ54" s="588" t="s">
        <v>214</v>
      </c>
      <c r="CA54" s="589"/>
      <c r="CB54" s="632"/>
      <c r="CC54" s="632"/>
      <c r="CD54" s="633"/>
      <c r="CE54" s="592">
        <f>CE23+CE39+CE41+CE51+CE53</f>
        <v>8133.8033658536579</v>
      </c>
      <c r="CF54" s="730">
        <f>CE54/$CE$54</f>
        <v>1</v>
      </c>
      <c r="CG54" s="588" t="s">
        <v>214</v>
      </c>
      <c r="CH54" s="589"/>
      <c r="CI54" s="632"/>
      <c r="CJ54" s="632"/>
      <c r="CK54" s="633"/>
      <c r="CL54" s="592">
        <f>CL23+CL39+CL41+CL51+CL53</f>
        <v>8601.0588780487797</v>
      </c>
      <c r="CM54" s="730">
        <f>CL54/$CL$54</f>
        <v>1</v>
      </c>
      <c r="CN54" s="588" t="s">
        <v>214</v>
      </c>
      <c r="CO54" s="589"/>
      <c r="CP54" s="632"/>
      <c r="CQ54" s="632"/>
      <c r="CR54" s="633"/>
      <c r="CS54" s="592">
        <f>CS23+CS39+CS41+CS51+CS53</f>
        <v>8101.0588780487797</v>
      </c>
      <c r="CT54" s="730">
        <f>CS54/$CS$54</f>
        <v>1</v>
      </c>
      <c r="CU54" s="588" t="s">
        <v>214</v>
      </c>
      <c r="CV54" s="589"/>
      <c r="CW54" s="632"/>
      <c r="CX54" s="632"/>
      <c r="CY54" s="633"/>
      <c r="CZ54" s="592">
        <f>CZ23+CZ39+CZ41+CZ51+CZ53</f>
        <v>8101.0588780487797</v>
      </c>
      <c r="DA54" s="730">
        <f>CZ54/$CZ$54</f>
        <v>1</v>
      </c>
    </row>
    <row r="55" spans="1:105" s="41" customFormat="1" ht="18.75" customHeight="1" x14ac:dyDescent="0.3">
      <c r="A55" s="41" t="s">
        <v>181</v>
      </c>
      <c r="B55" s="19"/>
      <c r="C55" s="150" t="s">
        <v>59</v>
      </c>
      <c r="D55" s="762">
        <f>'Standard Vorgaben'!$C$203</f>
        <v>10</v>
      </c>
      <c r="E55" s="45">
        <f>'Standard Vorgaben'!$D$203</f>
        <v>15</v>
      </c>
      <c r="F55" s="83">
        <f>D55*E55</f>
        <v>150</v>
      </c>
      <c r="G55" s="738">
        <f t="shared" ref="G55:G92" si="31">F55/$F$93</f>
        <v>6.2421044534975911E-3</v>
      </c>
      <c r="H55" s="41" t="s">
        <v>181</v>
      </c>
      <c r="I55" s="19"/>
      <c r="J55" s="150" t="s">
        <v>59</v>
      </c>
      <c r="K55" s="762">
        <f>'Standard Vorgaben'!$C$203</f>
        <v>10</v>
      </c>
      <c r="L55" s="45">
        <f>'Standard Vorgaben'!$D$203</f>
        <v>15</v>
      </c>
      <c r="M55" s="83">
        <f>K55*L55</f>
        <v>150</v>
      </c>
      <c r="N55" s="738">
        <f t="shared" ref="N55:N92" si="32">M55/$M$93</f>
        <v>6.1291635164050073E-3</v>
      </c>
      <c r="O55" s="41" t="s">
        <v>181</v>
      </c>
      <c r="P55" s="19"/>
      <c r="Q55" s="150" t="s">
        <v>59</v>
      </c>
      <c r="R55" s="762">
        <f>'Standard Vorgaben'!$C$203</f>
        <v>10</v>
      </c>
      <c r="S55" s="45">
        <f>'Standard Vorgaben'!$D$203</f>
        <v>15</v>
      </c>
      <c r="T55" s="83">
        <f>R55*S55</f>
        <v>150</v>
      </c>
      <c r="U55" s="738">
        <f t="shared" ref="U55:U92" si="33">T55/$T$93</f>
        <v>4.6331781818214918E-3</v>
      </c>
      <c r="V55" s="41" t="s">
        <v>181</v>
      </c>
      <c r="W55" s="19"/>
      <c r="X55" s="150" t="s">
        <v>59</v>
      </c>
      <c r="Y55" s="762">
        <f>'Standard Vorgaben'!$C$203</f>
        <v>10</v>
      </c>
      <c r="Z55" s="45">
        <f>'Standard Vorgaben'!$D$203</f>
        <v>15</v>
      </c>
      <c r="AA55" s="83">
        <f>Y55*Z55</f>
        <v>150</v>
      </c>
      <c r="AB55" s="738">
        <f t="shared" ref="AB55:AB92" si="34">AA55/$AA$93</f>
        <v>4.0892258288562243E-3</v>
      </c>
      <c r="AC55" s="41" t="s">
        <v>181</v>
      </c>
      <c r="AD55" s="19"/>
      <c r="AE55" s="150" t="s">
        <v>59</v>
      </c>
      <c r="AF55" s="762">
        <f>'Standard Vorgaben'!$C$203</f>
        <v>10</v>
      </c>
      <c r="AG55" s="45">
        <f>'Standard Vorgaben'!$D$203</f>
        <v>15</v>
      </c>
      <c r="AH55" s="83">
        <f>AF55*AG55</f>
        <v>150</v>
      </c>
      <c r="AI55" s="738">
        <f t="shared" ref="AI55:AI92" si="35">AH55/$AH$93</f>
        <v>3.9555473940765563E-3</v>
      </c>
      <c r="AJ55" s="41" t="s">
        <v>181</v>
      </c>
      <c r="AK55" s="19"/>
      <c r="AL55" s="150" t="s">
        <v>59</v>
      </c>
      <c r="AM55" s="762">
        <f>'Standard Vorgaben'!$C$203</f>
        <v>10</v>
      </c>
      <c r="AN55" s="45">
        <f>'Standard Vorgaben'!$D$203</f>
        <v>15</v>
      </c>
      <c r="AO55" s="83">
        <f>AM55*AN55</f>
        <v>150</v>
      </c>
      <c r="AP55" s="738">
        <f t="shared" ref="AP55:AP92" si="36">AO55/$AO$93</f>
        <v>3.9698402186943548E-3</v>
      </c>
      <c r="AQ55" s="41" t="s">
        <v>181</v>
      </c>
      <c r="AR55" s="19"/>
      <c r="AS55" s="150" t="s">
        <v>59</v>
      </c>
      <c r="AT55" s="762">
        <f>'Standard Vorgaben'!$C$203</f>
        <v>10</v>
      </c>
      <c r="AU55" s="45">
        <f>'Standard Vorgaben'!$D$203</f>
        <v>15</v>
      </c>
      <c r="AV55" s="83">
        <f>AT55*AU55</f>
        <v>150</v>
      </c>
      <c r="AW55" s="738">
        <f t="shared" ref="AW55:AW92" si="37">AV55/$AV$93</f>
        <v>3.7076276766279961E-3</v>
      </c>
      <c r="AX55" s="41" t="s">
        <v>181</v>
      </c>
      <c r="AY55" s="19"/>
      <c r="AZ55" s="150" t="s">
        <v>59</v>
      </c>
      <c r="BA55" s="762">
        <f>'Standard Vorgaben'!$C$203</f>
        <v>10</v>
      </c>
      <c r="BB55" s="45">
        <f>'Standard Vorgaben'!$D$203</f>
        <v>15</v>
      </c>
      <c r="BC55" s="83">
        <f>BA55*BB55</f>
        <v>150</v>
      </c>
      <c r="BD55" s="738">
        <f t="shared" ref="BD55:BD92" si="38">BC55/$BC$93</f>
        <v>3.9964375592466536E-3</v>
      </c>
      <c r="BE55" s="41" t="s">
        <v>181</v>
      </c>
      <c r="BF55" s="19"/>
      <c r="BG55" s="150" t="s">
        <v>59</v>
      </c>
      <c r="BH55" s="762">
        <f>'Standard Vorgaben'!$C$203</f>
        <v>10</v>
      </c>
      <c r="BI55" s="45">
        <f>'Standard Vorgaben'!$D$203</f>
        <v>15</v>
      </c>
      <c r="BJ55" s="83">
        <f>BH55*BI55</f>
        <v>150</v>
      </c>
      <c r="BK55" s="735">
        <f>BJ55/$BJ$93</f>
        <v>4.0114025287559911E-3</v>
      </c>
      <c r="BL55" s="41" t="s">
        <v>181</v>
      </c>
      <c r="BM55" s="19"/>
      <c r="BN55" s="150" t="s">
        <v>59</v>
      </c>
      <c r="BO55" s="762">
        <f>'Standard Vorgaben'!$C$203</f>
        <v>10</v>
      </c>
      <c r="BP55" s="45">
        <f>'Standard Vorgaben'!$D$203</f>
        <v>15</v>
      </c>
      <c r="BQ55" s="83">
        <f>BO55*BP55</f>
        <v>150</v>
      </c>
      <c r="BR55" s="738">
        <f t="shared" ref="BR55:BR92" si="39">BQ55/$BQ$93</f>
        <v>3.7441850507544611E-3</v>
      </c>
      <c r="BS55" s="41" t="s">
        <v>181</v>
      </c>
      <c r="BT55" s="19"/>
      <c r="BU55" s="150" t="s">
        <v>59</v>
      </c>
      <c r="BV55" s="762">
        <f>'Standard Vorgaben'!$C$203</f>
        <v>10</v>
      </c>
      <c r="BW55" s="45">
        <f>'Standard Vorgaben'!$D$203</f>
        <v>15</v>
      </c>
      <c r="BX55" s="83">
        <f>BV55*BW55</f>
        <v>150</v>
      </c>
      <c r="BY55" s="738">
        <f t="shared" ref="BY55:BY92" si="40">BX55/$BX$93</f>
        <v>4.0393314321003036E-3</v>
      </c>
      <c r="BZ55" s="41" t="s">
        <v>181</v>
      </c>
      <c r="CA55" s="19"/>
      <c r="CB55" s="150" t="s">
        <v>59</v>
      </c>
      <c r="CC55" s="762">
        <f>'Standard Vorgaben'!$C$203</f>
        <v>10</v>
      </c>
      <c r="CD55" s="45">
        <f>'Standard Vorgaben'!$D$203</f>
        <v>15</v>
      </c>
      <c r="CE55" s="83">
        <f>CC55*CD55</f>
        <v>150</v>
      </c>
      <c r="CF55" s="738">
        <f t="shared" ref="CF55:CF92" si="41">CE55/$CE$93</f>
        <v>4.0550131645098741E-3</v>
      </c>
      <c r="CG55" s="41" t="s">
        <v>181</v>
      </c>
      <c r="CH55" s="19"/>
      <c r="CI55" s="150" t="s">
        <v>59</v>
      </c>
      <c r="CJ55" s="762">
        <v>10</v>
      </c>
      <c r="CK55" s="45">
        <f>'Standard Vorgaben'!$D$203</f>
        <v>15</v>
      </c>
      <c r="CL55" s="83">
        <f>CJ55*CK55</f>
        <v>150</v>
      </c>
      <c r="CM55" s="735">
        <f>CL55/$CL$93</f>
        <v>3.8463494333871411E-3</v>
      </c>
      <c r="CN55" s="41" t="s">
        <v>181</v>
      </c>
      <c r="CO55" s="19"/>
      <c r="CP55" s="150" t="s">
        <v>59</v>
      </c>
      <c r="CQ55" s="762">
        <f>'Standard Vorgaben'!$C$203</f>
        <v>10</v>
      </c>
      <c r="CR55" s="45">
        <f>'Standard Vorgaben'!$D$203</f>
        <v>15</v>
      </c>
      <c r="CS55" s="83">
        <f>CQ55*CR55</f>
        <v>150</v>
      </c>
      <c r="CT55" s="735">
        <f>CS55/$CS$93</f>
        <v>4.1548478503292911E-3</v>
      </c>
      <c r="CU55" s="41" t="s">
        <v>181</v>
      </c>
      <c r="CV55" s="19"/>
      <c r="CW55" s="150" t="s">
        <v>59</v>
      </c>
      <c r="CX55" s="762">
        <f>'Standard Vorgaben'!$C$203</f>
        <v>10</v>
      </c>
      <c r="CY55" s="45">
        <f>'Standard Vorgaben'!$D$203</f>
        <v>15</v>
      </c>
      <c r="CZ55" s="83">
        <f>CX55*CY55</f>
        <v>150</v>
      </c>
      <c r="DA55" s="735">
        <f>CZ55/$CZ$93</f>
        <v>3.5722167775817945E-3</v>
      </c>
    </row>
    <row r="56" spans="1:105" ht="17.5" customHeight="1" x14ac:dyDescent="0.25">
      <c r="A56"/>
      <c r="B56"/>
      <c r="C56" s="38" t="s">
        <v>11</v>
      </c>
      <c r="D56" s="120" t="s">
        <v>20</v>
      </c>
      <c r="E56" s="304" t="s">
        <v>60</v>
      </c>
      <c r="F56" s="305" t="s">
        <v>22</v>
      </c>
      <c r="G56" s="738"/>
      <c r="H56"/>
      <c r="I56"/>
      <c r="J56" s="38" t="s">
        <v>11</v>
      </c>
      <c r="K56" s="120" t="s">
        <v>20</v>
      </c>
      <c r="L56" s="304" t="s">
        <v>60</v>
      </c>
      <c r="M56" s="305" t="s">
        <v>22</v>
      </c>
      <c r="N56" s="738"/>
      <c r="O56"/>
      <c r="Q56" s="38" t="s">
        <v>11</v>
      </c>
      <c r="R56" s="120" t="s">
        <v>20</v>
      </c>
      <c r="S56" s="304" t="s">
        <v>60</v>
      </c>
      <c r="T56" s="305" t="s">
        <v>22</v>
      </c>
      <c r="U56" s="738"/>
      <c r="V56"/>
      <c r="X56" s="38" t="s">
        <v>11</v>
      </c>
      <c r="Y56" s="120" t="s">
        <v>20</v>
      </c>
      <c r="Z56" s="304" t="s">
        <v>60</v>
      </c>
      <c r="AA56" s="305" t="s">
        <v>22</v>
      </c>
      <c r="AB56" s="738"/>
      <c r="AC56"/>
      <c r="AE56" s="38" t="s">
        <v>11</v>
      </c>
      <c r="AF56" s="120" t="s">
        <v>20</v>
      </c>
      <c r="AG56" s="304" t="s">
        <v>60</v>
      </c>
      <c r="AH56" s="305" t="s">
        <v>22</v>
      </c>
      <c r="AI56" s="738"/>
      <c r="AJ56"/>
      <c r="AL56" s="38" t="s">
        <v>11</v>
      </c>
      <c r="AM56" s="120" t="s">
        <v>20</v>
      </c>
      <c r="AN56" s="304" t="s">
        <v>60</v>
      </c>
      <c r="AO56" s="305" t="s">
        <v>22</v>
      </c>
      <c r="AP56" s="738"/>
      <c r="AQ56"/>
      <c r="AS56" s="38" t="s">
        <v>11</v>
      </c>
      <c r="AT56" s="120" t="s">
        <v>20</v>
      </c>
      <c r="AU56" s="304" t="s">
        <v>60</v>
      </c>
      <c r="AV56" s="305" t="s">
        <v>22</v>
      </c>
      <c r="AW56" s="738"/>
      <c r="AX56"/>
      <c r="AZ56" s="38" t="s">
        <v>11</v>
      </c>
      <c r="BA56" s="120" t="s">
        <v>20</v>
      </c>
      <c r="BB56" s="304" t="s">
        <v>60</v>
      </c>
      <c r="BC56" s="305" t="s">
        <v>22</v>
      </c>
      <c r="BD56" s="738"/>
      <c r="BE56"/>
      <c r="BG56" s="38" t="s">
        <v>11</v>
      </c>
      <c r="BH56" s="120" t="s">
        <v>20</v>
      </c>
      <c r="BI56" s="304" t="s">
        <v>60</v>
      </c>
      <c r="BJ56" s="305" t="s">
        <v>22</v>
      </c>
      <c r="BK56" s="739"/>
      <c r="BL56"/>
      <c r="BN56" s="38" t="s">
        <v>11</v>
      </c>
      <c r="BO56" s="120" t="s">
        <v>20</v>
      </c>
      <c r="BP56" s="304" t="s">
        <v>60</v>
      </c>
      <c r="BQ56" s="305" t="s">
        <v>22</v>
      </c>
      <c r="BR56" s="738"/>
      <c r="BS56"/>
      <c r="BU56" s="38" t="s">
        <v>11</v>
      </c>
      <c r="BV56" s="120" t="s">
        <v>20</v>
      </c>
      <c r="BW56" s="304" t="s">
        <v>60</v>
      </c>
      <c r="BX56" s="305" t="s">
        <v>22</v>
      </c>
      <c r="BY56" s="738"/>
      <c r="BZ56"/>
      <c r="CB56" s="38" t="s">
        <v>11</v>
      </c>
      <c r="CC56" s="120" t="s">
        <v>20</v>
      </c>
      <c r="CD56" s="304" t="s">
        <v>60</v>
      </c>
      <c r="CE56" s="305" t="s">
        <v>22</v>
      </c>
      <c r="CF56" s="738"/>
      <c r="CG56"/>
      <c r="CI56" s="38" t="s">
        <v>11</v>
      </c>
      <c r="CJ56" s="120" t="s">
        <v>20</v>
      </c>
      <c r="CK56" s="304" t="s">
        <v>60</v>
      </c>
      <c r="CL56" s="305" t="s">
        <v>22</v>
      </c>
      <c r="CM56" s="739"/>
      <c r="CN56"/>
      <c r="CP56" s="38" t="s">
        <v>11</v>
      </c>
      <c r="CQ56" s="120" t="s">
        <v>20</v>
      </c>
      <c r="CR56" s="304" t="s">
        <v>60</v>
      </c>
      <c r="CS56" s="305" t="s">
        <v>22</v>
      </c>
      <c r="CT56" s="739"/>
      <c r="CU56"/>
      <c r="CW56" s="38" t="s">
        <v>11</v>
      </c>
      <c r="CX56" s="120" t="s">
        <v>20</v>
      </c>
      <c r="CY56" s="304" t="s">
        <v>60</v>
      </c>
      <c r="CZ56" s="305" t="s">
        <v>22</v>
      </c>
      <c r="DA56" s="739"/>
    </row>
    <row r="57" spans="1:105" s="1" customFormat="1" ht="13" x14ac:dyDescent="0.3">
      <c r="A57" s="41" t="s">
        <v>98</v>
      </c>
      <c r="B57" s="42" t="str">
        <f>'Standard Vorgaben'!$B$177</f>
        <v>Anbaugebläsepritze 1000 l</v>
      </c>
      <c r="C57" s="460">
        <f>C39-B39</f>
        <v>29</v>
      </c>
      <c r="D57" s="40">
        <f>'Standard Vorgaben'!$C$177</f>
        <v>1</v>
      </c>
      <c r="E57" s="45">
        <f>'Standard Vorgaben'!$D$177</f>
        <v>37</v>
      </c>
      <c r="F57" s="46">
        <f>C57*E57</f>
        <v>1073</v>
      </c>
      <c r="G57" s="738">
        <f t="shared" si="31"/>
        <v>4.465185385735277E-2</v>
      </c>
      <c r="H57" s="41" t="s">
        <v>98</v>
      </c>
      <c r="I57" s="42" t="str">
        <f>'Standard Vorgaben'!$B$177</f>
        <v>Anbaugebläsepritze 1000 l</v>
      </c>
      <c r="J57" s="460">
        <f>J39-I39</f>
        <v>29</v>
      </c>
      <c r="K57" s="40">
        <f>'Standard Vorgaben'!$C$177</f>
        <v>1</v>
      </c>
      <c r="L57" s="45">
        <f>'Standard Vorgaben'!$D$177</f>
        <v>37</v>
      </c>
      <c r="M57" s="46">
        <f>J57*L57</f>
        <v>1073</v>
      </c>
      <c r="N57" s="738">
        <f t="shared" si="32"/>
        <v>4.3843949687350482E-2</v>
      </c>
      <c r="O57" s="41" t="s">
        <v>98</v>
      </c>
      <c r="P57" s="42" t="str">
        <f>'Standard Vorgaben'!$B$177</f>
        <v>Anbaugebläsepritze 1000 l</v>
      </c>
      <c r="Q57" s="460">
        <f>Q39-P39-Q38</f>
        <v>25</v>
      </c>
      <c r="R57" s="40">
        <f>'Standard Vorgaben'!$C$177</f>
        <v>1</v>
      </c>
      <c r="S57" s="45">
        <f>'Standard Vorgaben'!$D$177</f>
        <v>37</v>
      </c>
      <c r="T57" s="46">
        <f>Q57*S57</f>
        <v>925</v>
      </c>
      <c r="U57" s="738">
        <f t="shared" si="33"/>
        <v>2.8571265454565866E-2</v>
      </c>
      <c r="V57" s="41" t="s">
        <v>98</v>
      </c>
      <c r="W57" s="42" t="str">
        <f>'Standard Vorgaben'!$B$177</f>
        <v>Anbaugebläsepritze 1000 l</v>
      </c>
      <c r="X57" s="460">
        <f>X39-W39-X38</f>
        <v>25</v>
      </c>
      <c r="Y57" s="40">
        <f>'Standard Vorgaben'!$C$177</f>
        <v>1</v>
      </c>
      <c r="Z57" s="45">
        <f>'Standard Vorgaben'!$D$177</f>
        <v>37</v>
      </c>
      <c r="AA57" s="46">
        <f>X57*Z57</f>
        <v>925</v>
      </c>
      <c r="AB57" s="738">
        <f t="shared" si="34"/>
        <v>2.5216892611280049E-2</v>
      </c>
      <c r="AC57" s="41" t="s">
        <v>98</v>
      </c>
      <c r="AD57" s="42" t="str">
        <f>'Standard Vorgaben'!$B$177</f>
        <v>Anbaugebläsepritze 1000 l</v>
      </c>
      <c r="AE57" s="460">
        <f>AE39-AD39-AE38</f>
        <v>25</v>
      </c>
      <c r="AF57" s="40">
        <f>'Standard Vorgaben'!$C$177</f>
        <v>1</v>
      </c>
      <c r="AG57" s="45">
        <f>'Standard Vorgaben'!$D$177</f>
        <v>37</v>
      </c>
      <c r="AH57" s="46">
        <f>AE57*AG57</f>
        <v>925</v>
      </c>
      <c r="AI57" s="738">
        <f t="shared" si="35"/>
        <v>2.4392542263472098E-2</v>
      </c>
      <c r="AJ57" s="41" t="s">
        <v>98</v>
      </c>
      <c r="AK57" s="42" t="str">
        <f>'Standard Vorgaben'!$B$177</f>
        <v>Anbaugebläsepritze 1000 l</v>
      </c>
      <c r="AL57" s="460">
        <f>AL39-AK39-AL38</f>
        <v>25</v>
      </c>
      <c r="AM57" s="40">
        <f>'Standard Vorgaben'!$C$177</f>
        <v>1</v>
      </c>
      <c r="AN57" s="45">
        <f>'Standard Vorgaben'!$D$177</f>
        <v>37</v>
      </c>
      <c r="AO57" s="46">
        <f>AL57*AN57</f>
        <v>925</v>
      </c>
      <c r="AP57" s="738">
        <f t="shared" si="36"/>
        <v>2.4480681348615189E-2</v>
      </c>
      <c r="AQ57" s="41" t="s">
        <v>98</v>
      </c>
      <c r="AR57" s="42" t="str">
        <f>'Standard Vorgaben'!$B$177</f>
        <v>Anbaugebläsepritze 1000 l</v>
      </c>
      <c r="AS57" s="460">
        <f>AS39-AR39-AS38</f>
        <v>25</v>
      </c>
      <c r="AT57" s="40">
        <f>'Standard Vorgaben'!$C$177</f>
        <v>1</v>
      </c>
      <c r="AU57" s="45">
        <f>'Standard Vorgaben'!$D$177</f>
        <v>37</v>
      </c>
      <c r="AV57" s="46">
        <f>AS57*AU57</f>
        <v>925</v>
      </c>
      <c r="AW57" s="738">
        <f t="shared" si="37"/>
        <v>2.2863704005872641E-2</v>
      </c>
      <c r="AX57" s="41" t="s">
        <v>98</v>
      </c>
      <c r="AY57" s="42" t="str">
        <f>'Standard Vorgaben'!$B$177</f>
        <v>Anbaugebläsepritze 1000 l</v>
      </c>
      <c r="AZ57" s="460">
        <f>AZ39-AY39-AZ38</f>
        <v>25</v>
      </c>
      <c r="BA57" s="40">
        <f>'Standard Vorgaben'!$C$177</f>
        <v>1</v>
      </c>
      <c r="BB57" s="45">
        <f>'Standard Vorgaben'!$D$177</f>
        <v>37</v>
      </c>
      <c r="BC57" s="46">
        <f>AZ57*BB57</f>
        <v>925</v>
      </c>
      <c r="BD57" s="738">
        <f t="shared" si="38"/>
        <v>2.4644698282021031E-2</v>
      </c>
      <c r="BE57" s="41" t="s">
        <v>98</v>
      </c>
      <c r="BF57" s="42" t="str">
        <f>'Standard Vorgaben'!$B$177</f>
        <v>Anbaugebläsepritze 1000 l</v>
      </c>
      <c r="BG57" s="460">
        <f>BG39-BF39-BG38</f>
        <v>25</v>
      </c>
      <c r="BH57" s="40">
        <f>'Standard Vorgaben'!$C$177</f>
        <v>1</v>
      </c>
      <c r="BI57" s="45">
        <f>'Standard Vorgaben'!$D$177</f>
        <v>37</v>
      </c>
      <c r="BJ57" s="46">
        <f>BG57*BI57</f>
        <v>925</v>
      </c>
      <c r="BK57" s="738">
        <f t="shared" ref="BK57:BK92" si="42">BJ57/$BJ$93</f>
        <v>2.4736982260661945E-2</v>
      </c>
      <c r="BL57" s="41" t="s">
        <v>98</v>
      </c>
      <c r="BM57" s="42" t="str">
        <f>'Standard Vorgaben'!$B$177</f>
        <v>Anbaugebläsepritze 1000 l</v>
      </c>
      <c r="BN57" s="460">
        <f>BN39-BM39-BN38</f>
        <v>25</v>
      </c>
      <c r="BO57" s="40">
        <f>'Standard Vorgaben'!$C$177</f>
        <v>1</v>
      </c>
      <c r="BP57" s="45">
        <f>'Standard Vorgaben'!$D$177</f>
        <v>37</v>
      </c>
      <c r="BQ57" s="46">
        <f>BN57*BP57</f>
        <v>925</v>
      </c>
      <c r="BR57" s="738">
        <f t="shared" si="39"/>
        <v>2.3089141146319176E-2</v>
      </c>
      <c r="BS57" s="41" t="s">
        <v>98</v>
      </c>
      <c r="BT57" s="42" t="str">
        <f>'Standard Vorgaben'!$B$177</f>
        <v>Anbaugebläsepritze 1000 l</v>
      </c>
      <c r="BU57" s="460">
        <f>BU39-BT39-BU38</f>
        <v>25</v>
      </c>
      <c r="BV57" s="40">
        <f>'Standard Vorgaben'!$C$177</f>
        <v>1</v>
      </c>
      <c r="BW57" s="45">
        <f>'Standard Vorgaben'!$D$177</f>
        <v>37</v>
      </c>
      <c r="BX57" s="46">
        <f>BU57*BW57</f>
        <v>925</v>
      </c>
      <c r="BY57" s="738">
        <f t="shared" si="40"/>
        <v>2.4909210497951872E-2</v>
      </c>
      <c r="BZ57" s="41" t="s">
        <v>98</v>
      </c>
      <c r="CA57" s="42" t="str">
        <f>'Standard Vorgaben'!$B$177</f>
        <v>Anbaugebläsepritze 1000 l</v>
      </c>
      <c r="CB57" s="460">
        <f>CB39-CA39-CB38</f>
        <v>25</v>
      </c>
      <c r="CC57" s="40">
        <f>'Standard Vorgaben'!$C$177</f>
        <v>1</v>
      </c>
      <c r="CD57" s="45">
        <f>'Standard Vorgaben'!$D$177</f>
        <v>37</v>
      </c>
      <c r="CE57" s="46">
        <f>CB57*CD57</f>
        <v>925</v>
      </c>
      <c r="CF57" s="738">
        <f t="shared" si="41"/>
        <v>2.5005914514477555E-2</v>
      </c>
      <c r="CG57" s="41" t="s">
        <v>98</v>
      </c>
      <c r="CH57" s="42" t="str">
        <f>'Standard Vorgaben'!$B$177</f>
        <v>Anbaugebläsepritze 1000 l</v>
      </c>
      <c r="CI57" s="460">
        <f>CI39-CH39-CI38</f>
        <v>25</v>
      </c>
      <c r="CJ57" s="40">
        <f>'Standard Vorgaben'!$C$177</f>
        <v>1</v>
      </c>
      <c r="CK57" s="45">
        <f>'Standard Vorgaben'!$D$177</f>
        <v>37</v>
      </c>
      <c r="CL57" s="46">
        <f>CI57*CK57</f>
        <v>925</v>
      </c>
      <c r="CM57" s="738">
        <f t="shared" ref="CM57:CM91" si="43">CL57/$CL$93</f>
        <v>2.3719154839220703E-2</v>
      </c>
      <c r="CN57" s="41" t="s">
        <v>98</v>
      </c>
      <c r="CO57" s="42" t="str">
        <f>'Standard Vorgaben'!$B$177</f>
        <v>Anbaugebläsepritze 1000 l</v>
      </c>
      <c r="CP57" s="460">
        <f>CP39-CO39-CP38</f>
        <v>25</v>
      </c>
      <c r="CQ57" s="40">
        <f>'Standard Vorgaben'!$C$177</f>
        <v>1</v>
      </c>
      <c r="CR57" s="45">
        <f>'Standard Vorgaben'!$D$177</f>
        <v>37</v>
      </c>
      <c r="CS57" s="46">
        <f>CP57*CR57</f>
        <v>925</v>
      </c>
      <c r="CT57" s="730">
        <f t="shared" ref="CT57:CT92" si="44">CS57/$CS$93</f>
        <v>2.5621561743697292E-2</v>
      </c>
      <c r="CU57" s="41" t="s">
        <v>98</v>
      </c>
      <c r="CV57" s="42" t="str">
        <f>'Standard Vorgaben'!$B$177</f>
        <v>Anbaugebläsepritze 1000 l</v>
      </c>
      <c r="CW57" s="460">
        <f>CW39-CV39-CW38</f>
        <v>25</v>
      </c>
      <c r="CX57" s="40">
        <f>'Standard Vorgaben'!$C$177</f>
        <v>1</v>
      </c>
      <c r="CY57" s="45">
        <f>'Standard Vorgaben'!$D$177</f>
        <v>37</v>
      </c>
      <c r="CZ57" s="46">
        <f>CW57*CY57</f>
        <v>925</v>
      </c>
      <c r="DA57" s="730">
        <f t="shared" ref="DA57:DA92" si="45">CZ57/$CZ$93</f>
        <v>2.2028670128421066E-2</v>
      </c>
    </row>
    <row r="58" spans="1:105" s="1" customFormat="1" ht="13" x14ac:dyDescent="0.3">
      <c r="A58" s="41"/>
      <c r="B58" s="42" t="str">
        <f>'Standard Vorgaben'!$B$178</f>
        <v>Fadengerät Behangsregulierung</v>
      </c>
      <c r="C58" s="460">
        <f>'Standard Vorgaben'!E178</f>
        <v>2</v>
      </c>
      <c r="D58" s="221">
        <f>'Standard Vorgaben'!$C$178</f>
        <v>1</v>
      </c>
      <c r="E58" s="45">
        <f>'Standard Vorgaben'!$D$178</f>
        <v>57</v>
      </c>
      <c r="F58" s="46">
        <f>C58*D58*E58</f>
        <v>114</v>
      </c>
      <c r="G58" s="738">
        <f t="shared" si="31"/>
        <v>4.7439993846581695E-3</v>
      </c>
      <c r="H58" s="41"/>
      <c r="I58" s="42" t="str">
        <f>'Standard Vorgaben'!$B$178</f>
        <v>Fadengerät Behangsregulierung</v>
      </c>
      <c r="J58" s="460">
        <f>'Standard Vorgaben'!$E$178</f>
        <v>2</v>
      </c>
      <c r="K58" s="221">
        <f>'Standard Vorgaben'!$C$178</f>
        <v>1</v>
      </c>
      <c r="L58" s="45">
        <f>'Standard Vorgaben'!$D$178</f>
        <v>57</v>
      </c>
      <c r="M58" s="46">
        <f>J58*K58*L58</f>
        <v>114</v>
      </c>
      <c r="N58" s="738">
        <f t="shared" si="32"/>
        <v>4.6581642724678055E-3</v>
      </c>
      <c r="O58" s="41"/>
      <c r="P58" s="42" t="str">
        <f>'Standard Vorgaben'!$B$178</f>
        <v>Fadengerät Behangsregulierung</v>
      </c>
      <c r="Q58" s="460">
        <f>'Standard Vorgaben'!$E$178</f>
        <v>2</v>
      </c>
      <c r="R58" s="221">
        <f>'Standard Vorgaben'!$C$178</f>
        <v>1</v>
      </c>
      <c r="S58" s="45">
        <f>'Standard Vorgaben'!$D$178</f>
        <v>57</v>
      </c>
      <c r="T58" s="46">
        <f>Q58*R58*S58</f>
        <v>114</v>
      </c>
      <c r="U58" s="738">
        <f t="shared" si="33"/>
        <v>3.5212154181843338E-3</v>
      </c>
      <c r="V58" s="41"/>
      <c r="W58" s="42" t="str">
        <f>'Standard Vorgaben'!$B$178</f>
        <v>Fadengerät Behangsregulierung</v>
      </c>
      <c r="X58" s="460">
        <f>'Standard Vorgaben'!$E$178</f>
        <v>2</v>
      </c>
      <c r="Y58" s="221">
        <f>'Standard Vorgaben'!$C$178</f>
        <v>1</v>
      </c>
      <c r="Z58" s="45">
        <f>'Standard Vorgaben'!$D$178</f>
        <v>57</v>
      </c>
      <c r="AA58" s="46">
        <f>X58*Y58*Z58</f>
        <v>114</v>
      </c>
      <c r="AB58" s="738">
        <f t="shared" si="34"/>
        <v>3.1078116299307302E-3</v>
      </c>
      <c r="AC58" s="41"/>
      <c r="AD58" s="42" t="str">
        <f>'Standard Vorgaben'!$B$178</f>
        <v>Fadengerät Behangsregulierung</v>
      </c>
      <c r="AE58" s="460">
        <f>'Standard Vorgaben'!$E$178</f>
        <v>2</v>
      </c>
      <c r="AF58" s="221">
        <f>'Standard Vorgaben'!$C$178</f>
        <v>1</v>
      </c>
      <c r="AG58" s="45">
        <f>'Standard Vorgaben'!$D$178</f>
        <v>57</v>
      </c>
      <c r="AH58" s="46">
        <f>AE58*AF58*AG58</f>
        <v>114</v>
      </c>
      <c r="AI58" s="738">
        <f t="shared" si="35"/>
        <v>3.0062160194981829E-3</v>
      </c>
      <c r="AJ58" s="41"/>
      <c r="AK58" s="42" t="str">
        <f>'Standard Vorgaben'!$B$178</f>
        <v>Fadengerät Behangsregulierung</v>
      </c>
      <c r="AL58" s="460">
        <f>'Standard Vorgaben'!$E$178</f>
        <v>2</v>
      </c>
      <c r="AM58" s="221">
        <f>'Standard Vorgaben'!$C$178</f>
        <v>1</v>
      </c>
      <c r="AN58" s="45">
        <f>'Standard Vorgaben'!$D$178</f>
        <v>57</v>
      </c>
      <c r="AO58" s="46">
        <f>AL58*AM58*AN58</f>
        <v>114</v>
      </c>
      <c r="AP58" s="738">
        <f t="shared" si="36"/>
        <v>3.0170785662077099E-3</v>
      </c>
      <c r="AQ58" s="41"/>
      <c r="AR58" s="42" t="str">
        <f>'Standard Vorgaben'!$B$178</f>
        <v>Fadengerät Behangsregulierung</v>
      </c>
      <c r="AS58" s="460">
        <f>'Standard Vorgaben'!$E$178</f>
        <v>2</v>
      </c>
      <c r="AT58" s="221">
        <f>'Standard Vorgaben'!$C$178</f>
        <v>1</v>
      </c>
      <c r="AU58" s="45">
        <f>'Standard Vorgaben'!$D$178</f>
        <v>57</v>
      </c>
      <c r="AV58" s="46">
        <f>AS58*AT58*AU58</f>
        <v>114</v>
      </c>
      <c r="AW58" s="738">
        <f t="shared" si="37"/>
        <v>2.817797034237277E-3</v>
      </c>
      <c r="AX58" s="41"/>
      <c r="AY58" s="42" t="str">
        <f>'Standard Vorgaben'!$B$178</f>
        <v>Fadengerät Behangsregulierung</v>
      </c>
      <c r="AZ58" s="460">
        <f>'Standard Vorgaben'!$E$178</f>
        <v>2</v>
      </c>
      <c r="BA58" s="221">
        <f>'Standard Vorgaben'!$C$178</f>
        <v>1</v>
      </c>
      <c r="BB58" s="45">
        <f>'Standard Vorgaben'!$D$178</f>
        <v>57</v>
      </c>
      <c r="BC58" s="46">
        <f>AZ58*BA58*BB58</f>
        <v>114</v>
      </c>
      <c r="BD58" s="738">
        <f t="shared" si="38"/>
        <v>3.0372925450274568E-3</v>
      </c>
      <c r="BE58" s="41"/>
      <c r="BF58" s="42" t="str">
        <f>'Standard Vorgaben'!$B$178</f>
        <v>Fadengerät Behangsregulierung</v>
      </c>
      <c r="BG58" s="460">
        <f>'Standard Vorgaben'!$E$178</f>
        <v>2</v>
      </c>
      <c r="BH58" s="221">
        <f>'Standard Vorgaben'!$C$178</f>
        <v>1</v>
      </c>
      <c r="BI58" s="45">
        <f>'Standard Vorgaben'!$D$178</f>
        <v>57</v>
      </c>
      <c r="BJ58" s="46">
        <f>BG58*BH58*BI58</f>
        <v>114</v>
      </c>
      <c r="BK58" s="738">
        <f t="shared" si="42"/>
        <v>3.0486659218545531E-3</v>
      </c>
      <c r="BL58" s="41"/>
      <c r="BM58" s="42" t="str">
        <f>'Standard Vorgaben'!$B$178</f>
        <v>Fadengerät Behangsregulierung</v>
      </c>
      <c r="BN58" s="460">
        <f>'Standard Vorgaben'!$E$178</f>
        <v>2</v>
      </c>
      <c r="BO58" s="221">
        <f>'Standard Vorgaben'!$C$178</f>
        <v>1</v>
      </c>
      <c r="BP58" s="45">
        <f>'Standard Vorgaben'!$D$178</f>
        <v>57</v>
      </c>
      <c r="BQ58" s="46">
        <f>BN58*BO58*BP58</f>
        <v>114</v>
      </c>
      <c r="BR58" s="738">
        <f t="shared" si="39"/>
        <v>2.8455806385733902E-3</v>
      </c>
      <c r="BS58" s="41"/>
      <c r="BT58" s="42" t="str">
        <f>'Standard Vorgaben'!$B$178</f>
        <v>Fadengerät Behangsregulierung</v>
      </c>
      <c r="BU58" s="460">
        <f>'Standard Vorgaben'!$E$178</f>
        <v>2</v>
      </c>
      <c r="BV58" s="221">
        <f>'Standard Vorgaben'!$C$178</f>
        <v>1</v>
      </c>
      <c r="BW58" s="45">
        <f>'Standard Vorgaben'!$D$178</f>
        <v>57</v>
      </c>
      <c r="BX58" s="46">
        <f>BU58*BV58*BW58</f>
        <v>114</v>
      </c>
      <c r="BY58" s="738">
        <f t="shared" si="40"/>
        <v>3.0698918883962307E-3</v>
      </c>
      <c r="BZ58" s="41"/>
      <c r="CA58" s="42" t="str">
        <f>'Standard Vorgaben'!$B$178</f>
        <v>Fadengerät Behangsregulierung</v>
      </c>
      <c r="CB58" s="460">
        <f>'Standard Vorgaben'!$E$178</f>
        <v>2</v>
      </c>
      <c r="CC58" s="221">
        <f>'Standard Vorgaben'!$C$178</f>
        <v>1</v>
      </c>
      <c r="CD58" s="45">
        <f>'Standard Vorgaben'!$D$178</f>
        <v>57</v>
      </c>
      <c r="CE58" s="46">
        <f>CB58*CC58*CD58</f>
        <v>114</v>
      </c>
      <c r="CF58" s="738">
        <f t="shared" si="41"/>
        <v>3.0818100050275044E-3</v>
      </c>
      <c r="CG58" s="41"/>
      <c r="CH58" s="42" t="str">
        <f>'Standard Vorgaben'!$B$178</f>
        <v>Fadengerät Behangsregulierung</v>
      </c>
      <c r="CI58" s="460">
        <f>'Standard Vorgaben'!$E$178</f>
        <v>2</v>
      </c>
      <c r="CJ58" s="221">
        <f>'Standard Vorgaben'!$C$178</f>
        <v>1</v>
      </c>
      <c r="CK58" s="45">
        <f>'Standard Vorgaben'!$D$178</f>
        <v>57</v>
      </c>
      <c r="CL58" s="46">
        <f>CI58*CJ58*CK58</f>
        <v>114</v>
      </c>
      <c r="CM58" s="738">
        <f t="shared" si="43"/>
        <v>2.9232255693742272E-3</v>
      </c>
      <c r="CN58" s="41"/>
      <c r="CO58" s="42" t="str">
        <f>'Standard Vorgaben'!$B$178</f>
        <v>Fadengerät Behangsregulierung</v>
      </c>
      <c r="CP58" s="460">
        <f>'Standard Vorgaben'!$E$178</f>
        <v>2</v>
      </c>
      <c r="CQ58" s="221">
        <f>'Standard Vorgaben'!$C$178</f>
        <v>1</v>
      </c>
      <c r="CR58" s="45">
        <f>'Standard Vorgaben'!$D$178</f>
        <v>57</v>
      </c>
      <c r="CS58" s="46">
        <f>CP58*CQ58*CR58</f>
        <v>114</v>
      </c>
      <c r="CT58" s="730">
        <f t="shared" si="44"/>
        <v>3.157684366250261E-3</v>
      </c>
      <c r="CU58" s="41"/>
      <c r="CV58" s="42" t="str">
        <f>'Standard Vorgaben'!$B$178</f>
        <v>Fadengerät Behangsregulierung</v>
      </c>
      <c r="CW58" s="460">
        <f>'Standard Vorgaben'!$E$178</f>
        <v>2</v>
      </c>
      <c r="CX58" s="221">
        <f>'Standard Vorgaben'!$C$178</f>
        <v>1</v>
      </c>
      <c r="CY58" s="45">
        <f>'Standard Vorgaben'!$D$178</f>
        <v>57</v>
      </c>
      <c r="CZ58" s="46">
        <f>CW58*CX58*CY58</f>
        <v>114</v>
      </c>
      <c r="DA58" s="730">
        <f t="shared" si="45"/>
        <v>2.7148847509621639E-3</v>
      </c>
    </row>
    <row r="59" spans="1:105" s="1" customFormat="1" ht="13" x14ac:dyDescent="0.3">
      <c r="A59" s="41"/>
      <c r="B59" s="42" t="str">
        <f>'Standard Vorgaben'!$B$179</f>
        <v>Düngerstreuer Einkasten 2.5 m</v>
      </c>
      <c r="C59" s="221">
        <f>C23-C20</f>
        <v>1</v>
      </c>
      <c r="D59" s="221">
        <v>1</v>
      </c>
      <c r="E59" s="45">
        <f>'Standard Vorgaben'!$D$179</f>
        <v>18</v>
      </c>
      <c r="F59" s="46">
        <f>C59*E59</f>
        <v>18</v>
      </c>
      <c r="G59" s="738">
        <f t="shared" si="31"/>
        <v>7.4905253441971101E-4</v>
      </c>
      <c r="H59" s="41"/>
      <c r="I59" s="42" t="str">
        <f>'Standard Vorgaben'!$B$179</f>
        <v>Düngerstreuer Einkasten 2.5 m</v>
      </c>
      <c r="J59" s="221">
        <f>J23-J20</f>
        <v>1</v>
      </c>
      <c r="K59" s="221">
        <v>1</v>
      </c>
      <c r="L59" s="45">
        <f>'Standard Vorgaben'!$D$179</f>
        <v>18</v>
      </c>
      <c r="M59" s="46">
        <f>J59*L59</f>
        <v>18</v>
      </c>
      <c r="N59" s="738">
        <f t="shared" si="32"/>
        <v>7.3549962196860089E-4</v>
      </c>
      <c r="O59" s="41"/>
      <c r="P59" s="42" t="str">
        <f>'Standard Vorgaben'!$B$179</f>
        <v>Düngerstreuer Einkasten 2.5 m</v>
      </c>
      <c r="Q59" s="221">
        <f>Q23-Q20</f>
        <v>1</v>
      </c>
      <c r="R59" s="221">
        <v>1</v>
      </c>
      <c r="S59" s="45">
        <f>'Standard Vorgaben'!$D$179</f>
        <v>18</v>
      </c>
      <c r="T59" s="46">
        <f>Q59*S59</f>
        <v>18</v>
      </c>
      <c r="U59" s="738">
        <f t="shared" si="33"/>
        <v>5.5598138181857902E-4</v>
      </c>
      <c r="V59" s="41"/>
      <c r="W59" s="42" t="str">
        <f>'Standard Vorgaben'!$B$179</f>
        <v>Düngerstreuer Einkasten 2.5 m</v>
      </c>
      <c r="X59" s="221">
        <f>X23-X20</f>
        <v>2</v>
      </c>
      <c r="Y59" s="221">
        <v>1</v>
      </c>
      <c r="Z59" s="45">
        <f>'Standard Vorgaben'!$D$179</f>
        <v>18</v>
      </c>
      <c r="AA59" s="46">
        <f>X59*Z59</f>
        <v>36</v>
      </c>
      <c r="AB59" s="738">
        <f t="shared" si="34"/>
        <v>9.8141419892549381E-4</v>
      </c>
      <c r="AC59" s="41"/>
      <c r="AD59" s="42" t="str">
        <f>'Standard Vorgaben'!$B$179</f>
        <v>Düngerstreuer Einkasten 2.5 m</v>
      </c>
      <c r="AE59" s="221">
        <f>AE23-AE20</f>
        <v>2</v>
      </c>
      <c r="AF59" s="221">
        <v>1</v>
      </c>
      <c r="AG59" s="45">
        <f>'Standard Vorgaben'!$D$179</f>
        <v>18</v>
      </c>
      <c r="AH59" s="46">
        <f>AE59*AG59</f>
        <v>36</v>
      </c>
      <c r="AI59" s="738">
        <f t="shared" si="35"/>
        <v>9.4933137457837351E-4</v>
      </c>
      <c r="AJ59" s="41"/>
      <c r="AK59" s="42" t="str">
        <f>'Standard Vorgaben'!$B$179</f>
        <v>Düngerstreuer Einkasten 2.5 m</v>
      </c>
      <c r="AL59" s="221">
        <f>AL23-AL20</f>
        <v>2</v>
      </c>
      <c r="AM59" s="221">
        <v>1</v>
      </c>
      <c r="AN59" s="45">
        <f>'Standard Vorgaben'!$D$179</f>
        <v>18</v>
      </c>
      <c r="AO59" s="46">
        <f>AL59*AN59</f>
        <v>36</v>
      </c>
      <c r="AP59" s="738">
        <f t="shared" si="36"/>
        <v>9.5276165248664522E-4</v>
      </c>
      <c r="AQ59" s="41"/>
      <c r="AR59" s="42" t="str">
        <f>'Standard Vorgaben'!$B$179</f>
        <v>Düngerstreuer Einkasten 2.5 m</v>
      </c>
      <c r="AS59" s="221">
        <f>AS23-AS20</f>
        <v>2</v>
      </c>
      <c r="AT59" s="221">
        <v>1</v>
      </c>
      <c r="AU59" s="45">
        <f>'Standard Vorgaben'!$D$179</f>
        <v>18</v>
      </c>
      <c r="AV59" s="46">
        <f>AS59*AU59</f>
        <v>36</v>
      </c>
      <c r="AW59" s="738">
        <f t="shared" si="37"/>
        <v>8.8983064239071905E-4</v>
      </c>
      <c r="AX59" s="41"/>
      <c r="AY59" s="42" t="str">
        <f>'Standard Vorgaben'!$B$179</f>
        <v>Düngerstreuer Einkasten 2.5 m</v>
      </c>
      <c r="AZ59" s="221">
        <f>AZ23-AZ20</f>
        <v>2</v>
      </c>
      <c r="BA59" s="221">
        <v>1</v>
      </c>
      <c r="BB59" s="45">
        <f>'Standard Vorgaben'!$D$179</f>
        <v>18</v>
      </c>
      <c r="BC59" s="46">
        <f>AZ59*BB59</f>
        <v>36</v>
      </c>
      <c r="BD59" s="738">
        <f t="shared" si="38"/>
        <v>9.591450142191969E-4</v>
      </c>
      <c r="BE59" s="41"/>
      <c r="BF59" s="42" t="str">
        <f>'Standard Vorgaben'!$B$179</f>
        <v>Düngerstreuer Einkasten 2.5 m</v>
      </c>
      <c r="BG59" s="221">
        <f>BG23-BG20</f>
        <v>2</v>
      </c>
      <c r="BH59" s="221">
        <v>1</v>
      </c>
      <c r="BI59" s="45">
        <f>'Standard Vorgaben'!$D$179</f>
        <v>18</v>
      </c>
      <c r="BJ59" s="46">
        <f>BG59*BI59</f>
        <v>36</v>
      </c>
      <c r="BK59" s="738">
        <f t="shared" si="42"/>
        <v>9.627366069014378E-4</v>
      </c>
      <c r="BL59" s="41"/>
      <c r="BM59" s="42" t="str">
        <f>'Standard Vorgaben'!$B$179</f>
        <v>Düngerstreuer Einkasten 2.5 m</v>
      </c>
      <c r="BN59" s="221">
        <f>BN23-BN20</f>
        <v>2</v>
      </c>
      <c r="BO59" s="221">
        <v>1</v>
      </c>
      <c r="BP59" s="45">
        <f>'Standard Vorgaben'!$D$179</f>
        <v>18</v>
      </c>
      <c r="BQ59" s="46">
        <f>BN59*BP59</f>
        <v>36</v>
      </c>
      <c r="BR59" s="738">
        <f t="shared" si="39"/>
        <v>8.9860441218107064E-4</v>
      </c>
      <c r="BS59" s="41"/>
      <c r="BT59" s="42" t="str">
        <f>'Standard Vorgaben'!$B$179</f>
        <v>Düngerstreuer Einkasten 2.5 m</v>
      </c>
      <c r="BU59" s="221">
        <f>BU23-BU20</f>
        <v>2</v>
      </c>
      <c r="BV59" s="221">
        <v>1</v>
      </c>
      <c r="BW59" s="45">
        <f>'Standard Vorgaben'!$D$179</f>
        <v>18</v>
      </c>
      <c r="BX59" s="46">
        <f>BU59*BW59</f>
        <v>36</v>
      </c>
      <c r="BY59" s="738">
        <f t="shared" si="40"/>
        <v>9.6943954370407276E-4</v>
      </c>
      <c r="BZ59" s="41"/>
      <c r="CA59" s="42" t="str">
        <f>'Standard Vorgaben'!$B$179</f>
        <v>Düngerstreuer Einkasten 2.5 m</v>
      </c>
      <c r="CB59" s="221">
        <f>CB23-CB20</f>
        <v>2</v>
      </c>
      <c r="CC59" s="221">
        <v>1</v>
      </c>
      <c r="CD59" s="45">
        <f>'Standard Vorgaben'!$D$179</f>
        <v>18</v>
      </c>
      <c r="CE59" s="46">
        <f>CB59*CD59</f>
        <v>36</v>
      </c>
      <c r="CF59" s="738">
        <f t="shared" si="41"/>
        <v>9.7320315948236976E-4</v>
      </c>
      <c r="CG59" s="41"/>
      <c r="CH59" s="42" t="str">
        <f>'Standard Vorgaben'!$B$179</f>
        <v>Düngerstreuer Einkasten 2.5 m</v>
      </c>
      <c r="CI59" s="221">
        <f>CI23-CI20</f>
        <v>2</v>
      </c>
      <c r="CJ59" s="221">
        <v>1</v>
      </c>
      <c r="CK59" s="45">
        <f>'Standard Vorgaben'!$D$179</f>
        <v>18</v>
      </c>
      <c r="CL59" s="46">
        <f>CI59*CK59</f>
        <v>36</v>
      </c>
      <c r="CM59" s="738">
        <f t="shared" si="43"/>
        <v>9.2312386401291382E-4</v>
      </c>
      <c r="CN59" s="41"/>
      <c r="CO59" s="42" t="str">
        <f>'Standard Vorgaben'!$B$179</f>
        <v>Düngerstreuer Einkasten 2.5 m</v>
      </c>
      <c r="CP59" s="221">
        <f>CP23-CP20</f>
        <v>2</v>
      </c>
      <c r="CQ59" s="221">
        <v>1</v>
      </c>
      <c r="CR59" s="45">
        <f>'Standard Vorgaben'!$D$179</f>
        <v>18</v>
      </c>
      <c r="CS59" s="46">
        <f>CP59*CR59</f>
        <v>36</v>
      </c>
      <c r="CT59" s="730">
        <f t="shared" si="44"/>
        <v>9.9716348407902981E-4</v>
      </c>
      <c r="CU59" s="41"/>
      <c r="CV59" s="42" t="str">
        <f>'Standard Vorgaben'!$B$179</f>
        <v>Düngerstreuer Einkasten 2.5 m</v>
      </c>
      <c r="CW59" s="221">
        <f>CW23-CW20</f>
        <v>2</v>
      </c>
      <c r="CX59" s="221">
        <v>1</v>
      </c>
      <c r="CY59" s="45">
        <f>'Standard Vorgaben'!$D$179</f>
        <v>18</v>
      </c>
      <c r="CZ59" s="46">
        <f>CW59*CY59</f>
        <v>36</v>
      </c>
      <c r="DA59" s="730">
        <f t="shared" si="45"/>
        <v>8.5733202661963069E-4</v>
      </c>
    </row>
    <row r="60" spans="1:105" s="1" customFormat="1" ht="13" x14ac:dyDescent="0.3">
      <c r="A60" s="41"/>
      <c r="B60" s="42" t="str">
        <f>'Standard Vorgaben'!$B$180</f>
        <v>Kompoststreuer für Obstanlagen, um 3m³</v>
      </c>
      <c r="C60" s="221">
        <f>C20</f>
        <v>15</v>
      </c>
      <c r="D60" s="221">
        <v>1</v>
      </c>
      <c r="E60" s="45">
        <f>'Standard Vorgaben'!$D$180</f>
        <v>113</v>
      </c>
      <c r="F60" s="46">
        <f>C60*D60*E60</f>
        <v>1695</v>
      </c>
      <c r="G60" s="738">
        <f t="shared" si="31"/>
        <v>7.0535780324522776E-2</v>
      </c>
      <c r="H60" s="41"/>
      <c r="I60" s="42" t="str">
        <f>'Standard Vorgaben'!$B$180</f>
        <v>Kompoststreuer für Obstanlagen, um 3m³</v>
      </c>
      <c r="J60" s="221">
        <f>J20</f>
        <v>0</v>
      </c>
      <c r="K60" s="221">
        <v>1</v>
      </c>
      <c r="L60" s="45">
        <f>'Standard Vorgaben'!$D$180</f>
        <v>113</v>
      </c>
      <c r="M60" s="46">
        <f>J60*K60*L60</f>
        <v>0</v>
      </c>
      <c r="N60" s="738">
        <f t="shared" si="32"/>
        <v>0</v>
      </c>
      <c r="O60" s="41"/>
      <c r="P60" s="42" t="str">
        <f>'Standard Vorgaben'!$B$180</f>
        <v>Kompoststreuer für Obstanlagen, um 3m³</v>
      </c>
      <c r="Q60" s="221">
        <f>Q20</f>
        <v>0</v>
      </c>
      <c r="R60" s="221">
        <v>1</v>
      </c>
      <c r="S60" s="45">
        <f>'Standard Vorgaben'!$D$180</f>
        <v>113</v>
      </c>
      <c r="T60" s="46">
        <f>Q60*R60*S60</f>
        <v>0</v>
      </c>
      <c r="U60" s="738">
        <f t="shared" si="33"/>
        <v>0</v>
      </c>
      <c r="V60" s="41"/>
      <c r="W60" s="42" t="str">
        <f>'Standard Vorgaben'!$B$180</f>
        <v>Kompoststreuer für Obstanlagen, um 3m³</v>
      </c>
      <c r="X60" s="221">
        <f>X20</f>
        <v>15</v>
      </c>
      <c r="Y60" s="221">
        <v>1</v>
      </c>
      <c r="Z60" s="45">
        <f>'Standard Vorgaben'!$D$180</f>
        <v>113</v>
      </c>
      <c r="AA60" s="46">
        <f>X60*Y60*Z60</f>
        <v>1695</v>
      </c>
      <c r="AB60" s="738">
        <f t="shared" si="34"/>
        <v>4.6208251866075328E-2</v>
      </c>
      <c r="AC60" s="41"/>
      <c r="AD60" s="42" t="str">
        <f>'Standard Vorgaben'!$B$180</f>
        <v>Kompoststreuer für Obstanlagen, um 3m³</v>
      </c>
      <c r="AE60" s="221">
        <f>AE20</f>
        <v>0</v>
      </c>
      <c r="AF60" s="221">
        <v>1</v>
      </c>
      <c r="AG60" s="45">
        <f>'Standard Vorgaben'!$D$180</f>
        <v>113</v>
      </c>
      <c r="AH60" s="46">
        <f>AE60*AF60*AG60</f>
        <v>0</v>
      </c>
      <c r="AI60" s="738">
        <f t="shared" si="35"/>
        <v>0</v>
      </c>
      <c r="AJ60" s="41"/>
      <c r="AK60" s="42" t="str">
        <f>'Standard Vorgaben'!$B$180</f>
        <v>Kompoststreuer für Obstanlagen, um 3m³</v>
      </c>
      <c r="AL60" s="221">
        <f>AL20</f>
        <v>0</v>
      </c>
      <c r="AM60" s="221">
        <v>1</v>
      </c>
      <c r="AN60" s="45">
        <f>'Standard Vorgaben'!$D$180</f>
        <v>113</v>
      </c>
      <c r="AO60" s="46">
        <f>AL60*AM60*AN60</f>
        <v>0</v>
      </c>
      <c r="AP60" s="738">
        <f t="shared" si="36"/>
        <v>0</v>
      </c>
      <c r="AQ60" s="41"/>
      <c r="AR60" s="42" t="str">
        <f>'Standard Vorgaben'!$B$180</f>
        <v>Kompoststreuer für Obstanlagen, um 3m³</v>
      </c>
      <c r="AS60" s="221">
        <f>AS20</f>
        <v>15</v>
      </c>
      <c r="AT60" s="221">
        <v>1</v>
      </c>
      <c r="AU60" s="45">
        <f>'Standard Vorgaben'!$D$180</f>
        <v>113</v>
      </c>
      <c r="AV60" s="46">
        <f>AS60*AT60*AU60</f>
        <v>1695</v>
      </c>
      <c r="AW60" s="738">
        <f t="shared" si="37"/>
        <v>4.1896192745896357E-2</v>
      </c>
      <c r="AX60" s="41"/>
      <c r="AY60" s="42" t="str">
        <f>'Standard Vorgaben'!$B$180</f>
        <v>Kompoststreuer für Obstanlagen, um 3m³</v>
      </c>
      <c r="AZ60" s="221">
        <f>AZ20</f>
        <v>0</v>
      </c>
      <c r="BA60" s="221">
        <v>1</v>
      </c>
      <c r="BB60" s="45">
        <f>'Standard Vorgaben'!$D$180</f>
        <v>113</v>
      </c>
      <c r="BC60" s="46">
        <f>AZ60*BA60*BB60</f>
        <v>0</v>
      </c>
      <c r="BD60" s="738">
        <f t="shared" si="38"/>
        <v>0</v>
      </c>
      <c r="BE60" s="41"/>
      <c r="BF60" s="42" t="str">
        <f>'Standard Vorgaben'!$B$180</f>
        <v>Kompoststreuer für Obstanlagen, um 3m³</v>
      </c>
      <c r="BG60" s="221">
        <f>BG20</f>
        <v>0</v>
      </c>
      <c r="BH60" s="221">
        <v>1</v>
      </c>
      <c r="BI60" s="45">
        <f>'Standard Vorgaben'!$D$180</f>
        <v>113</v>
      </c>
      <c r="BJ60" s="46">
        <f>BG60*BH60*BI60</f>
        <v>0</v>
      </c>
      <c r="BK60" s="738">
        <f t="shared" si="42"/>
        <v>0</v>
      </c>
      <c r="BL60" s="41"/>
      <c r="BM60" s="42" t="str">
        <f>'Standard Vorgaben'!$B$180</f>
        <v>Kompoststreuer für Obstanlagen, um 3m³</v>
      </c>
      <c r="BN60" s="221">
        <f>BN20</f>
        <v>15</v>
      </c>
      <c r="BO60" s="221">
        <v>1</v>
      </c>
      <c r="BP60" s="45">
        <f>'Standard Vorgaben'!$D$180</f>
        <v>113</v>
      </c>
      <c r="BQ60" s="46">
        <f>BN60*BO60*BP60</f>
        <v>1695</v>
      </c>
      <c r="BR60" s="738">
        <f t="shared" si="39"/>
        <v>4.2309291073525407E-2</v>
      </c>
      <c r="BS60" s="41"/>
      <c r="BT60" s="42" t="str">
        <f>'Standard Vorgaben'!$B$180</f>
        <v>Kompoststreuer für Obstanlagen, um 3m³</v>
      </c>
      <c r="BU60" s="221">
        <f>BU20</f>
        <v>0</v>
      </c>
      <c r="BV60" s="221">
        <v>1</v>
      </c>
      <c r="BW60" s="45">
        <f>'Standard Vorgaben'!$D$180</f>
        <v>113</v>
      </c>
      <c r="BX60" s="46">
        <f>BU60*BV60*BW60</f>
        <v>0</v>
      </c>
      <c r="BY60" s="738">
        <f t="shared" si="40"/>
        <v>0</v>
      </c>
      <c r="BZ60" s="41"/>
      <c r="CA60" s="42" t="str">
        <f>'Standard Vorgaben'!$B$180</f>
        <v>Kompoststreuer für Obstanlagen, um 3m³</v>
      </c>
      <c r="CB60" s="221">
        <f>CB20</f>
        <v>0</v>
      </c>
      <c r="CC60" s="221">
        <v>1</v>
      </c>
      <c r="CD60" s="45">
        <f>'Standard Vorgaben'!$D$180</f>
        <v>113</v>
      </c>
      <c r="CE60" s="46">
        <f>CB60*CC60*CD60</f>
        <v>0</v>
      </c>
      <c r="CF60" s="738">
        <f t="shared" si="41"/>
        <v>0</v>
      </c>
      <c r="CG60" s="41"/>
      <c r="CH60" s="42" t="str">
        <f>'Standard Vorgaben'!$B$180</f>
        <v>Kompoststreuer für Obstanlagen, um 3m³</v>
      </c>
      <c r="CI60" s="221">
        <f>CI20</f>
        <v>15</v>
      </c>
      <c r="CJ60" s="221">
        <v>1</v>
      </c>
      <c r="CK60" s="45">
        <f>'Standard Vorgaben'!$D$180</f>
        <v>113</v>
      </c>
      <c r="CL60" s="46">
        <f>CI60*CJ60*CK60</f>
        <v>1695</v>
      </c>
      <c r="CM60" s="738">
        <f t="shared" si="43"/>
        <v>4.3463748597274691E-2</v>
      </c>
      <c r="CN60" s="41"/>
      <c r="CO60" s="42" t="str">
        <f>'Standard Vorgaben'!$B$180</f>
        <v>Kompoststreuer für Obstanlagen, um 3m³</v>
      </c>
      <c r="CP60" s="221">
        <f>CP20</f>
        <v>0</v>
      </c>
      <c r="CQ60" s="221">
        <v>1</v>
      </c>
      <c r="CR60" s="45">
        <f>'Standard Vorgaben'!$D$180</f>
        <v>113</v>
      </c>
      <c r="CS60" s="46">
        <f>CP60*CQ60*CR60</f>
        <v>0</v>
      </c>
      <c r="CT60" s="730">
        <f t="shared" si="44"/>
        <v>0</v>
      </c>
      <c r="CU60" s="41"/>
      <c r="CV60" s="42" t="str">
        <f>'Standard Vorgaben'!$B$180</f>
        <v>Kompoststreuer für Obstanlagen, um 3m³</v>
      </c>
      <c r="CW60" s="221">
        <f>CW20</f>
        <v>0</v>
      </c>
      <c r="CX60" s="221">
        <v>1</v>
      </c>
      <c r="CY60" s="45">
        <f>'Standard Vorgaben'!$D$180</f>
        <v>113</v>
      </c>
      <c r="CZ60" s="46">
        <f>CW60*CX60*CY60</f>
        <v>0</v>
      </c>
      <c r="DA60" s="730">
        <f t="shared" si="45"/>
        <v>0</v>
      </c>
    </row>
    <row r="61" spans="1:105" s="69" customFormat="1" ht="12.5" x14ac:dyDescent="0.25">
      <c r="A61" s="145"/>
      <c r="B61" s="42" t="str">
        <f>'Standard Vorgaben'!$B$181</f>
        <v>Erntewagen 4 Grosskisten</v>
      </c>
      <c r="C61" s="619">
        <f>'Standard Vorgaben'!$C$181</f>
        <v>960</v>
      </c>
      <c r="D61" s="19"/>
      <c r="E61" s="620">
        <f>'Standard Vorgaben'!$D$181</f>
        <v>9</v>
      </c>
      <c r="F61" s="46">
        <f>D62*E61</f>
        <v>0</v>
      </c>
      <c r="G61" s="738">
        <f t="shared" si="31"/>
        <v>0</v>
      </c>
      <c r="H61" s="145"/>
      <c r="I61" s="42" t="str">
        <f>'Standard Vorgaben'!$B$181</f>
        <v>Erntewagen 4 Grosskisten</v>
      </c>
      <c r="J61" s="619">
        <f>'Standard Vorgaben'!$C$181</f>
        <v>960</v>
      </c>
      <c r="K61" s="19"/>
      <c r="L61" s="620">
        <f>'Standard Vorgaben'!$D$181</f>
        <v>9</v>
      </c>
      <c r="M61" s="46">
        <f>K62*L61</f>
        <v>20.99085365853659</v>
      </c>
      <c r="N61" s="738">
        <f t="shared" si="32"/>
        <v>8.5770916281399353E-4</v>
      </c>
      <c r="O61" s="145"/>
      <c r="P61" s="42" t="str">
        <f>'Standard Vorgaben'!$B$181</f>
        <v>Erntewagen 4 Grosskisten</v>
      </c>
      <c r="Q61" s="619">
        <f>'Standard Vorgaben'!$C$181</f>
        <v>960</v>
      </c>
      <c r="R61" s="19"/>
      <c r="S61" s="620">
        <f>'Standard Vorgaben'!$D$181</f>
        <v>9</v>
      </c>
      <c r="T61" s="46">
        <f>R62*S61</f>
        <v>76.966463414634148</v>
      </c>
      <c r="U61" s="738">
        <f t="shared" si="33"/>
        <v>2.3773289268309667E-3</v>
      </c>
      <c r="V61" s="145"/>
      <c r="W61" s="42" t="str">
        <f>'Standard Vorgaben'!$B$181</f>
        <v>Erntewagen 4 Grosskisten</v>
      </c>
      <c r="X61" s="619">
        <f>'Standard Vorgaben'!$C$181</f>
        <v>960</v>
      </c>
      <c r="Y61" s="19"/>
      <c r="Z61" s="620">
        <f>'Standard Vorgaben'!$D$181</f>
        <v>9</v>
      </c>
      <c r="AA61" s="46">
        <f>Y62*Z61</f>
        <v>104.95426829268293</v>
      </c>
      <c r="AB61" s="738">
        <f t="shared" si="34"/>
        <v>2.8612113650076324E-3</v>
      </c>
      <c r="AC61" s="145"/>
      <c r="AD61" s="42" t="str">
        <f>'Standard Vorgaben'!$B$181</f>
        <v>Erntewagen 4 Grosskisten</v>
      </c>
      <c r="AE61" s="619">
        <f>'Standard Vorgaben'!$C$181</f>
        <v>960</v>
      </c>
      <c r="AF61" s="19"/>
      <c r="AG61" s="620">
        <f>'Standard Vorgaben'!$D$181</f>
        <v>9</v>
      </c>
      <c r="AH61" s="46">
        <f>AF62*AG61</f>
        <v>230.89939024390242</v>
      </c>
      <c r="AI61" s="738">
        <f t="shared" si="35"/>
        <v>6.0888898758208933E-3</v>
      </c>
      <c r="AJ61" s="145"/>
      <c r="AK61" s="42" t="str">
        <f>'Standard Vorgaben'!$B$181</f>
        <v>Erntewagen 4 Grosskisten</v>
      </c>
      <c r="AL61" s="619">
        <f>'Standard Vorgaben'!$C$181</f>
        <v>960</v>
      </c>
      <c r="AM61" s="19"/>
      <c r="AN61" s="620">
        <f>'Standard Vorgaben'!$D$181</f>
        <v>9</v>
      </c>
      <c r="AO61" s="46">
        <f>AM62*AN61</f>
        <v>230.89939024390242</v>
      </c>
      <c r="AP61" s="738">
        <f t="shared" si="36"/>
        <v>6.1108912390816453E-3</v>
      </c>
      <c r="AQ61" s="145"/>
      <c r="AR61" s="42" t="str">
        <f>'Standard Vorgaben'!$B$181</f>
        <v>Erntewagen 4 Grosskisten</v>
      </c>
      <c r="AS61" s="619">
        <f>'Standard Vorgaben'!$C$181</f>
        <v>960</v>
      </c>
      <c r="AT61" s="19"/>
      <c r="AU61" s="620">
        <f>'Standard Vorgaben'!$D$181</f>
        <v>9</v>
      </c>
      <c r="AV61" s="46">
        <f>AT62*AU61</f>
        <v>230.89939024390242</v>
      </c>
      <c r="AW61" s="738">
        <f t="shared" si="37"/>
        <v>5.7072597985654725E-3</v>
      </c>
      <c r="AX61" s="145"/>
      <c r="AY61" s="42" t="str">
        <f>'Standard Vorgaben'!$B$181</f>
        <v>Erntewagen 4 Grosskisten</v>
      </c>
      <c r="AZ61" s="619">
        <f>'Standard Vorgaben'!$C$181</f>
        <v>960</v>
      </c>
      <c r="BA61" s="19"/>
      <c r="BB61" s="620">
        <f>'Standard Vorgaben'!$D$181</f>
        <v>9</v>
      </c>
      <c r="BC61" s="46">
        <f>BA62*BB61</f>
        <v>230.89939024390242</v>
      </c>
      <c r="BD61" s="738">
        <f t="shared" si="38"/>
        <v>6.1518333038525462E-3</v>
      </c>
      <c r="BE61" s="145"/>
      <c r="BF61" s="42" t="str">
        <f>'Standard Vorgaben'!$B$181</f>
        <v>Erntewagen 4 Grosskisten</v>
      </c>
      <c r="BG61" s="619">
        <f>'Standard Vorgaben'!$C$181</f>
        <v>960</v>
      </c>
      <c r="BH61" s="19"/>
      <c r="BI61" s="620">
        <f>'Standard Vorgaben'!$D$181</f>
        <v>9</v>
      </c>
      <c r="BJ61" s="46">
        <f>BH62*BI61</f>
        <v>230.89939024390242</v>
      </c>
      <c r="BK61" s="738">
        <f t="shared" si="42"/>
        <v>6.1748693194173766E-3</v>
      </c>
      <c r="BL61" s="145"/>
      <c r="BM61" s="42" t="str">
        <f>'Standard Vorgaben'!$B$181</f>
        <v>Erntewagen 4 Grosskisten</v>
      </c>
      <c r="BN61" s="619">
        <f>'Standard Vorgaben'!$C$181</f>
        <v>960</v>
      </c>
      <c r="BO61" s="19"/>
      <c r="BP61" s="620">
        <f>'Standard Vorgaben'!$D$181</f>
        <v>9</v>
      </c>
      <c r="BQ61" s="46">
        <f>BO62*BP61</f>
        <v>230.89939024390242</v>
      </c>
      <c r="BR61" s="738">
        <f t="shared" si="39"/>
        <v>5.7635336345302655E-3</v>
      </c>
      <c r="BS61" s="145"/>
      <c r="BT61" s="42" t="str">
        <f>'Standard Vorgaben'!$B$181</f>
        <v>Erntewagen 4 Grosskisten</v>
      </c>
      <c r="BU61" s="619">
        <f>'Standard Vorgaben'!$C$181</f>
        <v>960</v>
      </c>
      <c r="BV61" s="19"/>
      <c r="BW61" s="620">
        <f>'Standard Vorgaben'!$D$181</f>
        <v>9</v>
      </c>
      <c r="BX61" s="46">
        <f>BV62*BW61</f>
        <v>230.89939024390242</v>
      </c>
      <c r="BY61" s="738">
        <f t="shared" si="40"/>
        <v>6.2178610977665942E-3</v>
      </c>
      <c r="BZ61" s="145"/>
      <c r="CA61" s="42" t="str">
        <f>'Standard Vorgaben'!$B$181</f>
        <v>Erntewagen 4 Grosskisten</v>
      </c>
      <c r="CB61" s="619">
        <f>'Standard Vorgaben'!$C$181</f>
        <v>960</v>
      </c>
      <c r="CC61" s="19"/>
      <c r="CD61" s="620">
        <f>'Standard Vorgaben'!$D$181</f>
        <v>9</v>
      </c>
      <c r="CE61" s="46">
        <f>CC62*CD61</f>
        <v>230.89939024390242</v>
      </c>
      <c r="CF61" s="738">
        <f t="shared" si="41"/>
        <v>6.2420004474421807E-3</v>
      </c>
      <c r="CG61" s="145"/>
      <c r="CH61" s="42" t="str">
        <f>'Standard Vorgaben'!$B$181</f>
        <v>Erntewagen 4 Grosskisten</v>
      </c>
      <c r="CI61" s="619">
        <f>'Standard Vorgaben'!$C$181</f>
        <v>960</v>
      </c>
      <c r="CJ61" s="19"/>
      <c r="CK61" s="620">
        <f>'Standard Vorgaben'!$D$181</f>
        <v>9</v>
      </c>
      <c r="CL61" s="46">
        <f>CJ62*CK61</f>
        <v>209.90853658536585</v>
      </c>
      <c r="CM61" s="738">
        <f t="shared" si="43"/>
        <v>5.3825438717216394E-3</v>
      </c>
      <c r="CN61" s="145"/>
      <c r="CO61" s="42" t="str">
        <f>'Standard Vorgaben'!$B$181</f>
        <v>Erntewagen 4 Grosskisten</v>
      </c>
      <c r="CP61" s="619">
        <f>'Standard Vorgaben'!$C$181</f>
        <v>960</v>
      </c>
      <c r="CQ61" s="19"/>
      <c r="CR61" s="620">
        <f>'Standard Vorgaben'!$D$181</f>
        <v>9</v>
      </c>
      <c r="CS61" s="46">
        <f>CQ62*CR61</f>
        <v>209.90853658536585</v>
      </c>
      <c r="CT61" s="730">
        <f t="shared" si="44"/>
        <v>5.8142535466498306E-3</v>
      </c>
      <c r="CU61" s="145"/>
      <c r="CV61" s="42" t="str">
        <f>'Standard Vorgaben'!$B$181</f>
        <v>Erntewagen 4 Grosskisten</v>
      </c>
      <c r="CW61" s="619">
        <f>'Standard Vorgaben'!$C$181</f>
        <v>960</v>
      </c>
      <c r="CX61" s="19"/>
      <c r="CY61" s="620">
        <f>'Standard Vorgaben'!$D$181</f>
        <v>9</v>
      </c>
      <c r="CZ61" s="46">
        <f>CX62*CY61</f>
        <v>209.90853658536585</v>
      </c>
      <c r="DA61" s="730">
        <f t="shared" si="45"/>
        <v>4.9989253076525722E-3</v>
      </c>
    </row>
    <row r="62" spans="1:105" s="69" customFormat="1" ht="13" x14ac:dyDescent="0.3">
      <c r="A62" s="145"/>
      <c r="B62" s="298" t="s">
        <v>208</v>
      </c>
      <c r="C62" s="266">
        <f>'Standard Vorgaben'!$E$181</f>
        <v>4</v>
      </c>
      <c r="D62" s="336">
        <f>((D9+D10)+('Standard Vorgaben'!$D$89*D13))/C61</f>
        <v>0</v>
      </c>
      <c r="E62" s="338">
        <f>C61/C85/C62</f>
        <v>2.4742268041237114</v>
      </c>
      <c r="F62" s="46"/>
      <c r="G62" s="738">
        <f t="shared" si="31"/>
        <v>0</v>
      </c>
      <c r="H62" s="145"/>
      <c r="I62" s="298" t="s">
        <v>208</v>
      </c>
      <c r="J62" s="266">
        <f>'Standard Vorgaben'!$E$181</f>
        <v>4</v>
      </c>
      <c r="K62" s="336">
        <f>((K9+K10)+('Standard Vorgaben'!$D$89*K13))/J61</f>
        <v>2.3323170731707323</v>
      </c>
      <c r="L62" s="338">
        <f>J61/J85/J62</f>
        <v>2.4742268041237114</v>
      </c>
      <c r="M62" s="46"/>
      <c r="N62" s="738">
        <f t="shared" si="32"/>
        <v>0</v>
      </c>
      <c r="O62" s="145"/>
      <c r="P62" s="298" t="s">
        <v>208</v>
      </c>
      <c r="Q62" s="266">
        <f>'Standard Vorgaben'!$E$181</f>
        <v>4</v>
      </c>
      <c r="R62" s="336">
        <f>((R9+R10)+('Standard Vorgaben'!$D$89*R13))/Q61</f>
        <v>8.5518292682926838</v>
      </c>
      <c r="S62" s="338">
        <f>Q61/Q85/Q62</f>
        <v>2.4742268041237114</v>
      </c>
      <c r="T62" s="46"/>
      <c r="U62" s="738">
        <f t="shared" si="33"/>
        <v>0</v>
      </c>
      <c r="V62" s="145"/>
      <c r="W62" s="298" t="s">
        <v>208</v>
      </c>
      <c r="X62" s="266">
        <f>'Standard Vorgaben'!$E$181</f>
        <v>4</v>
      </c>
      <c r="Y62" s="336">
        <f>((Y9+Y10)+('Standard Vorgaben'!$D$89*Y13))/X61</f>
        <v>11.661585365853659</v>
      </c>
      <c r="Z62" s="338">
        <f>X61/X85/X62</f>
        <v>2.4742268041237114</v>
      </c>
      <c r="AA62" s="46"/>
      <c r="AB62" s="738">
        <f t="shared" si="34"/>
        <v>0</v>
      </c>
      <c r="AC62" s="145"/>
      <c r="AD62" s="298" t="s">
        <v>208</v>
      </c>
      <c r="AE62" s="266">
        <f>'Standard Vorgaben'!$E$181</f>
        <v>4</v>
      </c>
      <c r="AF62" s="336">
        <f>((AF9+AF10)+('Standard Vorgaben'!$D$89*AF13))/AE61</f>
        <v>25.655487804878046</v>
      </c>
      <c r="AG62" s="338">
        <f>AE61/AE85/AE62</f>
        <v>2.4742268041237114</v>
      </c>
      <c r="AH62" s="46"/>
      <c r="AI62" s="738">
        <f t="shared" si="35"/>
        <v>0</v>
      </c>
      <c r="AJ62" s="145"/>
      <c r="AK62" s="298" t="s">
        <v>208</v>
      </c>
      <c r="AL62" s="266">
        <f>'Standard Vorgaben'!$E$181</f>
        <v>4</v>
      </c>
      <c r="AM62" s="336">
        <f>((AM9+AM10)+('Standard Vorgaben'!$D$89*AM13))/AL61</f>
        <v>25.655487804878046</v>
      </c>
      <c r="AN62" s="338">
        <f>AL61/AL85/AL62</f>
        <v>2.4742268041237114</v>
      </c>
      <c r="AO62" s="46"/>
      <c r="AP62" s="738">
        <f t="shared" si="36"/>
        <v>0</v>
      </c>
      <c r="AQ62" s="145"/>
      <c r="AR62" s="298" t="s">
        <v>208</v>
      </c>
      <c r="AS62" s="266">
        <f>'Standard Vorgaben'!$E$181</f>
        <v>4</v>
      </c>
      <c r="AT62" s="336">
        <f>((AT9+AT10)+('Standard Vorgaben'!$D$89*AT13))/AS61</f>
        <v>25.655487804878046</v>
      </c>
      <c r="AU62" s="338">
        <f>AS61/AS85/AS62</f>
        <v>2.4742268041237114</v>
      </c>
      <c r="AV62" s="46"/>
      <c r="AW62" s="738">
        <f t="shared" si="37"/>
        <v>0</v>
      </c>
      <c r="AX62" s="145"/>
      <c r="AY62" s="298" t="s">
        <v>208</v>
      </c>
      <c r="AZ62" s="266">
        <f>'Standard Vorgaben'!$E$181</f>
        <v>4</v>
      </c>
      <c r="BA62" s="336">
        <f>((BA9+BA10)+('Standard Vorgaben'!$D$89*BA13))/AZ61</f>
        <v>25.655487804878046</v>
      </c>
      <c r="BB62" s="338">
        <f>AZ61/AZ85/AZ62</f>
        <v>2.4742268041237114</v>
      </c>
      <c r="BC62" s="46"/>
      <c r="BD62" s="738">
        <f t="shared" si="38"/>
        <v>0</v>
      </c>
      <c r="BE62" s="145"/>
      <c r="BF62" s="298" t="s">
        <v>208</v>
      </c>
      <c r="BG62" s="266">
        <f>'Standard Vorgaben'!$E$181</f>
        <v>4</v>
      </c>
      <c r="BH62" s="336">
        <f>((BH9+BH10)+('Standard Vorgaben'!$D$89*BH13))/BG61</f>
        <v>25.655487804878046</v>
      </c>
      <c r="BI62" s="338">
        <f>BG61/BG85/BG62</f>
        <v>2.4742268041237114</v>
      </c>
      <c r="BJ62" s="46"/>
      <c r="BK62" s="738">
        <f t="shared" si="42"/>
        <v>0</v>
      </c>
      <c r="BL62" s="145"/>
      <c r="BM62" s="298" t="s">
        <v>208</v>
      </c>
      <c r="BN62" s="266">
        <f>'Standard Vorgaben'!$E$181</f>
        <v>4</v>
      </c>
      <c r="BO62" s="336">
        <f>((BO9+BO10)+('Standard Vorgaben'!$D$89*BO13))/BN61</f>
        <v>25.655487804878046</v>
      </c>
      <c r="BP62" s="338">
        <f>BN61/BN85/BN62</f>
        <v>2.4742268041237114</v>
      </c>
      <c r="BQ62" s="46"/>
      <c r="BR62" s="738">
        <f t="shared" si="39"/>
        <v>0</v>
      </c>
      <c r="BS62" s="145"/>
      <c r="BT62" s="298" t="s">
        <v>208</v>
      </c>
      <c r="BU62" s="266">
        <f>'Standard Vorgaben'!$E$181</f>
        <v>4</v>
      </c>
      <c r="BV62" s="336">
        <f>((BV9+BV10)+('Standard Vorgaben'!$D$89*BV13))/BU61</f>
        <v>25.655487804878046</v>
      </c>
      <c r="BW62" s="338">
        <f>BU61/BU85/BU62</f>
        <v>2.4742268041237114</v>
      </c>
      <c r="BX62" s="46"/>
      <c r="BY62" s="738">
        <f t="shared" si="40"/>
        <v>0</v>
      </c>
      <c r="BZ62" s="145"/>
      <c r="CA62" s="298" t="s">
        <v>208</v>
      </c>
      <c r="CB62" s="266">
        <f>'Standard Vorgaben'!$E$181</f>
        <v>4</v>
      </c>
      <c r="CC62" s="336">
        <f>((CC9+CC10)+('Standard Vorgaben'!$D$89*CC13))/CB61</f>
        <v>25.655487804878046</v>
      </c>
      <c r="CD62" s="338">
        <f>CB61/CB85/CB62</f>
        <v>2.4742268041237114</v>
      </c>
      <c r="CE62" s="46"/>
      <c r="CF62" s="738">
        <f t="shared" si="41"/>
        <v>0</v>
      </c>
      <c r="CG62" s="145"/>
      <c r="CH62" s="298" t="s">
        <v>208</v>
      </c>
      <c r="CI62" s="266">
        <f>'Standard Vorgaben'!$E$181</f>
        <v>4</v>
      </c>
      <c r="CJ62" s="336">
        <f>((CJ9+CJ10)+('Standard Vorgaben'!$D$89*CJ13))/CI61</f>
        <v>23.323170731707318</v>
      </c>
      <c r="CK62" s="338">
        <f>CI61/CI85/CI62</f>
        <v>2.4742268041237114</v>
      </c>
      <c r="CL62" s="46"/>
      <c r="CM62" s="738">
        <f t="shared" si="43"/>
        <v>0</v>
      </c>
      <c r="CN62" s="145"/>
      <c r="CO62" s="298" t="s">
        <v>208</v>
      </c>
      <c r="CP62" s="266">
        <f>'Standard Vorgaben'!$E$181</f>
        <v>4</v>
      </c>
      <c r="CQ62" s="336">
        <f>((CQ9+CQ10)+('Standard Vorgaben'!$D$89*CQ13))/CP61</f>
        <v>23.323170731707318</v>
      </c>
      <c r="CR62" s="338">
        <f>CP61/CP85/CP62</f>
        <v>2.4742268041237114</v>
      </c>
      <c r="CS62" s="46"/>
      <c r="CT62" s="730">
        <f t="shared" si="44"/>
        <v>0</v>
      </c>
      <c r="CU62" s="145"/>
      <c r="CV62" s="298" t="s">
        <v>208</v>
      </c>
      <c r="CW62" s="266">
        <f>'Standard Vorgaben'!$E$181</f>
        <v>4</v>
      </c>
      <c r="CX62" s="336">
        <f>((CX9+CX10)+('Standard Vorgaben'!$D$89*CX13))/CW61</f>
        <v>23.323170731707318</v>
      </c>
      <c r="CY62" s="338">
        <f>CW61/CW85/CW62</f>
        <v>2.4742268041237114</v>
      </c>
      <c r="CZ62" s="46"/>
      <c r="DA62" s="730">
        <f t="shared" si="45"/>
        <v>0</v>
      </c>
    </row>
    <row r="63" spans="1:105" s="1" customFormat="1" ht="13" x14ac:dyDescent="0.3">
      <c r="A63" s="41"/>
      <c r="B63" s="42" t="str">
        <f>'Standard Vorgaben'!$B$182</f>
        <v>Sichelmulchgerät mit beids. Schwenkarm</v>
      </c>
      <c r="C63" s="47">
        <f>'Standard Vorgaben'!$E$182</f>
        <v>7</v>
      </c>
      <c r="D63" s="40">
        <f>'Standard Vorgaben'!$C$182</f>
        <v>1</v>
      </c>
      <c r="E63" s="45">
        <f>'Standard Vorgaben'!$D$182</f>
        <v>41</v>
      </c>
      <c r="F63" s="46">
        <f>C63*E63</f>
        <v>287</v>
      </c>
      <c r="G63" s="738">
        <f t="shared" si="31"/>
        <v>1.1943226521025391E-2</v>
      </c>
      <c r="H63" s="41"/>
      <c r="I63" s="42" t="str">
        <f>'Standard Vorgaben'!$B$182</f>
        <v>Sichelmulchgerät mit beids. Schwenkarm</v>
      </c>
      <c r="J63" s="47">
        <f>'Standard Vorgaben'!$E$182</f>
        <v>7</v>
      </c>
      <c r="K63" s="40">
        <f>'Standard Vorgaben'!$C$182</f>
        <v>1</v>
      </c>
      <c r="L63" s="45">
        <f>'Standard Vorgaben'!$D$182</f>
        <v>41</v>
      </c>
      <c r="M63" s="46">
        <f>J63*L63</f>
        <v>287</v>
      </c>
      <c r="N63" s="738">
        <f t="shared" si="32"/>
        <v>1.1727132861388247E-2</v>
      </c>
      <c r="O63" s="41"/>
      <c r="P63" s="42" t="str">
        <f>'Standard Vorgaben'!$B$182</f>
        <v>Sichelmulchgerät mit beids. Schwenkarm</v>
      </c>
      <c r="Q63" s="47">
        <f>'Standard Vorgaben'!$E$182</f>
        <v>7</v>
      </c>
      <c r="R63" s="40">
        <f>'Standard Vorgaben'!$C$182</f>
        <v>1</v>
      </c>
      <c r="S63" s="45">
        <f>'Standard Vorgaben'!$D$182</f>
        <v>41</v>
      </c>
      <c r="T63" s="46">
        <f>Q63*S63</f>
        <v>287</v>
      </c>
      <c r="U63" s="738">
        <f t="shared" si="33"/>
        <v>8.864814254551788E-3</v>
      </c>
      <c r="V63" s="41"/>
      <c r="W63" s="42" t="str">
        <f>'Standard Vorgaben'!$B$182</f>
        <v>Sichelmulchgerät mit beids. Schwenkarm</v>
      </c>
      <c r="X63" s="47">
        <f>'Standard Vorgaben'!$E$182</f>
        <v>7</v>
      </c>
      <c r="Y63" s="40">
        <f>'Standard Vorgaben'!$C$182</f>
        <v>1</v>
      </c>
      <c r="Z63" s="45">
        <f>'Standard Vorgaben'!$D$182</f>
        <v>41</v>
      </c>
      <c r="AA63" s="46">
        <f>X63*Z63</f>
        <v>287</v>
      </c>
      <c r="AB63" s="738">
        <f t="shared" si="34"/>
        <v>7.8240520858782418E-3</v>
      </c>
      <c r="AC63" s="41"/>
      <c r="AD63" s="42" t="str">
        <f>'Standard Vorgaben'!$B$182</f>
        <v>Sichelmulchgerät mit beids. Schwenkarm</v>
      </c>
      <c r="AE63" s="47">
        <f>'Standard Vorgaben'!$E$182</f>
        <v>7</v>
      </c>
      <c r="AF63" s="40">
        <f>'Standard Vorgaben'!$C$182</f>
        <v>1</v>
      </c>
      <c r="AG63" s="45">
        <f>'Standard Vorgaben'!$D$182</f>
        <v>41</v>
      </c>
      <c r="AH63" s="46">
        <f>AE63*AG63</f>
        <v>287</v>
      </c>
      <c r="AI63" s="738">
        <f t="shared" si="35"/>
        <v>7.5682806806664773E-3</v>
      </c>
      <c r="AJ63" s="41"/>
      <c r="AK63" s="42" t="str">
        <f>'Standard Vorgaben'!$B$182</f>
        <v>Sichelmulchgerät mit beids. Schwenkarm</v>
      </c>
      <c r="AL63" s="47">
        <f>'Standard Vorgaben'!$E$182</f>
        <v>7</v>
      </c>
      <c r="AM63" s="40">
        <f>'Standard Vorgaben'!$C$182</f>
        <v>1</v>
      </c>
      <c r="AN63" s="45">
        <f>'Standard Vorgaben'!$D$182</f>
        <v>41</v>
      </c>
      <c r="AO63" s="46">
        <f>AL63*AN63</f>
        <v>287</v>
      </c>
      <c r="AP63" s="738">
        <f t="shared" si="36"/>
        <v>7.5956276184351995E-3</v>
      </c>
      <c r="AQ63" s="41"/>
      <c r="AR63" s="42" t="str">
        <f>'Standard Vorgaben'!$B$182</f>
        <v>Sichelmulchgerät mit beids. Schwenkarm</v>
      </c>
      <c r="AS63" s="47">
        <f>'Standard Vorgaben'!$E$182</f>
        <v>7</v>
      </c>
      <c r="AT63" s="40">
        <f>'Standard Vorgaben'!$C$182</f>
        <v>1</v>
      </c>
      <c r="AU63" s="45">
        <f>'Standard Vorgaben'!$D$182</f>
        <v>41</v>
      </c>
      <c r="AV63" s="46">
        <f>AS63*AU63</f>
        <v>287</v>
      </c>
      <c r="AW63" s="738">
        <f t="shared" si="37"/>
        <v>7.093927621281566E-3</v>
      </c>
      <c r="AX63" s="41"/>
      <c r="AY63" s="42" t="str">
        <f>'Standard Vorgaben'!$B$182</f>
        <v>Sichelmulchgerät mit beids. Schwenkarm</v>
      </c>
      <c r="AZ63" s="47">
        <f>'Standard Vorgaben'!$E$182</f>
        <v>7</v>
      </c>
      <c r="BA63" s="40">
        <f>'Standard Vorgaben'!$C$182</f>
        <v>1</v>
      </c>
      <c r="BB63" s="45">
        <f>'Standard Vorgaben'!$D$182</f>
        <v>41</v>
      </c>
      <c r="BC63" s="46">
        <f>AZ63*BB63</f>
        <v>287</v>
      </c>
      <c r="BD63" s="738">
        <f t="shared" si="38"/>
        <v>7.6465171966919303E-3</v>
      </c>
      <c r="BE63" s="41"/>
      <c r="BF63" s="42" t="str">
        <f>'Standard Vorgaben'!$B$182</f>
        <v>Sichelmulchgerät mit beids. Schwenkarm</v>
      </c>
      <c r="BG63" s="47">
        <f>'Standard Vorgaben'!$E$182</f>
        <v>7</v>
      </c>
      <c r="BH63" s="40">
        <f>'Standard Vorgaben'!$C$182</f>
        <v>1</v>
      </c>
      <c r="BI63" s="45">
        <f>'Standard Vorgaben'!$D$182</f>
        <v>41</v>
      </c>
      <c r="BJ63" s="46">
        <f>BG63*BI63</f>
        <v>287</v>
      </c>
      <c r="BK63" s="738">
        <f t="shared" si="42"/>
        <v>7.6751501716864623E-3</v>
      </c>
      <c r="BL63" s="41"/>
      <c r="BM63" s="42" t="str">
        <f>'Standard Vorgaben'!$B$182</f>
        <v>Sichelmulchgerät mit beids. Schwenkarm</v>
      </c>
      <c r="BN63" s="47">
        <f>'Standard Vorgaben'!$E$182</f>
        <v>7</v>
      </c>
      <c r="BO63" s="40">
        <f>'Standard Vorgaben'!$C$182</f>
        <v>1</v>
      </c>
      <c r="BP63" s="45">
        <f>'Standard Vorgaben'!$D$182</f>
        <v>41</v>
      </c>
      <c r="BQ63" s="46">
        <f>BN63*BP63</f>
        <v>287</v>
      </c>
      <c r="BR63" s="738">
        <f t="shared" si="39"/>
        <v>7.163874063776869E-3</v>
      </c>
      <c r="BS63" s="41"/>
      <c r="BT63" s="42" t="str">
        <f>'Standard Vorgaben'!$B$182</f>
        <v>Sichelmulchgerät mit beids. Schwenkarm</v>
      </c>
      <c r="BU63" s="47">
        <f>'Standard Vorgaben'!$E$182</f>
        <v>7</v>
      </c>
      <c r="BV63" s="40">
        <f>'Standard Vorgaben'!$C$182</f>
        <v>1</v>
      </c>
      <c r="BW63" s="45">
        <f>'Standard Vorgaben'!$D$182</f>
        <v>41</v>
      </c>
      <c r="BX63" s="46">
        <f>BU63*BW63</f>
        <v>287</v>
      </c>
      <c r="BY63" s="738">
        <f t="shared" si="40"/>
        <v>7.7285874734185807E-3</v>
      </c>
      <c r="BZ63" s="41"/>
      <c r="CA63" s="42" t="str">
        <f>'Standard Vorgaben'!$B$182</f>
        <v>Sichelmulchgerät mit beids. Schwenkarm</v>
      </c>
      <c r="CB63" s="47">
        <f>'Standard Vorgaben'!$E$182</f>
        <v>7</v>
      </c>
      <c r="CC63" s="40">
        <f>'Standard Vorgaben'!$C$182</f>
        <v>1</v>
      </c>
      <c r="CD63" s="45">
        <f>'Standard Vorgaben'!$D$182</f>
        <v>41</v>
      </c>
      <c r="CE63" s="46">
        <f>CB63*CD63</f>
        <v>287</v>
      </c>
      <c r="CF63" s="738">
        <f t="shared" si="41"/>
        <v>7.7585918547622259E-3</v>
      </c>
      <c r="CG63" s="41"/>
      <c r="CH63" s="42" t="str">
        <f>'Standard Vorgaben'!$B$182</f>
        <v>Sichelmulchgerät mit beids. Schwenkarm</v>
      </c>
      <c r="CI63" s="47">
        <f>'Standard Vorgaben'!$E$182</f>
        <v>7</v>
      </c>
      <c r="CJ63" s="40">
        <f>'Standard Vorgaben'!$C$182</f>
        <v>1</v>
      </c>
      <c r="CK63" s="45">
        <f>'Standard Vorgaben'!$D$182</f>
        <v>41</v>
      </c>
      <c r="CL63" s="46">
        <f>CI63*CK63</f>
        <v>287</v>
      </c>
      <c r="CM63" s="738">
        <f t="shared" si="43"/>
        <v>7.3593485825473965E-3</v>
      </c>
      <c r="CN63" s="41"/>
      <c r="CO63" s="42" t="str">
        <f>'Standard Vorgaben'!$B$182</f>
        <v>Sichelmulchgerät mit beids. Schwenkarm</v>
      </c>
      <c r="CP63" s="47">
        <f>'Standard Vorgaben'!$E$182</f>
        <v>7</v>
      </c>
      <c r="CQ63" s="40">
        <f>'Standard Vorgaben'!$C$182</f>
        <v>1</v>
      </c>
      <c r="CR63" s="45">
        <f>'Standard Vorgaben'!$D$182</f>
        <v>41</v>
      </c>
      <c r="CS63" s="46">
        <f>CP63*CR63</f>
        <v>287</v>
      </c>
      <c r="CT63" s="730">
        <f t="shared" si="44"/>
        <v>7.9496088869633764E-3</v>
      </c>
      <c r="CU63" s="41"/>
      <c r="CV63" s="42" t="str">
        <f>'Standard Vorgaben'!$B$182</f>
        <v>Sichelmulchgerät mit beids. Schwenkarm</v>
      </c>
      <c r="CW63" s="47">
        <f>'Standard Vorgaben'!$E$182</f>
        <v>7</v>
      </c>
      <c r="CX63" s="40">
        <f>'Standard Vorgaben'!$C$182</f>
        <v>1</v>
      </c>
      <c r="CY63" s="45">
        <f>'Standard Vorgaben'!$D$182</f>
        <v>41</v>
      </c>
      <c r="CZ63" s="46">
        <f>CW63*CY63</f>
        <v>287</v>
      </c>
      <c r="DA63" s="730">
        <f t="shared" si="45"/>
        <v>6.8348414344398334E-3</v>
      </c>
    </row>
    <row r="64" spans="1:105" s="1" customFormat="1" ht="13.5" thickBot="1" x14ac:dyDescent="0.35">
      <c r="A64" s="250"/>
      <c r="B64" s="42" t="str">
        <f>'Standard Vorgaben'!$B$183</f>
        <v>Schnittholzhacker</v>
      </c>
      <c r="C64" s="564">
        <v>0</v>
      </c>
      <c r="D64" s="733">
        <f>'Standard Vorgaben'!$C$183</f>
        <v>2</v>
      </c>
      <c r="E64" s="45">
        <f>'Standard Vorgaben'!$D$183</f>
        <v>68.3</v>
      </c>
      <c r="F64" s="474">
        <f>C64*E64</f>
        <v>0</v>
      </c>
      <c r="G64" s="738">
        <f t="shared" si="31"/>
        <v>0</v>
      </c>
      <c r="H64" s="250"/>
      <c r="I64" s="42" t="str">
        <f>'Standard Vorgaben'!$B$183</f>
        <v>Schnittholzhacker</v>
      </c>
      <c r="J64" s="564">
        <v>0</v>
      </c>
      <c r="K64" s="733">
        <f>'Standard Vorgaben'!$C$183</f>
        <v>2</v>
      </c>
      <c r="L64" s="45">
        <f>'Standard Vorgaben'!$D$183</f>
        <v>68.3</v>
      </c>
      <c r="M64" s="474">
        <f>J64*L64</f>
        <v>0</v>
      </c>
      <c r="N64" s="738">
        <f t="shared" si="32"/>
        <v>0</v>
      </c>
      <c r="O64" s="250"/>
      <c r="P64" s="42" t="str">
        <f>'Standard Vorgaben'!$B$183</f>
        <v>Schnittholzhacker</v>
      </c>
      <c r="Q64" s="564">
        <v>0</v>
      </c>
      <c r="R64" s="733">
        <f>'Standard Vorgaben'!$C$183</f>
        <v>2</v>
      </c>
      <c r="S64" s="45">
        <f>'Standard Vorgaben'!$D$183</f>
        <v>68.3</v>
      </c>
      <c r="T64" s="474">
        <f>Q64*S64</f>
        <v>0</v>
      </c>
      <c r="U64" s="738">
        <f t="shared" si="33"/>
        <v>0</v>
      </c>
      <c r="V64" s="250"/>
      <c r="W64" s="42" t="str">
        <f>'Standard Vorgaben'!$B$183</f>
        <v>Schnittholzhacker</v>
      </c>
      <c r="X64" s="564">
        <v>1</v>
      </c>
      <c r="Y64" s="733">
        <f>'Standard Vorgaben'!$C$183</f>
        <v>2</v>
      </c>
      <c r="Z64" s="45">
        <f>'Standard Vorgaben'!$D$183</f>
        <v>68.3</v>
      </c>
      <c r="AA64" s="474">
        <f>X64*Z64</f>
        <v>68.3</v>
      </c>
      <c r="AB64" s="738">
        <f t="shared" si="34"/>
        <v>1.8619608274058673E-3</v>
      </c>
      <c r="AC64" s="250"/>
      <c r="AD64" s="42" t="str">
        <f>'Standard Vorgaben'!$B$183</f>
        <v>Schnittholzhacker</v>
      </c>
      <c r="AE64" s="564">
        <v>1</v>
      </c>
      <c r="AF64" s="733">
        <f>'Standard Vorgaben'!$C$183</f>
        <v>2</v>
      </c>
      <c r="AG64" s="45">
        <f>'Standard Vorgaben'!$D$183</f>
        <v>68.3</v>
      </c>
      <c r="AH64" s="474">
        <f>AE64*AG64</f>
        <v>68.3</v>
      </c>
      <c r="AI64" s="738">
        <f t="shared" si="35"/>
        <v>1.8010925801028586E-3</v>
      </c>
      <c r="AJ64" s="250"/>
      <c r="AK64" s="42" t="str">
        <f>'Standard Vorgaben'!$B$183</f>
        <v>Schnittholzhacker</v>
      </c>
      <c r="AL64" s="564">
        <v>1</v>
      </c>
      <c r="AM64" s="733">
        <f>'Standard Vorgaben'!$C$183</f>
        <v>2</v>
      </c>
      <c r="AN64" s="45">
        <f>'Standard Vorgaben'!$D$183</f>
        <v>68.3</v>
      </c>
      <c r="AO64" s="474">
        <f>AL64*AN64</f>
        <v>68.3</v>
      </c>
      <c r="AP64" s="738">
        <f t="shared" si="36"/>
        <v>1.8076005795788295E-3</v>
      </c>
      <c r="AQ64" s="250"/>
      <c r="AR64" s="42" t="str">
        <f>'Standard Vorgaben'!$B$183</f>
        <v>Schnittholzhacker</v>
      </c>
      <c r="AS64" s="564">
        <v>1</v>
      </c>
      <c r="AT64" s="733">
        <f>'Standard Vorgaben'!$C$183</f>
        <v>2</v>
      </c>
      <c r="AU64" s="45">
        <f>'Standard Vorgaben'!$D$183</f>
        <v>68.3</v>
      </c>
      <c r="AV64" s="474">
        <f>AS64*AU64</f>
        <v>68.3</v>
      </c>
      <c r="AW64" s="738">
        <f t="shared" si="37"/>
        <v>1.6882064687579474E-3</v>
      </c>
      <c r="AX64" s="250"/>
      <c r="AY64" s="42" t="str">
        <f>'Standard Vorgaben'!$B$183</f>
        <v>Schnittholzhacker</v>
      </c>
      <c r="AZ64" s="564">
        <v>1</v>
      </c>
      <c r="BA64" s="733">
        <f>'Standard Vorgaben'!$C$183</f>
        <v>2</v>
      </c>
      <c r="BB64" s="45">
        <f>'Standard Vorgaben'!$D$183</f>
        <v>68.3</v>
      </c>
      <c r="BC64" s="474">
        <f>AZ64*BB64</f>
        <v>68.3</v>
      </c>
      <c r="BD64" s="738">
        <f t="shared" si="38"/>
        <v>1.8197112353103095E-3</v>
      </c>
      <c r="BE64" s="250"/>
      <c r="BF64" s="42" t="str">
        <f>'Standard Vorgaben'!$B$183</f>
        <v>Schnittholzhacker</v>
      </c>
      <c r="BG64" s="564">
        <v>1</v>
      </c>
      <c r="BH64" s="733">
        <f>'Standard Vorgaben'!$C$183</f>
        <v>2</v>
      </c>
      <c r="BI64" s="45">
        <f>'Standard Vorgaben'!$D$183</f>
        <v>68.3</v>
      </c>
      <c r="BJ64" s="474">
        <f>BG64*BI64</f>
        <v>68.3</v>
      </c>
      <c r="BK64" s="738">
        <f t="shared" si="42"/>
        <v>1.8265252847602278E-3</v>
      </c>
      <c r="BL64" s="250"/>
      <c r="BM64" s="42" t="str">
        <f>'Standard Vorgaben'!$B$183</f>
        <v>Schnittholzhacker</v>
      </c>
      <c r="BN64" s="564">
        <v>1</v>
      </c>
      <c r="BO64" s="733">
        <f>'Standard Vorgaben'!$C$183</f>
        <v>2</v>
      </c>
      <c r="BP64" s="45">
        <f>'Standard Vorgaben'!$D$183</f>
        <v>68.3</v>
      </c>
      <c r="BQ64" s="474">
        <f>BN64*BP64</f>
        <v>68.3</v>
      </c>
      <c r="BR64" s="738">
        <f t="shared" si="39"/>
        <v>1.7048522597768645E-3</v>
      </c>
      <c r="BS64" s="250"/>
      <c r="BT64" s="42" t="str">
        <f>'Standard Vorgaben'!$B$183</f>
        <v>Schnittholzhacker</v>
      </c>
      <c r="BU64" s="564">
        <v>1</v>
      </c>
      <c r="BV64" s="733">
        <f>'Standard Vorgaben'!$C$183</f>
        <v>2</v>
      </c>
      <c r="BW64" s="45">
        <f>'Standard Vorgaben'!$D$183</f>
        <v>68.3</v>
      </c>
      <c r="BX64" s="474">
        <f>BU64*BW64</f>
        <v>68.3</v>
      </c>
      <c r="BY64" s="738">
        <f t="shared" si="40"/>
        <v>1.8392422454163381E-3</v>
      </c>
      <c r="BZ64" s="250"/>
      <c r="CA64" s="42" t="str">
        <f>'Standard Vorgaben'!$B$183</f>
        <v>Schnittholzhacker</v>
      </c>
      <c r="CB64" s="564">
        <v>1</v>
      </c>
      <c r="CC64" s="733">
        <f>'Standard Vorgaben'!$C$183</f>
        <v>2</v>
      </c>
      <c r="CD64" s="45">
        <f>'Standard Vorgaben'!$D$183</f>
        <v>68.3</v>
      </c>
      <c r="CE64" s="474">
        <f>CB64*CD64</f>
        <v>68.3</v>
      </c>
      <c r="CF64" s="738">
        <f t="shared" si="41"/>
        <v>1.8463826609068292E-3</v>
      </c>
      <c r="CG64" s="250"/>
      <c r="CH64" s="42" t="str">
        <f>'Standard Vorgaben'!$B$183</f>
        <v>Schnittholzhacker</v>
      </c>
      <c r="CI64" s="564">
        <v>1</v>
      </c>
      <c r="CJ64" s="733">
        <f>'Standard Vorgaben'!$C$183</f>
        <v>2</v>
      </c>
      <c r="CK64" s="45">
        <f>'Standard Vorgaben'!$D$183</f>
        <v>68.3</v>
      </c>
      <c r="CL64" s="474">
        <f>CI64*CK64</f>
        <v>68.3</v>
      </c>
      <c r="CM64" s="738">
        <f t="shared" si="43"/>
        <v>1.7513711086689448E-3</v>
      </c>
      <c r="CN64" s="250"/>
      <c r="CO64" s="42" t="str">
        <f>'Standard Vorgaben'!$B$183</f>
        <v>Schnittholzhacker</v>
      </c>
      <c r="CP64" s="564">
        <v>1</v>
      </c>
      <c r="CQ64" s="733">
        <f>'Standard Vorgaben'!$C$183</f>
        <v>2</v>
      </c>
      <c r="CR64" s="45">
        <f>'Standard Vorgaben'!$D$183</f>
        <v>68.3</v>
      </c>
      <c r="CS64" s="474">
        <f>CP64*CR64</f>
        <v>68.3</v>
      </c>
      <c r="CT64" s="730">
        <f t="shared" si="44"/>
        <v>1.8918407211832703E-3</v>
      </c>
      <c r="CU64" s="250"/>
      <c r="CV64" s="42" t="str">
        <f>'Standard Vorgaben'!$B$183</f>
        <v>Schnittholzhacker</v>
      </c>
      <c r="CW64" s="564">
        <v>1</v>
      </c>
      <c r="CX64" s="733">
        <f>'Standard Vorgaben'!$C$183</f>
        <v>2</v>
      </c>
      <c r="CY64" s="45">
        <f>'Standard Vorgaben'!$D$183</f>
        <v>68.3</v>
      </c>
      <c r="CZ64" s="474">
        <f>CW64*CY64</f>
        <v>68.3</v>
      </c>
      <c r="DA64" s="730">
        <f t="shared" si="45"/>
        <v>1.6265493727255771E-3</v>
      </c>
    </row>
    <row r="65" spans="1:105" s="1" customFormat="1" ht="16.5" customHeight="1" x14ac:dyDescent="0.3">
      <c r="A65" s="250"/>
      <c r="B65" s="42" t="s">
        <v>107</v>
      </c>
      <c r="C65" s="44"/>
      <c r="D65" s="623">
        <f>(C57*D57)+(C58*D58)+(C59*D59)+(C60*D60)+(D62*E62*'Standard Vorgaben'!$I$174)+(C63*D63)+(C64*D64)+(C69*D69)</f>
        <v>60</v>
      </c>
      <c r="E65" s="45"/>
      <c r="F65" s="85">
        <f>SUM(F57:F64)</f>
        <v>3187</v>
      </c>
      <c r="G65" s="738">
        <f t="shared" si="31"/>
        <v>0.13262391262197881</v>
      </c>
      <c r="H65" s="250"/>
      <c r="I65" s="42" t="s">
        <v>107</v>
      </c>
      <c r="J65" s="44"/>
      <c r="K65" s="623">
        <f>(J57*K57)+(J58*K58)+(J59*K59)+(J60*K60)+(K62*L62*'Standard Vorgaben'!$I$174)+(J63*K63)+(J64*K64)+(J69*K69)</f>
        <v>46.442670354538599</v>
      </c>
      <c r="L65" s="45"/>
      <c r="M65" s="85">
        <f>SUM(M57:M64)</f>
        <v>1512.9908536585365</v>
      </c>
      <c r="N65" s="738">
        <f t="shared" si="32"/>
        <v>6.1822455605989125E-2</v>
      </c>
      <c r="O65" s="250"/>
      <c r="P65" s="42" t="s">
        <v>107</v>
      </c>
      <c r="Q65" s="44"/>
      <c r="R65" s="623">
        <f>(Q57*R57)+(Q58*R58)+(Q59*R59)+(Q60*R60)+(R62*S62*'Standard Vorgaben'!$I$174)+(Q63*R63)+(Q64*R64)+(Q69*R69)</f>
        <v>46.289791299974858</v>
      </c>
      <c r="S65" s="45"/>
      <c r="T65" s="85">
        <f>SUM(T57:T64)</f>
        <v>1420.9664634146341</v>
      </c>
      <c r="U65" s="738">
        <f t="shared" si="33"/>
        <v>4.3890605435951531E-2</v>
      </c>
      <c r="V65" s="250"/>
      <c r="W65" s="42" t="s">
        <v>107</v>
      </c>
      <c r="X65" s="44"/>
      <c r="Y65" s="623">
        <f>(X57*Y57)+(X58*Y58)+(X59*Y59)+(X60*Y60)+(Y62*Z62*'Standard Vorgaben'!$I$174)+(X63*Y63)+(X64*Y64)+(X69*Y69)</f>
        <v>66.213351772692988</v>
      </c>
      <c r="Z65" s="45"/>
      <c r="AA65" s="85">
        <f>SUM(AA57:AA64)</f>
        <v>3230.2542682926833</v>
      </c>
      <c r="AB65" s="738">
        <f t="shared" si="34"/>
        <v>8.8061594584503355E-2</v>
      </c>
      <c r="AC65" s="250"/>
      <c r="AD65" s="42" t="s">
        <v>107</v>
      </c>
      <c r="AE65" s="44"/>
      <c r="AF65" s="623">
        <f>(AE57*AF57)+(AE58*AF58)+(AE59*AF59)+(AE60*AF60)+(AF62*AG62*'Standard Vorgaben'!$I$174)+(AE63*AF63)+(AE64*AF64)+(AE69*AF69)</f>
        <v>59.869373899924568</v>
      </c>
      <c r="AG65" s="45"/>
      <c r="AH65" s="85">
        <f>SUM(AH57:AH64)</f>
        <v>1661.1993902439024</v>
      </c>
      <c r="AI65" s="738">
        <f t="shared" si="35"/>
        <v>4.3806352794138879E-2</v>
      </c>
      <c r="AJ65" s="250"/>
      <c r="AK65" s="42" t="s">
        <v>107</v>
      </c>
      <c r="AL65" s="44"/>
      <c r="AM65" s="623">
        <f>(AL57*AM57)+(AL58*AM58)+(AL59*AM59)+(AL60*AM60)+(AM62*AN62*'Standard Vorgaben'!$I$174)+(AL63*AM63)+(AL64*AM64)+(AL69*AM69)</f>
        <v>59.869373899924568</v>
      </c>
      <c r="AN65" s="45"/>
      <c r="AO65" s="85">
        <f>SUM(AO57:AO64)</f>
        <v>1661.1993902439024</v>
      </c>
      <c r="AP65" s="738">
        <f t="shared" si="36"/>
        <v>4.3964641004405218E-2</v>
      </c>
      <c r="AQ65" s="250"/>
      <c r="AR65" s="42" t="s">
        <v>107</v>
      </c>
      <c r="AS65" s="44"/>
      <c r="AT65" s="623">
        <f>(AS57*AT57)+(AS58*AT58)+(AS59*AT59)+(AS60*AT60)+(AT62*AU62*'Standard Vorgaben'!$I$174)+(AS63*AT63)+(AS64*AT64)+(AS69*AT69)</f>
        <v>74.869373899924568</v>
      </c>
      <c r="AU65" s="45"/>
      <c r="AV65" s="85">
        <f>SUM(AV57:AV64)</f>
        <v>3356.1993902439026</v>
      </c>
      <c r="AW65" s="738">
        <f t="shared" si="37"/>
        <v>8.2956918317001985E-2</v>
      </c>
      <c r="AX65" s="250"/>
      <c r="AY65" s="42" t="s">
        <v>107</v>
      </c>
      <c r="AZ65" s="44"/>
      <c r="BA65" s="623">
        <f>(AZ57*BA57)+(AZ58*BA58)+(AZ59*BA59)+(AZ60*BA60)+(BA62*BB62*'Standard Vorgaben'!$I$174)+(AZ63*BA63)+(AZ64*BA64)+(AZ69*BA69)</f>
        <v>59.869373899924568</v>
      </c>
      <c r="BB65" s="45"/>
      <c r="BC65" s="85">
        <f>SUM(BC57:BC64)</f>
        <v>1661.1993902439024</v>
      </c>
      <c r="BD65" s="738">
        <f t="shared" si="38"/>
        <v>4.4259197577122468E-2</v>
      </c>
      <c r="BE65" s="250"/>
      <c r="BF65" s="42" t="s">
        <v>107</v>
      </c>
      <c r="BG65" s="44"/>
      <c r="BH65" s="623">
        <f>(BG57*BH57)+(BG58*BH58)+(BG59*BH59)+(BG60*BH60)+(BH62*BI62*'Standard Vorgaben'!$I$174)+(BG63*BH63)+(BG64*BH64)+(BG69*BH69)</f>
        <v>59.869373899924568</v>
      </c>
      <c r="BI65" s="45"/>
      <c r="BJ65" s="85">
        <f>SUM(BJ57:BJ64)</f>
        <v>1661.1993902439024</v>
      </c>
      <c r="BK65" s="738">
        <f t="shared" si="42"/>
        <v>4.4424929565281997E-2</v>
      </c>
      <c r="BL65" s="250"/>
      <c r="BM65" s="42" t="s">
        <v>107</v>
      </c>
      <c r="BN65" s="44"/>
      <c r="BO65" s="623">
        <f>(BN57*BO57)+(BN58*BO58)+(BN59*BO59)+(BN60*BO60)+(BO62*BP62*'Standard Vorgaben'!$I$174)+(BN63*BO63)+(BN64*BO64)+(BN69*BO69)</f>
        <v>74.869373899924568</v>
      </c>
      <c r="BP65" s="45"/>
      <c r="BQ65" s="85">
        <f>SUM(BQ57:BQ64)</f>
        <v>3356.1993902439026</v>
      </c>
      <c r="BR65" s="738">
        <f t="shared" si="39"/>
        <v>8.3774877228683042E-2</v>
      </c>
      <c r="BS65" s="250"/>
      <c r="BT65" s="42" t="s">
        <v>107</v>
      </c>
      <c r="BU65" s="44"/>
      <c r="BV65" s="623">
        <f>(BU57*BV57)+(BU58*BV58)+(BU59*BV59)+(BU60*BV60)+(BV62*BW62*'Standard Vorgaben'!$I$174)+(BU63*BV63)+(BU64*BV64)+(BU69*BV69)</f>
        <v>59.869373899924568</v>
      </c>
      <c r="BW65" s="45"/>
      <c r="BX65" s="85">
        <f>SUM(BX57:BX64)</f>
        <v>1661.1993902439024</v>
      </c>
      <c r="BY65" s="738">
        <f t="shared" si="40"/>
        <v>4.4734232746653682E-2</v>
      </c>
      <c r="BZ65" s="250"/>
      <c r="CA65" s="42" t="s">
        <v>107</v>
      </c>
      <c r="CB65" s="44"/>
      <c r="CC65" s="623">
        <f>(CB57*CC57)+(CB58*CC58)+(CB59*CC59)+(CB60*CC60)+(CC62*CD62*'Standard Vorgaben'!$I$174)+(CB63*CC63)+(CB64*CC64)+(CB69*CC69)</f>
        <v>59.869373899924568</v>
      </c>
      <c r="CD65" s="45"/>
      <c r="CE65" s="85">
        <f>SUM(CE57:CE64)</f>
        <v>1661.1993902439024</v>
      </c>
      <c r="CF65" s="738">
        <f t="shared" si="41"/>
        <v>4.4907902642098665E-2</v>
      </c>
      <c r="CG65" s="250"/>
      <c r="CH65" s="42" t="s">
        <v>107</v>
      </c>
      <c r="CI65" s="44"/>
      <c r="CJ65" s="623">
        <f>(CI57*CJ57)+(CI58*CJ58)+(CI59*CJ59)+(CI60*CJ60)+(CJ62*CK62*'Standard Vorgaben'!$I$174)+(CI63*CJ63)+(CI64*CJ64)+(CI69*CJ69)</f>
        <v>73.426703545385976</v>
      </c>
      <c r="CK65" s="45"/>
      <c r="CL65" s="85">
        <f>SUM(CL57:CL64)</f>
        <v>3335.2085365853659</v>
      </c>
      <c r="CM65" s="738">
        <f t="shared" si="43"/>
        <v>8.5522516432820522E-2</v>
      </c>
      <c r="CN65" s="250"/>
      <c r="CO65" s="42" t="s">
        <v>107</v>
      </c>
      <c r="CP65" s="44"/>
      <c r="CQ65" s="623">
        <f>(CP57*CQ57)+(CP58*CQ58)+(CP59*CQ59)+(CP60*CQ60)+(CQ62*CR62*'Standard Vorgaben'!$I$174)+(CP63*CQ63)+(CP64*CQ64)+(CP69*CQ69)</f>
        <v>58.426703545385969</v>
      </c>
      <c r="CR65" s="45"/>
      <c r="CS65" s="85">
        <f>SUM(CS57:CS64)</f>
        <v>1640.2085365853659</v>
      </c>
      <c r="CT65" s="730">
        <f t="shared" si="44"/>
        <v>4.5432112748823063E-2</v>
      </c>
      <c r="CU65" s="250"/>
      <c r="CV65" s="42" t="s">
        <v>107</v>
      </c>
      <c r="CW65" s="44"/>
      <c r="CX65" s="623">
        <f>(CW57*CX57)+(CW58*CX58)+(CW59*CX59)+(CW60*CX60)+(CX62*CY62*'Standard Vorgaben'!$I$174)+(CW63*CX63)+(CW64*CX64)+(CW69*CX69)</f>
        <v>58.426703545385969</v>
      </c>
      <c r="CY65" s="45"/>
      <c r="CZ65" s="85">
        <f>SUM(CZ57:CZ64)</f>
        <v>1640.2085365853659</v>
      </c>
      <c r="DA65" s="730">
        <f t="shared" si="45"/>
        <v>3.9061203020820848E-2</v>
      </c>
    </row>
    <row r="66" spans="1:105" s="1" customFormat="1" ht="13" x14ac:dyDescent="0.3">
      <c r="A66" s="624"/>
      <c r="B66" s="87" t="str">
        <f>'Standard Vorgaben'!$B$174</f>
        <v>Obstbautraktor 4-Rad</v>
      </c>
      <c r="C66" s="44"/>
      <c r="D66" s="623">
        <f>D65</f>
        <v>60</v>
      </c>
      <c r="E66" s="45">
        <f>'Standard Vorgaben'!$D$174</f>
        <v>41</v>
      </c>
      <c r="F66" s="149">
        <f>D66*E66</f>
        <v>2460</v>
      </c>
      <c r="G66" s="738">
        <f t="shared" si="31"/>
        <v>0.1023705130373605</v>
      </c>
      <c r="H66" s="624"/>
      <c r="I66" s="87" t="str">
        <f>'Standard Vorgaben'!$B$174</f>
        <v>Obstbautraktor 4-Rad</v>
      </c>
      <c r="J66" s="44"/>
      <c r="K66" s="623">
        <f>K65</f>
        <v>46.442670354538599</v>
      </c>
      <c r="L66" s="45">
        <f>'Standard Vorgaben'!$D$174</f>
        <v>41</v>
      </c>
      <c r="M66" s="149">
        <f>K66*L66</f>
        <v>1904.1494845360826</v>
      </c>
      <c r="N66" s="738">
        <f t="shared" si="32"/>
        <v>7.7805623669333052E-2</v>
      </c>
      <c r="O66" s="624"/>
      <c r="P66" s="87" t="str">
        <f>'Standard Vorgaben'!$B$174</f>
        <v>Obstbautraktor 4-Rad</v>
      </c>
      <c r="Q66" s="44"/>
      <c r="R66" s="623">
        <f>R65</f>
        <v>46.289791299974858</v>
      </c>
      <c r="S66" s="45">
        <f>'Standard Vorgaben'!$D$174</f>
        <v>41</v>
      </c>
      <c r="T66" s="149">
        <f>R66*S66</f>
        <v>1897.8814432989691</v>
      </c>
      <c r="U66" s="738">
        <f t="shared" si="33"/>
        <v>5.8621485965177772E-2</v>
      </c>
      <c r="V66" s="624"/>
      <c r="W66" s="87" t="str">
        <f>'Standard Vorgaben'!$B$174</f>
        <v>Obstbautraktor 4-Rad</v>
      </c>
      <c r="X66" s="44"/>
      <c r="Y66" s="623">
        <f>Y65</f>
        <v>66.213351772692988</v>
      </c>
      <c r="Z66" s="45">
        <f>'Standard Vorgaben'!$D$174</f>
        <v>41</v>
      </c>
      <c r="AA66" s="149">
        <f>Y66*Z66</f>
        <v>2714.7474226804125</v>
      </c>
      <c r="AB66" s="738">
        <f t="shared" si="34"/>
        <v>7.4008101864304052E-2</v>
      </c>
      <c r="AC66" s="624"/>
      <c r="AD66" s="87" t="str">
        <f>'Standard Vorgaben'!$B$174</f>
        <v>Obstbautraktor 4-Rad</v>
      </c>
      <c r="AE66" s="44"/>
      <c r="AF66" s="623">
        <f>AF65</f>
        <v>59.869373899924568</v>
      </c>
      <c r="AG66" s="45">
        <f>'Standard Vorgaben'!$D$174</f>
        <v>41</v>
      </c>
      <c r="AH66" s="149">
        <f>AF66*AG66</f>
        <v>2454.6443298969075</v>
      </c>
      <c r="AI66" s="738">
        <f t="shared" si="35"/>
        <v>6.4729746550056713E-2</v>
      </c>
      <c r="AJ66" s="624"/>
      <c r="AK66" s="87" t="str">
        <f>'Standard Vorgaben'!$B$174</f>
        <v>Obstbautraktor 4-Rad</v>
      </c>
      <c r="AL66" s="44"/>
      <c r="AM66" s="623">
        <f>AM65</f>
        <v>59.869373899924568</v>
      </c>
      <c r="AN66" s="45">
        <f>'Standard Vorgaben'!$D$174</f>
        <v>41</v>
      </c>
      <c r="AO66" s="149">
        <f>AM66*AN66</f>
        <v>2454.6443298969075</v>
      </c>
      <c r="AP66" s="738">
        <f t="shared" si="36"/>
        <v>6.4963638556098657E-2</v>
      </c>
      <c r="AQ66" s="624"/>
      <c r="AR66" s="87" t="str">
        <f>'Standard Vorgaben'!$B$174</f>
        <v>Obstbautraktor 4-Rad</v>
      </c>
      <c r="AS66" s="44"/>
      <c r="AT66" s="623">
        <f>AT65</f>
        <v>74.869373899924568</v>
      </c>
      <c r="AU66" s="45">
        <f>'Standard Vorgaben'!$D$174</f>
        <v>41</v>
      </c>
      <c r="AV66" s="149">
        <f>AT66*AU66</f>
        <v>3069.6443298969075</v>
      </c>
      <c r="AW66" s="738">
        <f t="shared" si="37"/>
        <v>7.5873988499533154E-2</v>
      </c>
      <c r="AX66" s="624"/>
      <c r="AY66" s="87" t="str">
        <f>'Standard Vorgaben'!$B$174</f>
        <v>Obstbautraktor 4-Rad</v>
      </c>
      <c r="AZ66" s="44"/>
      <c r="BA66" s="623">
        <f>BA65</f>
        <v>59.869373899924568</v>
      </c>
      <c r="BB66" s="45">
        <f>'Standard Vorgaben'!$D$174</f>
        <v>41</v>
      </c>
      <c r="BC66" s="149">
        <f>BA66*BB66</f>
        <v>2454.6443298969075</v>
      </c>
      <c r="BD66" s="738">
        <f t="shared" si="38"/>
        <v>6.53988852972789E-2</v>
      </c>
      <c r="BE66" s="624"/>
      <c r="BF66" s="87" t="str">
        <f>'Standard Vorgaben'!$B$174</f>
        <v>Obstbautraktor 4-Rad</v>
      </c>
      <c r="BG66" s="44"/>
      <c r="BH66" s="623">
        <f>BH65</f>
        <v>59.869373899924568</v>
      </c>
      <c r="BI66" s="45">
        <f>'Standard Vorgaben'!$D$174</f>
        <v>41</v>
      </c>
      <c r="BJ66" s="149">
        <f>BH66*BI66</f>
        <v>2454.6443298969075</v>
      </c>
      <c r="BK66" s="738">
        <f t="shared" si="42"/>
        <v>6.5643776480966726E-2</v>
      </c>
      <c r="BL66" s="624"/>
      <c r="BM66" s="87" t="str">
        <f>'Standard Vorgaben'!$B$174</f>
        <v>Obstbautraktor 4-Rad</v>
      </c>
      <c r="BN66" s="44"/>
      <c r="BO66" s="623">
        <f>BO65</f>
        <v>74.869373899924568</v>
      </c>
      <c r="BP66" s="45">
        <f>'Standard Vorgaben'!$D$174</f>
        <v>41</v>
      </c>
      <c r="BQ66" s="149">
        <f>BO66*BP66</f>
        <v>3069.6443298969075</v>
      </c>
      <c r="BR66" s="738">
        <f t="shared" si="39"/>
        <v>7.6622109407554637E-2</v>
      </c>
      <c r="BS66" s="624"/>
      <c r="BT66" s="87" t="str">
        <f>'Standard Vorgaben'!$B$174</f>
        <v>Obstbautraktor 4-Rad</v>
      </c>
      <c r="BU66" s="44"/>
      <c r="BV66" s="623">
        <f>BV65</f>
        <v>59.869373899924568</v>
      </c>
      <c r="BW66" s="45">
        <f>'Standard Vorgaben'!$D$174</f>
        <v>41</v>
      </c>
      <c r="BX66" s="149">
        <f>BV66*BW66</f>
        <v>2454.6443298969075</v>
      </c>
      <c r="BY66" s="738">
        <f t="shared" si="40"/>
        <v>6.6100813309195761E-2</v>
      </c>
      <c r="BZ66" s="624"/>
      <c r="CA66" s="87" t="str">
        <f>'Standard Vorgaben'!$B$174</f>
        <v>Obstbautraktor 4-Rad</v>
      </c>
      <c r="CB66" s="44"/>
      <c r="CC66" s="623">
        <f>CC65</f>
        <v>59.869373899924568</v>
      </c>
      <c r="CD66" s="45">
        <f>'Standard Vorgaben'!$D$174</f>
        <v>41</v>
      </c>
      <c r="CE66" s="149">
        <f>CC66*CD66</f>
        <v>2454.6443298969075</v>
      </c>
      <c r="CF66" s="738">
        <f t="shared" si="41"/>
        <v>6.6357433812809855E-2</v>
      </c>
      <c r="CG66" s="624"/>
      <c r="CH66" s="87" t="str">
        <f>'Standard Vorgaben'!$B$174</f>
        <v>Obstbautraktor 4-Rad</v>
      </c>
      <c r="CI66" s="44"/>
      <c r="CJ66" s="623">
        <f>CJ65</f>
        <v>73.426703545385976</v>
      </c>
      <c r="CK66" s="45">
        <f>'Standard Vorgaben'!$D$174</f>
        <v>41</v>
      </c>
      <c r="CL66" s="149">
        <f>CJ66*CK66</f>
        <v>3010.4948453608249</v>
      </c>
      <c r="CM66" s="738">
        <f t="shared" si="43"/>
        <v>7.7196100951123447E-2</v>
      </c>
      <c r="CN66" s="624"/>
      <c r="CO66" s="87" t="str">
        <f>'Standard Vorgaben'!$B$174</f>
        <v>Obstbautraktor 4-Rad</v>
      </c>
      <c r="CP66" s="44"/>
      <c r="CQ66" s="623">
        <f>CQ65</f>
        <v>58.426703545385969</v>
      </c>
      <c r="CR66" s="45">
        <f>'Standard Vorgaben'!$D$174</f>
        <v>41</v>
      </c>
      <c r="CS66" s="149">
        <f>CQ66*CR66</f>
        <v>2395.4948453608249</v>
      </c>
      <c r="CT66" s="730">
        <f t="shared" si="44"/>
        <v>6.6352777391482126E-2</v>
      </c>
      <c r="CU66" s="624"/>
      <c r="CV66" s="87" t="str">
        <f>'Standard Vorgaben'!$B$174</f>
        <v>Obstbautraktor 4-Rad</v>
      </c>
      <c r="CW66" s="44"/>
      <c r="CX66" s="623">
        <f>CX65</f>
        <v>58.426703545385969</v>
      </c>
      <c r="CY66" s="45">
        <f>'Standard Vorgaben'!$D$174</f>
        <v>41</v>
      </c>
      <c r="CZ66" s="149">
        <f>CX66*CY66</f>
        <v>2395.4948453608249</v>
      </c>
      <c r="DA66" s="730">
        <f t="shared" si="45"/>
        <v>5.7048179181390969E-2</v>
      </c>
    </row>
    <row r="67" spans="1:105" s="1" customFormat="1" ht="12.5" x14ac:dyDescent="0.25">
      <c r="A67" s="1457" t="s">
        <v>406</v>
      </c>
      <c r="B67" s="145" t="str">
        <f>'Standard Vorgaben'!$B$174</f>
        <v>Obstbautraktor 4-Rad</v>
      </c>
      <c r="C67" s="564">
        <v>10</v>
      </c>
      <c r="D67" s="320"/>
      <c r="E67" s="45">
        <f>'Standard Vorgaben'!$D$174</f>
        <v>41</v>
      </c>
      <c r="F67" s="149">
        <f>E67*C67</f>
        <v>410</v>
      </c>
      <c r="G67" s="738">
        <f t="shared" si="31"/>
        <v>1.7061752172893418E-2</v>
      </c>
      <c r="H67" s="1457" t="s">
        <v>406</v>
      </c>
      <c r="I67" s="145" t="str">
        <f>'Standard Vorgaben'!$B$174</f>
        <v>Obstbautraktor 4-Rad</v>
      </c>
      <c r="J67" s="564">
        <v>10</v>
      </c>
      <c r="K67" s="320"/>
      <c r="L67" s="45">
        <f>'Standard Vorgaben'!$D$174</f>
        <v>41</v>
      </c>
      <c r="M67" s="149">
        <f>L67*J67</f>
        <v>410</v>
      </c>
      <c r="N67" s="738">
        <f t="shared" si="32"/>
        <v>1.6753046944840352E-2</v>
      </c>
      <c r="O67" s="1457" t="s">
        <v>406</v>
      </c>
      <c r="P67" s="145" t="str">
        <f>'Standard Vorgaben'!$B$174</f>
        <v>Obstbautraktor 4-Rad</v>
      </c>
      <c r="Q67" s="564">
        <v>10</v>
      </c>
      <c r="R67" s="320"/>
      <c r="S67" s="45">
        <f>'Standard Vorgaben'!$D$174</f>
        <v>41</v>
      </c>
      <c r="T67" s="149">
        <f>S67*Q67</f>
        <v>410</v>
      </c>
      <c r="U67" s="738">
        <f t="shared" si="33"/>
        <v>1.266402036364541E-2</v>
      </c>
      <c r="V67" s="1457" t="s">
        <v>406</v>
      </c>
      <c r="W67" s="145" t="str">
        <f>'Standard Vorgaben'!$B$174</f>
        <v>Obstbautraktor 4-Rad</v>
      </c>
      <c r="X67" s="564">
        <v>10</v>
      </c>
      <c r="Y67" s="320"/>
      <c r="Z67" s="45">
        <f>'Standard Vorgaben'!$D$174</f>
        <v>41</v>
      </c>
      <c r="AA67" s="149">
        <f>Z67*X67</f>
        <v>410</v>
      </c>
      <c r="AB67" s="738">
        <f t="shared" si="34"/>
        <v>1.1177217265540346E-2</v>
      </c>
      <c r="AC67" s="1457" t="s">
        <v>406</v>
      </c>
      <c r="AD67" s="145" t="str">
        <f>'Standard Vorgaben'!$B$174</f>
        <v>Obstbautraktor 4-Rad</v>
      </c>
      <c r="AE67" s="564">
        <v>10</v>
      </c>
      <c r="AF67" s="320"/>
      <c r="AG67" s="45">
        <f>'Standard Vorgaben'!$D$174</f>
        <v>41</v>
      </c>
      <c r="AH67" s="149">
        <f>AG67*AE67</f>
        <v>410</v>
      </c>
      <c r="AI67" s="738">
        <f t="shared" si="35"/>
        <v>1.0811829543809253E-2</v>
      </c>
      <c r="AJ67" s="1457" t="s">
        <v>406</v>
      </c>
      <c r="AK67" s="145" t="str">
        <f>'Standard Vorgaben'!$B$174</f>
        <v>Obstbautraktor 4-Rad</v>
      </c>
      <c r="AL67" s="564">
        <v>10</v>
      </c>
      <c r="AM67" s="320"/>
      <c r="AN67" s="45">
        <f>'Standard Vorgaben'!$D$174</f>
        <v>41</v>
      </c>
      <c r="AO67" s="149">
        <f>AN67*AL67</f>
        <v>410</v>
      </c>
      <c r="AP67" s="738">
        <f t="shared" si="36"/>
        <v>1.0850896597764571E-2</v>
      </c>
      <c r="AQ67" s="1457" t="s">
        <v>406</v>
      </c>
      <c r="AR67" s="145" t="str">
        <f>'Standard Vorgaben'!$B$174</f>
        <v>Obstbautraktor 4-Rad</v>
      </c>
      <c r="AS67" s="564">
        <v>10</v>
      </c>
      <c r="AT67" s="320"/>
      <c r="AU67" s="45">
        <f>'Standard Vorgaben'!$D$174</f>
        <v>41</v>
      </c>
      <c r="AV67" s="149">
        <f>AU67*AS67</f>
        <v>410</v>
      </c>
      <c r="AW67" s="738">
        <f t="shared" si="37"/>
        <v>1.0134182316116522E-2</v>
      </c>
      <c r="AX67" s="1457" t="s">
        <v>406</v>
      </c>
      <c r="AY67" s="145" t="str">
        <f>'Standard Vorgaben'!$B$174</f>
        <v>Obstbautraktor 4-Rad</v>
      </c>
      <c r="AZ67" s="564">
        <v>10</v>
      </c>
      <c r="BA67" s="320"/>
      <c r="BB67" s="45">
        <f>'Standard Vorgaben'!$D$174</f>
        <v>41</v>
      </c>
      <c r="BC67" s="149">
        <f>BB67*AZ67</f>
        <v>410</v>
      </c>
      <c r="BD67" s="738">
        <f t="shared" si="38"/>
        <v>1.0923595995274187E-2</v>
      </c>
      <c r="BE67" s="1457" t="s">
        <v>406</v>
      </c>
      <c r="BF67" s="145" t="str">
        <f>'Standard Vorgaben'!$B$174</f>
        <v>Obstbautraktor 4-Rad</v>
      </c>
      <c r="BG67" s="564">
        <v>10</v>
      </c>
      <c r="BH67" s="320"/>
      <c r="BI67" s="45">
        <f>'Standard Vorgaben'!$D$174</f>
        <v>41</v>
      </c>
      <c r="BJ67" s="149">
        <f>BI67*BG67</f>
        <v>410</v>
      </c>
      <c r="BK67" s="738">
        <f t="shared" si="42"/>
        <v>1.0964500245266375E-2</v>
      </c>
      <c r="BL67" s="1457" t="s">
        <v>406</v>
      </c>
      <c r="BM67" s="145" t="str">
        <f>'Standard Vorgaben'!$B$174</f>
        <v>Obstbautraktor 4-Rad</v>
      </c>
      <c r="BN67" s="564">
        <v>10</v>
      </c>
      <c r="BO67" s="320"/>
      <c r="BP67" s="45">
        <f>'Standard Vorgaben'!$D$174</f>
        <v>41</v>
      </c>
      <c r="BQ67" s="149">
        <f>BP67*BN67</f>
        <v>410</v>
      </c>
      <c r="BR67" s="738">
        <f t="shared" si="39"/>
        <v>1.0234105805395527E-2</v>
      </c>
      <c r="BS67" s="1457" t="s">
        <v>406</v>
      </c>
      <c r="BT67" s="145" t="str">
        <f>'Standard Vorgaben'!$B$174</f>
        <v>Obstbautraktor 4-Rad</v>
      </c>
      <c r="BU67" s="564">
        <v>10</v>
      </c>
      <c r="BV67" s="320"/>
      <c r="BW67" s="45">
        <f>'Standard Vorgaben'!$D$174</f>
        <v>41</v>
      </c>
      <c r="BX67" s="149">
        <f>BW67*BU67</f>
        <v>410</v>
      </c>
      <c r="BY67" s="738">
        <f t="shared" si="40"/>
        <v>1.104083924774083E-2</v>
      </c>
      <c r="BZ67" s="1457" t="s">
        <v>406</v>
      </c>
      <c r="CA67" s="145" t="str">
        <f>'Standard Vorgaben'!$B$174</f>
        <v>Obstbautraktor 4-Rad</v>
      </c>
      <c r="CB67" s="564">
        <v>10</v>
      </c>
      <c r="CC67" s="320"/>
      <c r="CD67" s="45">
        <f>'Standard Vorgaben'!$D$174</f>
        <v>41</v>
      </c>
      <c r="CE67" s="149">
        <f>CD67*CB67</f>
        <v>410</v>
      </c>
      <c r="CF67" s="738">
        <f t="shared" si="41"/>
        <v>1.1083702649660323E-2</v>
      </c>
      <c r="CG67" s="1457" t="s">
        <v>406</v>
      </c>
      <c r="CH67" s="145" t="str">
        <f>'Standard Vorgaben'!$B$174</f>
        <v>Obstbautraktor 4-Rad</v>
      </c>
      <c r="CI67" s="564">
        <v>10</v>
      </c>
      <c r="CJ67" s="320"/>
      <c r="CK67" s="45">
        <f>'Standard Vorgaben'!$D$174</f>
        <v>41</v>
      </c>
      <c r="CL67" s="149">
        <f>CK67*CI67</f>
        <v>410</v>
      </c>
      <c r="CM67" s="738">
        <f t="shared" si="43"/>
        <v>1.0513355117924852E-2</v>
      </c>
      <c r="CN67" s="1457" t="s">
        <v>406</v>
      </c>
      <c r="CO67" s="145" t="str">
        <f>'Standard Vorgaben'!$B$174</f>
        <v>Obstbautraktor 4-Rad</v>
      </c>
      <c r="CP67" s="564">
        <v>10</v>
      </c>
      <c r="CQ67" s="320"/>
      <c r="CR67" s="45">
        <f>'Standard Vorgaben'!$D$174</f>
        <v>41</v>
      </c>
      <c r="CS67" s="149">
        <f>CR67*CP67</f>
        <v>410</v>
      </c>
      <c r="CT67" s="730">
        <f t="shared" si="44"/>
        <v>1.1356584124233394E-2</v>
      </c>
      <c r="CU67" s="1457" t="s">
        <v>406</v>
      </c>
      <c r="CV67" s="145" t="str">
        <f>'Standard Vorgaben'!$B$174</f>
        <v>Obstbautraktor 4-Rad</v>
      </c>
      <c r="CW67" s="564">
        <v>10</v>
      </c>
      <c r="CX67" s="320"/>
      <c r="CY67" s="45">
        <f>'Standard Vorgaben'!$D$174</f>
        <v>41</v>
      </c>
      <c r="CZ67" s="149">
        <f>CY67*CW67</f>
        <v>410</v>
      </c>
      <c r="DA67" s="730">
        <f t="shared" si="45"/>
        <v>9.7640591920569054E-3</v>
      </c>
    </row>
    <row r="68" spans="1:105" s="1" customFormat="1" ht="12.5" x14ac:dyDescent="0.25">
      <c r="A68" s="1457"/>
      <c r="B68" s="145" t="str">
        <f>'Standard Vorgaben'!$B$187</f>
        <v>Hebebühne schwer, selbstfahrend, elektrisch Ernte</v>
      </c>
      <c r="C68" s="744">
        <f>D62*E62*'Standard Vorgaben'!$C$187+'Standard Vorgaben'!$C$188*'Standard Vorgaben'!$C$231+'Standard Vorgaben'!$D$97*'Standard Vorgaben'!$C$189</f>
        <v>35</v>
      </c>
      <c r="D68" s="744"/>
      <c r="E68" s="45">
        <f>'Standard Vorgaben'!$D$187</f>
        <v>17.5</v>
      </c>
      <c r="F68" s="149">
        <f>E68*C68</f>
        <v>612.5</v>
      </c>
      <c r="G68" s="738">
        <f t="shared" si="31"/>
        <v>2.5488593185115163E-2</v>
      </c>
      <c r="H68" s="1457"/>
      <c r="I68" s="145" t="str">
        <f>'Standard Vorgaben'!$B$187</f>
        <v>Hebebühne schwer, selbstfahrend, elektrisch Ernte</v>
      </c>
      <c r="J68" s="744">
        <f>K62*L62*'Standard Vorgaben'!$C$187+'Standard Vorgaben'!$C$188*'Standard Vorgaben'!$C$231+'Standard Vorgaben'!$D$98*'Standard Vorgaben'!$C$189</f>
        <v>36.154136283630876</v>
      </c>
      <c r="K68" s="744"/>
      <c r="L68" s="45">
        <f>'Standard Vorgaben'!$D$187</f>
        <v>17.5</v>
      </c>
      <c r="M68" s="149">
        <f>L68*J68</f>
        <v>632.69738496354034</v>
      </c>
      <c r="N68" s="738">
        <f t="shared" si="32"/>
        <v>2.5852704858955904E-2</v>
      </c>
      <c r="O68" s="1457"/>
      <c r="P68" s="145" t="str">
        <f>'Standard Vorgaben'!$B$187</f>
        <v>Hebebühne schwer, selbstfahrend, elektrisch Ernte</v>
      </c>
      <c r="Q68" s="744">
        <f>R62*S62*'Standard Vorgaben'!$C$187+'Standard Vorgaben'!$C$188*'Standard Vorgaben'!$C$231+'Standard Vorgaben'!$D$96*'Standard Vorgaben'!$C$189</f>
        <v>74.23183303997989</v>
      </c>
      <c r="R68" s="744"/>
      <c r="S68" s="45">
        <f>'Standard Vorgaben'!$D$187</f>
        <v>17.5</v>
      </c>
      <c r="T68" s="149">
        <f>S68*Q68</f>
        <v>1299.057078199648</v>
      </c>
      <c r="U68" s="738">
        <f t="shared" si="33"/>
        <v>4.0125086077702564E-2</v>
      </c>
      <c r="V68" s="1457"/>
      <c r="W68" s="145" t="str">
        <f>'Standard Vorgaben'!$B$187</f>
        <v>Hebebühne schwer, selbstfahrend, elektrisch Ernte</v>
      </c>
      <c r="X68" s="744">
        <f>Z62*Y62*'Standard Vorgaben'!$C$187+'Standard Vorgaben'!$C$188*'Standard Vorgaben'!$C$231+'Standard Vorgaben'!$D$96*'Standard Vorgaben'!$C$189</f>
        <v>75.770681418154396</v>
      </c>
      <c r="Y68" s="744"/>
      <c r="Z68" s="45">
        <f>'Standard Vorgaben'!$D$187</f>
        <v>17.5</v>
      </c>
      <c r="AA68" s="149">
        <f>Z68*X68</f>
        <v>1325.9869248177019</v>
      </c>
      <c r="AB68" s="738">
        <f t="shared" si="34"/>
        <v>3.6148399877934549E-2</v>
      </c>
      <c r="AC68" s="1457"/>
      <c r="AD68" s="145" t="str">
        <f>'Standard Vorgaben'!$B$187</f>
        <v>Hebebühne schwer, selbstfahrend, elektrisch Ernte</v>
      </c>
      <c r="AE68" s="744">
        <f>AG62*AF62*'Standard Vorgaben'!$C$187+'Standard Vorgaben'!$C$188*'Standard Vorgaben'!$C$231+'Standard Vorgaben'!$D$96*'Standard Vorgaben'!$C$189</f>
        <v>82.695499119939655</v>
      </c>
      <c r="AF68" s="744"/>
      <c r="AG68" s="45">
        <f>'Standard Vorgaben'!$D$187</f>
        <v>17.5</v>
      </c>
      <c r="AH68" s="149">
        <f>AG68*AE68</f>
        <v>1447.171234598944</v>
      </c>
      <c r="AI68" s="738">
        <f t="shared" si="35"/>
        <v>3.8162362705336038E-2</v>
      </c>
      <c r="AJ68" s="1457"/>
      <c r="AK68" s="145" t="str">
        <f>'Standard Vorgaben'!$B$187</f>
        <v>Hebebühne schwer, selbstfahrend, elektrisch Ernte</v>
      </c>
      <c r="AL68" s="744">
        <f>AN62*AM62*'Standard Vorgaben'!$C$187+'Standard Vorgaben'!$C$188*'Standard Vorgaben'!$C$231+'Standard Vorgaben'!$D$96*'Standard Vorgaben'!$C$189</f>
        <v>82.695499119939655</v>
      </c>
      <c r="AM68" s="744"/>
      <c r="AN68" s="45">
        <f>'Standard Vorgaben'!$D$187</f>
        <v>17.5</v>
      </c>
      <c r="AO68" s="149">
        <f>AN68*AL68</f>
        <v>1447.171234598944</v>
      </c>
      <c r="AP68" s="738">
        <f t="shared" si="36"/>
        <v>3.8300257136323013E-2</v>
      </c>
      <c r="AQ68" s="1457"/>
      <c r="AR68" s="145" t="str">
        <f>'Standard Vorgaben'!$B$187</f>
        <v>Hebebühne schwer, selbstfahrend, elektrisch Ernte</v>
      </c>
      <c r="AS68" s="744">
        <f>AU62*AT62*'Standard Vorgaben'!$C$187+'Standard Vorgaben'!$C$188*'Standard Vorgaben'!$C$231+'Standard Vorgaben'!$D$96*'Standard Vorgaben'!$C$189</f>
        <v>82.695499119939655</v>
      </c>
      <c r="AT68" s="744"/>
      <c r="AU68" s="45">
        <f>'Standard Vorgaben'!$D$187</f>
        <v>17.5</v>
      </c>
      <c r="AV68" s="149">
        <f>AU68*AS68</f>
        <v>1447.171234598944</v>
      </c>
      <c r="AW68" s="738">
        <f t="shared" si="37"/>
        <v>3.5770480814793011E-2</v>
      </c>
      <c r="AX68" s="1457"/>
      <c r="AY68" s="145" t="str">
        <f>'Standard Vorgaben'!$B$187</f>
        <v>Hebebühne schwer, selbstfahrend, elektrisch Ernte</v>
      </c>
      <c r="AZ68" s="744">
        <f>BB62*BA62*'Standard Vorgaben'!$C$187+'Standard Vorgaben'!$C$188*'Standard Vorgaben'!$C$231+'Standard Vorgaben'!$D$96*'Standard Vorgaben'!$C$189</f>
        <v>82.695499119939655</v>
      </c>
      <c r="BA68" s="744"/>
      <c r="BB68" s="45">
        <f>'Standard Vorgaben'!$D$187</f>
        <v>17.5</v>
      </c>
      <c r="BC68" s="149">
        <f>BB68*AZ68</f>
        <v>1447.171234598944</v>
      </c>
      <c r="BD68" s="738">
        <f t="shared" si="38"/>
        <v>3.8556863177417133E-2</v>
      </c>
      <c r="BE68" s="1457"/>
      <c r="BF68" s="145" t="str">
        <f>'Standard Vorgaben'!$B$187</f>
        <v>Hebebühne schwer, selbstfahrend, elektrisch Ernte</v>
      </c>
      <c r="BG68" s="744">
        <f>BI62*BH62*'Standard Vorgaben'!$C$187+'Standard Vorgaben'!$C$188*'Standard Vorgaben'!$C$231+'Standard Vorgaben'!$D$96*'Standard Vorgaben'!$C$189</f>
        <v>82.695499119939655</v>
      </c>
      <c r="BH68" s="744"/>
      <c r="BI68" s="45">
        <f>'Standard Vorgaben'!$D$187</f>
        <v>17.5</v>
      </c>
      <c r="BJ68" s="149">
        <f>BI68*BG68</f>
        <v>1447.171234598944</v>
      </c>
      <c r="BK68" s="738">
        <f t="shared" si="42"/>
        <v>3.8701242333420885E-2</v>
      </c>
      <c r="BL68" s="1457"/>
      <c r="BM68" s="145" t="str">
        <f>'Standard Vorgaben'!$B$187</f>
        <v>Hebebühne schwer, selbstfahrend, elektrisch Ernte</v>
      </c>
      <c r="BN68" s="744">
        <f>BP62*BO62*'Standard Vorgaben'!$C$187+'Standard Vorgaben'!$C$188*'Standard Vorgaben'!$C$231+'Standard Vorgaben'!$D$96*'Standard Vorgaben'!$C$189</f>
        <v>82.695499119939655</v>
      </c>
      <c r="BO68" s="744"/>
      <c r="BP68" s="45">
        <f>'Standard Vorgaben'!$D$187</f>
        <v>17.5</v>
      </c>
      <c r="BQ68" s="149">
        <f>BP68*BN68</f>
        <v>1447.171234598944</v>
      </c>
      <c r="BR68" s="738">
        <f t="shared" si="39"/>
        <v>3.6123179349781619E-2</v>
      </c>
      <c r="BS68" s="1457"/>
      <c r="BT68" s="145" t="str">
        <f>'Standard Vorgaben'!$B$187</f>
        <v>Hebebühne schwer, selbstfahrend, elektrisch Ernte</v>
      </c>
      <c r="BU68" s="744">
        <f>BW62*BV62*'Standard Vorgaben'!$C$187+'Standard Vorgaben'!$C$188*'Standard Vorgaben'!$C$231+'Standard Vorgaben'!$D$96*'Standard Vorgaben'!$C$189</f>
        <v>82.695499119939655</v>
      </c>
      <c r="BV68" s="744"/>
      <c r="BW68" s="45">
        <f>'Standard Vorgaben'!$D$187</f>
        <v>17.5</v>
      </c>
      <c r="BX68" s="149">
        <f>BW68*BU68</f>
        <v>1447.171234598944</v>
      </c>
      <c r="BY68" s="738">
        <f t="shared" si="40"/>
        <v>3.897069503697944E-2</v>
      </c>
      <c r="BZ68" s="1457"/>
      <c r="CA68" s="145" t="str">
        <f>'Standard Vorgaben'!$B$187</f>
        <v>Hebebühne schwer, selbstfahrend, elektrisch Ernte</v>
      </c>
      <c r="CB68" s="744">
        <f>CD62*CC62*'Standard Vorgaben'!$C$187+'Standard Vorgaben'!$C$188*'Standard Vorgaben'!$C$231+'Standard Vorgaben'!$D$96*'Standard Vorgaben'!$C$189</f>
        <v>82.695499119939655</v>
      </c>
      <c r="CC68" s="744"/>
      <c r="CD68" s="45">
        <f>'Standard Vorgaben'!$D$187</f>
        <v>17.5</v>
      </c>
      <c r="CE68" s="149">
        <f>CD68*CB68</f>
        <v>1447.171234598944</v>
      </c>
      <c r="CF68" s="738">
        <f t="shared" si="41"/>
        <v>3.9121989383991501E-2</v>
      </c>
      <c r="CG68" s="1457"/>
      <c r="CH68" s="145" t="str">
        <f>'Standard Vorgaben'!$B$187</f>
        <v>Hebebühne schwer, selbstfahrend, elektrisch Ernte</v>
      </c>
      <c r="CI68" s="744">
        <f>CK62*CJ62*'Standard Vorgaben'!$C$187+'Standard Vorgaben'!$C$188*'Standard Vorgaben'!$C$231+'Standard Vorgaben'!$D$96*'Standard Vorgaben'!$C$189</f>
        <v>81.541362836308778</v>
      </c>
      <c r="CJ68" s="744"/>
      <c r="CK68" s="45">
        <f>'Standard Vorgaben'!$D$187</f>
        <v>17.5</v>
      </c>
      <c r="CL68" s="149">
        <f>CK68*CI68</f>
        <v>1426.9738496354037</v>
      </c>
      <c r="CM68" s="738">
        <f t="shared" si="43"/>
        <v>3.6590933720022679E-2</v>
      </c>
      <c r="CN68" s="1457"/>
      <c r="CO68" s="145" t="str">
        <f>'Standard Vorgaben'!$B$187</f>
        <v>Hebebühne schwer, selbstfahrend, elektrisch Ernte</v>
      </c>
      <c r="CP68" s="744">
        <f>CR62*CQ62*'Standard Vorgaben'!$C$187+'Standard Vorgaben'!$C$188*'Standard Vorgaben'!$C$231+'Standard Vorgaben'!$D$96*'Standard Vorgaben'!$C$189</f>
        <v>81.541362836308778</v>
      </c>
      <c r="CQ68" s="744"/>
      <c r="CR68" s="45">
        <f>'Standard Vorgaben'!$D$187</f>
        <v>17.5</v>
      </c>
      <c r="CS68" s="149">
        <f>CR68*CP68</f>
        <v>1426.9738496354037</v>
      </c>
      <c r="CT68" s="730">
        <f t="shared" si="44"/>
        <v>3.9525728210891793E-2</v>
      </c>
      <c r="CU68" s="1457"/>
      <c r="CV68" s="145" t="str">
        <f>'Standard Vorgaben'!$B$187</f>
        <v>Hebebühne schwer, selbstfahrend, elektrisch Ernte</v>
      </c>
      <c r="CW68" s="744">
        <f>CY62*CX62*'Standard Vorgaben'!$C$187+'Standard Vorgaben'!$C$188*'Standard Vorgaben'!$C$231+'Standard Vorgaben'!$D$96*'Standard Vorgaben'!$C$189</f>
        <v>81.541362836308778</v>
      </c>
      <c r="CX68" s="744"/>
      <c r="CY68" s="45">
        <f>'Standard Vorgaben'!$D$187</f>
        <v>17.5</v>
      </c>
      <c r="CZ68" s="149">
        <f>CY68*CW68</f>
        <v>1426.9738496354037</v>
      </c>
      <c r="DA68" s="730">
        <f t="shared" si="45"/>
        <v>3.3983066178920468E-2</v>
      </c>
    </row>
    <row r="69" spans="1:105" s="1" customFormat="1" ht="12.5" x14ac:dyDescent="0.25">
      <c r="A69" s="1260"/>
      <c r="B69" s="145" t="str">
        <f>'Standard Vorgaben'!$B$184</f>
        <v>Hackgerät Ladurner</v>
      </c>
      <c r="C69" s="221">
        <f>'Standard Vorgaben'!$E$184</f>
        <v>3</v>
      </c>
      <c r="D69" s="221">
        <f>'Standard Vorgaben'!$C$184</f>
        <v>2</v>
      </c>
      <c r="E69" s="744">
        <f>'Standard Vorgaben'!$D$184</f>
        <v>130</v>
      </c>
      <c r="F69" s="46">
        <f>C69*E69</f>
        <v>390</v>
      </c>
      <c r="G69" s="738">
        <f t="shared" si="31"/>
        <v>1.6229471579093737E-2</v>
      </c>
      <c r="I69" s="145" t="str">
        <f>'Standard Vorgaben'!$B$184</f>
        <v>Hackgerät Ladurner</v>
      </c>
      <c r="J69" s="221">
        <f>'Standard Vorgaben'!$E$184</f>
        <v>3</v>
      </c>
      <c r="K69" s="221">
        <f>'Standard Vorgaben'!$C$184</f>
        <v>2</v>
      </c>
      <c r="L69" s="744">
        <f>'Standard Vorgaben'!$D$184</f>
        <v>130</v>
      </c>
      <c r="M69" s="46">
        <f>J69*L69</f>
        <v>390</v>
      </c>
      <c r="N69" s="738">
        <f t="shared" si="32"/>
        <v>1.5935825142653019E-2</v>
      </c>
      <c r="O69" s="1260"/>
      <c r="P69" s="145" t="str">
        <f>'Standard Vorgaben'!$B$184</f>
        <v>Hackgerät Ladurner</v>
      </c>
      <c r="Q69" s="221">
        <f>'Standard Vorgaben'!$E$184</f>
        <v>3</v>
      </c>
      <c r="R69" s="221">
        <f>'Standard Vorgaben'!$C$184</f>
        <v>2</v>
      </c>
      <c r="S69" s="744">
        <f>'Standard Vorgaben'!$D$184</f>
        <v>130</v>
      </c>
      <c r="T69" s="46">
        <f>Q69*S69</f>
        <v>390</v>
      </c>
      <c r="U69" s="738">
        <f t="shared" si="33"/>
        <v>1.2046263272735879E-2</v>
      </c>
      <c r="V69" s="1260"/>
      <c r="W69" s="145" t="str">
        <f>'Standard Vorgaben'!$B$184</f>
        <v>Hackgerät Ladurner</v>
      </c>
      <c r="X69" s="221">
        <f>'Standard Vorgaben'!$E$184</f>
        <v>3</v>
      </c>
      <c r="Y69" s="221">
        <f>'Standard Vorgaben'!$C$184</f>
        <v>2</v>
      </c>
      <c r="Z69" s="744">
        <f>'Standard Vorgaben'!$D$184</f>
        <v>130</v>
      </c>
      <c r="AA69" s="46">
        <f>X69*Z69</f>
        <v>390</v>
      </c>
      <c r="AB69" s="738">
        <f t="shared" si="34"/>
        <v>1.0631987155026182E-2</v>
      </c>
      <c r="AC69" s="1260"/>
      <c r="AD69" s="145" t="str">
        <f>'Standard Vorgaben'!$B$184</f>
        <v>Hackgerät Ladurner</v>
      </c>
      <c r="AE69" s="221">
        <f>'Standard Vorgaben'!$E$184</f>
        <v>3</v>
      </c>
      <c r="AF69" s="221">
        <f>'Standard Vorgaben'!$C$184</f>
        <v>2</v>
      </c>
      <c r="AG69" s="744">
        <f>'Standard Vorgaben'!$D$184</f>
        <v>130</v>
      </c>
      <c r="AH69" s="46">
        <f>AE69*AG69</f>
        <v>390</v>
      </c>
      <c r="AI69" s="738">
        <f t="shared" si="35"/>
        <v>1.0284423224599047E-2</v>
      </c>
      <c r="AJ69" s="1260"/>
      <c r="AK69" s="145" t="str">
        <f>'Standard Vorgaben'!$B$184</f>
        <v>Hackgerät Ladurner</v>
      </c>
      <c r="AL69" s="221">
        <f>'Standard Vorgaben'!$E$184</f>
        <v>3</v>
      </c>
      <c r="AM69" s="221">
        <f>'Standard Vorgaben'!$C$184</f>
        <v>2</v>
      </c>
      <c r="AN69" s="744">
        <f>'Standard Vorgaben'!$D$184</f>
        <v>130</v>
      </c>
      <c r="AO69" s="46">
        <f>AL69*AN69</f>
        <v>390</v>
      </c>
      <c r="AP69" s="738">
        <f t="shared" si="36"/>
        <v>1.0321584568605323E-2</v>
      </c>
      <c r="AQ69" s="1260"/>
      <c r="AR69" s="145" t="str">
        <f>'Standard Vorgaben'!$B$184</f>
        <v>Hackgerät Ladurner</v>
      </c>
      <c r="AS69" s="221">
        <f>'Standard Vorgaben'!$E$184</f>
        <v>3</v>
      </c>
      <c r="AT69" s="221">
        <f>'Standard Vorgaben'!$C$184</f>
        <v>2</v>
      </c>
      <c r="AU69" s="744">
        <f>'Standard Vorgaben'!$D$184</f>
        <v>130</v>
      </c>
      <c r="AV69" s="46">
        <f>AS69*AU69</f>
        <v>390</v>
      </c>
      <c r="AW69" s="738">
        <f t="shared" si="37"/>
        <v>9.6398319592327902E-3</v>
      </c>
      <c r="AX69" s="1260"/>
      <c r="AY69" s="145" t="str">
        <f>'Standard Vorgaben'!$B$184</f>
        <v>Hackgerät Ladurner</v>
      </c>
      <c r="AZ69" s="221">
        <f>'Standard Vorgaben'!$E$184</f>
        <v>3</v>
      </c>
      <c r="BA69" s="221">
        <f>'Standard Vorgaben'!$C$184</f>
        <v>2</v>
      </c>
      <c r="BB69" s="744">
        <f>'Standard Vorgaben'!$D$184</f>
        <v>130</v>
      </c>
      <c r="BC69" s="46">
        <f>AZ69*BB69</f>
        <v>390</v>
      </c>
      <c r="BD69" s="738">
        <f t="shared" si="38"/>
        <v>1.0390737654041299E-2</v>
      </c>
      <c r="BE69" s="1260"/>
      <c r="BF69" s="145" t="str">
        <f>'Standard Vorgaben'!$B$184</f>
        <v>Hackgerät Ladurner</v>
      </c>
      <c r="BG69" s="221">
        <f>'Standard Vorgaben'!$E$184</f>
        <v>3</v>
      </c>
      <c r="BH69" s="221">
        <f>'Standard Vorgaben'!$C$184</f>
        <v>2</v>
      </c>
      <c r="BI69" s="744">
        <f>'Standard Vorgaben'!$D$184</f>
        <v>130</v>
      </c>
      <c r="BJ69" s="46">
        <f>BG69*BI69</f>
        <v>390</v>
      </c>
      <c r="BK69" s="738">
        <f t="shared" si="42"/>
        <v>1.0429646574765576E-2</v>
      </c>
      <c r="BL69" s="1260"/>
      <c r="BM69" s="145" t="str">
        <f>'Standard Vorgaben'!$B$184</f>
        <v>Hackgerät Ladurner</v>
      </c>
      <c r="BN69" s="221">
        <f>'Standard Vorgaben'!$E$184</f>
        <v>3</v>
      </c>
      <c r="BO69" s="221">
        <f>'Standard Vorgaben'!$C$184</f>
        <v>2</v>
      </c>
      <c r="BP69" s="744">
        <f>'Standard Vorgaben'!$D$184</f>
        <v>130</v>
      </c>
      <c r="BQ69" s="46">
        <f>BN69*BP69</f>
        <v>390</v>
      </c>
      <c r="BR69" s="738">
        <f t="shared" si="39"/>
        <v>9.7348811319615987E-3</v>
      </c>
      <c r="BS69" s="1260"/>
      <c r="BT69" s="145" t="str">
        <f>'Standard Vorgaben'!$B$184</f>
        <v>Hackgerät Ladurner</v>
      </c>
      <c r="BU69" s="221">
        <f>'Standard Vorgaben'!$E$184</f>
        <v>3</v>
      </c>
      <c r="BV69" s="221">
        <f>'Standard Vorgaben'!$C$184</f>
        <v>2</v>
      </c>
      <c r="BW69" s="744">
        <f>'Standard Vorgaben'!$D$184</f>
        <v>130</v>
      </c>
      <c r="BX69" s="46">
        <f>BU69*BW69</f>
        <v>390</v>
      </c>
      <c r="BY69" s="738">
        <f t="shared" si="40"/>
        <v>1.0502261723460788E-2</v>
      </c>
      <c r="BZ69" s="1260"/>
      <c r="CA69" s="145" t="str">
        <f>'Standard Vorgaben'!$B$184</f>
        <v>Hackgerät Ladurner</v>
      </c>
      <c r="CB69" s="221">
        <f>'Standard Vorgaben'!$E$184</f>
        <v>3</v>
      </c>
      <c r="CC69" s="221">
        <f>'Standard Vorgaben'!$C$184</f>
        <v>2</v>
      </c>
      <c r="CD69" s="744">
        <f>'Standard Vorgaben'!$D$184</f>
        <v>130</v>
      </c>
      <c r="CE69" s="46">
        <f>CB69*CD69</f>
        <v>390</v>
      </c>
      <c r="CF69" s="738">
        <f t="shared" si="41"/>
        <v>1.0543034227725673E-2</v>
      </c>
      <c r="CG69" s="1260"/>
      <c r="CH69" s="145" t="str">
        <f>'Standard Vorgaben'!$B$184</f>
        <v>Hackgerät Ladurner</v>
      </c>
      <c r="CI69" s="221">
        <f>'Standard Vorgaben'!$E$184</f>
        <v>3</v>
      </c>
      <c r="CJ69" s="221">
        <f>'Standard Vorgaben'!$C$184</f>
        <v>2</v>
      </c>
      <c r="CK69" s="744">
        <f>'Standard Vorgaben'!$D$184</f>
        <v>130</v>
      </c>
      <c r="CL69" s="46">
        <f>CI69*CK69</f>
        <v>390</v>
      </c>
      <c r="CM69" s="738">
        <f t="shared" si="43"/>
        <v>1.0000508526806567E-2</v>
      </c>
      <c r="CN69" s="1260"/>
      <c r="CO69" s="145" t="str">
        <f>'Standard Vorgaben'!$B$184</f>
        <v>Hackgerät Ladurner</v>
      </c>
      <c r="CP69" s="221">
        <f>'Standard Vorgaben'!$E$184</f>
        <v>3</v>
      </c>
      <c r="CQ69" s="221">
        <f>'Standard Vorgaben'!$C$184</f>
        <v>2</v>
      </c>
      <c r="CR69" s="744">
        <f>'Standard Vorgaben'!$D$184</f>
        <v>130</v>
      </c>
      <c r="CS69" s="46">
        <f>CP69*CR69</f>
        <v>390</v>
      </c>
      <c r="CT69" s="730">
        <f t="shared" si="44"/>
        <v>1.0802604410856155E-2</v>
      </c>
      <c r="CU69" s="1260"/>
      <c r="CV69" s="145" t="str">
        <f>'Standard Vorgaben'!$B$184</f>
        <v>Hackgerät Ladurner</v>
      </c>
      <c r="CW69" s="221">
        <f>'Standard Vorgaben'!$E$184</f>
        <v>3</v>
      </c>
      <c r="CX69" s="221">
        <f>'Standard Vorgaben'!$C$184</f>
        <v>2</v>
      </c>
      <c r="CY69" s="744">
        <f>'Standard Vorgaben'!$D$184</f>
        <v>130</v>
      </c>
      <c r="CZ69" s="46">
        <f>CW69*CY69</f>
        <v>390</v>
      </c>
      <c r="DA69" s="730">
        <f t="shared" si="45"/>
        <v>9.2877636217126667E-3</v>
      </c>
    </row>
    <row r="70" spans="1:105" s="1" customFormat="1" ht="12.5" x14ac:dyDescent="0.25">
      <c r="A70" s="1260"/>
      <c r="B70" s="145" t="str">
        <f>'Standard Vorgaben'!$B$185</f>
        <v>Fadengerät Beikrautregulierung zweiseitg</v>
      </c>
      <c r="C70" s="44">
        <f>'Standard Vorgaben'!$E$185</f>
        <v>6</v>
      </c>
      <c r="D70" s="320">
        <f>'Standard Vorgaben'!$C$185</f>
        <v>1</v>
      </c>
      <c r="E70" s="149">
        <f>'Standard Vorgaben'!$D$185</f>
        <v>84</v>
      </c>
      <c r="F70" s="149">
        <f>E70*C70*D70</f>
        <v>504</v>
      </c>
      <c r="G70" s="738">
        <f t="shared" si="31"/>
        <v>2.0973470963751906E-2</v>
      </c>
      <c r="H70" s="1260"/>
      <c r="I70" s="145" t="str">
        <f>'Standard Vorgaben'!$B$185</f>
        <v>Fadengerät Beikrautregulierung zweiseitg</v>
      </c>
      <c r="J70" s="44">
        <f>'Standard Vorgaben'!$E$185</f>
        <v>6</v>
      </c>
      <c r="K70" s="320">
        <f>'Standard Vorgaben'!$C$185</f>
        <v>1</v>
      </c>
      <c r="L70" s="149">
        <f>'Standard Vorgaben'!$D$185</f>
        <v>84</v>
      </c>
      <c r="M70" s="149">
        <f>L70*J70*K70</f>
        <v>504</v>
      </c>
      <c r="N70" s="738">
        <f t="shared" si="32"/>
        <v>2.0593989415120823E-2</v>
      </c>
      <c r="O70" s="1260"/>
      <c r="P70" s="145" t="str">
        <f>'Standard Vorgaben'!$B$185</f>
        <v>Fadengerät Beikrautregulierung zweiseitg</v>
      </c>
      <c r="Q70" s="44">
        <f>'Standard Vorgaben'!$E$185</f>
        <v>6</v>
      </c>
      <c r="R70" s="320">
        <f>'Standard Vorgaben'!$C$185</f>
        <v>1</v>
      </c>
      <c r="S70" s="149">
        <f>'Standard Vorgaben'!$D$185</f>
        <v>84</v>
      </c>
      <c r="T70" s="149">
        <f>S70*Q70*R70</f>
        <v>504</v>
      </c>
      <c r="U70" s="738">
        <f t="shared" si="33"/>
        <v>1.5567478690920211E-2</v>
      </c>
      <c r="V70" s="1260"/>
      <c r="W70" s="145" t="str">
        <f>'Standard Vorgaben'!$B$185</f>
        <v>Fadengerät Beikrautregulierung zweiseitg</v>
      </c>
      <c r="X70" s="44">
        <f>'Standard Vorgaben'!$E$185</f>
        <v>6</v>
      </c>
      <c r="Y70" s="320">
        <f>'Standard Vorgaben'!$C$185</f>
        <v>1</v>
      </c>
      <c r="Z70" s="149">
        <f>'Standard Vorgaben'!$D$185</f>
        <v>84</v>
      </c>
      <c r="AA70" s="149">
        <f>Z70*X70*Y70</f>
        <v>504</v>
      </c>
      <c r="AB70" s="738">
        <f t="shared" si="34"/>
        <v>1.3739798784956913E-2</v>
      </c>
      <c r="AC70" s="1260"/>
      <c r="AD70" s="145" t="str">
        <f>'Standard Vorgaben'!$B$185</f>
        <v>Fadengerät Beikrautregulierung zweiseitg</v>
      </c>
      <c r="AE70" s="44">
        <f>'Standard Vorgaben'!$E$185</f>
        <v>6</v>
      </c>
      <c r="AF70" s="320">
        <f>'Standard Vorgaben'!$C$185</f>
        <v>1</v>
      </c>
      <c r="AG70" s="149">
        <f>'Standard Vorgaben'!$D$185</f>
        <v>84</v>
      </c>
      <c r="AH70" s="149">
        <f>AG70*AE70*AF70</f>
        <v>504</v>
      </c>
      <c r="AI70" s="738">
        <f t="shared" si="35"/>
        <v>1.3290639244097228E-2</v>
      </c>
      <c r="AJ70" s="1260"/>
      <c r="AK70" s="145" t="str">
        <f>'Standard Vorgaben'!$B$185</f>
        <v>Fadengerät Beikrautregulierung zweiseitg</v>
      </c>
      <c r="AL70" s="44">
        <f>'Standard Vorgaben'!$E$185</f>
        <v>6</v>
      </c>
      <c r="AM70" s="320">
        <f>'Standard Vorgaben'!$C$185</f>
        <v>1</v>
      </c>
      <c r="AN70" s="149">
        <f>'Standard Vorgaben'!$D$185</f>
        <v>84</v>
      </c>
      <c r="AO70" s="149">
        <f>AN70*AL70*AM70</f>
        <v>504</v>
      </c>
      <c r="AP70" s="738">
        <f t="shared" si="36"/>
        <v>1.3338663134813033E-2</v>
      </c>
      <c r="AQ70" s="1260"/>
      <c r="AR70" s="145" t="str">
        <f>'Standard Vorgaben'!$B$185</f>
        <v>Fadengerät Beikrautregulierung zweiseitg</v>
      </c>
      <c r="AS70" s="44">
        <f>'Standard Vorgaben'!$E$185</f>
        <v>6</v>
      </c>
      <c r="AT70" s="320">
        <f>'Standard Vorgaben'!$C$185</f>
        <v>1</v>
      </c>
      <c r="AU70" s="149">
        <f>'Standard Vorgaben'!$D$185</f>
        <v>84</v>
      </c>
      <c r="AV70" s="149">
        <f>AU70*AS70*AT70</f>
        <v>504</v>
      </c>
      <c r="AW70" s="738">
        <f t="shared" si="37"/>
        <v>1.2457628993470067E-2</v>
      </c>
      <c r="AX70" s="1260"/>
      <c r="AY70" s="145" t="str">
        <f>'Standard Vorgaben'!$B$185</f>
        <v>Fadengerät Beikrautregulierung zweiseitg</v>
      </c>
      <c r="AZ70" s="44">
        <f>'Standard Vorgaben'!$E$185</f>
        <v>6</v>
      </c>
      <c r="BA70" s="320">
        <f>'Standard Vorgaben'!$C$185</f>
        <v>1</v>
      </c>
      <c r="BB70" s="149">
        <f>'Standard Vorgaben'!$D$185</f>
        <v>84</v>
      </c>
      <c r="BC70" s="149">
        <f>BB70*AZ70*BA70</f>
        <v>504</v>
      </c>
      <c r="BD70" s="738">
        <f t="shared" si="38"/>
        <v>1.3428030199068757E-2</v>
      </c>
      <c r="BE70" s="1260"/>
      <c r="BF70" s="145" t="str">
        <f>'Standard Vorgaben'!$B$185</f>
        <v>Fadengerät Beikrautregulierung zweiseitg</v>
      </c>
      <c r="BG70" s="44">
        <f>'Standard Vorgaben'!$E$185</f>
        <v>6</v>
      </c>
      <c r="BH70" s="320">
        <f>'Standard Vorgaben'!$C$185</f>
        <v>1</v>
      </c>
      <c r="BI70" s="149">
        <f>'Standard Vorgaben'!$D$185</f>
        <v>84</v>
      </c>
      <c r="BJ70" s="149">
        <f>BI70*BG70*BH70</f>
        <v>504</v>
      </c>
      <c r="BK70" s="738">
        <f t="shared" si="42"/>
        <v>1.347831249662013E-2</v>
      </c>
      <c r="BL70" s="1260"/>
      <c r="BM70" s="145" t="str">
        <f>'Standard Vorgaben'!$B$185</f>
        <v>Fadengerät Beikrautregulierung zweiseitg</v>
      </c>
      <c r="BN70" s="44">
        <f>'Standard Vorgaben'!$E$185</f>
        <v>6</v>
      </c>
      <c r="BO70" s="320">
        <f>'Standard Vorgaben'!$C$185</f>
        <v>1</v>
      </c>
      <c r="BP70" s="149">
        <f>'Standard Vorgaben'!$D$185</f>
        <v>84</v>
      </c>
      <c r="BQ70" s="149">
        <f>BP70*BN70*BO70</f>
        <v>504</v>
      </c>
      <c r="BR70" s="738">
        <f t="shared" si="39"/>
        <v>1.2580461770534989E-2</v>
      </c>
      <c r="BS70" s="1260"/>
      <c r="BT70" s="145" t="str">
        <f>'Standard Vorgaben'!$B$185</f>
        <v>Fadengerät Beikrautregulierung zweiseitg</v>
      </c>
      <c r="BU70" s="44">
        <f>'Standard Vorgaben'!$E$185</f>
        <v>6</v>
      </c>
      <c r="BV70" s="320">
        <f>'Standard Vorgaben'!$C$185</f>
        <v>1</v>
      </c>
      <c r="BW70" s="149">
        <f>'Standard Vorgaben'!$D$185</f>
        <v>84</v>
      </c>
      <c r="BX70" s="149">
        <f>BW70*BU70*BV70</f>
        <v>504</v>
      </c>
      <c r="BY70" s="738">
        <f t="shared" si="40"/>
        <v>1.357215361185702E-2</v>
      </c>
      <c r="BZ70" s="1260"/>
      <c r="CA70" s="145" t="str">
        <f>'Standard Vorgaben'!$B$185</f>
        <v>Fadengerät Beikrautregulierung zweiseitg</v>
      </c>
      <c r="CB70" s="44">
        <f>'Standard Vorgaben'!$E$185</f>
        <v>6</v>
      </c>
      <c r="CC70" s="320">
        <f>'Standard Vorgaben'!$C$185</f>
        <v>1</v>
      </c>
      <c r="CD70" s="149">
        <f>'Standard Vorgaben'!$D$185</f>
        <v>84</v>
      </c>
      <c r="CE70" s="149">
        <f>CD70*CB70*CC70</f>
        <v>504</v>
      </c>
      <c r="CF70" s="738">
        <f t="shared" si="41"/>
        <v>1.3624844232753177E-2</v>
      </c>
      <c r="CG70" s="1260"/>
      <c r="CH70" s="145" t="str">
        <f>'Standard Vorgaben'!$B$185</f>
        <v>Fadengerät Beikrautregulierung zweiseitg</v>
      </c>
      <c r="CI70" s="44">
        <f>'Standard Vorgaben'!$E$185</f>
        <v>6</v>
      </c>
      <c r="CJ70" s="320">
        <f>'Standard Vorgaben'!$C$185</f>
        <v>1</v>
      </c>
      <c r="CK70" s="149">
        <f>'Standard Vorgaben'!$D$185</f>
        <v>84</v>
      </c>
      <c r="CL70" s="149">
        <f>CK70*CI70*CJ70</f>
        <v>504</v>
      </c>
      <c r="CM70" s="738">
        <f t="shared" si="43"/>
        <v>1.2923734096180793E-2</v>
      </c>
      <c r="CN70" s="1260"/>
      <c r="CO70" s="145" t="str">
        <f>'Standard Vorgaben'!$B$185</f>
        <v>Fadengerät Beikrautregulierung zweiseitg</v>
      </c>
      <c r="CP70" s="44">
        <f>'Standard Vorgaben'!$E$185</f>
        <v>6</v>
      </c>
      <c r="CQ70" s="320">
        <f>'Standard Vorgaben'!$C$185</f>
        <v>1</v>
      </c>
      <c r="CR70" s="149">
        <f>'Standard Vorgaben'!$D$185</f>
        <v>84</v>
      </c>
      <c r="CS70" s="149">
        <f>CR70*CP70*CQ70</f>
        <v>504</v>
      </c>
      <c r="CT70" s="730">
        <f t="shared" si="44"/>
        <v>1.3960288777106417E-2</v>
      </c>
      <c r="CU70" s="1260"/>
      <c r="CV70" s="145" t="str">
        <f>'Standard Vorgaben'!$B$185</f>
        <v>Fadengerät Beikrautregulierung zweiseitg</v>
      </c>
      <c r="CW70" s="44">
        <f>'Standard Vorgaben'!$E$185</f>
        <v>6</v>
      </c>
      <c r="CX70" s="320">
        <f>'Standard Vorgaben'!$C$185</f>
        <v>1</v>
      </c>
      <c r="CY70" s="149">
        <f>'Standard Vorgaben'!$D$185</f>
        <v>84</v>
      </c>
      <c r="CZ70" s="149">
        <f>CY70*CW70*CX70</f>
        <v>504</v>
      </c>
      <c r="DA70" s="730">
        <f t="shared" si="45"/>
        <v>1.200264837267483E-2</v>
      </c>
    </row>
    <row r="71" spans="1:105" s="1" customFormat="1" ht="13" thickBot="1" x14ac:dyDescent="0.3">
      <c r="A71" s="757"/>
      <c r="B71" s="42" t="str">
        <f>'Standard Vorgaben'!$B$186</f>
        <v>Diverse Kleingeräte + Mäusevergaser</v>
      </c>
      <c r="C71" s="44"/>
      <c r="D71" s="44"/>
      <c r="E71" s="45"/>
      <c r="F71" s="587">
        <f>'Standard Vorgaben'!$D$186</f>
        <v>500</v>
      </c>
      <c r="G71" s="738">
        <f t="shared" si="31"/>
        <v>2.0807014844991971E-2</v>
      </c>
      <c r="H71" s="757"/>
      <c r="I71" s="42" t="str">
        <f>'Standard Vorgaben'!$B$186</f>
        <v>Diverse Kleingeräte + Mäusevergaser</v>
      </c>
      <c r="J71" s="44"/>
      <c r="K71" s="44"/>
      <c r="L71" s="45"/>
      <c r="M71" s="587">
        <f>'Standard Vorgaben'!$D$186</f>
        <v>500</v>
      </c>
      <c r="N71" s="738">
        <f t="shared" si="32"/>
        <v>2.0430545054683356E-2</v>
      </c>
      <c r="O71" s="757"/>
      <c r="P71" s="42" t="str">
        <f>'Standard Vorgaben'!$B$186</f>
        <v>Diverse Kleingeräte + Mäusevergaser</v>
      </c>
      <c r="Q71" s="44"/>
      <c r="R71" s="44"/>
      <c r="S71" s="45"/>
      <c r="T71" s="587">
        <f>'Standard Vorgaben'!$D$186</f>
        <v>500</v>
      </c>
      <c r="U71" s="738">
        <f t="shared" si="33"/>
        <v>1.5443927272738306E-2</v>
      </c>
      <c r="V71" s="757"/>
      <c r="W71" s="42" t="str">
        <f>'Standard Vorgaben'!$B$186</f>
        <v>Diverse Kleingeräte + Mäusevergaser</v>
      </c>
      <c r="X71" s="44"/>
      <c r="Y71" s="44"/>
      <c r="Z71" s="45"/>
      <c r="AA71" s="587">
        <f>'Standard Vorgaben'!$D$186</f>
        <v>500</v>
      </c>
      <c r="AB71" s="738">
        <f t="shared" si="34"/>
        <v>1.363075276285408E-2</v>
      </c>
      <c r="AC71" s="757"/>
      <c r="AD71" s="42" t="str">
        <f>'Standard Vorgaben'!$B$186</f>
        <v>Diverse Kleingeräte + Mäusevergaser</v>
      </c>
      <c r="AE71" s="44"/>
      <c r="AF71" s="44"/>
      <c r="AG71" s="45"/>
      <c r="AH71" s="587">
        <f>'Standard Vorgaben'!$D$186</f>
        <v>500</v>
      </c>
      <c r="AI71" s="738">
        <f t="shared" si="35"/>
        <v>1.3185157980255187E-2</v>
      </c>
      <c r="AJ71" s="757"/>
      <c r="AK71" s="42" t="str">
        <f>'Standard Vorgaben'!$B$186</f>
        <v>Diverse Kleingeräte + Mäusevergaser</v>
      </c>
      <c r="AL71" s="44"/>
      <c r="AM71" s="44"/>
      <c r="AN71" s="45"/>
      <c r="AO71" s="587">
        <f>'Standard Vorgaben'!$D$186</f>
        <v>500</v>
      </c>
      <c r="AP71" s="738">
        <f t="shared" si="36"/>
        <v>1.3232800728981184E-2</v>
      </c>
      <c r="AQ71" s="757"/>
      <c r="AR71" s="42" t="str">
        <f>'Standard Vorgaben'!$B$186</f>
        <v>Diverse Kleingeräte + Mäusevergaser</v>
      </c>
      <c r="AS71" s="44"/>
      <c r="AT71" s="44"/>
      <c r="AU71" s="45"/>
      <c r="AV71" s="587">
        <f>'Standard Vorgaben'!$D$186</f>
        <v>500</v>
      </c>
      <c r="AW71" s="738">
        <f t="shared" si="37"/>
        <v>1.2358758922093321E-2</v>
      </c>
      <c r="AX71" s="757"/>
      <c r="AY71" s="42" t="str">
        <f>'Standard Vorgaben'!$B$186</f>
        <v>Diverse Kleingeräte + Mäusevergaser</v>
      </c>
      <c r="AZ71" s="44"/>
      <c r="BA71" s="44"/>
      <c r="BB71" s="45"/>
      <c r="BC71" s="587">
        <f>'Standard Vorgaben'!$D$186</f>
        <v>500</v>
      </c>
      <c r="BD71" s="738">
        <f t="shared" si="38"/>
        <v>1.3321458530822179E-2</v>
      </c>
      <c r="BE71" s="757"/>
      <c r="BF71" s="42" t="str">
        <f>'Standard Vorgaben'!$B$186</f>
        <v>Diverse Kleingeräte + Mäusevergaser</v>
      </c>
      <c r="BG71" s="44"/>
      <c r="BH71" s="44"/>
      <c r="BI71" s="45"/>
      <c r="BJ71" s="587">
        <f>'Standard Vorgaben'!$D$186</f>
        <v>500</v>
      </c>
      <c r="BK71" s="738">
        <f t="shared" si="42"/>
        <v>1.3371341762519969E-2</v>
      </c>
      <c r="BL71" s="757"/>
      <c r="BM71" s="42" t="str">
        <f>'Standard Vorgaben'!$B$186</f>
        <v>Diverse Kleingeräte + Mäusevergaser</v>
      </c>
      <c r="BN71" s="44"/>
      <c r="BO71" s="44"/>
      <c r="BP71" s="45"/>
      <c r="BQ71" s="587">
        <f>'Standard Vorgaben'!$D$186</f>
        <v>500</v>
      </c>
      <c r="BR71" s="738">
        <f t="shared" si="39"/>
        <v>1.2480616835848203E-2</v>
      </c>
      <c r="BS71" s="757"/>
      <c r="BT71" s="42" t="str">
        <f>'Standard Vorgaben'!$B$186</f>
        <v>Diverse Kleingeräte + Mäusevergaser</v>
      </c>
      <c r="BU71" s="44"/>
      <c r="BV71" s="44"/>
      <c r="BW71" s="45"/>
      <c r="BX71" s="587">
        <f>'Standard Vorgaben'!$D$186</f>
        <v>500</v>
      </c>
      <c r="BY71" s="738">
        <f t="shared" si="40"/>
        <v>1.3464438107001011E-2</v>
      </c>
      <c r="BZ71" s="757"/>
      <c r="CA71" s="42" t="str">
        <f>'Standard Vorgaben'!$B$186</f>
        <v>Diverse Kleingeräte + Mäusevergaser</v>
      </c>
      <c r="CB71" s="44"/>
      <c r="CC71" s="44"/>
      <c r="CD71" s="45"/>
      <c r="CE71" s="587">
        <f>'Standard Vorgaben'!$D$186</f>
        <v>500</v>
      </c>
      <c r="CF71" s="738">
        <f t="shared" si="41"/>
        <v>1.3516710548366246E-2</v>
      </c>
      <c r="CG71" s="757"/>
      <c r="CH71" s="42" t="str">
        <f>'Standard Vorgaben'!$B$186</f>
        <v>Diverse Kleingeräte + Mäusevergaser</v>
      </c>
      <c r="CI71" s="44"/>
      <c r="CJ71" s="44"/>
      <c r="CK71" s="45"/>
      <c r="CL71" s="587">
        <f>'Standard Vorgaben'!$D$186</f>
        <v>500</v>
      </c>
      <c r="CM71" s="738">
        <f t="shared" si="43"/>
        <v>1.2821164777957137E-2</v>
      </c>
      <c r="CN71" s="757"/>
      <c r="CO71" s="42" t="str">
        <f>'Standard Vorgaben'!$B$186</f>
        <v>Diverse Kleingeräte + Mäusevergaser</v>
      </c>
      <c r="CP71" s="44"/>
      <c r="CQ71" s="44"/>
      <c r="CR71" s="45"/>
      <c r="CS71" s="587">
        <f>'Standard Vorgaben'!$D$186</f>
        <v>500</v>
      </c>
      <c r="CT71" s="730">
        <f t="shared" si="44"/>
        <v>1.3849492834430968E-2</v>
      </c>
      <c r="CU71" s="757"/>
      <c r="CV71" s="42" t="str">
        <f>'Standard Vorgaben'!$B$186</f>
        <v>Diverse Kleingeräte + Mäusevergaser</v>
      </c>
      <c r="CW71" s="44"/>
      <c r="CX71" s="44"/>
      <c r="CY71" s="45"/>
      <c r="CZ71" s="587">
        <f>'Standard Vorgaben'!$D$186</f>
        <v>500</v>
      </c>
      <c r="DA71" s="730">
        <f t="shared" si="45"/>
        <v>1.1907389258605981E-2</v>
      </c>
    </row>
    <row r="72" spans="1:105" s="1" customFormat="1" ht="13" x14ac:dyDescent="0.3">
      <c r="A72" s="625"/>
      <c r="B72" s="4"/>
      <c r="C72" s="35"/>
      <c r="D72" s="35"/>
      <c r="E72" s="48"/>
      <c r="F72" s="55">
        <f>SUM(F65:F71)</f>
        <v>8063.5</v>
      </c>
      <c r="G72" s="738">
        <f t="shared" si="31"/>
        <v>0.33555472840518552</v>
      </c>
      <c r="H72" s="625"/>
      <c r="I72" s="4"/>
      <c r="J72" s="1358"/>
      <c r="K72" s="1358"/>
      <c r="L72" s="48"/>
      <c r="M72" s="55">
        <f>SUM(M65:M71)</f>
        <v>5853.8377231581599</v>
      </c>
      <c r="N72" s="738">
        <f t="shared" si="32"/>
        <v>0.23919419069157566</v>
      </c>
      <c r="O72" s="625"/>
      <c r="P72" s="4"/>
      <c r="Q72" s="1358"/>
      <c r="R72" s="1358"/>
      <c r="S72" s="48"/>
      <c r="T72" s="55">
        <f>SUM(T65:T71)</f>
        <v>6421.9049849132516</v>
      </c>
      <c r="U72" s="738">
        <f t="shared" si="33"/>
        <v>0.19835886707887168</v>
      </c>
      <c r="V72" s="625"/>
      <c r="W72" s="4"/>
      <c r="X72" s="1358"/>
      <c r="Y72" s="1358"/>
      <c r="Z72" s="48"/>
      <c r="AA72" s="55">
        <f>SUM(AA65:AA71)</f>
        <v>9074.9886157907968</v>
      </c>
      <c r="AB72" s="738">
        <f t="shared" si="34"/>
        <v>0.24739785229511946</v>
      </c>
      <c r="AC72" s="625"/>
      <c r="AD72" s="4"/>
      <c r="AE72" s="1358"/>
      <c r="AF72" s="1358"/>
      <c r="AG72" s="48"/>
      <c r="AH72" s="55">
        <f>SUM(AH65:AH71)</f>
        <v>7367.0149547397541</v>
      </c>
      <c r="AI72" s="738">
        <f t="shared" si="35"/>
        <v>0.19427051204229237</v>
      </c>
      <c r="AJ72" s="625"/>
      <c r="AK72" s="4"/>
      <c r="AL72" s="1358"/>
      <c r="AM72" s="1358"/>
      <c r="AN72" s="48"/>
      <c r="AO72" s="55">
        <f>SUM(AO65:AO71)</f>
        <v>7367.0149547397541</v>
      </c>
      <c r="AP72" s="738">
        <f t="shared" si="36"/>
        <v>0.194972481726991</v>
      </c>
      <c r="AQ72" s="625"/>
      <c r="AR72" s="4"/>
      <c r="AS72" s="1358"/>
      <c r="AT72" s="1358"/>
      <c r="AU72" s="48"/>
      <c r="AV72" s="55">
        <f>SUM(AV65:AV71)</f>
        <v>9677.0149547397541</v>
      </c>
      <c r="AW72" s="738">
        <f t="shared" si="37"/>
        <v>0.23919178982224085</v>
      </c>
      <c r="AX72" s="625"/>
      <c r="AY72" s="4"/>
      <c r="AZ72" s="1358"/>
      <c r="BA72" s="1358"/>
      <c r="BB72" s="48"/>
      <c r="BC72" s="55">
        <f>SUM(BC65:BC71)</f>
        <v>7367.0149547397541</v>
      </c>
      <c r="BD72" s="738">
        <f t="shared" si="38"/>
        <v>0.19627876843102493</v>
      </c>
      <c r="BE72" s="625"/>
      <c r="BF72" s="4"/>
      <c r="BG72" s="1358"/>
      <c r="BH72" s="1358"/>
      <c r="BI72" s="48"/>
      <c r="BJ72" s="55">
        <f>SUM(BJ65:BJ71)</f>
        <v>7367.0149547397541</v>
      </c>
      <c r="BK72" s="738">
        <f t="shared" si="42"/>
        <v>0.19701374945884167</v>
      </c>
      <c r="BL72" s="625"/>
      <c r="BM72" s="4"/>
      <c r="BN72" s="1358"/>
      <c r="BO72" s="1358"/>
      <c r="BP72" s="48"/>
      <c r="BQ72" s="55">
        <f>SUM(BQ65:BQ71)</f>
        <v>9677.0149547397541</v>
      </c>
      <c r="BR72" s="738">
        <f t="shared" si="39"/>
        <v>0.24155023152975963</v>
      </c>
      <c r="BS72" s="625"/>
      <c r="BT72" s="4"/>
      <c r="BU72" s="1358"/>
      <c r="BV72" s="1358"/>
      <c r="BW72" s="48"/>
      <c r="BX72" s="55">
        <f>SUM(BX65:BX71)</f>
        <v>7367.0149547397541</v>
      </c>
      <c r="BY72" s="738">
        <f t="shared" si="40"/>
        <v>0.19838543378288856</v>
      </c>
      <c r="BZ72" s="625"/>
      <c r="CA72" s="4"/>
      <c r="CB72" s="1358"/>
      <c r="CC72" s="1358"/>
      <c r="CD72" s="48"/>
      <c r="CE72" s="55">
        <f>SUM(CE65:CE71)</f>
        <v>7367.0149547397541</v>
      </c>
      <c r="CF72" s="738">
        <f t="shared" si="41"/>
        <v>0.19915561749740543</v>
      </c>
      <c r="CG72" s="625"/>
      <c r="CH72" s="4"/>
      <c r="CI72" s="1358"/>
      <c r="CJ72" s="1358"/>
      <c r="CK72" s="48"/>
      <c r="CL72" s="55">
        <f>SUM(CL65:CL71)</f>
        <v>9576.6772315815942</v>
      </c>
      <c r="CM72" s="738">
        <f t="shared" si="43"/>
        <v>0.24556831362283599</v>
      </c>
      <c r="CN72" s="625"/>
      <c r="CO72" s="4"/>
      <c r="CP72" s="1358"/>
      <c r="CQ72" s="1358"/>
      <c r="CR72" s="48"/>
      <c r="CS72" s="55">
        <f>SUM(CS65:CS71)</f>
        <v>7266.6772315815942</v>
      </c>
      <c r="CT72" s="730">
        <f t="shared" si="44"/>
        <v>0.20127958849782393</v>
      </c>
      <c r="CU72" s="625"/>
      <c r="CV72" s="4"/>
      <c r="CW72" s="1358"/>
      <c r="CX72" s="1358"/>
      <c r="CY72" s="48"/>
      <c r="CZ72" s="55">
        <f>SUM(CZ65:CZ71)</f>
        <v>7266.6772315815942</v>
      </c>
      <c r="DA72" s="730">
        <f t="shared" si="45"/>
        <v>0.17305430882618267</v>
      </c>
    </row>
    <row r="73" spans="1:105" s="13" customFormat="1" ht="19.5" customHeight="1" x14ac:dyDescent="0.25">
      <c r="B73" s="29"/>
      <c r="C73" s="44"/>
      <c r="D73" s="120" t="s">
        <v>27</v>
      </c>
      <c r="E73" s="307" t="s">
        <v>21</v>
      </c>
      <c r="F73" s="305" t="s">
        <v>22</v>
      </c>
      <c r="G73" s="738"/>
      <c r="I73" s="29"/>
      <c r="J73" s="44"/>
      <c r="K73" s="120" t="s">
        <v>27</v>
      </c>
      <c r="L73" s="307" t="s">
        <v>21</v>
      </c>
      <c r="M73" s="305" t="s">
        <v>22</v>
      </c>
      <c r="N73" s="738"/>
      <c r="P73" s="29"/>
      <c r="Q73" s="44"/>
      <c r="R73" s="120" t="s">
        <v>27</v>
      </c>
      <c r="S73" s="307" t="s">
        <v>21</v>
      </c>
      <c r="T73" s="305" t="s">
        <v>22</v>
      </c>
      <c r="U73" s="738"/>
      <c r="W73" s="29"/>
      <c r="X73" s="44"/>
      <c r="Y73" s="120" t="s">
        <v>27</v>
      </c>
      <c r="Z73" s="307" t="s">
        <v>21</v>
      </c>
      <c r="AA73" s="305" t="s">
        <v>22</v>
      </c>
      <c r="AB73" s="738"/>
      <c r="AD73" s="29"/>
      <c r="AE73" s="44"/>
      <c r="AF73" s="120" t="s">
        <v>27</v>
      </c>
      <c r="AG73" s="307" t="s">
        <v>21</v>
      </c>
      <c r="AH73" s="305" t="s">
        <v>22</v>
      </c>
      <c r="AI73" s="738"/>
      <c r="AK73" s="29"/>
      <c r="AL73" s="44"/>
      <c r="AM73" s="120" t="s">
        <v>27</v>
      </c>
      <c r="AN73" s="307" t="s">
        <v>21</v>
      </c>
      <c r="AO73" s="305" t="s">
        <v>22</v>
      </c>
      <c r="AP73" s="738"/>
      <c r="AR73" s="29"/>
      <c r="AS73" s="44"/>
      <c r="AT73" s="120" t="s">
        <v>27</v>
      </c>
      <c r="AU73" s="307" t="s">
        <v>21</v>
      </c>
      <c r="AV73" s="305" t="s">
        <v>22</v>
      </c>
      <c r="AW73" s="738"/>
      <c r="AY73" s="29"/>
      <c r="AZ73" s="44"/>
      <c r="BA73" s="120" t="s">
        <v>27</v>
      </c>
      <c r="BB73" s="307" t="s">
        <v>21</v>
      </c>
      <c r="BC73" s="305" t="s">
        <v>22</v>
      </c>
      <c r="BD73" s="738"/>
      <c r="BF73" s="29"/>
      <c r="BG73" s="44"/>
      <c r="BH73" s="120" t="s">
        <v>27</v>
      </c>
      <c r="BI73" s="307" t="s">
        <v>21</v>
      </c>
      <c r="BJ73" s="305" t="s">
        <v>22</v>
      </c>
      <c r="BK73" s="738"/>
      <c r="BM73" s="29"/>
      <c r="BN73" s="44"/>
      <c r="BO73" s="120" t="s">
        <v>27</v>
      </c>
      <c r="BP73" s="307" t="s">
        <v>21</v>
      </c>
      <c r="BQ73" s="305" t="s">
        <v>22</v>
      </c>
      <c r="BR73" s="738"/>
      <c r="BT73" s="29"/>
      <c r="BU73" s="44"/>
      <c r="BV73" s="120" t="s">
        <v>27</v>
      </c>
      <c r="BW73" s="307" t="s">
        <v>21</v>
      </c>
      <c r="BX73" s="305" t="s">
        <v>22</v>
      </c>
      <c r="BY73" s="738"/>
      <c r="CA73" s="29"/>
      <c r="CB73" s="44"/>
      <c r="CC73" s="120" t="s">
        <v>27</v>
      </c>
      <c r="CD73" s="307" t="s">
        <v>21</v>
      </c>
      <c r="CE73" s="305" t="s">
        <v>22</v>
      </c>
      <c r="CF73" s="738"/>
      <c r="CH73" s="29"/>
      <c r="CI73" s="44"/>
      <c r="CJ73" s="120" t="s">
        <v>27</v>
      </c>
      <c r="CK73" s="307" t="s">
        <v>21</v>
      </c>
      <c r="CL73" s="305" t="s">
        <v>22</v>
      </c>
      <c r="CM73" s="738"/>
      <c r="CO73" s="29"/>
      <c r="CP73" s="44"/>
      <c r="CQ73" s="120" t="s">
        <v>27</v>
      </c>
      <c r="CR73" s="307" t="s">
        <v>21</v>
      </c>
      <c r="CS73" s="305" t="s">
        <v>22</v>
      </c>
      <c r="CT73" s="730"/>
      <c r="CV73" s="29"/>
      <c r="CW73" s="44"/>
      <c r="CX73" s="120" t="s">
        <v>27</v>
      </c>
      <c r="CY73" s="307" t="s">
        <v>21</v>
      </c>
      <c r="CZ73" s="305" t="s">
        <v>22</v>
      </c>
      <c r="DA73" s="730"/>
    </row>
    <row r="74" spans="1:105" s="19" customFormat="1" ht="15.75" customHeight="1" x14ac:dyDescent="0.3">
      <c r="A74" s="41" t="s">
        <v>62</v>
      </c>
      <c r="B74" s="42" t="s">
        <v>29</v>
      </c>
      <c r="C74" s="44"/>
      <c r="D74" s="368">
        <f>C59*D59</f>
        <v>1</v>
      </c>
      <c r="E74" s="45">
        <f>'Standard Vorgaben'!$C$36</f>
        <v>32.700000000000003</v>
      </c>
      <c r="F74" s="46">
        <f>D74*E74</f>
        <v>32.700000000000003</v>
      </c>
      <c r="G74" s="738">
        <f t="shared" si="31"/>
        <v>1.360778770862475E-3</v>
      </c>
      <c r="H74" s="41" t="s">
        <v>62</v>
      </c>
      <c r="I74" s="42" t="s">
        <v>29</v>
      </c>
      <c r="J74" s="44"/>
      <c r="K74" s="368">
        <f>J59*K59</f>
        <v>1</v>
      </c>
      <c r="L74" s="45">
        <f>'Standard Vorgaben'!$C$36</f>
        <v>32.700000000000003</v>
      </c>
      <c r="M74" s="46">
        <f>K74*L74</f>
        <v>32.700000000000003</v>
      </c>
      <c r="N74" s="738">
        <f t="shared" si="32"/>
        <v>1.3361576465762916E-3</v>
      </c>
      <c r="O74" s="41" t="s">
        <v>62</v>
      </c>
      <c r="P74" s="42" t="s">
        <v>29</v>
      </c>
      <c r="Q74" s="44"/>
      <c r="R74" s="368">
        <f>Q59*R59</f>
        <v>1</v>
      </c>
      <c r="S74" s="45">
        <f>'Standard Vorgaben'!$C$36</f>
        <v>32.700000000000003</v>
      </c>
      <c r="T74" s="46">
        <f>R74*S74</f>
        <v>32.700000000000003</v>
      </c>
      <c r="U74" s="738">
        <f t="shared" si="33"/>
        <v>1.0100328436370852E-3</v>
      </c>
      <c r="V74" s="41" t="s">
        <v>62</v>
      </c>
      <c r="W74" s="42" t="s">
        <v>29</v>
      </c>
      <c r="X74" s="44"/>
      <c r="Y74" s="368">
        <f>X59*Y59</f>
        <v>2</v>
      </c>
      <c r="Z74" s="45">
        <f>'Standard Vorgaben'!$C$36</f>
        <v>32.700000000000003</v>
      </c>
      <c r="AA74" s="46">
        <f t="shared" ref="AA74:AA86" si="46">Y74*Z74</f>
        <v>65.400000000000006</v>
      </c>
      <c r="AB74" s="738">
        <f t="shared" si="34"/>
        <v>1.7829024613813139E-3</v>
      </c>
      <c r="AC74" s="41" t="s">
        <v>62</v>
      </c>
      <c r="AD74" s="42" t="s">
        <v>29</v>
      </c>
      <c r="AE74" s="44"/>
      <c r="AF74" s="368">
        <f>AE59*AF59</f>
        <v>2</v>
      </c>
      <c r="AG74" s="45">
        <f>'Standard Vorgaben'!$C$36</f>
        <v>32.700000000000003</v>
      </c>
      <c r="AH74" s="46">
        <f t="shared" ref="AH74:AH86" si="47">AF74*AG74</f>
        <v>65.400000000000006</v>
      </c>
      <c r="AI74" s="738">
        <f t="shared" si="35"/>
        <v>1.7246186638173787E-3</v>
      </c>
      <c r="AJ74" s="41" t="s">
        <v>62</v>
      </c>
      <c r="AK74" s="42" t="s">
        <v>29</v>
      </c>
      <c r="AL74" s="44"/>
      <c r="AM74" s="368">
        <f>AL59*AM59</f>
        <v>2</v>
      </c>
      <c r="AN74" s="45">
        <f>'Standard Vorgaben'!$C$36</f>
        <v>32.700000000000003</v>
      </c>
      <c r="AO74" s="46">
        <f t="shared" ref="AO74:AO86" si="48">AM74*AN74</f>
        <v>65.400000000000006</v>
      </c>
      <c r="AP74" s="738">
        <f t="shared" si="36"/>
        <v>1.7308503353507389E-3</v>
      </c>
      <c r="AQ74" s="41" t="s">
        <v>62</v>
      </c>
      <c r="AR74" s="42" t="s">
        <v>29</v>
      </c>
      <c r="AS74" s="44"/>
      <c r="AT74" s="368">
        <f>AS59*AT59</f>
        <v>2</v>
      </c>
      <c r="AU74" s="45">
        <f>'Standard Vorgaben'!$C$36</f>
        <v>32.700000000000003</v>
      </c>
      <c r="AV74" s="46">
        <f t="shared" ref="AV74:AV86" si="49">AT74*AU74</f>
        <v>65.400000000000006</v>
      </c>
      <c r="AW74" s="738">
        <f t="shared" si="37"/>
        <v>1.6165256670098065E-3</v>
      </c>
      <c r="AX74" s="41" t="s">
        <v>62</v>
      </c>
      <c r="AY74" s="42" t="s">
        <v>29</v>
      </c>
      <c r="AZ74" s="44"/>
      <c r="BA74" s="368">
        <f>AZ59*BA59</f>
        <v>2</v>
      </c>
      <c r="BB74" s="45">
        <f>'Standard Vorgaben'!$C$36</f>
        <v>32.700000000000003</v>
      </c>
      <c r="BC74" s="46">
        <f t="shared" ref="BC74:BC86" si="50">BA74*BB74</f>
        <v>65.400000000000006</v>
      </c>
      <c r="BD74" s="738">
        <f t="shared" si="38"/>
        <v>1.7424467758315411E-3</v>
      </c>
      <c r="BE74" s="41" t="s">
        <v>62</v>
      </c>
      <c r="BF74" s="42" t="s">
        <v>29</v>
      </c>
      <c r="BG74" s="44"/>
      <c r="BH74" s="368">
        <f>BG59*BH59</f>
        <v>2</v>
      </c>
      <c r="BI74" s="45">
        <f>'Standard Vorgaben'!$C$36</f>
        <v>32.700000000000003</v>
      </c>
      <c r="BJ74" s="46">
        <f t="shared" ref="BJ74:BJ86" si="51">BH74*BI74</f>
        <v>65.400000000000006</v>
      </c>
      <c r="BK74" s="738">
        <f t="shared" si="42"/>
        <v>1.7489715025376122E-3</v>
      </c>
      <c r="BL74" s="41" t="s">
        <v>62</v>
      </c>
      <c r="BM74" s="42" t="s">
        <v>29</v>
      </c>
      <c r="BN74" s="44"/>
      <c r="BO74" s="368">
        <f>BN59*BO59</f>
        <v>2</v>
      </c>
      <c r="BP74" s="45">
        <f>'Standard Vorgaben'!$C$36</f>
        <v>32.700000000000003</v>
      </c>
      <c r="BQ74" s="46">
        <f t="shared" ref="BQ74:BQ86" si="52">BO74*BP74</f>
        <v>65.400000000000006</v>
      </c>
      <c r="BR74" s="738">
        <f t="shared" si="39"/>
        <v>1.632464682128945E-3</v>
      </c>
      <c r="BS74" s="41" t="s">
        <v>62</v>
      </c>
      <c r="BT74" s="42" t="s">
        <v>29</v>
      </c>
      <c r="BU74" s="44"/>
      <c r="BV74" s="368">
        <f>BU59*BV59</f>
        <v>2</v>
      </c>
      <c r="BW74" s="45">
        <f>'Standard Vorgaben'!$C$36</f>
        <v>32.700000000000003</v>
      </c>
      <c r="BX74" s="46">
        <f t="shared" ref="BX74:BX86" si="53">BV74*BW74</f>
        <v>65.400000000000006</v>
      </c>
      <c r="BY74" s="738">
        <f t="shared" si="40"/>
        <v>1.7611485043957324E-3</v>
      </c>
      <c r="BZ74" s="41" t="s">
        <v>62</v>
      </c>
      <c r="CA74" s="42" t="s">
        <v>29</v>
      </c>
      <c r="CB74" s="44"/>
      <c r="CC74" s="368">
        <f>CB59*CC59</f>
        <v>2</v>
      </c>
      <c r="CD74" s="45">
        <f>'Standard Vorgaben'!$C$36</f>
        <v>32.700000000000003</v>
      </c>
      <c r="CE74" s="46">
        <f t="shared" ref="CE74:CE86" si="54">CC74*CD74</f>
        <v>65.400000000000006</v>
      </c>
      <c r="CF74" s="738">
        <f t="shared" si="41"/>
        <v>1.7679857397263053E-3</v>
      </c>
      <c r="CG74" s="41" t="s">
        <v>62</v>
      </c>
      <c r="CH74" s="42" t="s">
        <v>29</v>
      </c>
      <c r="CI74" s="44"/>
      <c r="CJ74" s="368">
        <f>CI59*CJ59</f>
        <v>2</v>
      </c>
      <c r="CK74" s="45">
        <f>'Standard Vorgaben'!$C$36</f>
        <v>32.700000000000003</v>
      </c>
      <c r="CL74" s="46">
        <f t="shared" ref="CL74:CL86" si="55">CJ74*CK74</f>
        <v>65.400000000000006</v>
      </c>
      <c r="CM74" s="738">
        <f t="shared" si="43"/>
        <v>1.6770083529567936E-3</v>
      </c>
      <c r="CN74" s="41" t="s">
        <v>62</v>
      </c>
      <c r="CO74" s="42" t="s">
        <v>29</v>
      </c>
      <c r="CP74" s="44"/>
      <c r="CQ74" s="368">
        <f>CP59*CQ59</f>
        <v>2</v>
      </c>
      <c r="CR74" s="45">
        <f>'Standard Vorgaben'!$C$36</f>
        <v>32.700000000000003</v>
      </c>
      <c r="CS74" s="46">
        <f t="shared" ref="CS74:CS86" si="56">CQ74*CR74</f>
        <v>65.400000000000006</v>
      </c>
      <c r="CT74" s="730">
        <f t="shared" si="44"/>
        <v>1.8115136627435708E-3</v>
      </c>
      <c r="CU74" s="41" t="s">
        <v>62</v>
      </c>
      <c r="CV74" s="42" t="s">
        <v>29</v>
      </c>
      <c r="CW74" s="44"/>
      <c r="CX74" s="368">
        <f>CW59*CX59</f>
        <v>2</v>
      </c>
      <c r="CY74" s="45">
        <f>'Standard Vorgaben'!$C$36</f>
        <v>32.700000000000003</v>
      </c>
      <c r="CZ74" s="46">
        <f t="shared" ref="CZ74:CZ86" si="57">CX74*CY74</f>
        <v>65.400000000000006</v>
      </c>
      <c r="DA74" s="730">
        <f t="shared" si="45"/>
        <v>1.5574865150256626E-3</v>
      </c>
    </row>
    <row r="75" spans="1:105" s="1" customFormat="1" ht="13" x14ac:dyDescent="0.3">
      <c r="A75" s="250"/>
      <c r="B75" s="42" t="s">
        <v>151</v>
      </c>
      <c r="C75" s="19"/>
      <c r="D75" s="40">
        <f>'Standard Vorgaben'!$B$97+'Standard Vorgaben'!$C$97+C57*D57+C58*D58</f>
        <v>71</v>
      </c>
      <c r="E75" s="45">
        <f>'Standard Vorgaben'!$C$36</f>
        <v>32.700000000000003</v>
      </c>
      <c r="F75" s="46">
        <f>D75*E75</f>
        <v>2321.7000000000003</v>
      </c>
      <c r="G75" s="738">
        <f t="shared" si="31"/>
        <v>9.661529273123573E-2</v>
      </c>
      <c r="H75" s="250"/>
      <c r="I75" s="42" t="s">
        <v>151</v>
      </c>
      <c r="J75" s="19"/>
      <c r="K75" s="40">
        <f>'Standard Vorgaben'!$B$98+'Standard Vorgaben'!$C$98+J57*K57+J58*K58</f>
        <v>71</v>
      </c>
      <c r="L75" s="45">
        <f>'Standard Vorgaben'!$C$36</f>
        <v>32.700000000000003</v>
      </c>
      <c r="M75" s="46">
        <f>K75*L75</f>
        <v>2321.7000000000003</v>
      </c>
      <c r="N75" s="738">
        <f t="shared" si="32"/>
        <v>9.4867192906916711E-2</v>
      </c>
      <c r="O75" s="250"/>
      <c r="P75" s="42" t="s">
        <v>151</v>
      </c>
      <c r="Q75" s="19"/>
      <c r="R75" s="40">
        <f>'Standard Vorgaben'!$B$96+'Standard Vorgaben'!$C$96+Q57*R57+Q58*R58</f>
        <v>67</v>
      </c>
      <c r="S75" s="45">
        <f>'Standard Vorgaben'!$C$36</f>
        <v>32.700000000000003</v>
      </c>
      <c r="T75" s="46">
        <f t="shared" ref="T75:T86" si="58">R75*S75</f>
        <v>2190.9</v>
      </c>
      <c r="U75" s="738">
        <f t="shared" si="33"/>
        <v>6.7672200523684709E-2</v>
      </c>
      <c r="V75" s="250"/>
      <c r="W75" s="42" t="s">
        <v>151</v>
      </c>
      <c r="X75" s="19"/>
      <c r="Y75" s="40">
        <f>'Standard Vorgaben'!$B$96+'Standard Vorgaben'!$C$96+X57*Y57+X58*Y58</f>
        <v>67</v>
      </c>
      <c r="Z75" s="45">
        <f>'Standard Vorgaben'!$C$36</f>
        <v>32.700000000000003</v>
      </c>
      <c r="AA75" s="46">
        <f t="shared" si="46"/>
        <v>2190.9</v>
      </c>
      <c r="AB75" s="738">
        <f t="shared" si="34"/>
        <v>5.972723245627401E-2</v>
      </c>
      <c r="AC75" s="250"/>
      <c r="AD75" s="42" t="s">
        <v>151</v>
      </c>
      <c r="AE75" s="19"/>
      <c r="AF75" s="40">
        <f>'Standard Vorgaben'!$B$96+'Standard Vorgaben'!$C$96+AE57*AF57+AE58*AF58</f>
        <v>67</v>
      </c>
      <c r="AG75" s="45">
        <f>'Standard Vorgaben'!$C$36</f>
        <v>32.700000000000003</v>
      </c>
      <c r="AH75" s="46">
        <f t="shared" si="47"/>
        <v>2190.9</v>
      </c>
      <c r="AI75" s="738">
        <f t="shared" si="35"/>
        <v>5.7774725237882185E-2</v>
      </c>
      <c r="AJ75" s="250"/>
      <c r="AK75" s="42" t="s">
        <v>151</v>
      </c>
      <c r="AL75" s="19"/>
      <c r="AM75" s="40">
        <f>'Standard Vorgaben'!$B$96+'Standard Vorgaben'!$C$96+AL57*AM57+AL58*AM58</f>
        <v>67</v>
      </c>
      <c r="AN75" s="45">
        <f>'Standard Vorgaben'!$C$36</f>
        <v>32.700000000000003</v>
      </c>
      <c r="AO75" s="46">
        <f t="shared" si="48"/>
        <v>2190.9</v>
      </c>
      <c r="AP75" s="738">
        <f t="shared" si="36"/>
        <v>5.7983486234249752E-2</v>
      </c>
      <c r="AQ75" s="250"/>
      <c r="AR75" s="42" t="s">
        <v>151</v>
      </c>
      <c r="AS75" s="19"/>
      <c r="AT75" s="40">
        <f>'Standard Vorgaben'!$B$96+'Standard Vorgaben'!$C$96+AS57*AT57+AS58*AT58</f>
        <v>67</v>
      </c>
      <c r="AU75" s="45">
        <f>'Standard Vorgaben'!$C$36</f>
        <v>32.700000000000003</v>
      </c>
      <c r="AV75" s="46">
        <f t="shared" si="49"/>
        <v>2190.9</v>
      </c>
      <c r="AW75" s="738">
        <f t="shared" si="37"/>
        <v>5.4153609844828511E-2</v>
      </c>
      <c r="AX75" s="250"/>
      <c r="AY75" s="42" t="s">
        <v>151</v>
      </c>
      <c r="AZ75" s="19"/>
      <c r="BA75" s="40">
        <f>'Standard Vorgaben'!$B$96+'Standard Vorgaben'!$C$96+AZ57*BA57+AZ58*BA58</f>
        <v>67</v>
      </c>
      <c r="BB75" s="45">
        <f>'Standard Vorgaben'!$C$36</f>
        <v>32.700000000000003</v>
      </c>
      <c r="BC75" s="46">
        <f t="shared" si="50"/>
        <v>2190.9</v>
      </c>
      <c r="BD75" s="738">
        <f t="shared" si="38"/>
        <v>5.8371966990356627E-2</v>
      </c>
      <c r="BE75" s="250"/>
      <c r="BF75" s="42" t="s">
        <v>151</v>
      </c>
      <c r="BG75" s="19"/>
      <c r="BH75" s="40">
        <f>'Standard Vorgaben'!$B$96+'Standard Vorgaben'!$C$96+BG57*BH57+BG58*BH58</f>
        <v>67</v>
      </c>
      <c r="BI75" s="45">
        <f>'Standard Vorgaben'!$C$36</f>
        <v>32.700000000000003</v>
      </c>
      <c r="BJ75" s="46">
        <f t="shared" si="51"/>
        <v>2190.9</v>
      </c>
      <c r="BK75" s="738">
        <f t="shared" si="42"/>
        <v>5.8590545335010007E-2</v>
      </c>
      <c r="BL75" s="250"/>
      <c r="BM75" s="42" t="s">
        <v>151</v>
      </c>
      <c r="BN75" s="19"/>
      <c r="BO75" s="40">
        <f>'Standard Vorgaben'!$B$96+'Standard Vorgaben'!$C$96+BN57*BO57+BN58*BO58</f>
        <v>67</v>
      </c>
      <c r="BP75" s="45">
        <f>'Standard Vorgaben'!$C$36</f>
        <v>32.700000000000003</v>
      </c>
      <c r="BQ75" s="46">
        <f t="shared" si="52"/>
        <v>2190.9</v>
      </c>
      <c r="BR75" s="738">
        <f t="shared" si="39"/>
        <v>5.4687566851319661E-2</v>
      </c>
      <c r="BS75" s="250"/>
      <c r="BT75" s="42" t="s">
        <v>151</v>
      </c>
      <c r="BU75" s="19"/>
      <c r="BV75" s="40">
        <f>'Standard Vorgaben'!$B$96+'Standard Vorgaben'!$C$96+BU57*BV57+BU58*BV58</f>
        <v>67</v>
      </c>
      <c r="BW75" s="45">
        <f>'Standard Vorgaben'!$C$36</f>
        <v>32.700000000000003</v>
      </c>
      <c r="BX75" s="46">
        <f t="shared" si="53"/>
        <v>2190.9</v>
      </c>
      <c r="BY75" s="738">
        <f t="shared" si="40"/>
        <v>5.8998474897257035E-2</v>
      </c>
      <c r="BZ75" s="250"/>
      <c r="CA75" s="42" t="s">
        <v>151</v>
      </c>
      <c r="CB75" s="19"/>
      <c r="CC75" s="40">
        <f>'Standard Vorgaben'!$B$96+'Standard Vorgaben'!$C$96+CB57*CC57+CB58*CC58</f>
        <v>67</v>
      </c>
      <c r="CD75" s="45">
        <f>'Standard Vorgaben'!$C$36</f>
        <v>32.700000000000003</v>
      </c>
      <c r="CE75" s="46">
        <f t="shared" si="54"/>
        <v>2190.9</v>
      </c>
      <c r="CF75" s="738">
        <f t="shared" si="41"/>
        <v>5.9227522280831224E-2</v>
      </c>
      <c r="CG75" s="250"/>
      <c r="CH75" s="42" t="s">
        <v>151</v>
      </c>
      <c r="CI75" s="19"/>
      <c r="CJ75" s="40">
        <f>'Standard Vorgaben'!$B$96+'Standard Vorgaben'!$C$96+CI57*CJ57+CI58*CJ58</f>
        <v>67</v>
      </c>
      <c r="CK75" s="45">
        <f>'Standard Vorgaben'!$C$36</f>
        <v>32.700000000000003</v>
      </c>
      <c r="CL75" s="46">
        <f t="shared" si="55"/>
        <v>2190.9</v>
      </c>
      <c r="CM75" s="738">
        <f t="shared" si="43"/>
        <v>5.6179779824052582E-2</v>
      </c>
      <c r="CN75" s="250"/>
      <c r="CO75" s="42" t="s">
        <v>151</v>
      </c>
      <c r="CP75" s="19"/>
      <c r="CQ75" s="40">
        <f>'Standard Vorgaben'!$B$96+'Standard Vorgaben'!$C$96+CP57*CQ57+CP58*CQ58</f>
        <v>67</v>
      </c>
      <c r="CR75" s="45">
        <f>'Standard Vorgaben'!$C$36</f>
        <v>32.700000000000003</v>
      </c>
      <c r="CS75" s="46">
        <f t="shared" si="56"/>
        <v>2190.9</v>
      </c>
      <c r="CT75" s="730">
        <f t="shared" si="44"/>
        <v>6.0685707701909619E-2</v>
      </c>
      <c r="CU75" s="250"/>
      <c r="CV75" s="42" t="s">
        <v>151</v>
      </c>
      <c r="CW75" s="19"/>
      <c r="CX75" s="40">
        <f>'Standard Vorgaben'!$B$96+'Standard Vorgaben'!$C$96+CW57*CX57+CW58*CX58</f>
        <v>67</v>
      </c>
      <c r="CY75" s="45">
        <f>'Standard Vorgaben'!$C$36</f>
        <v>32.700000000000003</v>
      </c>
      <c r="CZ75" s="46">
        <f t="shared" si="57"/>
        <v>2190.9</v>
      </c>
      <c r="DA75" s="730">
        <f t="shared" si="45"/>
        <v>5.2175798253359697E-2</v>
      </c>
    </row>
    <row r="76" spans="1:105" s="1" customFormat="1" ht="13" x14ac:dyDescent="0.3">
      <c r="A76" s="250"/>
      <c r="B76" s="42" t="str">
        <f>'Standard Vorgaben'!$D$93</f>
        <v>Baumerziehung 
(Sommer+Winter)</v>
      </c>
      <c r="C76" s="44"/>
      <c r="D76" s="40">
        <f>'Standard Vorgaben'!D97</f>
        <v>50</v>
      </c>
      <c r="E76" s="45">
        <f>'Standard Vorgaben'!$C$36</f>
        <v>32.700000000000003</v>
      </c>
      <c r="F76" s="46">
        <f t="shared" ref="F76:F86" si="59">D76*E76</f>
        <v>1635.0000000000002</v>
      </c>
      <c r="G76" s="738">
        <f t="shared" si="31"/>
        <v>6.8038938543123761E-2</v>
      </c>
      <c r="H76" s="250"/>
      <c r="I76" s="42" t="str">
        <f>'Standard Vorgaben'!$D$93</f>
        <v>Baumerziehung 
(Sommer+Winter)</v>
      </c>
      <c r="J76" s="44"/>
      <c r="K76" s="40">
        <f>'Standard Vorgaben'!D98</f>
        <v>50</v>
      </c>
      <c r="L76" s="45">
        <f>'Standard Vorgaben'!$C$36</f>
        <v>32.700000000000003</v>
      </c>
      <c r="M76" s="46">
        <f t="shared" ref="M76:M86" si="60">K76*L76</f>
        <v>1635.0000000000002</v>
      </c>
      <c r="N76" s="738">
        <f t="shared" si="32"/>
        <v>6.6807882328814586E-2</v>
      </c>
      <c r="O76" s="250"/>
      <c r="P76" s="42" t="str">
        <f>'Standard Vorgaben'!$D$93</f>
        <v>Baumerziehung 
(Sommer+Winter)</v>
      </c>
      <c r="Q76" s="44"/>
      <c r="R76" s="40">
        <f>'Standard Vorgaben'!$D$96</f>
        <v>120</v>
      </c>
      <c r="S76" s="45">
        <f>'Standard Vorgaben'!$C$36</f>
        <v>32.700000000000003</v>
      </c>
      <c r="T76" s="46">
        <f t="shared" si="58"/>
        <v>3924.0000000000005</v>
      </c>
      <c r="U76" s="738">
        <f t="shared" si="33"/>
        <v>0.12120394123645023</v>
      </c>
      <c r="V76" s="250"/>
      <c r="W76" s="42" t="str">
        <f>'Standard Vorgaben'!$D$93</f>
        <v>Baumerziehung 
(Sommer+Winter)</v>
      </c>
      <c r="X76" s="44"/>
      <c r="Y76" s="40">
        <f>'Standard Vorgaben'!$D$96</f>
        <v>120</v>
      </c>
      <c r="Z76" s="45">
        <f>'Standard Vorgaben'!$C$36</f>
        <v>32.700000000000003</v>
      </c>
      <c r="AA76" s="46">
        <f t="shared" si="46"/>
        <v>3924.0000000000005</v>
      </c>
      <c r="AB76" s="738">
        <f t="shared" si="34"/>
        <v>0.10697414768287883</v>
      </c>
      <c r="AC76" s="250"/>
      <c r="AD76" s="42" t="str">
        <f>'Standard Vorgaben'!$D$93</f>
        <v>Baumerziehung 
(Sommer+Winter)</v>
      </c>
      <c r="AE76" s="44"/>
      <c r="AF76" s="40">
        <f>'Standard Vorgaben'!$D$96</f>
        <v>120</v>
      </c>
      <c r="AG76" s="45">
        <f>'Standard Vorgaben'!$C$36</f>
        <v>32.700000000000003</v>
      </c>
      <c r="AH76" s="46">
        <f t="shared" si="47"/>
        <v>3924.0000000000005</v>
      </c>
      <c r="AI76" s="738">
        <f t="shared" si="35"/>
        <v>0.10347711982904273</v>
      </c>
      <c r="AJ76" s="250"/>
      <c r="AK76" s="42" t="str">
        <f>'Standard Vorgaben'!$D$93</f>
        <v>Baumerziehung 
(Sommer+Winter)</v>
      </c>
      <c r="AL76" s="44"/>
      <c r="AM76" s="40">
        <f>'Standard Vorgaben'!$D$96</f>
        <v>120</v>
      </c>
      <c r="AN76" s="45">
        <f>'Standard Vorgaben'!$C$36</f>
        <v>32.700000000000003</v>
      </c>
      <c r="AO76" s="46">
        <f t="shared" si="48"/>
        <v>3924.0000000000005</v>
      </c>
      <c r="AP76" s="738">
        <f t="shared" si="36"/>
        <v>0.10385102012104434</v>
      </c>
      <c r="AQ76" s="250"/>
      <c r="AR76" s="42" t="str">
        <f>'Standard Vorgaben'!$D$93</f>
        <v>Baumerziehung 
(Sommer+Winter)</v>
      </c>
      <c r="AS76" s="44"/>
      <c r="AT76" s="40">
        <f>'Standard Vorgaben'!$D$96</f>
        <v>120</v>
      </c>
      <c r="AU76" s="45">
        <f>'Standard Vorgaben'!$C$36</f>
        <v>32.700000000000003</v>
      </c>
      <c r="AV76" s="46">
        <f t="shared" si="49"/>
        <v>3924.0000000000005</v>
      </c>
      <c r="AW76" s="738">
        <f t="shared" si="37"/>
        <v>9.6991540020588393E-2</v>
      </c>
      <c r="AX76" s="250"/>
      <c r="AY76" s="42" t="str">
        <f>'Standard Vorgaben'!$D$93</f>
        <v>Baumerziehung 
(Sommer+Winter)</v>
      </c>
      <c r="AZ76" s="44"/>
      <c r="BA76" s="40">
        <f>'Standard Vorgaben'!$D$96</f>
        <v>120</v>
      </c>
      <c r="BB76" s="45">
        <f>'Standard Vorgaben'!$C$36</f>
        <v>32.700000000000003</v>
      </c>
      <c r="BC76" s="46">
        <f t="shared" si="50"/>
        <v>3924.0000000000005</v>
      </c>
      <c r="BD76" s="738">
        <f t="shared" si="38"/>
        <v>0.10454680654989247</v>
      </c>
      <c r="BE76" s="250"/>
      <c r="BF76" s="42" t="str">
        <f>'Standard Vorgaben'!$D$93</f>
        <v>Baumerziehung 
(Sommer+Winter)</v>
      </c>
      <c r="BG76" s="44"/>
      <c r="BH76" s="40">
        <f>'Standard Vorgaben'!$D$96</f>
        <v>120</v>
      </c>
      <c r="BI76" s="45">
        <f>'Standard Vorgaben'!$C$36</f>
        <v>32.700000000000003</v>
      </c>
      <c r="BJ76" s="46">
        <f t="shared" si="51"/>
        <v>3924.0000000000005</v>
      </c>
      <c r="BK76" s="738">
        <f t="shared" si="42"/>
        <v>0.10493829015225672</v>
      </c>
      <c r="BL76" s="250"/>
      <c r="BM76" s="42" t="str">
        <f>'Standard Vorgaben'!$D$93</f>
        <v>Baumerziehung 
(Sommer+Winter)</v>
      </c>
      <c r="BN76" s="44"/>
      <c r="BO76" s="40">
        <f>'Standard Vorgaben'!$D$96</f>
        <v>120</v>
      </c>
      <c r="BP76" s="45">
        <f>'Standard Vorgaben'!$C$36</f>
        <v>32.700000000000003</v>
      </c>
      <c r="BQ76" s="46">
        <f t="shared" si="52"/>
        <v>3924.0000000000005</v>
      </c>
      <c r="BR76" s="738">
        <f t="shared" si="39"/>
        <v>9.7947880927736708E-2</v>
      </c>
      <c r="BS76" s="250"/>
      <c r="BT76" s="42" t="str">
        <f>'Standard Vorgaben'!$D$93</f>
        <v>Baumerziehung 
(Sommer+Winter)</v>
      </c>
      <c r="BU76" s="44"/>
      <c r="BV76" s="40">
        <f>'Standard Vorgaben'!$D$96</f>
        <v>120</v>
      </c>
      <c r="BW76" s="45">
        <f>'Standard Vorgaben'!$C$36</f>
        <v>32.700000000000003</v>
      </c>
      <c r="BX76" s="46">
        <f t="shared" si="53"/>
        <v>3924.0000000000005</v>
      </c>
      <c r="BY76" s="738">
        <f t="shared" si="40"/>
        <v>0.10566891026374395</v>
      </c>
      <c r="BZ76" s="250"/>
      <c r="CA76" s="42" t="str">
        <f>'Standard Vorgaben'!$D$93</f>
        <v>Baumerziehung 
(Sommer+Winter)</v>
      </c>
      <c r="CB76" s="44"/>
      <c r="CC76" s="40">
        <f>'Standard Vorgaben'!$D$96</f>
        <v>120</v>
      </c>
      <c r="CD76" s="45">
        <f>'Standard Vorgaben'!$C$36</f>
        <v>32.700000000000003</v>
      </c>
      <c r="CE76" s="46">
        <f t="shared" si="54"/>
        <v>3924.0000000000005</v>
      </c>
      <c r="CF76" s="738">
        <f t="shared" si="41"/>
        <v>0.10607914438357832</v>
      </c>
      <c r="CG76" s="250"/>
      <c r="CH76" s="42" t="str">
        <f>'Standard Vorgaben'!$D$93</f>
        <v>Baumerziehung 
(Sommer+Winter)</v>
      </c>
      <c r="CI76" s="44"/>
      <c r="CJ76" s="40">
        <f>'Standard Vorgaben'!$D$96</f>
        <v>120</v>
      </c>
      <c r="CK76" s="45">
        <f>'Standard Vorgaben'!$C$36</f>
        <v>32.700000000000003</v>
      </c>
      <c r="CL76" s="46">
        <f t="shared" si="55"/>
        <v>3924.0000000000005</v>
      </c>
      <c r="CM76" s="738">
        <f t="shared" si="43"/>
        <v>0.10062050117740762</v>
      </c>
      <c r="CN76" s="250"/>
      <c r="CO76" s="42" t="str">
        <f>'Standard Vorgaben'!$D$93</f>
        <v>Baumerziehung 
(Sommer+Winter)</v>
      </c>
      <c r="CP76" s="44"/>
      <c r="CQ76" s="40">
        <f>'Standard Vorgaben'!$D$96</f>
        <v>120</v>
      </c>
      <c r="CR76" s="45">
        <f>'Standard Vorgaben'!$C$36</f>
        <v>32.700000000000003</v>
      </c>
      <c r="CS76" s="46">
        <f t="shared" si="56"/>
        <v>3924.0000000000005</v>
      </c>
      <c r="CT76" s="730">
        <f t="shared" si="44"/>
        <v>0.10869081976461425</v>
      </c>
      <c r="CU76" s="250"/>
      <c r="CV76" s="42" t="str">
        <f>'Standard Vorgaben'!$D$93</f>
        <v>Baumerziehung 
(Sommer+Winter)</v>
      </c>
      <c r="CW76" s="44"/>
      <c r="CX76" s="40">
        <f>'Standard Vorgaben'!$D$96</f>
        <v>120</v>
      </c>
      <c r="CY76" s="45">
        <f>'Standard Vorgaben'!$C$36</f>
        <v>32.700000000000003</v>
      </c>
      <c r="CZ76" s="46">
        <f t="shared" si="57"/>
        <v>3924.0000000000005</v>
      </c>
      <c r="DA76" s="730">
        <f t="shared" si="45"/>
        <v>9.3449190901539761E-2</v>
      </c>
    </row>
    <row r="77" spans="1:105" s="1" customFormat="1" ht="13" x14ac:dyDescent="0.3">
      <c r="A77" s="41"/>
      <c r="B77" s="42" t="s">
        <v>96</v>
      </c>
      <c r="C77" s="44"/>
      <c r="D77" s="368">
        <f>(C63*D63)+(C64*D64)</f>
        <v>7</v>
      </c>
      <c r="E77" s="45">
        <f>'Standard Vorgaben'!$C$36</f>
        <v>32.700000000000003</v>
      </c>
      <c r="F77" s="46">
        <f t="shared" si="59"/>
        <v>228.90000000000003</v>
      </c>
      <c r="G77" s="738">
        <f t="shared" si="31"/>
        <v>9.5254513960373252E-3</v>
      </c>
      <c r="H77" s="41"/>
      <c r="I77" s="42" t="s">
        <v>96</v>
      </c>
      <c r="J77" s="44"/>
      <c r="K77" s="368">
        <f>(J63*K63)+(J64*K64)</f>
        <v>7</v>
      </c>
      <c r="L77" s="45">
        <f>'Standard Vorgaben'!$C$36</f>
        <v>32.700000000000003</v>
      </c>
      <c r="M77" s="46">
        <f t="shared" si="60"/>
        <v>228.90000000000003</v>
      </c>
      <c r="N77" s="738">
        <f t="shared" si="32"/>
        <v>9.3531035260340425E-3</v>
      </c>
      <c r="O77" s="41"/>
      <c r="P77" s="42" t="s">
        <v>96</v>
      </c>
      <c r="Q77" s="44"/>
      <c r="R77" s="368">
        <f>(Q63*R63)+(Q64*R64)</f>
        <v>7</v>
      </c>
      <c r="S77" s="45">
        <f>'Standard Vorgaben'!$C$36</f>
        <v>32.700000000000003</v>
      </c>
      <c r="T77" s="46">
        <f t="shared" si="58"/>
        <v>228.90000000000003</v>
      </c>
      <c r="U77" s="738">
        <f t="shared" si="33"/>
        <v>7.070229905459597E-3</v>
      </c>
      <c r="V77" s="41"/>
      <c r="W77" s="42" t="s">
        <v>96</v>
      </c>
      <c r="X77" s="44"/>
      <c r="Y77" s="368">
        <f>(X63*Y63)+(X64*Y64)</f>
        <v>9</v>
      </c>
      <c r="Z77" s="45">
        <f>'Standard Vorgaben'!$C$36</f>
        <v>32.700000000000003</v>
      </c>
      <c r="AA77" s="46">
        <f t="shared" si="46"/>
        <v>294.3</v>
      </c>
      <c r="AB77" s="738">
        <f t="shared" si="34"/>
        <v>8.0230610762159118E-3</v>
      </c>
      <c r="AC77" s="41"/>
      <c r="AD77" s="42" t="s">
        <v>96</v>
      </c>
      <c r="AE77" s="44"/>
      <c r="AF77" s="368">
        <f>(AE63*AF63)+(AE64*AF64)</f>
        <v>9</v>
      </c>
      <c r="AG77" s="45">
        <f>'Standard Vorgaben'!$C$36</f>
        <v>32.700000000000003</v>
      </c>
      <c r="AH77" s="46">
        <f t="shared" si="47"/>
        <v>294.3</v>
      </c>
      <c r="AI77" s="738">
        <f t="shared" si="35"/>
        <v>7.760783987178204E-3</v>
      </c>
      <c r="AJ77" s="41"/>
      <c r="AK77" s="42" t="s">
        <v>96</v>
      </c>
      <c r="AL77" s="44"/>
      <c r="AM77" s="368">
        <f>(AL63*AM63)+(AL64*AM64)</f>
        <v>9</v>
      </c>
      <c r="AN77" s="45">
        <f>'Standard Vorgaben'!$C$36</f>
        <v>32.700000000000003</v>
      </c>
      <c r="AO77" s="46">
        <f t="shared" si="48"/>
        <v>294.3</v>
      </c>
      <c r="AP77" s="738">
        <f t="shared" si="36"/>
        <v>7.7888265090783251E-3</v>
      </c>
      <c r="AQ77" s="41"/>
      <c r="AR77" s="42" t="s">
        <v>96</v>
      </c>
      <c r="AS77" s="44"/>
      <c r="AT77" s="368">
        <f>(AS63*AT63)+(AS64*AT64)</f>
        <v>9</v>
      </c>
      <c r="AU77" s="45">
        <f>'Standard Vorgaben'!$C$36</f>
        <v>32.700000000000003</v>
      </c>
      <c r="AV77" s="46">
        <f t="shared" si="49"/>
        <v>294.3</v>
      </c>
      <c r="AW77" s="738">
        <f t="shared" si="37"/>
        <v>7.2743655015441288E-3</v>
      </c>
      <c r="AX77" s="41"/>
      <c r="AY77" s="42" t="s">
        <v>96</v>
      </c>
      <c r="AZ77" s="44"/>
      <c r="BA77" s="368">
        <f>(AZ63*BA63)+(AZ64*BA64)</f>
        <v>9</v>
      </c>
      <c r="BB77" s="45">
        <f>'Standard Vorgaben'!$C$36</f>
        <v>32.700000000000003</v>
      </c>
      <c r="BC77" s="46">
        <f t="shared" si="50"/>
        <v>294.3</v>
      </c>
      <c r="BD77" s="738">
        <f t="shared" si="38"/>
        <v>7.841010491241935E-3</v>
      </c>
      <c r="BE77" s="41"/>
      <c r="BF77" s="42" t="s">
        <v>96</v>
      </c>
      <c r="BG77" s="44"/>
      <c r="BH77" s="368">
        <f>(BG63*BH63)+(BG64*BH64)</f>
        <v>9</v>
      </c>
      <c r="BI77" s="45">
        <f>'Standard Vorgaben'!$C$36</f>
        <v>32.700000000000003</v>
      </c>
      <c r="BJ77" s="46">
        <f t="shared" si="51"/>
        <v>294.3</v>
      </c>
      <c r="BK77" s="738">
        <f t="shared" si="42"/>
        <v>7.870371761419255E-3</v>
      </c>
      <c r="BL77" s="41"/>
      <c r="BM77" s="42" t="s">
        <v>96</v>
      </c>
      <c r="BN77" s="44"/>
      <c r="BO77" s="368">
        <f>(BN63*BO63)+(BN64*BO64)</f>
        <v>9</v>
      </c>
      <c r="BP77" s="45">
        <f>'Standard Vorgaben'!$C$36</f>
        <v>32.700000000000003</v>
      </c>
      <c r="BQ77" s="46">
        <f t="shared" si="52"/>
        <v>294.3</v>
      </c>
      <c r="BR77" s="738">
        <f t="shared" si="39"/>
        <v>7.3460910695802529E-3</v>
      </c>
      <c r="BS77" s="41"/>
      <c r="BT77" s="42" t="s">
        <v>96</v>
      </c>
      <c r="BU77" s="44"/>
      <c r="BV77" s="368">
        <f>(BU63*BV63)+(BU64*BV64)</f>
        <v>9</v>
      </c>
      <c r="BW77" s="45">
        <f>'Standard Vorgaben'!$C$36</f>
        <v>32.700000000000003</v>
      </c>
      <c r="BX77" s="46">
        <f t="shared" si="53"/>
        <v>294.3</v>
      </c>
      <c r="BY77" s="738">
        <f t="shared" si="40"/>
        <v>7.9251682697807947E-3</v>
      </c>
      <c r="BZ77" s="41"/>
      <c r="CA77" s="42" t="s">
        <v>96</v>
      </c>
      <c r="CB77" s="44"/>
      <c r="CC77" s="368">
        <f>(CB63*CC63)+(CB64*CC64)</f>
        <v>9</v>
      </c>
      <c r="CD77" s="45">
        <f>'Standard Vorgaben'!$C$36</f>
        <v>32.700000000000003</v>
      </c>
      <c r="CE77" s="46">
        <f t="shared" si="54"/>
        <v>294.3</v>
      </c>
      <c r="CF77" s="738">
        <f t="shared" si="41"/>
        <v>7.9559358287683724E-3</v>
      </c>
      <c r="CG77" s="41"/>
      <c r="CH77" s="42" t="s">
        <v>96</v>
      </c>
      <c r="CI77" s="44"/>
      <c r="CJ77" s="368">
        <f>(CI63*CJ63)+(CI64*CJ64)</f>
        <v>9</v>
      </c>
      <c r="CK77" s="45">
        <f>'Standard Vorgaben'!$C$36</f>
        <v>32.700000000000003</v>
      </c>
      <c r="CL77" s="46">
        <f t="shared" si="55"/>
        <v>294.3</v>
      </c>
      <c r="CM77" s="738">
        <f t="shared" si="43"/>
        <v>7.5465375883055708E-3</v>
      </c>
      <c r="CN77" s="41"/>
      <c r="CO77" s="42" t="s">
        <v>96</v>
      </c>
      <c r="CP77" s="44"/>
      <c r="CQ77" s="368">
        <f>(CP63*CQ63)+(CP64*CQ64)</f>
        <v>9</v>
      </c>
      <c r="CR77" s="45">
        <f>'Standard Vorgaben'!$C$36</f>
        <v>32.700000000000003</v>
      </c>
      <c r="CS77" s="46">
        <f t="shared" si="56"/>
        <v>294.3</v>
      </c>
      <c r="CT77" s="730">
        <f t="shared" si="44"/>
        <v>8.1518114823460695E-3</v>
      </c>
      <c r="CU77" s="41"/>
      <c r="CV77" s="42" t="s">
        <v>96</v>
      </c>
      <c r="CW77" s="44"/>
      <c r="CX77" s="368">
        <f>(CW63*CX63)+(CW64*CX64)</f>
        <v>9</v>
      </c>
      <c r="CY77" s="45">
        <f>'Standard Vorgaben'!$C$36</f>
        <v>32.700000000000003</v>
      </c>
      <c r="CZ77" s="46">
        <f t="shared" si="57"/>
        <v>294.3</v>
      </c>
      <c r="DA77" s="730">
        <f t="shared" si="45"/>
        <v>7.008689317615481E-3</v>
      </c>
    </row>
    <row r="78" spans="1:105" s="1" customFormat="1" ht="13" x14ac:dyDescent="0.3">
      <c r="A78" s="41"/>
      <c r="B78" s="321" t="str">
        <f>'Standard Vorgaben'!E94</f>
        <v>Behangsregulierung (von Hand)</v>
      </c>
      <c r="C78" s="19"/>
      <c r="D78" s="40">
        <f>'Standard Vorgaben'!E97</f>
        <v>100</v>
      </c>
      <c r="E78" s="45">
        <f>'Standard Vorgaben'!$C$37</f>
        <v>22.5</v>
      </c>
      <c r="F78" s="46">
        <f t="shared" si="59"/>
        <v>2250</v>
      </c>
      <c r="G78" s="738">
        <f t="shared" si="31"/>
        <v>9.3631566802463873E-2</v>
      </c>
      <c r="H78" s="41"/>
      <c r="I78" s="321" t="str">
        <f>'Standard Vorgaben'!$E$94</f>
        <v>Behangsregulierung (von Hand)</v>
      </c>
      <c r="J78" s="19"/>
      <c r="K78" s="40">
        <f>'Standard Vorgaben'!E98</f>
        <v>200</v>
      </c>
      <c r="L78" s="45">
        <f>'Standard Vorgaben'!$C$37</f>
        <v>22.5</v>
      </c>
      <c r="M78" s="46">
        <f t="shared" si="60"/>
        <v>4500</v>
      </c>
      <c r="N78" s="738">
        <f t="shared" si="32"/>
        <v>0.18387490549215021</v>
      </c>
      <c r="O78" s="41"/>
      <c r="P78" s="321" t="str">
        <f>'Standard Vorgaben'!$E$94</f>
        <v>Behangsregulierung (von Hand)</v>
      </c>
      <c r="Q78" s="19"/>
      <c r="R78" s="40">
        <f>'Standard Vorgaben'!$E$96</f>
        <v>200</v>
      </c>
      <c r="S78" s="45">
        <f>'Standard Vorgaben'!$C$37</f>
        <v>22.5</v>
      </c>
      <c r="T78" s="46">
        <f t="shared" si="58"/>
        <v>4500</v>
      </c>
      <c r="U78" s="738">
        <f t="shared" si="33"/>
        <v>0.13899534545464476</v>
      </c>
      <c r="V78" s="41"/>
      <c r="W78" s="321" t="str">
        <f>'Standard Vorgaben'!$E$94</f>
        <v>Behangsregulierung (von Hand)</v>
      </c>
      <c r="X78" s="19"/>
      <c r="Y78" s="40">
        <f>'Standard Vorgaben'!$E$96</f>
        <v>200</v>
      </c>
      <c r="Z78" s="45">
        <f>'Standard Vorgaben'!$C$37</f>
        <v>22.5</v>
      </c>
      <c r="AA78" s="46">
        <f t="shared" si="46"/>
        <v>4500</v>
      </c>
      <c r="AB78" s="738">
        <f t="shared" si="34"/>
        <v>0.12267677486568672</v>
      </c>
      <c r="AC78" s="41"/>
      <c r="AD78" s="321" t="str">
        <f>'Standard Vorgaben'!$E$94</f>
        <v>Behangsregulierung (von Hand)</v>
      </c>
      <c r="AE78" s="19"/>
      <c r="AF78" s="40">
        <f>'Standard Vorgaben'!$E$96</f>
        <v>200</v>
      </c>
      <c r="AG78" s="45">
        <f>'Standard Vorgaben'!$C$37</f>
        <v>22.5</v>
      </c>
      <c r="AH78" s="46">
        <f t="shared" si="47"/>
        <v>4500</v>
      </c>
      <c r="AI78" s="738">
        <f t="shared" si="35"/>
        <v>0.11866642182229668</v>
      </c>
      <c r="AJ78" s="41"/>
      <c r="AK78" s="321" t="str">
        <f>'Standard Vorgaben'!$E$94</f>
        <v>Behangsregulierung (von Hand)</v>
      </c>
      <c r="AL78" s="19"/>
      <c r="AM78" s="40">
        <f>'Standard Vorgaben'!$E$96</f>
        <v>200</v>
      </c>
      <c r="AN78" s="45">
        <f>'Standard Vorgaben'!$C$37</f>
        <v>22.5</v>
      </c>
      <c r="AO78" s="46">
        <f t="shared" si="48"/>
        <v>4500</v>
      </c>
      <c r="AP78" s="738">
        <f t="shared" si="36"/>
        <v>0.11909520656083065</v>
      </c>
      <c r="AQ78" s="41"/>
      <c r="AR78" s="321" t="str">
        <f>'Standard Vorgaben'!$E$94</f>
        <v>Behangsregulierung (von Hand)</v>
      </c>
      <c r="AS78" s="19"/>
      <c r="AT78" s="40">
        <f>'Standard Vorgaben'!$E$96</f>
        <v>200</v>
      </c>
      <c r="AU78" s="45">
        <f>'Standard Vorgaben'!$C$37</f>
        <v>22.5</v>
      </c>
      <c r="AV78" s="46">
        <f t="shared" si="49"/>
        <v>4500</v>
      </c>
      <c r="AW78" s="738">
        <f t="shared" si="37"/>
        <v>0.11122883029883988</v>
      </c>
      <c r="AX78" s="41"/>
      <c r="AY78" s="321" t="str">
        <f>'Standard Vorgaben'!$E$94</f>
        <v>Behangsregulierung (von Hand)</v>
      </c>
      <c r="AZ78" s="19"/>
      <c r="BA78" s="40">
        <f>'Standard Vorgaben'!$E$96</f>
        <v>200</v>
      </c>
      <c r="BB78" s="45">
        <f>'Standard Vorgaben'!$C$37</f>
        <v>22.5</v>
      </c>
      <c r="BC78" s="46">
        <f t="shared" si="50"/>
        <v>4500</v>
      </c>
      <c r="BD78" s="738">
        <f t="shared" si="38"/>
        <v>0.11989312677739961</v>
      </c>
      <c r="BE78" s="41"/>
      <c r="BF78" s="321" t="str">
        <f>'Standard Vorgaben'!$E$94</f>
        <v>Behangsregulierung (von Hand)</v>
      </c>
      <c r="BG78" s="19"/>
      <c r="BH78" s="40">
        <f>'Standard Vorgaben'!$E$96</f>
        <v>200</v>
      </c>
      <c r="BI78" s="45">
        <f>'Standard Vorgaben'!$C$37</f>
        <v>22.5</v>
      </c>
      <c r="BJ78" s="46">
        <f t="shared" si="51"/>
        <v>4500</v>
      </c>
      <c r="BK78" s="738">
        <f t="shared" si="42"/>
        <v>0.12034207586267973</v>
      </c>
      <c r="BL78" s="41"/>
      <c r="BM78" s="321" t="str">
        <f>'Standard Vorgaben'!$E$94</f>
        <v>Behangsregulierung (von Hand)</v>
      </c>
      <c r="BN78" s="19"/>
      <c r="BO78" s="40">
        <f>'Standard Vorgaben'!$E$96</f>
        <v>200</v>
      </c>
      <c r="BP78" s="45">
        <f>'Standard Vorgaben'!$C$37</f>
        <v>22.5</v>
      </c>
      <c r="BQ78" s="46">
        <f t="shared" si="52"/>
        <v>4500</v>
      </c>
      <c r="BR78" s="738">
        <f t="shared" si="39"/>
        <v>0.11232555152263382</v>
      </c>
      <c r="BS78" s="41"/>
      <c r="BT78" s="321" t="str">
        <f>'Standard Vorgaben'!$E$94</f>
        <v>Behangsregulierung (von Hand)</v>
      </c>
      <c r="BU78" s="19"/>
      <c r="BV78" s="40">
        <f>'Standard Vorgaben'!$E$96</f>
        <v>200</v>
      </c>
      <c r="BW78" s="45">
        <f>'Standard Vorgaben'!$C$37</f>
        <v>22.5</v>
      </c>
      <c r="BX78" s="46">
        <f t="shared" si="53"/>
        <v>4500</v>
      </c>
      <c r="BY78" s="738">
        <f t="shared" si="40"/>
        <v>0.1211799429630091</v>
      </c>
      <c r="BZ78" s="41"/>
      <c r="CA78" s="321" t="str">
        <f>'Standard Vorgaben'!$E$94</f>
        <v>Behangsregulierung (von Hand)</v>
      </c>
      <c r="CB78" s="19"/>
      <c r="CC78" s="40">
        <f>'Standard Vorgaben'!$E$96</f>
        <v>200</v>
      </c>
      <c r="CD78" s="45">
        <f>'Standard Vorgaben'!$C$37</f>
        <v>22.5</v>
      </c>
      <c r="CE78" s="46">
        <f t="shared" si="54"/>
        <v>4500</v>
      </c>
      <c r="CF78" s="738">
        <f t="shared" si="41"/>
        <v>0.12165039493529622</v>
      </c>
      <c r="CG78" s="41"/>
      <c r="CH78" s="321" t="str">
        <f>'Standard Vorgaben'!$E$94</f>
        <v>Behangsregulierung (von Hand)</v>
      </c>
      <c r="CI78" s="19"/>
      <c r="CJ78" s="40">
        <f>'Standard Vorgaben'!$E$96</f>
        <v>200</v>
      </c>
      <c r="CK78" s="45">
        <f>'Standard Vorgaben'!$C$37</f>
        <v>22.5</v>
      </c>
      <c r="CL78" s="46">
        <f t="shared" si="55"/>
        <v>4500</v>
      </c>
      <c r="CM78" s="738">
        <f t="shared" si="43"/>
        <v>0.11539048300161422</v>
      </c>
      <c r="CN78" s="41"/>
      <c r="CO78" s="321" t="str">
        <f>'Standard Vorgaben'!$E$94</f>
        <v>Behangsregulierung (von Hand)</v>
      </c>
      <c r="CP78" s="19"/>
      <c r="CQ78" s="40">
        <f>'Standard Vorgaben'!$E$96</f>
        <v>200</v>
      </c>
      <c r="CR78" s="45">
        <f>'Standard Vorgaben'!$C$37</f>
        <v>22.5</v>
      </c>
      <c r="CS78" s="46">
        <f t="shared" si="56"/>
        <v>4500</v>
      </c>
      <c r="CT78" s="730">
        <f t="shared" si="44"/>
        <v>0.12464543550987872</v>
      </c>
      <c r="CU78" s="41"/>
      <c r="CV78" s="321" t="str">
        <f>'Standard Vorgaben'!$E$94</f>
        <v>Behangsregulierung (von Hand)</v>
      </c>
      <c r="CW78" s="19"/>
      <c r="CX78" s="40">
        <f>'Standard Vorgaben'!$E$96</f>
        <v>200</v>
      </c>
      <c r="CY78" s="45">
        <f>'Standard Vorgaben'!$C$37</f>
        <v>22.5</v>
      </c>
      <c r="CZ78" s="46">
        <f t="shared" si="57"/>
        <v>4500</v>
      </c>
      <c r="DA78" s="730">
        <f t="shared" si="45"/>
        <v>0.10716650332745384</v>
      </c>
    </row>
    <row r="79" spans="1:105" s="1" customFormat="1" ht="13" x14ac:dyDescent="0.3">
      <c r="A79" s="41"/>
      <c r="B79" s="321" t="s">
        <v>684</v>
      </c>
      <c r="C79" s="19"/>
      <c r="D79" s="40">
        <f>C69*D69+C70*D70</f>
        <v>12</v>
      </c>
      <c r="E79" s="45">
        <f>'Standard Vorgaben'!$C$32</f>
        <v>41.4</v>
      </c>
      <c r="F79" s="46">
        <f>D79*E79</f>
        <v>496.79999999999995</v>
      </c>
      <c r="G79" s="738">
        <f t="shared" si="31"/>
        <v>2.067384994998402E-2</v>
      </c>
      <c r="H79" s="41"/>
      <c r="I79" s="321" t="s">
        <v>684</v>
      </c>
      <c r="J79" s="19"/>
      <c r="K79" s="40">
        <f>J69*K69+J70*K70</f>
        <v>12</v>
      </c>
      <c r="L79" s="45">
        <f>'Standard Vorgaben'!$C$32</f>
        <v>41.4</v>
      </c>
      <c r="M79" s="46">
        <f>K79*L79</f>
        <v>496.79999999999995</v>
      </c>
      <c r="N79" s="738">
        <f t="shared" si="32"/>
        <v>2.0299789566333382E-2</v>
      </c>
      <c r="O79" s="41"/>
      <c r="P79" s="321" t="s">
        <v>684</v>
      </c>
      <c r="Q79" s="19"/>
      <c r="R79" s="40">
        <f>Q69*R69+Q70*R70</f>
        <v>12</v>
      </c>
      <c r="S79" s="45">
        <f>'Standard Vorgaben'!$C$32</f>
        <v>41.4</v>
      </c>
      <c r="T79" s="46">
        <f>R79*S79</f>
        <v>496.79999999999995</v>
      </c>
      <c r="U79" s="738">
        <f t="shared" si="33"/>
        <v>1.5345086138192779E-2</v>
      </c>
      <c r="V79" s="41"/>
      <c r="W79" s="321" t="s">
        <v>684</v>
      </c>
      <c r="X79" s="19"/>
      <c r="Y79" s="40">
        <f>X69*Y69+X70*Y70</f>
        <v>12</v>
      </c>
      <c r="Z79" s="45">
        <f>'Standard Vorgaben'!$C$32</f>
        <v>41.4</v>
      </c>
      <c r="AA79" s="46">
        <f>Y79*Z79</f>
        <v>496.79999999999995</v>
      </c>
      <c r="AB79" s="738">
        <f t="shared" si="34"/>
        <v>1.3543515945171813E-2</v>
      </c>
      <c r="AC79" s="41"/>
      <c r="AD79" s="321" t="s">
        <v>684</v>
      </c>
      <c r="AE79" s="19"/>
      <c r="AF79" s="40">
        <f>AE69*AF69+AE70*AF70</f>
        <v>12</v>
      </c>
      <c r="AG79" s="45">
        <f>'Standard Vorgaben'!$C$32</f>
        <v>41.4</v>
      </c>
      <c r="AH79" s="46">
        <f>AF79*AG79</f>
        <v>496.79999999999995</v>
      </c>
      <c r="AI79" s="738">
        <f t="shared" si="35"/>
        <v>1.3100772969181553E-2</v>
      </c>
      <c r="AJ79" s="41"/>
      <c r="AK79" s="321" t="s">
        <v>684</v>
      </c>
      <c r="AL79" s="19"/>
      <c r="AM79" s="40">
        <f>AL69*AM69+AL70*AM70</f>
        <v>12</v>
      </c>
      <c r="AN79" s="45">
        <f>'Standard Vorgaben'!$C$32</f>
        <v>41.4</v>
      </c>
      <c r="AO79" s="46">
        <f>AM79*AN79</f>
        <v>496.79999999999995</v>
      </c>
      <c r="AP79" s="738">
        <f t="shared" si="36"/>
        <v>1.3148110804315702E-2</v>
      </c>
      <c r="AQ79" s="41"/>
      <c r="AR79" s="321" t="s">
        <v>684</v>
      </c>
      <c r="AS79" s="19"/>
      <c r="AT79" s="40">
        <f>AS69*AT69+AS70*AT70</f>
        <v>12</v>
      </c>
      <c r="AU79" s="45">
        <f>'Standard Vorgaben'!$C$32</f>
        <v>41.4</v>
      </c>
      <c r="AV79" s="46">
        <f>AT79*AU79</f>
        <v>496.79999999999995</v>
      </c>
      <c r="AW79" s="738">
        <f t="shared" si="37"/>
        <v>1.2279662864991922E-2</v>
      </c>
      <c r="AX79" s="41"/>
      <c r="AY79" s="321" t="s">
        <v>684</v>
      </c>
      <c r="AZ79" s="19"/>
      <c r="BA79" s="40">
        <f>AZ69*BA69+AZ70*BA70</f>
        <v>12</v>
      </c>
      <c r="BB79" s="45">
        <f>'Standard Vorgaben'!$C$32</f>
        <v>41.4</v>
      </c>
      <c r="BC79" s="46">
        <f>BA79*BB79</f>
        <v>496.79999999999995</v>
      </c>
      <c r="BD79" s="738">
        <f t="shared" si="38"/>
        <v>1.3236201196224916E-2</v>
      </c>
      <c r="BE79" s="41"/>
      <c r="BF79" s="321" t="s">
        <v>684</v>
      </c>
      <c r="BG79" s="19"/>
      <c r="BH79" s="40">
        <f>BG69*BH69+BG70*BH70</f>
        <v>12</v>
      </c>
      <c r="BI79" s="45">
        <f>'Standard Vorgaben'!$C$32</f>
        <v>41.4</v>
      </c>
      <c r="BJ79" s="46">
        <f>BH79*BI79</f>
        <v>496.79999999999995</v>
      </c>
      <c r="BK79" s="738">
        <f t="shared" si="42"/>
        <v>1.328576517523984E-2</v>
      </c>
      <c r="BL79" s="41"/>
      <c r="BM79" s="321" t="s">
        <v>684</v>
      </c>
      <c r="BN79" s="19"/>
      <c r="BO79" s="40">
        <f>BN69*BO69+BN70*BO70</f>
        <v>12</v>
      </c>
      <c r="BP79" s="45">
        <f>'Standard Vorgaben'!$C$32</f>
        <v>41.4</v>
      </c>
      <c r="BQ79" s="46">
        <f>BO79*BP79</f>
        <v>496.79999999999995</v>
      </c>
      <c r="BR79" s="738">
        <f t="shared" si="39"/>
        <v>1.2400740888098774E-2</v>
      </c>
      <c r="BS79" s="41"/>
      <c r="BT79" s="321" t="s">
        <v>684</v>
      </c>
      <c r="BU79" s="19"/>
      <c r="BV79" s="40">
        <f>BU69*BV69+BU70*BV70</f>
        <v>12</v>
      </c>
      <c r="BW79" s="45">
        <f>'Standard Vorgaben'!$C$32</f>
        <v>41.4</v>
      </c>
      <c r="BX79" s="46">
        <f>BV79*BW79</f>
        <v>496.79999999999995</v>
      </c>
      <c r="BY79" s="738">
        <f t="shared" si="40"/>
        <v>1.3378265703116203E-2</v>
      </c>
      <c r="BZ79" s="41"/>
      <c r="CA79" s="321" t="s">
        <v>684</v>
      </c>
      <c r="CB79" s="19"/>
      <c r="CC79" s="40">
        <f>CB69*CC69+CB70*CC70</f>
        <v>12</v>
      </c>
      <c r="CD79" s="45">
        <f>'Standard Vorgaben'!$C$32</f>
        <v>41.4</v>
      </c>
      <c r="CE79" s="46">
        <f>CC79*CD79</f>
        <v>496.79999999999995</v>
      </c>
      <c r="CF79" s="738">
        <f t="shared" si="41"/>
        <v>1.3430203600856701E-2</v>
      </c>
      <c r="CG79" s="41"/>
      <c r="CH79" s="321" t="s">
        <v>684</v>
      </c>
      <c r="CI79" s="19"/>
      <c r="CJ79" s="40">
        <f>CI69*CJ69+CI70*CJ70</f>
        <v>12</v>
      </c>
      <c r="CK79" s="45">
        <f>'Standard Vorgaben'!$C$32</f>
        <v>41.4</v>
      </c>
      <c r="CL79" s="46">
        <f>CJ79*CK79</f>
        <v>496.79999999999995</v>
      </c>
      <c r="CM79" s="738">
        <f t="shared" si="43"/>
        <v>1.273910932337821E-2</v>
      </c>
      <c r="CN79" s="41"/>
      <c r="CO79" s="321" t="s">
        <v>684</v>
      </c>
      <c r="CP79" s="19"/>
      <c r="CQ79" s="40">
        <f>CP69*CQ69+CP70*CQ70</f>
        <v>12</v>
      </c>
      <c r="CR79" s="45">
        <f>'Standard Vorgaben'!$C$32</f>
        <v>41.4</v>
      </c>
      <c r="CS79" s="46">
        <f>CQ79*CR79</f>
        <v>496.79999999999995</v>
      </c>
      <c r="CT79" s="730">
        <f t="shared" si="44"/>
        <v>1.3760856080290609E-2</v>
      </c>
      <c r="CU79" s="41"/>
      <c r="CV79" s="321" t="s">
        <v>684</v>
      </c>
      <c r="CW79" s="19"/>
      <c r="CX79" s="40">
        <f>CW69*CX69+CW70*CX70</f>
        <v>12</v>
      </c>
      <c r="CY79" s="45">
        <f>'Standard Vorgaben'!$C$32</f>
        <v>41.4</v>
      </c>
      <c r="CZ79" s="46">
        <f>CX79*CY79</f>
        <v>496.79999999999995</v>
      </c>
      <c r="DA79" s="730">
        <f t="shared" si="45"/>
        <v>1.1831181967350902E-2</v>
      </c>
    </row>
    <row r="80" spans="1:105" s="1" customFormat="1" ht="13" x14ac:dyDescent="0.3">
      <c r="A80" s="41"/>
      <c r="B80" s="321" t="s">
        <v>407</v>
      </c>
      <c r="C80" s="47">
        <f>'Standard Vorgaben'!$C$231</f>
        <v>1</v>
      </c>
      <c r="D80" s="923">
        <v>15</v>
      </c>
      <c r="E80" s="45">
        <f>'Standard Vorgaben'!$C$37</f>
        <v>22.5</v>
      </c>
      <c r="F80" s="46">
        <f>C80*D80*E80</f>
        <v>337.5</v>
      </c>
      <c r="G80" s="738">
        <f t="shared" si="31"/>
        <v>1.404473502036958E-2</v>
      </c>
      <c r="H80" s="41"/>
      <c r="I80" s="321" t="s">
        <v>407</v>
      </c>
      <c r="J80" s="47">
        <f>'Standard Vorgaben'!$C$231</f>
        <v>1</v>
      </c>
      <c r="K80" s="923">
        <v>15</v>
      </c>
      <c r="L80" s="45">
        <f>'Standard Vorgaben'!$C$37</f>
        <v>22.5</v>
      </c>
      <c r="M80" s="46">
        <f>J80*K80*L80</f>
        <v>337.5</v>
      </c>
      <c r="N80" s="738">
        <f t="shared" si="32"/>
        <v>1.3790617911911265E-2</v>
      </c>
      <c r="O80" s="41"/>
      <c r="P80" s="321" t="s">
        <v>407</v>
      </c>
      <c r="Q80" s="47">
        <f>'Standard Vorgaben'!$C$231</f>
        <v>1</v>
      </c>
      <c r="R80" s="923">
        <v>15</v>
      </c>
      <c r="S80" s="45">
        <f>'Standard Vorgaben'!$C$37</f>
        <v>22.5</v>
      </c>
      <c r="T80" s="46">
        <f>Q80*R80*S80</f>
        <v>337.5</v>
      </c>
      <c r="U80" s="738">
        <f t="shared" si="33"/>
        <v>1.0424650909098356E-2</v>
      </c>
      <c r="V80" s="41"/>
      <c r="W80" s="321" t="s">
        <v>407</v>
      </c>
      <c r="X80" s="47">
        <f>'Standard Vorgaben'!$C$231</f>
        <v>1</v>
      </c>
      <c r="Y80" s="923">
        <v>15</v>
      </c>
      <c r="Z80" s="45">
        <f>'Standard Vorgaben'!$C$37</f>
        <v>22.5</v>
      </c>
      <c r="AA80" s="46">
        <f>X80*Y80*Z80</f>
        <v>337.5</v>
      </c>
      <c r="AB80" s="738">
        <f t="shared" si="34"/>
        <v>9.2007581149265039E-3</v>
      </c>
      <c r="AC80" s="41"/>
      <c r="AD80" s="321" t="s">
        <v>407</v>
      </c>
      <c r="AE80" s="47">
        <f>'Standard Vorgaben'!$C$231</f>
        <v>1</v>
      </c>
      <c r="AF80" s="923">
        <v>15</v>
      </c>
      <c r="AG80" s="45">
        <f>'Standard Vorgaben'!$C$37</f>
        <v>22.5</v>
      </c>
      <c r="AH80" s="46">
        <f>AE80*AF80*AG80</f>
        <v>337.5</v>
      </c>
      <c r="AI80" s="738">
        <f t="shared" si="35"/>
        <v>8.8999816366722509E-3</v>
      </c>
      <c r="AJ80" s="41"/>
      <c r="AK80" s="321" t="s">
        <v>407</v>
      </c>
      <c r="AL80" s="47">
        <f>'Standard Vorgaben'!$C$231</f>
        <v>1</v>
      </c>
      <c r="AM80" s="923">
        <v>15</v>
      </c>
      <c r="AN80" s="45">
        <f>'Standard Vorgaben'!$C$37</f>
        <v>22.5</v>
      </c>
      <c r="AO80" s="46">
        <f>AL80*AM80*AN80</f>
        <v>337.5</v>
      </c>
      <c r="AP80" s="738">
        <f t="shared" si="36"/>
        <v>8.9321404920622988E-3</v>
      </c>
      <c r="AQ80" s="41"/>
      <c r="AR80" s="321" t="s">
        <v>407</v>
      </c>
      <c r="AS80" s="47">
        <f>'Standard Vorgaben'!$C$231</f>
        <v>1</v>
      </c>
      <c r="AT80" s="923">
        <v>15</v>
      </c>
      <c r="AU80" s="45">
        <f>'Standard Vorgaben'!$C$37</f>
        <v>22.5</v>
      </c>
      <c r="AV80" s="46">
        <f>AS80*AT80*AU80</f>
        <v>337.5</v>
      </c>
      <c r="AW80" s="738">
        <f t="shared" si="37"/>
        <v>8.3421622724129917E-3</v>
      </c>
      <c r="AX80" s="41"/>
      <c r="AY80" s="321" t="s">
        <v>407</v>
      </c>
      <c r="AZ80" s="47">
        <f>'Standard Vorgaben'!$C$231</f>
        <v>1</v>
      </c>
      <c r="BA80" s="923">
        <v>15</v>
      </c>
      <c r="BB80" s="45">
        <f>'Standard Vorgaben'!$C$37</f>
        <v>22.5</v>
      </c>
      <c r="BC80" s="46">
        <f>AZ80*BA80*BB80</f>
        <v>337.5</v>
      </c>
      <c r="BD80" s="738">
        <f t="shared" si="38"/>
        <v>8.9919845083049708E-3</v>
      </c>
      <c r="BE80" s="41"/>
      <c r="BF80" s="321" t="s">
        <v>407</v>
      </c>
      <c r="BG80" s="47">
        <f>'Standard Vorgaben'!$C$231</f>
        <v>1</v>
      </c>
      <c r="BH80" s="923">
        <v>15</v>
      </c>
      <c r="BI80" s="45">
        <f>'Standard Vorgaben'!$C$37</f>
        <v>22.5</v>
      </c>
      <c r="BJ80" s="46">
        <f>BG80*BH80*BI80</f>
        <v>337.5</v>
      </c>
      <c r="BK80" s="738">
        <f t="shared" si="42"/>
        <v>9.0256556897009791E-3</v>
      </c>
      <c r="BL80" s="41"/>
      <c r="BM80" s="321" t="s">
        <v>407</v>
      </c>
      <c r="BN80" s="47">
        <f>'Standard Vorgaben'!$C$231</f>
        <v>1</v>
      </c>
      <c r="BO80" s="923">
        <v>15</v>
      </c>
      <c r="BP80" s="45">
        <f>'Standard Vorgaben'!$C$37</f>
        <v>22.5</v>
      </c>
      <c r="BQ80" s="46">
        <f>BN80*BO80*BP80</f>
        <v>337.5</v>
      </c>
      <c r="BR80" s="738">
        <f t="shared" si="39"/>
        <v>8.4244163641975373E-3</v>
      </c>
      <c r="BS80" s="41"/>
      <c r="BT80" s="321" t="s">
        <v>407</v>
      </c>
      <c r="BU80" s="47">
        <f>'Standard Vorgaben'!$C$231</f>
        <v>1</v>
      </c>
      <c r="BV80" s="923">
        <v>15</v>
      </c>
      <c r="BW80" s="45">
        <f>'Standard Vorgaben'!$C$37</f>
        <v>22.5</v>
      </c>
      <c r="BX80" s="46">
        <f>BU80*BV80*BW80</f>
        <v>337.5</v>
      </c>
      <c r="BY80" s="738">
        <f t="shared" si="40"/>
        <v>9.0884957222256823E-3</v>
      </c>
      <c r="BZ80" s="41"/>
      <c r="CA80" s="321" t="s">
        <v>407</v>
      </c>
      <c r="CB80" s="47">
        <f>'Standard Vorgaben'!$C$231</f>
        <v>1</v>
      </c>
      <c r="CC80" s="923">
        <v>15</v>
      </c>
      <c r="CD80" s="45">
        <f>'Standard Vorgaben'!$C$37</f>
        <v>22.5</v>
      </c>
      <c r="CE80" s="46">
        <f>CB80*CC80*CD80</f>
        <v>337.5</v>
      </c>
      <c r="CF80" s="738">
        <f t="shared" si="41"/>
        <v>9.1237796201472168E-3</v>
      </c>
      <c r="CG80" s="41"/>
      <c r="CH80" s="321" t="s">
        <v>407</v>
      </c>
      <c r="CI80" s="47">
        <f>'Standard Vorgaben'!$C$231</f>
        <v>1</v>
      </c>
      <c r="CJ80" s="923">
        <v>15</v>
      </c>
      <c r="CK80" s="45">
        <f>'Standard Vorgaben'!$C$37</f>
        <v>22.5</v>
      </c>
      <c r="CL80" s="46">
        <f>CI80*CJ80*CK80</f>
        <v>337.5</v>
      </c>
      <c r="CM80" s="738">
        <f t="shared" si="43"/>
        <v>8.6542862251210665E-3</v>
      </c>
      <c r="CN80" s="41"/>
      <c r="CO80" s="321" t="s">
        <v>407</v>
      </c>
      <c r="CP80" s="47">
        <f>'Standard Vorgaben'!$C$231</f>
        <v>1</v>
      </c>
      <c r="CQ80" s="923">
        <v>15</v>
      </c>
      <c r="CR80" s="45">
        <f>'Standard Vorgaben'!$C$37</f>
        <v>22.5</v>
      </c>
      <c r="CS80" s="46">
        <f>CP80*CQ80*CR80</f>
        <v>337.5</v>
      </c>
      <c r="CT80" s="730">
        <f t="shared" si="44"/>
        <v>9.3484076632409045E-3</v>
      </c>
      <c r="CU80" s="41"/>
      <c r="CV80" s="321" t="s">
        <v>407</v>
      </c>
      <c r="CW80" s="47">
        <f>'Standard Vorgaben'!$C$231</f>
        <v>1</v>
      </c>
      <c r="CX80" s="923">
        <v>15</v>
      </c>
      <c r="CY80" s="45">
        <f>'Standard Vorgaben'!$C$37</f>
        <v>22.5</v>
      </c>
      <c r="CZ80" s="46">
        <f>CW80*CX80*CY80</f>
        <v>337.5</v>
      </c>
      <c r="DA80" s="730">
        <f t="shared" si="45"/>
        <v>8.0374877495590375E-3</v>
      </c>
    </row>
    <row r="81" spans="1:105" s="1" customFormat="1" ht="13" x14ac:dyDescent="0.3">
      <c r="A81" s="41"/>
      <c r="B81" s="321" t="s">
        <v>408</v>
      </c>
      <c r="C81" s="47">
        <f>'Standard Vorgaben'!$C$231</f>
        <v>1</v>
      </c>
      <c r="D81" s="923">
        <v>10</v>
      </c>
      <c r="E81" s="45">
        <f>'Standard Vorgaben'!$C$37</f>
        <v>22.5</v>
      </c>
      <c r="F81" s="46">
        <f>C81*D81*E81</f>
        <v>225</v>
      </c>
      <c r="G81" s="738">
        <f t="shared" si="31"/>
        <v>9.3631566802463862E-3</v>
      </c>
      <c r="H81" s="41"/>
      <c r="I81" s="321" t="s">
        <v>408</v>
      </c>
      <c r="J81" s="47">
        <f>'Standard Vorgaben'!$C$231</f>
        <v>1</v>
      </c>
      <c r="K81" s="923">
        <v>10</v>
      </c>
      <c r="L81" s="45">
        <f>'Standard Vorgaben'!$C$37</f>
        <v>22.5</v>
      </c>
      <c r="M81" s="46">
        <f>J81*K81*L81</f>
        <v>225</v>
      </c>
      <c r="N81" s="738">
        <f t="shared" si="32"/>
        <v>9.19374527460751E-3</v>
      </c>
      <c r="O81" s="41"/>
      <c r="P81" s="321" t="s">
        <v>408</v>
      </c>
      <c r="Q81" s="47">
        <f>'Standard Vorgaben'!$C$231</f>
        <v>1</v>
      </c>
      <c r="R81" s="923">
        <v>10</v>
      </c>
      <c r="S81" s="45">
        <f>'Standard Vorgaben'!$C$37</f>
        <v>22.5</v>
      </c>
      <c r="T81" s="46">
        <f>Q81*R81*S81</f>
        <v>225</v>
      </c>
      <c r="U81" s="738">
        <f t="shared" si="33"/>
        <v>6.9497672727322378E-3</v>
      </c>
      <c r="V81" s="41"/>
      <c r="W81" s="321" t="s">
        <v>408</v>
      </c>
      <c r="X81" s="47">
        <f>'Standard Vorgaben'!$C$231</f>
        <v>1</v>
      </c>
      <c r="Y81" s="923">
        <v>10</v>
      </c>
      <c r="Z81" s="45">
        <f>'Standard Vorgaben'!$C$37</f>
        <v>22.5</v>
      </c>
      <c r="AA81" s="46">
        <f>X81*Y81*Z81</f>
        <v>225</v>
      </c>
      <c r="AB81" s="738">
        <f t="shared" si="34"/>
        <v>6.133838743284336E-3</v>
      </c>
      <c r="AC81" s="41"/>
      <c r="AD81" s="321" t="s">
        <v>408</v>
      </c>
      <c r="AE81" s="47">
        <f>'Standard Vorgaben'!$C$231</f>
        <v>1</v>
      </c>
      <c r="AF81" s="923">
        <v>10</v>
      </c>
      <c r="AG81" s="45">
        <f>'Standard Vorgaben'!$C$37</f>
        <v>22.5</v>
      </c>
      <c r="AH81" s="46">
        <f>AE81*AF81*AG81</f>
        <v>225</v>
      </c>
      <c r="AI81" s="738">
        <f t="shared" si="35"/>
        <v>5.9333210911148345E-3</v>
      </c>
      <c r="AJ81" s="41"/>
      <c r="AK81" s="321" t="s">
        <v>408</v>
      </c>
      <c r="AL81" s="47">
        <f>'Standard Vorgaben'!$C$231</f>
        <v>1</v>
      </c>
      <c r="AM81" s="923">
        <v>10</v>
      </c>
      <c r="AN81" s="45">
        <f>'Standard Vorgaben'!$C$37</f>
        <v>22.5</v>
      </c>
      <c r="AO81" s="46">
        <f>AL81*AM81*AN81</f>
        <v>225</v>
      </c>
      <c r="AP81" s="738">
        <f t="shared" si="36"/>
        <v>5.9547603280415322E-3</v>
      </c>
      <c r="AQ81" s="41"/>
      <c r="AR81" s="321" t="s">
        <v>408</v>
      </c>
      <c r="AS81" s="47">
        <f>'Standard Vorgaben'!$C$231</f>
        <v>1</v>
      </c>
      <c r="AT81" s="923">
        <v>10</v>
      </c>
      <c r="AU81" s="45">
        <f>'Standard Vorgaben'!$C$37</f>
        <v>22.5</v>
      </c>
      <c r="AV81" s="46">
        <f>AS81*AT81*AU81</f>
        <v>225</v>
      </c>
      <c r="AW81" s="738">
        <f t="shared" si="37"/>
        <v>5.5614415149419939E-3</v>
      </c>
      <c r="AX81" s="41"/>
      <c r="AY81" s="321" t="s">
        <v>408</v>
      </c>
      <c r="AZ81" s="47">
        <f>'Standard Vorgaben'!$C$231</f>
        <v>1</v>
      </c>
      <c r="BA81" s="923">
        <v>10</v>
      </c>
      <c r="BB81" s="45">
        <f>'Standard Vorgaben'!$C$37</f>
        <v>22.5</v>
      </c>
      <c r="BC81" s="46">
        <f>AZ81*BA81*BB81</f>
        <v>225</v>
      </c>
      <c r="BD81" s="738">
        <f t="shared" si="38"/>
        <v>5.9946563388699808E-3</v>
      </c>
      <c r="BE81" s="41"/>
      <c r="BF81" s="321" t="s">
        <v>408</v>
      </c>
      <c r="BG81" s="47">
        <f>'Standard Vorgaben'!$C$231</f>
        <v>1</v>
      </c>
      <c r="BH81" s="923">
        <v>10</v>
      </c>
      <c r="BI81" s="45">
        <f>'Standard Vorgaben'!$C$37</f>
        <v>22.5</v>
      </c>
      <c r="BJ81" s="46">
        <f>BG81*BH81*BI81</f>
        <v>225</v>
      </c>
      <c r="BK81" s="738">
        <f t="shared" si="42"/>
        <v>6.0171037931339858E-3</v>
      </c>
      <c r="BL81" s="41"/>
      <c r="BM81" s="321" t="s">
        <v>408</v>
      </c>
      <c r="BN81" s="47">
        <f>'Standard Vorgaben'!$C$231</f>
        <v>1</v>
      </c>
      <c r="BO81" s="923">
        <v>10</v>
      </c>
      <c r="BP81" s="45">
        <f>'Standard Vorgaben'!$C$37</f>
        <v>22.5</v>
      </c>
      <c r="BQ81" s="46">
        <f>BN81*BO81*BP81</f>
        <v>225</v>
      </c>
      <c r="BR81" s="738">
        <f t="shared" si="39"/>
        <v>5.6162775761316912E-3</v>
      </c>
      <c r="BS81" s="41"/>
      <c r="BT81" s="321" t="s">
        <v>408</v>
      </c>
      <c r="BU81" s="47">
        <f>'Standard Vorgaben'!$C$231</f>
        <v>1</v>
      </c>
      <c r="BV81" s="923">
        <v>10</v>
      </c>
      <c r="BW81" s="45">
        <f>'Standard Vorgaben'!$C$37</f>
        <v>22.5</v>
      </c>
      <c r="BX81" s="46">
        <f>BU81*BV81*BW81</f>
        <v>225</v>
      </c>
      <c r="BY81" s="738">
        <f t="shared" si="40"/>
        <v>6.0589971481504546E-3</v>
      </c>
      <c r="BZ81" s="41"/>
      <c r="CA81" s="321" t="s">
        <v>408</v>
      </c>
      <c r="CB81" s="47">
        <f>'Standard Vorgaben'!$C$231</f>
        <v>1</v>
      </c>
      <c r="CC81" s="923">
        <v>10</v>
      </c>
      <c r="CD81" s="45">
        <f>'Standard Vorgaben'!$C$37</f>
        <v>22.5</v>
      </c>
      <c r="CE81" s="46">
        <f>CB81*CC81*CD81</f>
        <v>225</v>
      </c>
      <c r="CF81" s="738">
        <f t="shared" si="41"/>
        <v>6.0825197467648112E-3</v>
      </c>
      <c r="CG81" s="41"/>
      <c r="CH81" s="321" t="s">
        <v>408</v>
      </c>
      <c r="CI81" s="47">
        <f>'Standard Vorgaben'!$C$231</f>
        <v>1</v>
      </c>
      <c r="CJ81" s="923">
        <v>10</v>
      </c>
      <c r="CK81" s="45">
        <f>'Standard Vorgaben'!$C$37</f>
        <v>22.5</v>
      </c>
      <c r="CL81" s="46">
        <f>CI81*CJ81*CK81</f>
        <v>225</v>
      </c>
      <c r="CM81" s="738">
        <f t="shared" si="43"/>
        <v>5.7695241500807116E-3</v>
      </c>
      <c r="CN81" s="41"/>
      <c r="CO81" s="321" t="s">
        <v>408</v>
      </c>
      <c r="CP81" s="47">
        <f>'Standard Vorgaben'!$C$231</f>
        <v>1</v>
      </c>
      <c r="CQ81" s="923">
        <v>10</v>
      </c>
      <c r="CR81" s="45">
        <f>'Standard Vorgaben'!$C$37</f>
        <v>22.5</v>
      </c>
      <c r="CS81" s="46">
        <f>CP81*CQ81*CR81</f>
        <v>225</v>
      </c>
      <c r="CT81" s="730">
        <f t="shared" si="44"/>
        <v>6.2322717754939357E-3</v>
      </c>
      <c r="CU81" s="41"/>
      <c r="CV81" s="321" t="s">
        <v>408</v>
      </c>
      <c r="CW81" s="47">
        <f>'Standard Vorgaben'!$C$231</f>
        <v>1</v>
      </c>
      <c r="CX81" s="923">
        <v>10</v>
      </c>
      <c r="CY81" s="45">
        <f>'Standard Vorgaben'!$C$37</f>
        <v>22.5</v>
      </c>
      <c r="CZ81" s="46">
        <f>CW81*CX81*CY81</f>
        <v>225</v>
      </c>
      <c r="DA81" s="730">
        <f t="shared" si="45"/>
        <v>5.3583251663726923E-3</v>
      </c>
    </row>
    <row r="82" spans="1:105" s="1" customFormat="1" ht="13" x14ac:dyDescent="0.3">
      <c r="A82" s="41"/>
      <c r="B82" t="s">
        <v>484</v>
      </c>
      <c r="C82" s="96">
        <f>'Standard Vorgaben'!$C$238</f>
        <v>1</v>
      </c>
      <c r="D82" s="10">
        <f>'Standard Erstellung'!$C$129</f>
        <v>10</v>
      </c>
      <c r="E82" s="45">
        <f>'Standard Vorgaben'!$C$36</f>
        <v>32.700000000000003</v>
      </c>
      <c r="F82" s="46">
        <f>C82*D82*E82</f>
        <v>327</v>
      </c>
      <c r="G82" s="738">
        <f t="shared" si="31"/>
        <v>1.3607787708624749E-2</v>
      </c>
      <c r="I82" t="s">
        <v>484</v>
      </c>
      <c r="J82" s="96">
        <f>'Standard Vorgaben'!$C$238</f>
        <v>1</v>
      </c>
      <c r="K82" s="10">
        <f>'Standard Erstellung'!$C$129</f>
        <v>10</v>
      </c>
      <c r="L82" s="45">
        <f>'Standard Vorgaben'!$C$36</f>
        <v>32.700000000000003</v>
      </c>
      <c r="M82" s="46">
        <f>J82*K82*L82</f>
        <v>327</v>
      </c>
      <c r="N82" s="738">
        <f t="shared" si="32"/>
        <v>1.3361576465762914E-2</v>
      </c>
      <c r="O82" s="41"/>
      <c r="P82" t="s">
        <v>484</v>
      </c>
      <c r="Q82" s="96">
        <f>'Standard Vorgaben'!$C$238</f>
        <v>1</v>
      </c>
      <c r="R82" s="10">
        <f>'Standard Erstellung'!$C$129</f>
        <v>10</v>
      </c>
      <c r="S82" s="45">
        <f>'Standard Vorgaben'!$C$36</f>
        <v>32.700000000000003</v>
      </c>
      <c r="T82" s="46">
        <f>Q82*R82*S82</f>
        <v>327</v>
      </c>
      <c r="U82" s="738">
        <f t="shared" si="33"/>
        <v>1.0100328436370851E-2</v>
      </c>
      <c r="V82" s="41"/>
      <c r="W82" t="s">
        <v>484</v>
      </c>
      <c r="X82" s="96">
        <f>'Standard Vorgaben'!$C$238</f>
        <v>1</v>
      </c>
      <c r="Y82" s="10">
        <f>'Standard Erstellung'!$C$129</f>
        <v>10</v>
      </c>
      <c r="Z82" s="45">
        <f>'Standard Vorgaben'!$C$36</f>
        <v>32.700000000000003</v>
      </c>
      <c r="AA82" s="46">
        <f>X82*Y82*Z82</f>
        <v>327</v>
      </c>
      <c r="AB82" s="738">
        <f t="shared" si="34"/>
        <v>8.914512306906569E-3</v>
      </c>
      <c r="AC82" s="41"/>
      <c r="AD82" t="s">
        <v>484</v>
      </c>
      <c r="AE82" s="96">
        <f>'Standard Vorgaben'!$C$238</f>
        <v>1</v>
      </c>
      <c r="AF82" s="10">
        <f>'Standard Erstellung'!$C$129</f>
        <v>10</v>
      </c>
      <c r="AG82" s="45">
        <f>'Standard Vorgaben'!$C$36</f>
        <v>32.700000000000003</v>
      </c>
      <c r="AH82" s="46">
        <f>AE82*AF82*AG82</f>
        <v>327</v>
      </c>
      <c r="AI82" s="738">
        <f t="shared" si="35"/>
        <v>8.6230933190868924E-3</v>
      </c>
      <c r="AJ82" s="41"/>
      <c r="AK82" t="s">
        <v>484</v>
      </c>
      <c r="AL82" s="96">
        <f>'Standard Vorgaben'!$C$238</f>
        <v>1</v>
      </c>
      <c r="AM82" s="10">
        <f>'Standard Erstellung'!$C$129</f>
        <v>10</v>
      </c>
      <c r="AN82" s="45">
        <f>'Standard Vorgaben'!$C$36</f>
        <v>32.700000000000003</v>
      </c>
      <c r="AO82" s="46">
        <f>AL82*AM82*AN82</f>
        <v>327</v>
      </c>
      <c r="AP82" s="738">
        <f t="shared" si="36"/>
        <v>8.6542516767536947E-3</v>
      </c>
      <c r="AQ82" s="41"/>
      <c r="AR82" t="s">
        <v>484</v>
      </c>
      <c r="AS82" s="96">
        <f>'Standard Vorgaben'!$C$238</f>
        <v>1</v>
      </c>
      <c r="AT82" s="10">
        <f>'Standard Erstellung'!$C$129</f>
        <v>10</v>
      </c>
      <c r="AU82" s="45">
        <f>'Standard Vorgaben'!$C$36</f>
        <v>32.700000000000003</v>
      </c>
      <c r="AV82" s="46">
        <f>AS82*AT82*AU82</f>
        <v>327</v>
      </c>
      <c r="AW82" s="738">
        <f t="shared" si="37"/>
        <v>8.0826283350490316E-3</v>
      </c>
      <c r="AX82" s="41"/>
      <c r="AY82" t="s">
        <v>484</v>
      </c>
      <c r="AZ82" s="96">
        <f>'Standard Vorgaben'!$C$238</f>
        <v>1</v>
      </c>
      <c r="BA82" s="10">
        <f>'Standard Erstellung'!$C$129</f>
        <v>10</v>
      </c>
      <c r="BB82" s="45">
        <f>'Standard Vorgaben'!$C$36</f>
        <v>32.700000000000003</v>
      </c>
      <c r="BC82" s="46">
        <f>AZ82*BA82*BB82</f>
        <v>327</v>
      </c>
      <c r="BD82" s="738">
        <f t="shared" si="38"/>
        <v>8.7122338791577048E-3</v>
      </c>
      <c r="BE82" s="41"/>
      <c r="BF82" t="s">
        <v>484</v>
      </c>
      <c r="BG82" s="96">
        <f>'Standard Vorgaben'!$C$238</f>
        <v>1</v>
      </c>
      <c r="BH82" s="10">
        <f>'Standard Erstellung'!$C$129</f>
        <v>10</v>
      </c>
      <c r="BI82" s="45">
        <f>'Standard Vorgaben'!$C$36</f>
        <v>32.700000000000003</v>
      </c>
      <c r="BJ82" s="46">
        <f>BG82*BH82*BI82</f>
        <v>327</v>
      </c>
      <c r="BK82" s="738">
        <f t="shared" si="42"/>
        <v>8.7448575126880604E-3</v>
      </c>
      <c r="BL82" s="41"/>
      <c r="BM82" t="s">
        <v>484</v>
      </c>
      <c r="BN82" s="96">
        <f>'Standard Vorgaben'!$C$238</f>
        <v>1</v>
      </c>
      <c r="BO82" s="10">
        <f>'Standard Erstellung'!$C$129</f>
        <v>10</v>
      </c>
      <c r="BP82" s="45">
        <f>'Standard Vorgaben'!$C$36</f>
        <v>32.700000000000003</v>
      </c>
      <c r="BQ82" s="46">
        <f>BN82*BO82*BP82</f>
        <v>327</v>
      </c>
      <c r="BR82" s="738">
        <f t="shared" si="39"/>
        <v>8.1623234106447257E-3</v>
      </c>
      <c r="BS82" s="41"/>
      <c r="BT82" t="s">
        <v>484</v>
      </c>
      <c r="BU82" s="96">
        <f>'Standard Vorgaben'!$C$238</f>
        <v>1</v>
      </c>
      <c r="BV82" s="10">
        <f>'Standard Erstellung'!$C$129</f>
        <v>10</v>
      </c>
      <c r="BW82" s="45">
        <f>'Standard Vorgaben'!$C$36</f>
        <v>32.700000000000003</v>
      </c>
      <c r="BX82" s="46">
        <f>BU82*BV82*BW82</f>
        <v>327</v>
      </c>
      <c r="BY82" s="738">
        <f t="shared" si="40"/>
        <v>8.8057425219786618E-3</v>
      </c>
      <c r="BZ82" s="41"/>
      <c r="CA82" t="s">
        <v>484</v>
      </c>
      <c r="CB82" s="96">
        <f>'Standard Vorgaben'!$C$238</f>
        <v>1</v>
      </c>
      <c r="CC82" s="10">
        <f>'Standard Erstellung'!$C$129</f>
        <v>10</v>
      </c>
      <c r="CD82" s="45">
        <f>'Standard Vorgaben'!$C$36</f>
        <v>32.700000000000003</v>
      </c>
      <c r="CE82" s="46">
        <f>CB82*CC82*CD82</f>
        <v>327</v>
      </c>
      <c r="CF82" s="738">
        <f t="shared" si="41"/>
        <v>8.8399286986315245E-3</v>
      </c>
      <c r="CG82" s="41"/>
      <c r="CH82" t="s">
        <v>484</v>
      </c>
      <c r="CI82" s="96">
        <f>'Standard Vorgaben'!$C$238</f>
        <v>1</v>
      </c>
      <c r="CJ82" s="10">
        <f>'Standard Erstellung'!$C$129</f>
        <v>10</v>
      </c>
      <c r="CK82" s="45">
        <f>'Standard Vorgaben'!$C$36</f>
        <v>32.700000000000003</v>
      </c>
      <c r="CL82" s="46">
        <f>CI82*CJ82*CK82</f>
        <v>327</v>
      </c>
      <c r="CM82" s="738">
        <f t="shared" si="43"/>
        <v>8.3850417647839681E-3</v>
      </c>
      <c r="CN82" s="41"/>
      <c r="CO82" t="s">
        <v>484</v>
      </c>
      <c r="CP82" s="96">
        <f>'Standard Vorgaben'!$C$238</f>
        <v>1</v>
      </c>
      <c r="CQ82" s="10">
        <f>'Standard Erstellung'!$C$129</f>
        <v>10</v>
      </c>
      <c r="CR82" s="45">
        <f>'Standard Vorgaben'!$C$36</f>
        <v>32.700000000000003</v>
      </c>
      <c r="CS82" s="46">
        <f>CP82*CQ82*CR82</f>
        <v>327</v>
      </c>
      <c r="CT82" s="730">
        <f t="shared" si="44"/>
        <v>9.057568313717854E-3</v>
      </c>
      <c r="CU82" s="41"/>
      <c r="CV82" t="s">
        <v>484</v>
      </c>
      <c r="CW82" s="96">
        <f>'Standard Vorgaben'!$C$238</f>
        <v>1</v>
      </c>
      <c r="CX82" s="10">
        <f>'Standard Erstellung'!$C$129</f>
        <v>10</v>
      </c>
      <c r="CY82" s="45">
        <f>'Standard Vorgaben'!$C$36</f>
        <v>32.700000000000003</v>
      </c>
      <c r="CZ82" s="46">
        <f>CW82*CX82*CY82</f>
        <v>327</v>
      </c>
      <c r="DA82" s="730">
        <f t="shared" si="45"/>
        <v>7.7874325751283125E-3</v>
      </c>
    </row>
    <row r="83" spans="1:105" s="1" customFormat="1" ht="13.5" thickBot="1" x14ac:dyDescent="0.35">
      <c r="A83" s="41"/>
      <c r="B83" t="s">
        <v>485</v>
      </c>
      <c r="C83" s="96">
        <f>'Standard Vorgaben'!$C$238</f>
        <v>1</v>
      </c>
      <c r="D83" s="10">
        <f>'Standard Erstellung'!$C$130</f>
        <v>4</v>
      </c>
      <c r="E83" s="45">
        <f>'Standard Vorgaben'!$C$36</f>
        <v>32.700000000000003</v>
      </c>
      <c r="F83" s="474">
        <f>C83*D83*E83</f>
        <v>130.80000000000001</v>
      </c>
      <c r="G83" s="738">
        <f t="shared" si="31"/>
        <v>5.4431150834498999E-3</v>
      </c>
      <c r="I83" t="s">
        <v>485</v>
      </c>
      <c r="J83" s="96">
        <f>'Standard Vorgaben'!$C$238</f>
        <v>1</v>
      </c>
      <c r="K83" s="10">
        <f>'Standard Erstellung'!$C$130</f>
        <v>4</v>
      </c>
      <c r="L83" s="45">
        <f>'Standard Vorgaben'!$C$36</f>
        <v>32.700000000000003</v>
      </c>
      <c r="M83" s="474">
        <f>J83*K83*L83</f>
        <v>130.80000000000001</v>
      </c>
      <c r="N83" s="738">
        <f t="shared" si="32"/>
        <v>5.3446305863051663E-3</v>
      </c>
      <c r="O83" s="41"/>
      <c r="P83" t="s">
        <v>485</v>
      </c>
      <c r="Q83" s="96">
        <f>'Standard Vorgaben'!$C$238</f>
        <v>1</v>
      </c>
      <c r="R83" s="10">
        <f>'Standard Erstellung'!$C$130</f>
        <v>4</v>
      </c>
      <c r="S83" s="45">
        <f>'Standard Vorgaben'!$C$36</f>
        <v>32.700000000000003</v>
      </c>
      <c r="T83" s="474">
        <f>Q83*R83*S83</f>
        <v>130.80000000000001</v>
      </c>
      <c r="U83" s="738">
        <f t="shared" si="33"/>
        <v>4.0401313745483409E-3</v>
      </c>
      <c r="V83" s="41"/>
      <c r="W83" t="s">
        <v>485</v>
      </c>
      <c r="X83" s="96">
        <f>'Standard Vorgaben'!$C$238</f>
        <v>1</v>
      </c>
      <c r="Y83" s="10">
        <f>'Standard Erstellung'!$C$130</f>
        <v>4</v>
      </c>
      <c r="Z83" s="45">
        <f>'Standard Vorgaben'!$C$36</f>
        <v>32.700000000000003</v>
      </c>
      <c r="AA83" s="474">
        <f>X83*Y83*Z83</f>
        <v>130.80000000000001</v>
      </c>
      <c r="AB83" s="738">
        <f t="shared" si="34"/>
        <v>3.5658049227626277E-3</v>
      </c>
      <c r="AC83" s="41"/>
      <c r="AD83" t="s">
        <v>485</v>
      </c>
      <c r="AE83" s="96">
        <f>'Standard Vorgaben'!$C$238</f>
        <v>1</v>
      </c>
      <c r="AF83" s="10">
        <f>'Standard Erstellung'!$C$130</f>
        <v>4</v>
      </c>
      <c r="AG83" s="45">
        <f>'Standard Vorgaben'!$C$36</f>
        <v>32.700000000000003</v>
      </c>
      <c r="AH83" s="474">
        <f>AE83*AF83*AG83</f>
        <v>130.80000000000001</v>
      </c>
      <c r="AI83" s="738">
        <f t="shared" si="35"/>
        <v>3.4492373276347574E-3</v>
      </c>
      <c r="AJ83" s="41"/>
      <c r="AK83" t="s">
        <v>485</v>
      </c>
      <c r="AL83" s="96">
        <f>'Standard Vorgaben'!$C$238</f>
        <v>1</v>
      </c>
      <c r="AM83" s="10">
        <f>'Standard Erstellung'!$C$130</f>
        <v>4</v>
      </c>
      <c r="AN83" s="45">
        <f>'Standard Vorgaben'!$C$36</f>
        <v>32.700000000000003</v>
      </c>
      <c r="AO83" s="474">
        <f>AL83*AM83*AN83</f>
        <v>130.80000000000001</v>
      </c>
      <c r="AP83" s="738">
        <f t="shared" si="36"/>
        <v>3.4617006707014777E-3</v>
      </c>
      <c r="AQ83" s="41"/>
      <c r="AR83" t="s">
        <v>485</v>
      </c>
      <c r="AS83" s="96">
        <f>'Standard Vorgaben'!$C$238</f>
        <v>1</v>
      </c>
      <c r="AT83" s="10">
        <f>'Standard Erstellung'!$C$130</f>
        <v>4</v>
      </c>
      <c r="AU83" s="45">
        <f>'Standard Vorgaben'!$C$36</f>
        <v>32.700000000000003</v>
      </c>
      <c r="AV83" s="474">
        <f>AS83*AT83*AU83</f>
        <v>130.80000000000001</v>
      </c>
      <c r="AW83" s="738">
        <f t="shared" si="37"/>
        <v>3.233051334019613E-3</v>
      </c>
      <c r="AX83" s="41"/>
      <c r="AY83" t="s">
        <v>485</v>
      </c>
      <c r="AZ83" s="96">
        <f>'Standard Vorgaben'!$C$238</f>
        <v>1</v>
      </c>
      <c r="BA83" s="10">
        <f>'Standard Erstellung'!$C$130</f>
        <v>4</v>
      </c>
      <c r="BB83" s="45">
        <f>'Standard Vorgaben'!$C$36</f>
        <v>32.700000000000003</v>
      </c>
      <c r="BC83" s="474">
        <f>AZ83*BA83*BB83</f>
        <v>130.80000000000001</v>
      </c>
      <c r="BD83" s="738">
        <f t="shared" si="38"/>
        <v>3.4848935516630822E-3</v>
      </c>
      <c r="BE83" s="41"/>
      <c r="BF83" t="s">
        <v>485</v>
      </c>
      <c r="BG83" s="96">
        <f>'Standard Vorgaben'!$C$238</f>
        <v>1</v>
      </c>
      <c r="BH83" s="10">
        <f>'Standard Erstellung'!$C$130</f>
        <v>4</v>
      </c>
      <c r="BI83" s="45">
        <f>'Standard Vorgaben'!$C$36</f>
        <v>32.700000000000003</v>
      </c>
      <c r="BJ83" s="474">
        <f>BG83*BH83*BI83</f>
        <v>130.80000000000001</v>
      </c>
      <c r="BK83" s="738">
        <f t="shared" si="42"/>
        <v>3.4979430050752244E-3</v>
      </c>
      <c r="BL83" s="41"/>
      <c r="BM83" t="s">
        <v>485</v>
      </c>
      <c r="BN83" s="96">
        <f>'Standard Vorgaben'!$C$238</f>
        <v>1</v>
      </c>
      <c r="BO83" s="10">
        <f>'Standard Erstellung'!$C$130</f>
        <v>4</v>
      </c>
      <c r="BP83" s="45">
        <f>'Standard Vorgaben'!$C$36</f>
        <v>32.700000000000003</v>
      </c>
      <c r="BQ83" s="474">
        <f>BN83*BO83*BP83</f>
        <v>130.80000000000001</v>
      </c>
      <c r="BR83" s="738">
        <f t="shared" si="39"/>
        <v>3.2649293642578901E-3</v>
      </c>
      <c r="BS83" s="41"/>
      <c r="BT83" t="s">
        <v>485</v>
      </c>
      <c r="BU83" s="96">
        <f>'Standard Vorgaben'!$C$238</f>
        <v>1</v>
      </c>
      <c r="BV83" s="10">
        <f>'Standard Erstellung'!$C$130</f>
        <v>4</v>
      </c>
      <c r="BW83" s="45">
        <f>'Standard Vorgaben'!$C$36</f>
        <v>32.700000000000003</v>
      </c>
      <c r="BX83" s="474">
        <f>BU83*BV83*BW83</f>
        <v>130.80000000000001</v>
      </c>
      <c r="BY83" s="738">
        <f t="shared" si="40"/>
        <v>3.5222970087914647E-3</v>
      </c>
      <c r="BZ83" s="41"/>
      <c r="CA83" t="s">
        <v>485</v>
      </c>
      <c r="CB83" s="96">
        <f>'Standard Vorgaben'!$C$238</f>
        <v>1</v>
      </c>
      <c r="CC83" s="10">
        <f>'Standard Erstellung'!$C$130</f>
        <v>4</v>
      </c>
      <c r="CD83" s="45">
        <f>'Standard Vorgaben'!$C$36</f>
        <v>32.700000000000003</v>
      </c>
      <c r="CE83" s="474">
        <f>CB83*CC83*CD83</f>
        <v>130.80000000000001</v>
      </c>
      <c r="CF83" s="738">
        <f t="shared" si="41"/>
        <v>3.5359714794526106E-3</v>
      </c>
      <c r="CG83" s="41"/>
      <c r="CH83" t="s">
        <v>485</v>
      </c>
      <c r="CI83" s="96">
        <f>'Standard Vorgaben'!$C$238</f>
        <v>1</v>
      </c>
      <c r="CJ83" s="10">
        <f>'Standard Erstellung'!$C$130</f>
        <v>4</v>
      </c>
      <c r="CK83" s="45">
        <f>'Standard Vorgaben'!$C$36</f>
        <v>32.700000000000003</v>
      </c>
      <c r="CL83" s="474">
        <f>CI83*CJ83*CK83</f>
        <v>130.80000000000001</v>
      </c>
      <c r="CM83" s="738">
        <f t="shared" si="43"/>
        <v>3.3540167059135872E-3</v>
      </c>
      <c r="CN83" s="41"/>
      <c r="CO83" t="s">
        <v>485</v>
      </c>
      <c r="CP83" s="96">
        <f>'Standard Vorgaben'!$C$238</f>
        <v>1</v>
      </c>
      <c r="CQ83" s="10">
        <f>'Standard Erstellung'!$C$130</f>
        <v>4</v>
      </c>
      <c r="CR83" s="45">
        <f>'Standard Vorgaben'!$C$36</f>
        <v>32.700000000000003</v>
      </c>
      <c r="CS83" s="474">
        <f>CP83*CQ83*CR83</f>
        <v>130.80000000000001</v>
      </c>
      <c r="CT83" s="730">
        <f t="shared" si="44"/>
        <v>3.6230273254871416E-3</v>
      </c>
      <c r="CU83" s="41"/>
      <c r="CV83" t="s">
        <v>485</v>
      </c>
      <c r="CW83" s="96">
        <f>'Standard Vorgaben'!$C$238</f>
        <v>1</v>
      </c>
      <c r="CX83" s="10">
        <f>'Standard Erstellung'!$C$130</f>
        <v>4</v>
      </c>
      <c r="CY83" s="45">
        <f>'Standard Vorgaben'!$C$36</f>
        <v>32.700000000000003</v>
      </c>
      <c r="CZ83" s="474">
        <f>CW83*CX83*CY83</f>
        <v>130.80000000000001</v>
      </c>
      <c r="DA83" s="730">
        <f t="shared" si="45"/>
        <v>3.1149730300513252E-3</v>
      </c>
    </row>
    <row r="84" spans="1:105" s="1" customFormat="1" ht="13" x14ac:dyDescent="0.3">
      <c r="A84" s="3"/>
      <c r="B84" s="299"/>
      <c r="D84" s="36"/>
      <c r="E84" s="48"/>
      <c r="F84" s="55">
        <f>SUM(F74:F83)</f>
        <v>7985.4000000000005</v>
      </c>
      <c r="G84" s="738">
        <f t="shared" si="31"/>
        <v>0.3323046726863978</v>
      </c>
      <c r="H84" s="3"/>
      <c r="I84" s="299"/>
      <c r="K84" s="36"/>
      <c r="L84" s="48"/>
      <c r="M84" s="134">
        <f>SUM(M74:M83)</f>
        <v>10235.399999999998</v>
      </c>
      <c r="N84" s="738">
        <f t="shared" si="32"/>
        <v>0.41822960170541196</v>
      </c>
      <c r="O84" s="3"/>
      <c r="P84" s="299"/>
      <c r="R84" s="36"/>
      <c r="S84" s="48"/>
      <c r="T84" s="134">
        <f>SUM(T74:T83)</f>
        <v>12393.599999999999</v>
      </c>
      <c r="U84" s="738">
        <f t="shared" si="33"/>
        <v>0.3828117140948189</v>
      </c>
      <c r="V84" s="3"/>
      <c r="W84" s="299"/>
      <c r="Y84" s="36"/>
      <c r="Z84" s="48"/>
      <c r="AA84" s="134">
        <f>SUM(AA74:AA83)</f>
        <v>12491.7</v>
      </c>
      <c r="AB84" s="738">
        <f t="shared" si="34"/>
        <v>0.34054254857548866</v>
      </c>
      <c r="AC84" s="3"/>
      <c r="AD84" s="299"/>
      <c r="AF84" s="36"/>
      <c r="AG84" s="48"/>
      <c r="AH84" s="134">
        <f>SUM(AH74:AH83)</f>
        <v>12491.7</v>
      </c>
      <c r="AI84" s="738">
        <f t="shared" si="35"/>
        <v>0.32941007588390747</v>
      </c>
      <c r="AJ84" s="3"/>
      <c r="AK84" s="299"/>
      <c r="AM84" s="36"/>
      <c r="AN84" s="48"/>
      <c r="AO84" s="55">
        <f>SUM(AO74:AO83)</f>
        <v>12491.7</v>
      </c>
      <c r="AP84" s="738">
        <f t="shared" si="36"/>
        <v>0.33060035373242852</v>
      </c>
      <c r="AQ84" s="3"/>
      <c r="AR84" s="299"/>
      <c r="AT84" s="36"/>
      <c r="AU84" s="48"/>
      <c r="AV84" s="134">
        <f>SUM(AV74:AV83)</f>
        <v>12491.7</v>
      </c>
      <c r="AW84" s="738">
        <f t="shared" si="37"/>
        <v>0.30876381765422628</v>
      </c>
      <c r="AX84" s="3"/>
      <c r="AY84" s="299"/>
      <c r="BA84" s="36"/>
      <c r="BB84" s="48"/>
      <c r="BC84" s="134">
        <f>SUM(BC74:BC83)</f>
        <v>12491.7</v>
      </c>
      <c r="BD84" s="738">
        <f t="shared" si="38"/>
        <v>0.33281532705894284</v>
      </c>
      <c r="BE84" s="3"/>
      <c r="BF84" s="299"/>
      <c r="BH84" s="36"/>
      <c r="BI84" s="48"/>
      <c r="BJ84" s="134">
        <f>SUM(BJ74:BJ83)</f>
        <v>12491.7</v>
      </c>
      <c r="BK84" s="738">
        <f t="shared" si="42"/>
        <v>0.33406157978974144</v>
      </c>
      <c r="BL84" s="3"/>
      <c r="BM84" s="299"/>
      <c r="BO84" s="36"/>
      <c r="BP84" s="48"/>
      <c r="BQ84" s="134">
        <f>SUM(BQ74:BQ83)</f>
        <v>12491.7</v>
      </c>
      <c r="BR84" s="738">
        <f t="shared" si="39"/>
        <v>0.31180824265673002</v>
      </c>
      <c r="BS84" s="3"/>
      <c r="BT84" s="299"/>
      <c r="BV84" s="36"/>
      <c r="BW84" s="48"/>
      <c r="BX84" s="134">
        <f>SUM(BX74:BX83)</f>
        <v>12491.7</v>
      </c>
      <c r="BY84" s="738">
        <f t="shared" si="40"/>
        <v>0.3363874430024491</v>
      </c>
      <c r="BZ84" s="3"/>
      <c r="CA84" s="299"/>
      <c r="CC84" s="36"/>
      <c r="CD84" s="48"/>
      <c r="CE84" s="134">
        <f>SUM(CE74:CE83)</f>
        <v>12491.7</v>
      </c>
      <c r="CF84" s="738">
        <f t="shared" si="41"/>
        <v>0.33769338631405332</v>
      </c>
      <c r="CG84" s="3"/>
      <c r="CH84" s="299"/>
      <c r="CJ84" s="36"/>
      <c r="CK84" s="48"/>
      <c r="CL84" s="134">
        <f>SUM(CL74:CL83)</f>
        <v>12491.7</v>
      </c>
      <c r="CM84" s="738">
        <f t="shared" si="43"/>
        <v>0.32031628811361434</v>
      </c>
      <c r="CN84" s="3"/>
      <c r="CO84" s="299"/>
      <c r="CQ84" s="36"/>
      <c r="CR84" s="48"/>
      <c r="CS84" s="134">
        <f>SUM(CS74:CS83)</f>
        <v>12491.7</v>
      </c>
      <c r="CT84" s="730">
        <f t="shared" si="44"/>
        <v>0.34600741927972267</v>
      </c>
      <c r="CU84" s="3"/>
      <c r="CV84" s="299"/>
      <c r="CX84" s="36"/>
      <c r="CY84" s="48"/>
      <c r="CZ84" s="134">
        <f>SUM(CZ74:CZ83)</f>
        <v>12491.7</v>
      </c>
      <c r="DA84" s="730">
        <f t="shared" si="45"/>
        <v>0.29748706880345671</v>
      </c>
    </row>
    <row r="85" spans="1:105" s="1" customFormat="1" ht="13" x14ac:dyDescent="0.3">
      <c r="A85" s="41" t="s">
        <v>343</v>
      </c>
      <c r="B85" s="756" t="str">
        <f>'Standard Vorgaben'!H73</f>
        <v>baumfallend</v>
      </c>
      <c r="C85" s="764">
        <f>'Standard Vorgaben'!$H$89</f>
        <v>97</v>
      </c>
      <c r="D85" s="47">
        <f>(D9+D10+('Standard Vorgaben'!$D$89*D13))/C85</f>
        <v>0</v>
      </c>
      <c r="E85" s="45">
        <f>'Standard Vorgaben'!$C$35</f>
        <v>22.754999999999999</v>
      </c>
      <c r="F85" s="46">
        <f t="shared" si="59"/>
        <v>0</v>
      </c>
      <c r="G85" s="738">
        <f t="shared" si="31"/>
        <v>0</v>
      </c>
      <c r="H85" s="41" t="s">
        <v>343</v>
      </c>
      <c r="I85" s="756" t="s">
        <v>344</v>
      </c>
      <c r="J85" s="764">
        <f>'Standard Vorgaben'!$H$89</f>
        <v>97</v>
      </c>
      <c r="K85" s="47">
        <f>(K9+K10+('Standard Vorgaben'!$D$89*K13))/J85</f>
        <v>23.082725672617556</v>
      </c>
      <c r="L85" s="45">
        <f>'Standard Vorgaben'!$C$35</f>
        <v>22.754999999999999</v>
      </c>
      <c r="M85" s="46">
        <f t="shared" si="60"/>
        <v>525.24742268041246</v>
      </c>
      <c r="N85" s="738">
        <f t="shared" si="32"/>
        <v>2.1462182267856959E-2</v>
      </c>
      <c r="O85" s="41" t="s">
        <v>343</v>
      </c>
      <c r="P85" s="756" t="s">
        <v>344</v>
      </c>
      <c r="Q85" s="764">
        <f>'Standard Vorgaben'!$H$89</f>
        <v>97</v>
      </c>
      <c r="R85" s="47">
        <f>(R9+R10+('Standard Vorgaben'!$D$89*R13))/Q85</f>
        <v>84.636660799597692</v>
      </c>
      <c r="S85" s="45">
        <f>'Standard Vorgaben'!$C$35</f>
        <v>22.754999999999999</v>
      </c>
      <c r="T85" s="46">
        <f t="shared" si="58"/>
        <v>1925.9072164948454</v>
      </c>
      <c r="U85" s="738">
        <f t="shared" si="33"/>
        <v>5.9487141971176521E-2</v>
      </c>
      <c r="V85" s="41" t="s">
        <v>343</v>
      </c>
      <c r="W85" s="756" t="s">
        <v>344</v>
      </c>
      <c r="X85" s="764">
        <f>'Standard Vorgaben'!$H$89</f>
        <v>97</v>
      </c>
      <c r="Y85" s="47">
        <f>(Y9+Y10+('Standard Vorgaben'!$D$89*Y13))/X85</f>
        <v>115.41362836308777</v>
      </c>
      <c r="Z85" s="45">
        <f>'Standard Vorgaben'!$C$35</f>
        <v>22.754999999999999</v>
      </c>
      <c r="AA85" s="46">
        <f t="shared" si="46"/>
        <v>2626.2371134020618</v>
      </c>
      <c r="AB85" s="738">
        <f t="shared" si="34"/>
        <v>7.159517757883016E-2</v>
      </c>
      <c r="AC85" s="41" t="s">
        <v>343</v>
      </c>
      <c r="AD85" s="756" t="s">
        <v>344</v>
      </c>
      <c r="AE85" s="764">
        <f>'Standard Vorgaben'!$H$89</f>
        <v>97</v>
      </c>
      <c r="AF85" s="47">
        <f>(AF9+AF10+('Standard Vorgaben'!$D$89*AF13))/AE85</f>
        <v>253.90998239879306</v>
      </c>
      <c r="AG85" s="45">
        <f>'Standard Vorgaben'!$C$35</f>
        <v>22.754999999999999</v>
      </c>
      <c r="AH85" s="46">
        <f t="shared" si="47"/>
        <v>5777.7216494845361</v>
      </c>
      <c r="AI85" s="738">
        <f t="shared" si="35"/>
        <v>0.1523603454287884</v>
      </c>
      <c r="AJ85" s="41" t="s">
        <v>343</v>
      </c>
      <c r="AK85" s="756" t="s">
        <v>344</v>
      </c>
      <c r="AL85" s="764">
        <f>'Standard Vorgaben'!$H$89</f>
        <v>97</v>
      </c>
      <c r="AM85" s="47">
        <f>(AM9+AM10+('Standard Vorgaben'!$D$89*AM13))/AL85</f>
        <v>253.90998239879306</v>
      </c>
      <c r="AN85" s="45">
        <f>'Standard Vorgaben'!$C$35</f>
        <v>22.754999999999999</v>
      </c>
      <c r="AO85" s="46">
        <f t="shared" si="48"/>
        <v>5777.7216494845361</v>
      </c>
      <c r="AP85" s="738">
        <f t="shared" si="36"/>
        <v>0.15291087851029866</v>
      </c>
      <c r="AQ85" s="41" t="s">
        <v>343</v>
      </c>
      <c r="AR85" s="756" t="s">
        <v>344</v>
      </c>
      <c r="AS85" s="764">
        <f>'Standard Vorgaben'!$H$89</f>
        <v>97</v>
      </c>
      <c r="AT85" s="47">
        <f>(AT9+AT10+('Standard Vorgaben'!$D$89*AT13))/AS85</f>
        <v>253.90998239879306</v>
      </c>
      <c r="AU85" s="45">
        <f>'Standard Vorgaben'!$C$35</f>
        <v>22.754999999999999</v>
      </c>
      <c r="AV85" s="46">
        <f t="shared" si="49"/>
        <v>5777.7216494845361</v>
      </c>
      <c r="AW85" s="738">
        <f t="shared" si="37"/>
        <v>0.14281093796987748</v>
      </c>
      <c r="AX85" s="41" t="s">
        <v>343</v>
      </c>
      <c r="AY85" s="756" t="s">
        <v>344</v>
      </c>
      <c r="AZ85" s="764">
        <f>'Standard Vorgaben'!$H$89</f>
        <v>97</v>
      </c>
      <c r="BA85" s="47">
        <f>(BA9+BA10+('Standard Vorgaben'!$D$89*BA13))/AZ85</f>
        <v>253.90998239879306</v>
      </c>
      <c r="BB85" s="45">
        <f>'Standard Vorgaben'!$C$35</f>
        <v>22.754999999999999</v>
      </c>
      <c r="BC85" s="46">
        <f t="shared" si="50"/>
        <v>5777.7216494845361</v>
      </c>
      <c r="BD85" s="738">
        <f t="shared" si="38"/>
        <v>0.15393535871248354</v>
      </c>
      <c r="BE85" s="41" t="s">
        <v>343</v>
      </c>
      <c r="BF85" s="756" t="s">
        <v>344</v>
      </c>
      <c r="BG85" s="764">
        <f>'Standard Vorgaben'!$H$89</f>
        <v>97</v>
      </c>
      <c r="BH85" s="47">
        <f>(BH9+BH10+('Standard Vorgaben'!$D$89*BH13))/BG85</f>
        <v>253.90998239879306</v>
      </c>
      <c r="BI85" s="45">
        <f>'Standard Vorgaben'!$C$35</f>
        <v>22.754999999999999</v>
      </c>
      <c r="BJ85" s="46">
        <f t="shared" si="51"/>
        <v>5777.7216494845361</v>
      </c>
      <c r="BK85" s="738">
        <f t="shared" si="42"/>
        <v>0.15451178156793668</v>
      </c>
      <c r="BL85" s="41" t="s">
        <v>343</v>
      </c>
      <c r="BM85" s="756" t="s">
        <v>344</v>
      </c>
      <c r="BN85" s="764">
        <f>'Standard Vorgaben'!$H$89</f>
        <v>97</v>
      </c>
      <c r="BO85" s="47">
        <f>(BO9+BO10+('Standard Vorgaben'!$D$89*BO13))/BN85</f>
        <v>253.90998239879306</v>
      </c>
      <c r="BP85" s="45">
        <f>'Standard Vorgaben'!$C$35</f>
        <v>22.754999999999999</v>
      </c>
      <c r="BQ85" s="46">
        <f t="shared" si="52"/>
        <v>5777.7216494845361</v>
      </c>
      <c r="BR85" s="738">
        <f t="shared" si="39"/>
        <v>0.1442190601828027</v>
      </c>
      <c r="BS85" s="41" t="s">
        <v>343</v>
      </c>
      <c r="BT85" s="756" t="s">
        <v>344</v>
      </c>
      <c r="BU85" s="764">
        <f>'Standard Vorgaben'!$H$89</f>
        <v>97</v>
      </c>
      <c r="BV85" s="47">
        <f>(BV9+BV10+('Standard Vorgaben'!$D$89*BV13))/BU85</f>
        <v>253.90998239879306</v>
      </c>
      <c r="BW85" s="45">
        <f>'Standard Vorgaben'!$C$35</f>
        <v>22.754999999999999</v>
      </c>
      <c r="BX85" s="46">
        <f t="shared" si="53"/>
        <v>5777.7216494845361</v>
      </c>
      <c r="BY85" s="738">
        <f t="shared" si="40"/>
        <v>0.15558755109792866</v>
      </c>
      <c r="BZ85" s="41" t="s">
        <v>343</v>
      </c>
      <c r="CA85" s="756" t="s">
        <v>344</v>
      </c>
      <c r="CB85" s="764">
        <f>'Standard Vorgaben'!$H$89</f>
        <v>97</v>
      </c>
      <c r="CC85" s="47">
        <f>(CC9+CC10+('Standard Vorgaben'!$D$89*CC13))/CB85</f>
        <v>253.90998239879306</v>
      </c>
      <c r="CD85" s="45">
        <f>'Standard Vorgaben'!$C$35</f>
        <v>22.754999999999999</v>
      </c>
      <c r="CE85" s="46">
        <f t="shared" si="54"/>
        <v>5777.7216494845361</v>
      </c>
      <c r="CF85" s="738">
        <f t="shared" si="41"/>
        <v>0.15619158233022332</v>
      </c>
      <c r="CG85" s="41" t="s">
        <v>343</v>
      </c>
      <c r="CH85" s="756" t="s">
        <v>344</v>
      </c>
      <c r="CI85" s="764">
        <f>'Standard Vorgaben'!$H$89</f>
        <v>97</v>
      </c>
      <c r="CJ85" s="47">
        <f>(CJ9+CJ10+('Standard Vorgaben'!$D$89*CJ13))/CI85</f>
        <v>230.82725672617553</v>
      </c>
      <c r="CK85" s="45">
        <f>'Standard Vorgaben'!$C$35</f>
        <v>22.754999999999999</v>
      </c>
      <c r="CL85" s="46">
        <f t="shared" si="55"/>
        <v>5252.4742268041236</v>
      </c>
      <c r="CM85" s="738">
        <f t="shared" si="43"/>
        <v>0.13468567510765736</v>
      </c>
      <c r="CN85" s="41" t="s">
        <v>343</v>
      </c>
      <c r="CO85" s="756" t="s">
        <v>344</v>
      </c>
      <c r="CP85" s="764">
        <f>'Standard Vorgaben'!$H$89</f>
        <v>97</v>
      </c>
      <c r="CQ85" s="47">
        <f>(CQ9+CQ10+('Standard Vorgaben'!$D$89*CQ13))/CP85</f>
        <v>230.82725672617553</v>
      </c>
      <c r="CR85" s="45">
        <f>'Standard Vorgaben'!$C$35</f>
        <v>22.754999999999999</v>
      </c>
      <c r="CS85" s="46">
        <f t="shared" si="56"/>
        <v>5252.4742268041236</v>
      </c>
      <c r="CT85" s="730">
        <f t="shared" si="44"/>
        <v>0.14548820833431411</v>
      </c>
      <c r="CU85" s="41" t="s">
        <v>343</v>
      </c>
      <c r="CV85" s="756" t="s">
        <v>344</v>
      </c>
      <c r="CW85" s="764">
        <f>'Standard Vorgaben'!$H$89</f>
        <v>97</v>
      </c>
      <c r="CX85" s="47">
        <f>(CX9+CX10+('Standard Vorgaben'!$D$89*CX13))/CW85</f>
        <v>230.82725672617553</v>
      </c>
      <c r="CY85" s="45">
        <f>'Standard Vorgaben'!$C$35</f>
        <v>22.754999999999999</v>
      </c>
      <c r="CZ85" s="46">
        <f t="shared" si="57"/>
        <v>5252.4742268041236</v>
      </c>
      <c r="DA85" s="730">
        <f t="shared" si="45"/>
        <v>0.12508651037870436</v>
      </c>
    </row>
    <row r="86" spans="1:105" s="1" customFormat="1" ht="13.5" thickBot="1" x14ac:dyDescent="0.35">
      <c r="A86" s="41"/>
      <c r="B86" s="42" t="s">
        <v>95</v>
      </c>
      <c r="C86" s="44"/>
      <c r="D86" s="733">
        <f>'Standard Vorgaben'!F97+'Standard Vorgaben'!G97</f>
        <v>20</v>
      </c>
      <c r="E86" s="45">
        <f>'Standard Vorgaben'!$C$32</f>
        <v>41.4</v>
      </c>
      <c r="F86" s="474">
        <f t="shared" si="59"/>
        <v>828</v>
      </c>
      <c r="G86" s="738">
        <f t="shared" si="31"/>
        <v>3.4456416583306705E-2</v>
      </c>
      <c r="H86" s="41"/>
      <c r="I86" s="42" t="s">
        <v>95</v>
      </c>
      <c r="J86" s="44"/>
      <c r="K86" s="733">
        <f>'Standard Vorgaben'!F98+'Standard Vorgaben'!G98</f>
        <v>20</v>
      </c>
      <c r="L86" s="45">
        <f>'Standard Vorgaben'!$C$32</f>
        <v>41.4</v>
      </c>
      <c r="M86" s="474">
        <f t="shared" si="60"/>
        <v>828</v>
      </c>
      <c r="N86" s="738">
        <f t="shared" si="32"/>
        <v>3.3832982610555638E-2</v>
      </c>
      <c r="O86" s="41"/>
      <c r="P86" s="42" t="s">
        <v>95</v>
      </c>
      <c r="Q86" s="44"/>
      <c r="R86" s="733">
        <f>'Standard Vorgaben'!$F$96+'Standard Vorgaben'!$G$96</f>
        <v>40</v>
      </c>
      <c r="S86" s="45">
        <f>'Standard Vorgaben'!$C$32</f>
        <v>41.4</v>
      </c>
      <c r="T86" s="474">
        <f t="shared" si="58"/>
        <v>1656</v>
      </c>
      <c r="U86" s="738">
        <f t="shared" si="33"/>
        <v>5.115028712730927E-2</v>
      </c>
      <c r="V86" s="41"/>
      <c r="W86" s="42" t="s">
        <v>95</v>
      </c>
      <c r="X86" s="44"/>
      <c r="Y86" s="733">
        <f>'Standard Vorgaben'!$F$96+'Standard Vorgaben'!$G$96</f>
        <v>40</v>
      </c>
      <c r="Z86" s="45">
        <f>'Standard Vorgaben'!$C$32</f>
        <v>41.4</v>
      </c>
      <c r="AA86" s="474">
        <f t="shared" si="46"/>
        <v>1656</v>
      </c>
      <c r="AB86" s="738">
        <f t="shared" si="34"/>
        <v>4.5145053150572712E-2</v>
      </c>
      <c r="AC86" s="41"/>
      <c r="AD86" s="42" t="s">
        <v>95</v>
      </c>
      <c r="AE86" s="44"/>
      <c r="AF86" s="733">
        <f>'Standard Vorgaben'!$F$96+'Standard Vorgaben'!$G$96</f>
        <v>40</v>
      </c>
      <c r="AG86" s="45">
        <f>'Standard Vorgaben'!$C$32</f>
        <v>41.4</v>
      </c>
      <c r="AH86" s="474">
        <f t="shared" si="47"/>
        <v>1656</v>
      </c>
      <c r="AI86" s="738">
        <f t="shared" si="35"/>
        <v>4.3669243230605184E-2</v>
      </c>
      <c r="AJ86" s="41"/>
      <c r="AK86" s="42" t="s">
        <v>95</v>
      </c>
      <c r="AL86" s="44"/>
      <c r="AM86" s="733">
        <f>'Standard Vorgaben'!$F$96+'Standard Vorgaben'!$G$96</f>
        <v>40</v>
      </c>
      <c r="AN86" s="45">
        <f>'Standard Vorgaben'!$C$32</f>
        <v>41.4</v>
      </c>
      <c r="AO86" s="474">
        <f t="shared" si="48"/>
        <v>1656</v>
      </c>
      <c r="AP86" s="738">
        <f t="shared" si="36"/>
        <v>4.382703601438568E-2</v>
      </c>
      <c r="AQ86" s="41"/>
      <c r="AR86" s="42" t="s">
        <v>95</v>
      </c>
      <c r="AS86" s="44"/>
      <c r="AT86" s="733">
        <f>'Standard Vorgaben'!$F$96+'Standard Vorgaben'!$G$96</f>
        <v>40</v>
      </c>
      <c r="AU86" s="45">
        <f>'Standard Vorgaben'!$C$32</f>
        <v>41.4</v>
      </c>
      <c r="AV86" s="474">
        <f t="shared" si="49"/>
        <v>1656</v>
      </c>
      <c r="AW86" s="738">
        <f t="shared" si="37"/>
        <v>4.0932209549973078E-2</v>
      </c>
      <c r="AX86" s="41"/>
      <c r="AY86" s="42" t="s">
        <v>95</v>
      </c>
      <c r="AZ86" s="44"/>
      <c r="BA86" s="733">
        <f>'Standard Vorgaben'!$F$96+'Standard Vorgaben'!$G$96</f>
        <v>40</v>
      </c>
      <c r="BB86" s="45">
        <f>'Standard Vorgaben'!$C$32</f>
        <v>41.4</v>
      </c>
      <c r="BC86" s="474">
        <f t="shared" si="50"/>
        <v>1656</v>
      </c>
      <c r="BD86" s="738">
        <f t="shared" si="38"/>
        <v>4.4120670654083059E-2</v>
      </c>
      <c r="BE86" s="41"/>
      <c r="BF86" s="42" t="s">
        <v>95</v>
      </c>
      <c r="BG86" s="44"/>
      <c r="BH86" s="733">
        <f>'Standard Vorgaben'!$F$96+'Standard Vorgaben'!$G$96</f>
        <v>40</v>
      </c>
      <c r="BI86" s="45">
        <f>'Standard Vorgaben'!$C$32</f>
        <v>41.4</v>
      </c>
      <c r="BJ86" s="474">
        <f t="shared" si="51"/>
        <v>1656</v>
      </c>
      <c r="BK86" s="738">
        <f t="shared" si="42"/>
        <v>4.4285883917466136E-2</v>
      </c>
      <c r="BL86" s="41"/>
      <c r="BM86" s="42" t="s">
        <v>95</v>
      </c>
      <c r="BN86" s="44"/>
      <c r="BO86" s="733">
        <f>'Standard Vorgaben'!$F$96+'Standard Vorgaben'!$G$96</f>
        <v>40</v>
      </c>
      <c r="BP86" s="45">
        <f>'Standard Vorgaben'!$C$32</f>
        <v>41.4</v>
      </c>
      <c r="BQ86" s="474">
        <f t="shared" si="52"/>
        <v>1656</v>
      </c>
      <c r="BR86" s="738">
        <f t="shared" si="39"/>
        <v>4.1335802960329251E-2</v>
      </c>
      <c r="BS86" s="41"/>
      <c r="BT86" s="42" t="s">
        <v>95</v>
      </c>
      <c r="BU86" s="44"/>
      <c r="BV86" s="733">
        <f>'Standard Vorgaben'!$F$96+'Standard Vorgaben'!$G$96</f>
        <v>40</v>
      </c>
      <c r="BW86" s="45">
        <f>'Standard Vorgaben'!$C$32</f>
        <v>41.4</v>
      </c>
      <c r="BX86" s="474">
        <f t="shared" si="53"/>
        <v>1656</v>
      </c>
      <c r="BY86" s="738">
        <f t="shared" si="40"/>
        <v>4.4594219010387348E-2</v>
      </c>
      <c r="BZ86" s="41"/>
      <c r="CA86" s="42" t="s">
        <v>95</v>
      </c>
      <c r="CB86" s="44"/>
      <c r="CC86" s="733">
        <f>'Standard Vorgaben'!$F$96+'Standard Vorgaben'!$G$96</f>
        <v>40</v>
      </c>
      <c r="CD86" s="45">
        <f>'Standard Vorgaben'!$C$32</f>
        <v>41.4</v>
      </c>
      <c r="CE86" s="474">
        <f t="shared" si="54"/>
        <v>1656</v>
      </c>
      <c r="CF86" s="738">
        <f t="shared" si="41"/>
        <v>4.4767345336189007E-2</v>
      </c>
      <c r="CG86" s="41"/>
      <c r="CH86" s="42" t="s">
        <v>95</v>
      </c>
      <c r="CI86" s="44"/>
      <c r="CJ86" s="733">
        <f>'Standard Vorgaben'!$F$96+'Standard Vorgaben'!$G$96</f>
        <v>40</v>
      </c>
      <c r="CK86" s="45">
        <f>'Standard Vorgaben'!$C$32</f>
        <v>41.4</v>
      </c>
      <c r="CL86" s="474">
        <f t="shared" si="55"/>
        <v>1656</v>
      </c>
      <c r="CM86" s="738">
        <f t="shared" si="43"/>
        <v>4.2463697744594034E-2</v>
      </c>
      <c r="CN86" s="41"/>
      <c r="CO86" s="42" t="s">
        <v>95</v>
      </c>
      <c r="CP86" s="44"/>
      <c r="CQ86" s="733">
        <f>'Standard Vorgaben'!$F$96+'Standard Vorgaben'!$G$96</f>
        <v>40</v>
      </c>
      <c r="CR86" s="45">
        <f>'Standard Vorgaben'!$C$32</f>
        <v>41.4</v>
      </c>
      <c r="CS86" s="474">
        <f t="shared" si="56"/>
        <v>1656</v>
      </c>
      <c r="CT86" s="730">
        <f t="shared" si="44"/>
        <v>4.5869520267635369E-2</v>
      </c>
      <c r="CU86" s="41"/>
      <c r="CV86" s="42" t="s">
        <v>95</v>
      </c>
      <c r="CW86" s="44"/>
      <c r="CX86" s="733">
        <f>'Standard Vorgaben'!$F$96+'Standard Vorgaben'!$G$96</f>
        <v>40</v>
      </c>
      <c r="CY86" s="45">
        <f>'Standard Vorgaben'!$C$32</f>
        <v>41.4</v>
      </c>
      <c r="CZ86" s="474">
        <f t="shared" si="57"/>
        <v>1656</v>
      </c>
      <c r="DA86" s="730">
        <f t="shared" si="45"/>
        <v>3.9437273224503015E-2</v>
      </c>
    </row>
    <row r="87" spans="1:105" s="1" customFormat="1" ht="13" x14ac:dyDescent="0.3">
      <c r="A87" s="111" t="s">
        <v>84</v>
      </c>
      <c r="B87" s="300">
        <f>('Standard Vorgaben'!$G$34*D78)+('Standard Vorgaben'!$G$34*D85)</f>
        <v>85</v>
      </c>
      <c r="C87" s="111" t="s">
        <v>82</v>
      </c>
      <c r="D87" s="301">
        <f>SUM(D74:D86)</f>
        <v>300</v>
      </c>
      <c r="E87" s="48"/>
      <c r="F87" s="55">
        <f>SUM(F85:F86)</f>
        <v>828</v>
      </c>
      <c r="G87" s="738">
        <f t="shared" si="31"/>
        <v>3.4456416583306705E-2</v>
      </c>
      <c r="H87" s="111" t="s">
        <v>84</v>
      </c>
      <c r="I87" s="300">
        <f>('Standard Vorgaben'!$G$34*K78)+('Standard Vorgaben'!$G$34*K85)</f>
        <v>189.62031682172491</v>
      </c>
      <c r="J87" s="111" t="s">
        <v>82</v>
      </c>
      <c r="K87" s="301">
        <f>SUM(K74:K86)</f>
        <v>423.08272567261758</v>
      </c>
      <c r="L87" s="48"/>
      <c r="M87" s="55">
        <f>SUM(M85:M86)</f>
        <v>1353.2474226804125</v>
      </c>
      <c r="N87" s="738">
        <f t="shared" si="32"/>
        <v>5.52951648784126E-2</v>
      </c>
      <c r="O87" s="111" t="s">
        <v>84</v>
      </c>
      <c r="P87" s="300">
        <f>('Standard Vorgaben'!$G$34*R78)+('Standard Vorgaben'!$G$34*R85)</f>
        <v>241.94116167965802</v>
      </c>
      <c r="Q87" s="111" t="s">
        <v>82</v>
      </c>
      <c r="R87" s="301">
        <f>SUM(R74:R86)</f>
        <v>570.63666079959773</v>
      </c>
      <c r="S87" s="48"/>
      <c r="T87" s="55">
        <f>SUM(T85:T86)</f>
        <v>3581.9072164948457</v>
      </c>
      <c r="U87" s="738">
        <f t="shared" si="33"/>
        <v>0.1106374290984858</v>
      </c>
      <c r="V87" s="111" t="s">
        <v>84</v>
      </c>
      <c r="W87" s="300">
        <f>('Standard Vorgaben'!$G$34*Y78)+('Standard Vorgaben'!$G$34*Y85)</f>
        <v>268.10158410862459</v>
      </c>
      <c r="X87" s="111" t="s">
        <v>82</v>
      </c>
      <c r="Y87" s="301">
        <f>SUM(Y74:Y86)</f>
        <v>604.41362836308781</v>
      </c>
      <c r="Z87" s="48"/>
      <c r="AA87" s="55">
        <f>SUM(AA85:AA86)</f>
        <v>4282.2371134020614</v>
      </c>
      <c r="AB87" s="738">
        <f t="shared" si="34"/>
        <v>0.11674023072940286</v>
      </c>
      <c r="AC87" s="111" t="s">
        <v>84</v>
      </c>
      <c r="AD87" s="300">
        <f>('Standard Vorgaben'!$G$34*AF78)+('Standard Vorgaben'!$G$34*AF85)</f>
        <v>385.82348503897413</v>
      </c>
      <c r="AE87" s="111" t="s">
        <v>82</v>
      </c>
      <c r="AF87" s="301">
        <f>SUM(AF74:AF86)</f>
        <v>742.90998239879309</v>
      </c>
      <c r="AG87" s="48"/>
      <c r="AH87" s="55">
        <f>SUM(AH85:AH86)</f>
        <v>7433.7216494845361</v>
      </c>
      <c r="AI87" s="738">
        <f t="shared" si="35"/>
        <v>0.19602958865939357</v>
      </c>
      <c r="AJ87" s="111" t="s">
        <v>84</v>
      </c>
      <c r="AK87" s="300">
        <f>('Standard Vorgaben'!$G$34*AM78)+('Standard Vorgaben'!$G$34*AM85)</f>
        <v>385.82348503897413</v>
      </c>
      <c r="AL87" s="111" t="s">
        <v>82</v>
      </c>
      <c r="AM87" s="301">
        <f>SUM(AM74:AM86)</f>
        <v>742.90998239879309</v>
      </c>
      <c r="AN87" s="48"/>
      <c r="AO87" s="55">
        <f>SUM(AO85:AO86)</f>
        <v>7433.7216494845361</v>
      </c>
      <c r="AP87" s="738">
        <f t="shared" si="36"/>
        <v>0.19673791452468434</v>
      </c>
      <c r="AQ87" s="111" t="s">
        <v>84</v>
      </c>
      <c r="AR87" s="300">
        <f>('Standard Vorgaben'!$G$34*AT78)+('Standard Vorgaben'!$G$34*AT85)</f>
        <v>385.82348503897413</v>
      </c>
      <c r="AS87" s="111" t="s">
        <v>82</v>
      </c>
      <c r="AT87" s="301">
        <f>SUM(AT74:AT86)</f>
        <v>742.90998239879309</v>
      </c>
      <c r="AU87" s="48"/>
      <c r="AV87" s="55">
        <f>SUM(AV85:AV86)</f>
        <v>7433.7216494845361</v>
      </c>
      <c r="AW87" s="738">
        <f t="shared" si="37"/>
        <v>0.18374314751985057</v>
      </c>
      <c r="AX87" s="111" t="s">
        <v>84</v>
      </c>
      <c r="AY87" s="300">
        <f>('Standard Vorgaben'!$G$34*BA78)+('Standard Vorgaben'!$G$34*BA85)</f>
        <v>385.82348503897413</v>
      </c>
      <c r="AZ87" s="111" t="s">
        <v>82</v>
      </c>
      <c r="BA87" s="301">
        <f>SUM(BA74:BA86)</f>
        <v>742.90998239879309</v>
      </c>
      <c r="BB87" s="48"/>
      <c r="BC87" s="55">
        <f>SUM(BC85:BC86)</f>
        <v>7433.7216494845361</v>
      </c>
      <c r="BD87" s="738">
        <f t="shared" si="38"/>
        <v>0.19805602936656658</v>
      </c>
      <c r="BE87" s="111" t="s">
        <v>84</v>
      </c>
      <c r="BF87" s="300">
        <f>('Standard Vorgaben'!$G$34*BH78)+('Standard Vorgaben'!$G$34*BH85)</f>
        <v>385.82348503897413</v>
      </c>
      <c r="BG87" s="111" t="s">
        <v>82</v>
      </c>
      <c r="BH87" s="301">
        <f>SUM(BH74:BH86)</f>
        <v>742.90998239879309</v>
      </c>
      <c r="BI87" s="48"/>
      <c r="BJ87" s="55">
        <f>SUM(BJ85:BJ86)</f>
        <v>7433.7216494845361</v>
      </c>
      <c r="BK87" s="738">
        <f t="shared" si="42"/>
        <v>0.19879766548540281</v>
      </c>
      <c r="BL87" s="111" t="s">
        <v>84</v>
      </c>
      <c r="BM87" s="300">
        <f>('Standard Vorgaben'!$G$34*BO78)+('Standard Vorgaben'!$G$34*BO85)</f>
        <v>385.82348503897413</v>
      </c>
      <c r="BN87" s="111" t="s">
        <v>82</v>
      </c>
      <c r="BO87" s="301">
        <f>SUM(BO74:BO86)</f>
        <v>742.90998239879309</v>
      </c>
      <c r="BP87" s="48"/>
      <c r="BQ87" s="55">
        <f>SUM(BQ85:BQ86)</f>
        <v>7433.7216494845361</v>
      </c>
      <c r="BR87" s="738">
        <f t="shared" si="39"/>
        <v>0.18555486314313197</v>
      </c>
      <c r="BS87" s="111" t="s">
        <v>84</v>
      </c>
      <c r="BT87" s="300">
        <f>('Standard Vorgaben'!$G$34*BV78)+('Standard Vorgaben'!$G$34*BV85)</f>
        <v>385.82348503897413</v>
      </c>
      <c r="BU87" s="111" t="s">
        <v>82</v>
      </c>
      <c r="BV87" s="301">
        <f>SUM(BV74:BV86)</f>
        <v>742.90998239879309</v>
      </c>
      <c r="BW87" s="48"/>
      <c r="BX87" s="55">
        <f>SUM(BX85:BX86)</f>
        <v>7433.7216494845361</v>
      </c>
      <c r="BY87" s="738">
        <f t="shared" si="40"/>
        <v>0.200181770108316</v>
      </c>
      <c r="BZ87" s="111" t="s">
        <v>84</v>
      </c>
      <c r="CA87" s="300">
        <f>('Standard Vorgaben'!$G$34*CC78)+('Standard Vorgaben'!$G$34*CC85)</f>
        <v>385.82348503897413</v>
      </c>
      <c r="CB87" s="111" t="s">
        <v>82</v>
      </c>
      <c r="CC87" s="301">
        <f>SUM(CC74:CC86)</f>
        <v>742.90998239879309</v>
      </c>
      <c r="CD87" s="48"/>
      <c r="CE87" s="55">
        <f>SUM(CE85:CE86)</f>
        <v>7433.7216494845361</v>
      </c>
      <c r="CF87" s="738">
        <f t="shared" si="41"/>
        <v>0.20095892766641232</v>
      </c>
      <c r="CG87" s="111" t="s">
        <v>84</v>
      </c>
      <c r="CH87" s="300">
        <f>('Standard Vorgaben'!$G$34*CJ78)+('Standard Vorgaben'!$G$34*CJ85)</f>
        <v>366.20316821724919</v>
      </c>
      <c r="CI87" s="111" t="s">
        <v>82</v>
      </c>
      <c r="CJ87" s="301">
        <f>SUM(CJ74:CJ86)</f>
        <v>719.82725672617551</v>
      </c>
      <c r="CK87" s="48"/>
      <c r="CL87" s="55">
        <f>SUM(CL85:CL86)</f>
        <v>6908.4742268041236</v>
      </c>
      <c r="CM87" s="738">
        <f t="shared" si="43"/>
        <v>0.17714937285225138</v>
      </c>
      <c r="CN87" s="111" t="s">
        <v>84</v>
      </c>
      <c r="CO87" s="300">
        <f>('Standard Vorgaben'!$G$34*CQ78)+('Standard Vorgaben'!$G$34*CQ85)</f>
        <v>366.20316821724919</v>
      </c>
      <c r="CP87" s="111" t="s">
        <v>82</v>
      </c>
      <c r="CQ87" s="301">
        <f>SUM(CQ74:CQ86)</f>
        <v>719.82725672617551</v>
      </c>
      <c r="CR87" s="48"/>
      <c r="CS87" s="55">
        <f>SUM(CS85:CS86)</f>
        <v>6908.4742268041236</v>
      </c>
      <c r="CT87" s="730">
        <f t="shared" si="44"/>
        <v>0.19135772860194947</v>
      </c>
      <c r="CU87" s="111" t="s">
        <v>84</v>
      </c>
      <c r="CV87" s="300">
        <f>('Standard Vorgaben'!$G$34*CX78)+('Standard Vorgaben'!$G$34*CX85)</f>
        <v>366.20316821724919</v>
      </c>
      <c r="CW87" s="111" t="s">
        <v>82</v>
      </c>
      <c r="CX87" s="301">
        <f>SUM(CX74:CX86)</f>
        <v>719.82725672617551</v>
      </c>
      <c r="CY87" s="48"/>
      <c r="CZ87" s="55">
        <f>SUM(CZ85:CZ86)</f>
        <v>6908.4742268041236</v>
      </c>
      <c r="DA87" s="730">
        <f t="shared" si="45"/>
        <v>0.16452378360320738</v>
      </c>
    </row>
    <row r="88" spans="1:105" s="1" customFormat="1" ht="13" x14ac:dyDescent="0.3">
      <c r="A88" s="756"/>
      <c r="B88" s="765"/>
      <c r="C88" s="756"/>
      <c r="D88" s="766"/>
      <c r="E88" s="45"/>
      <c r="F88" s="83"/>
      <c r="G88" s="738">
        <f t="shared" si="31"/>
        <v>0</v>
      </c>
      <c r="H88" s="756"/>
      <c r="I88" s="765"/>
      <c r="J88" s="756"/>
      <c r="K88" s="766"/>
      <c r="L88" s="45"/>
      <c r="M88" s="83"/>
      <c r="N88" s="738">
        <f t="shared" si="32"/>
        <v>0</v>
      </c>
      <c r="O88" s="756"/>
      <c r="P88" s="765"/>
      <c r="Q88" s="756"/>
      <c r="R88" s="766"/>
      <c r="S88" s="45"/>
      <c r="T88" s="83"/>
      <c r="U88" s="738">
        <f t="shared" si="33"/>
        <v>0</v>
      </c>
      <c r="V88" s="756"/>
      <c r="W88" s="765"/>
      <c r="X88" s="756"/>
      <c r="Y88" s="766"/>
      <c r="Z88" s="45"/>
      <c r="AA88" s="83"/>
      <c r="AB88" s="738">
        <f t="shared" si="34"/>
        <v>0</v>
      </c>
      <c r="AC88" s="756"/>
      <c r="AD88" s="765"/>
      <c r="AE88" s="756"/>
      <c r="AF88" s="766"/>
      <c r="AG88" s="45"/>
      <c r="AH88" s="83"/>
      <c r="AI88" s="738">
        <f t="shared" si="35"/>
        <v>0</v>
      </c>
      <c r="AJ88" s="756"/>
      <c r="AK88" s="765"/>
      <c r="AL88" s="756"/>
      <c r="AM88" s="766"/>
      <c r="AN88" s="45"/>
      <c r="AO88" s="83"/>
      <c r="AP88" s="738">
        <f t="shared" si="36"/>
        <v>0</v>
      </c>
      <c r="AQ88" s="756"/>
      <c r="AR88" s="765"/>
      <c r="AS88" s="756"/>
      <c r="AT88" s="766"/>
      <c r="AU88" s="45"/>
      <c r="AV88" s="83"/>
      <c r="AW88" s="738">
        <f t="shared" si="37"/>
        <v>0</v>
      </c>
      <c r="AX88" s="756"/>
      <c r="AY88" s="765"/>
      <c r="AZ88" s="756"/>
      <c r="BA88" s="766"/>
      <c r="BB88" s="45"/>
      <c r="BC88" s="83"/>
      <c r="BD88" s="738">
        <f t="shared" si="38"/>
        <v>0</v>
      </c>
      <c r="BE88" s="756"/>
      <c r="BF88" s="765"/>
      <c r="BG88" s="756"/>
      <c r="BH88" s="766"/>
      <c r="BI88" s="45"/>
      <c r="BJ88" s="83"/>
      <c r="BK88" s="738">
        <f t="shared" si="42"/>
        <v>0</v>
      </c>
      <c r="BL88" s="756"/>
      <c r="BM88" s="765"/>
      <c r="BN88" s="756"/>
      <c r="BO88" s="766"/>
      <c r="BP88" s="45"/>
      <c r="BQ88" s="83"/>
      <c r="BR88" s="738">
        <f t="shared" si="39"/>
        <v>0</v>
      </c>
      <c r="BS88" s="756"/>
      <c r="BT88" s="765"/>
      <c r="BU88" s="756"/>
      <c r="BV88" s="766"/>
      <c r="BW88" s="45"/>
      <c r="BX88" s="83"/>
      <c r="BY88" s="738">
        <f t="shared" si="40"/>
        <v>0</v>
      </c>
      <c r="BZ88" s="756"/>
      <c r="CA88" s="765"/>
      <c r="CB88" s="756"/>
      <c r="CC88" s="766"/>
      <c r="CD88" s="45"/>
      <c r="CE88" s="83"/>
      <c r="CF88" s="738">
        <f t="shared" si="41"/>
        <v>0</v>
      </c>
      <c r="CG88" s="756"/>
      <c r="CH88" s="765"/>
      <c r="CI88" s="756"/>
      <c r="CJ88" s="766"/>
      <c r="CK88" s="45"/>
      <c r="CL88" s="83"/>
      <c r="CM88" s="738">
        <f t="shared" si="43"/>
        <v>0</v>
      </c>
      <c r="CN88" s="756"/>
      <c r="CO88" s="765"/>
      <c r="CP88" s="756"/>
      <c r="CQ88" s="766"/>
      <c r="CR88" s="45"/>
      <c r="CS88" s="83"/>
      <c r="CT88" s="730">
        <f t="shared" si="44"/>
        <v>0</v>
      </c>
      <c r="CU88" s="756"/>
      <c r="CV88" s="765"/>
      <c r="CW88" s="756"/>
      <c r="CX88" s="766"/>
      <c r="CY88" s="45"/>
      <c r="CZ88" s="83"/>
      <c r="DA88" s="730">
        <f t="shared" si="45"/>
        <v>0</v>
      </c>
    </row>
    <row r="89" spans="1:105" s="1" customFormat="1" ht="18" customHeight="1" x14ac:dyDescent="0.3">
      <c r="A89" s="41" t="s">
        <v>66</v>
      </c>
      <c r="B89" s="42" t="s">
        <v>63</v>
      </c>
      <c r="C89" s="44"/>
      <c r="D89" s="44"/>
      <c r="E89" s="45"/>
      <c r="F89" s="46">
        <f>'Standard Vorgaben'!$C$42</f>
        <v>660</v>
      </c>
      <c r="G89" s="738">
        <f t="shared" si="31"/>
        <v>2.7465259595389403E-2</v>
      </c>
      <c r="H89" s="41" t="s">
        <v>66</v>
      </c>
      <c r="I89" s="42" t="s">
        <v>63</v>
      </c>
      <c r="J89" s="44"/>
      <c r="K89" s="44"/>
      <c r="L89" s="45"/>
      <c r="M89" s="46">
        <f>'Standard Vorgaben'!$C$42</f>
        <v>660</v>
      </c>
      <c r="N89" s="738">
        <f t="shared" si="32"/>
        <v>2.6968319472182031E-2</v>
      </c>
      <c r="O89" s="41" t="s">
        <v>66</v>
      </c>
      <c r="P89" s="42" t="s">
        <v>63</v>
      </c>
      <c r="Q89" s="44"/>
      <c r="R89" s="44"/>
      <c r="S89" s="45"/>
      <c r="T89" s="46">
        <f>'Standard Vorgaben'!$C$42</f>
        <v>660</v>
      </c>
      <c r="U89" s="738">
        <f t="shared" si="33"/>
        <v>2.0385984000014564E-2</v>
      </c>
      <c r="V89" s="41" t="s">
        <v>66</v>
      </c>
      <c r="W89" s="42" t="s">
        <v>63</v>
      </c>
      <c r="X89" s="44"/>
      <c r="Y89" s="44"/>
      <c r="Z89" s="45"/>
      <c r="AA89" s="46">
        <f>'Standard Vorgaben'!$C$42</f>
        <v>660</v>
      </c>
      <c r="AB89" s="738">
        <f t="shared" si="34"/>
        <v>1.7992593646967387E-2</v>
      </c>
      <c r="AC89" s="41" t="s">
        <v>66</v>
      </c>
      <c r="AD89" s="42" t="s">
        <v>63</v>
      </c>
      <c r="AE89" s="44"/>
      <c r="AF89" s="44"/>
      <c r="AG89" s="45"/>
      <c r="AH89" s="46">
        <f>'Standard Vorgaben'!$C$42</f>
        <v>660</v>
      </c>
      <c r="AI89" s="738">
        <f t="shared" si="35"/>
        <v>1.7404408533936849E-2</v>
      </c>
      <c r="AJ89" s="41" t="s">
        <v>66</v>
      </c>
      <c r="AK89" s="42" t="s">
        <v>63</v>
      </c>
      <c r="AL89" s="44"/>
      <c r="AM89" s="44"/>
      <c r="AN89" s="45"/>
      <c r="AO89" s="46">
        <f>'Standard Vorgaben'!$C$42</f>
        <v>660</v>
      </c>
      <c r="AP89" s="738">
        <f t="shared" si="36"/>
        <v>1.7467296962255161E-2</v>
      </c>
      <c r="AQ89" s="41" t="s">
        <v>66</v>
      </c>
      <c r="AR89" s="42" t="s">
        <v>63</v>
      </c>
      <c r="AS89" s="44"/>
      <c r="AT89" s="44"/>
      <c r="AU89" s="45"/>
      <c r="AV89" s="46">
        <f>'Standard Vorgaben'!$C$42</f>
        <v>660</v>
      </c>
      <c r="AW89" s="738">
        <f t="shared" si="37"/>
        <v>1.6313561777163182E-2</v>
      </c>
      <c r="AX89" s="41" t="s">
        <v>66</v>
      </c>
      <c r="AY89" s="42" t="s">
        <v>63</v>
      </c>
      <c r="AZ89" s="44"/>
      <c r="BA89" s="44"/>
      <c r="BB89" s="45"/>
      <c r="BC89" s="46">
        <f>'Standard Vorgaben'!$C$42</f>
        <v>660</v>
      </c>
      <c r="BD89" s="738">
        <f t="shared" si="38"/>
        <v>1.7584325260685277E-2</v>
      </c>
      <c r="BE89" s="41" t="s">
        <v>66</v>
      </c>
      <c r="BF89" s="42" t="s">
        <v>63</v>
      </c>
      <c r="BG89" s="44"/>
      <c r="BH89" s="44"/>
      <c r="BI89" s="45"/>
      <c r="BJ89" s="46">
        <f>'Standard Vorgaben'!$C$42</f>
        <v>660</v>
      </c>
      <c r="BK89" s="738">
        <f t="shared" si="42"/>
        <v>1.7650171126526358E-2</v>
      </c>
      <c r="BL89" s="41" t="s">
        <v>66</v>
      </c>
      <c r="BM89" s="42" t="s">
        <v>63</v>
      </c>
      <c r="BN89" s="44"/>
      <c r="BO89" s="44"/>
      <c r="BP89" s="45"/>
      <c r="BQ89" s="46">
        <f>'Standard Vorgaben'!$C$42</f>
        <v>660</v>
      </c>
      <c r="BR89" s="738">
        <f t="shared" si="39"/>
        <v>1.6474414223319626E-2</v>
      </c>
      <c r="BS89" s="41" t="s">
        <v>66</v>
      </c>
      <c r="BT89" s="42" t="s">
        <v>63</v>
      </c>
      <c r="BU89" s="44"/>
      <c r="BV89" s="44"/>
      <c r="BW89" s="45"/>
      <c r="BX89" s="46">
        <f>'Standard Vorgaben'!$C$42</f>
        <v>660</v>
      </c>
      <c r="BY89" s="738">
        <f t="shared" si="40"/>
        <v>1.7773058301241335E-2</v>
      </c>
      <c r="BZ89" s="41" t="s">
        <v>66</v>
      </c>
      <c r="CA89" s="42" t="s">
        <v>63</v>
      </c>
      <c r="CB89" s="44"/>
      <c r="CC89" s="44"/>
      <c r="CD89" s="45"/>
      <c r="CE89" s="46">
        <f>'Standard Vorgaben'!$C$42</f>
        <v>660</v>
      </c>
      <c r="CF89" s="738">
        <f t="shared" si="41"/>
        <v>1.7842057923843444E-2</v>
      </c>
      <c r="CG89" s="41" t="s">
        <v>66</v>
      </c>
      <c r="CH89" s="42" t="s">
        <v>63</v>
      </c>
      <c r="CI89" s="44"/>
      <c r="CJ89" s="44"/>
      <c r="CK89" s="45"/>
      <c r="CL89" s="46">
        <f>'Standard Vorgaben'!$C$42</f>
        <v>660</v>
      </c>
      <c r="CM89" s="738">
        <f t="shared" si="43"/>
        <v>1.6923937506903422E-2</v>
      </c>
      <c r="CN89" s="41" t="s">
        <v>66</v>
      </c>
      <c r="CO89" s="42" t="s">
        <v>63</v>
      </c>
      <c r="CP89" s="44"/>
      <c r="CQ89" s="44"/>
      <c r="CR89" s="45"/>
      <c r="CS89" s="46">
        <f>'Standard Vorgaben'!$C$42</f>
        <v>660</v>
      </c>
      <c r="CT89" s="730">
        <f t="shared" si="44"/>
        <v>1.8281330541448881E-2</v>
      </c>
      <c r="CU89" s="41" t="s">
        <v>66</v>
      </c>
      <c r="CV89" s="42" t="s">
        <v>63</v>
      </c>
      <c r="CW89" s="44"/>
      <c r="CX89" s="44"/>
      <c r="CY89" s="45"/>
      <c r="CZ89" s="46">
        <f>'Standard Vorgaben'!$C$42</f>
        <v>660</v>
      </c>
      <c r="DA89" s="730">
        <f t="shared" si="45"/>
        <v>1.5717753821359898E-2</v>
      </c>
    </row>
    <row r="90" spans="1:105" s="1" customFormat="1" ht="13" thickBot="1" x14ac:dyDescent="0.3">
      <c r="A90" s="19"/>
      <c r="B90" s="19" t="s">
        <v>154</v>
      </c>
      <c r="C90" s="767">
        <f>'Standard Vorgaben'!$C$41</f>
        <v>0.6</v>
      </c>
      <c r="D90" s="768">
        <f>'Standard Vorgaben'!$C$40</f>
        <v>1.4999999999999999E-2</v>
      </c>
      <c r="E90" s="149">
        <f>(F96)*(-1)</f>
        <v>124765.91649999999</v>
      </c>
      <c r="F90" s="587">
        <f>D90*E90*C90</f>
        <v>1122.8932484999998</v>
      </c>
      <c r="G90" s="738">
        <f t="shared" si="31"/>
        <v>4.6728112981761508E-2</v>
      </c>
      <c r="H90" s="19"/>
      <c r="I90" s="19" t="s">
        <v>154</v>
      </c>
      <c r="J90" s="767">
        <f>'Standard Vorgaben'!$C$41</f>
        <v>0.6</v>
      </c>
      <c r="K90" s="768">
        <f>'Standard Vorgaben'!$C$40</f>
        <v>1.4999999999999999E-2</v>
      </c>
      <c r="L90" s="149">
        <f>(M96)*(-1)</f>
        <v>146096.27374849998</v>
      </c>
      <c r="M90" s="587">
        <f>K90*L90*J90</f>
        <v>1314.8664637364998</v>
      </c>
      <c r="N90" s="738">
        <f t="shared" si="32"/>
        <v>5.3726877056521474E-2</v>
      </c>
      <c r="O90" s="19"/>
      <c r="P90" s="19" t="s">
        <v>154</v>
      </c>
      <c r="Q90" s="767">
        <f>'Standard Vorgaben'!$C$41</f>
        <v>0.6</v>
      </c>
      <c r="R90" s="768">
        <f>'Standard Vorgaben'!$C$40</f>
        <v>1.4999999999999999E-2</v>
      </c>
      <c r="S90" s="149">
        <f>(T96)*(-1)</f>
        <v>163288.38994344088</v>
      </c>
      <c r="T90" s="587">
        <f>R90*S90*Q90</f>
        <v>1469.5955094909677</v>
      </c>
      <c r="U90" s="738">
        <f t="shared" si="33"/>
        <v>4.5392652337842607E-2</v>
      </c>
      <c r="V90" s="19"/>
      <c r="W90" s="19" t="s">
        <v>154</v>
      </c>
      <c r="X90" s="767">
        <f>'Standard Vorgaben'!$C$41</f>
        <v>0.6</v>
      </c>
      <c r="Y90" s="768">
        <f>'Standard Vorgaben'!$C$40</f>
        <v>1.4999999999999999E-2</v>
      </c>
      <c r="Z90" s="149">
        <f>(AA96)*(-1)</f>
        <v>176166.41380068139</v>
      </c>
      <c r="AA90" s="587">
        <f>Y90*Z90*X90</f>
        <v>1585.4977242061323</v>
      </c>
      <c r="AB90" s="738">
        <f t="shared" si="34"/>
        <v>4.3223054969443189E-2</v>
      </c>
      <c r="AC90" s="19"/>
      <c r="AD90" s="19" t="s">
        <v>154</v>
      </c>
      <c r="AE90" s="767">
        <f>'Standard Vorgaben'!$C$41</f>
        <v>0.6</v>
      </c>
      <c r="AF90" s="768">
        <f>'Standard Vorgaben'!$C$40</f>
        <v>1.4999999999999999E-2</v>
      </c>
      <c r="AG90" s="149">
        <f>(AH96)*(-1)</f>
        <v>187242.95418090964</v>
      </c>
      <c r="AH90" s="587">
        <f>AF90*AG90*AE90</f>
        <v>1685.1865876281865</v>
      </c>
      <c r="AI90" s="738">
        <f t="shared" si="35"/>
        <v>4.4438902768169586E-2</v>
      </c>
      <c r="AJ90" s="19"/>
      <c r="AK90" s="19" t="s">
        <v>154</v>
      </c>
      <c r="AL90" s="767">
        <f>'Standard Vorgaben'!$C$41</f>
        <v>0.6</v>
      </c>
      <c r="AM90" s="768">
        <f>'Standard Vorgaben'!$C$40</f>
        <v>1.4999999999999999E-2</v>
      </c>
      <c r="AN90" s="149">
        <f>(AO96)*(-1)</f>
        <v>172072.8978117865</v>
      </c>
      <c r="AO90" s="587">
        <f>AM90*AN90*AL90</f>
        <v>1548.6560803060784</v>
      </c>
      <c r="AP90" s="738">
        <f t="shared" si="36"/>
        <v>4.0986114616830834E-2</v>
      </c>
      <c r="AQ90" s="19"/>
      <c r="AR90" s="19" t="s">
        <v>154</v>
      </c>
      <c r="AS90" s="767">
        <f>'Standard Vorgaben'!$C$41</f>
        <v>0.6</v>
      </c>
      <c r="AT90" s="768">
        <f>'Standard Vorgaben'!$C$40</f>
        <v>1.4999999999999999E-2</v>
      </c>
      <c r="AU90" s="149">
        <f>(AV96)*(-1)</f>
        <v>156766.31093534129</v>
      </c>
      <c r="AV90" s="587">
        <f>AT90*AU90*AS90</f>
        <v>1410.8967984180715</v>
      </c>
      <c r="AW90" s="738">
        <f t="shared" si="37"/>
        <v>3.4873866791204487E-2</v>
      </c>
      <c r="AX90" s="19"/>
      <c r="AY90" s="19" t="s">
        <v>154</v>
      </c>
      <c r="AZ90" s="767">
        <f>'Standard Vorgaben'!$C$41</f>
        <v>0.6</v>
      </c>
      <c r="BA90" s="768">
        <f>'Standard Vorgaben'!$C$40</f>
        <v>1.4999999999999999E-2</v>
      </c>
      <c r="BB90" s="149">
        <f>(BC96)*(-1)</f>
        <v>144131.96477700805</v>
      </c>
      <c r="BC90" s="587">
        <f>BA90*BB90*AZ90</f>
        <v>1297.1876829930723</v>
      </c>
      <c r="BD90" s="738">
        <f t="shared" si="38"/>
        <v>3.456086385137104E-2</v>
      </c>
      <c r="BE90" s="19"/>
      <c r="BF90" s="19" t="s">
        <v>154</v>
      </c>
      <c r="BG90" s="767">
        <f>'Standard Vorgaben'!$C$41</f>
        <v>0.6</v>
      </c>
      <c r="BH90" s="768">
        <f>'Standard Vorgaben'!$C$40</f>
        <v>1.4999999999999999E-2</v>
      </c>
      <c r="BI90" s="149">
        <f>(BJ96)*(-1)</f>
        <v>128573.90950324979</v>
      </c>
      <c r="BJ90" s="587">
        <f>BH90*BI90*BG90</f>
        <v>1157.165185529248</v>
      </c>
      <c r="BK90" s="738">
        <f t="shared" si="42"/>
        <v>3.0945702342802806E-2</v>
      </c>
      <c r="BL90" s="19"/>
      <c r="BM90" s="19" t="s">
        <v>154</v>
      </c>
      <c r="BN90" s="767">
        <f>'Standard Vorgaben'!$C$41</f>
        <v>0.6</v>
      </c>
      <c r="BO90" s="768">
        <f>'Standard Vorgaben'!$C$40</f>
        <v>1.4999999999999999E-2</v>
      </c>
      <c r="BP90" s="149">
        <f>(BQ96)*(-1)</f>
        <v>112875.83173202771</v>
      </c>
      <c r="BQ90" s="587">
        <f>BO90*BP90*BN90</f>
        <v>1015.8824855882494</v>
      </c>
      <c r="BR90" s="738">
        <f t="shared" si="39"/>
        <v>2.535768010575205E-2</v>
      </c>
      <c r="BS90" s="19"/>
      <c r="BT90" s="19" t="s">
        <v>154</v>
      </c>
      <c r="BU90" s="767">
        <f>'Standard Vorgaben'!$C$41</f>
        <v>0.6</v>
      </c>
      <c r="BV90" s="768">
        <f>'Standard Vorgaben'!$C$40</f>
        <v>1.4999999999999999E-2</v>
      </c>
      <c r="BW90" s="149">
        <f>(BX96)*(-1)</f>
        <v>99846.471260864651</v>
      </c>
      <c r="BX90" s="587">
        <f>BV90*BW90*BU90</f>
        <v>898.61824134778192</v>
      </c>
      <c r="BY90" s="738">
        <f t="shared" si="40"/>
        <v>2.4198779384898613E-2</v>
      </c>
      <c r="BZ90" s="19"/>
      <c r="CA90" s="19" t="s">
        <v>154</v>
      </c>
      <c r="CB90" s="767">
        <f>'Standard Vorgaben'!$C$41</f>
        <v>0.6</v>
      </c>
      <c r="CC90" s="768">
        <f>'Standard Vorgaben'!$C$40</f>
        <v>1.4999999999999999E-2</v>
      </c>
      <c r="CD90" s="149">
        <f>(CE96)*(-1)</f>
        <v>83889.846545461114</v>
      </c>
      <c r="CE90" s="587">
        <f>CC90*CD90*CB90</f>
        <v>755.00861890914996</v>
      </c>
      <c r="CF90" s="738">
        <f t="shared" si="41"/>
        <v>2.0410465926633477E-2</v>
      </c>
      <c r="CG90" s="19"/>
      <c r="CH90" s="19" t="s">
        <v>154</v>
      </c>
      <c r="CI90" s="767">
        <f>'Standard Vorgaben'!$C$41</f>
        <v>0.6</v>
      </c>
      <c r="CJ90" s="768">
        <f>'Standard Vorgaben'!$C$40</f>
        <v>1.4999999999999999E-2</v>
      </c>
      <c r="CK90" s="149">
        <f>(CL96)*(-1)</f>
        <v>67789.612207618949</v>
      </c>
      <c r="CL90" s="587">
        <f>CJ90*CK90*CI90</f>
        <v>610.10650986857047</v>
      </c>
      <c r="CM90" s="738">
        <f t="shared" si="43"/>
        <v>1.5644552190258548E-2</v>
      </c>
      <c r="CN90" s="19"/>
      <c r="CO90" s="19" t="s">
        <v>154</v>
      </c>
      <c r="CP90" s="767">
        <f>'Standard Vorgaben'!$C$41</f>
        <v>0.6</v>
      </c>
      <c r="CQ90" s="768">
        <f>'Standard Vorgaben'!$C$40</f>
        <v>1.4999999999999999E-2</v>
      </c>
      <c r="CR90" s="149">
        <f>(CS96)*(-1)</f>
        <v>58277.190029531783</v>
      </c>
      <c r="CS90" s="587">
        <f>CQ90*CR90*CP90</f>
        <v>524.49471026578601</v>
      </c>
      <c r="CT90" s="730">
        <f t="shared" si="44"/>
        <v>1.4527971463045901E-2</v>
      </c>
      <c r="CU90" s="19"/>
      <c r="CV90" s="19" t="s">
        <v>154</v>
      </c>
      <c r="CW90" s="767">
        <f>'Standard Vorgaben'!$C$41</f>
        <v>0.6</v>
      </c>
      <c r="CX90" s="768">
        <f>'Standard Vorgaben'!$C$40</f>
        <v>1.4999999999999999E-2</v>
      </c>
      <c r="CY90" s="149">
        <f>(CZ96)*(-1)</f>
        <v>45869.156051841834</v>
      </c>
      <c r="CZ90" s="587">
        <f>CX90*CY90*CW90</f>
        <v>412.82240446657647</v>
      </c>
      <c r="DA90" s="730">
        <f t="shared" si="45"/>
        <v>9.8312741293144143E-3</v>
      </c>
    </row>
    <row r="91" spans="1:105" s="1" customFormat="1" ht="13" x14ac:dyDescent="0.3">
      <c r="A91" s="19"/>
      <c r="B91" s="19"/>
      <c r="C91" s="767"/>
      <c r="D91" s="768"/>
      <c r="E91" s="295"/>
      <c r="F91" s="85">
        <f>SUM(F89:F90)</f>
        <v>1782.8932484999998</v>
      </c>
      <c r="G91" s="738">
        <f t="shared" si="31"/>
        <v>7.4193372577150904E-2</v>
      </c>
      <c r="H91" s="19"/>
      <c r="I91" s="19"/>
      <c r="J91" s="767"/>
      <c r="K91" s="768"/>
      <c r="L91" s="295"/>
      <c r="M91" s="85">
        <f>SUM(M89:M90)</f>
        <v>1974.8664637364998</v>
      </c>
      <c r="N91" s="738">
        <f t="shared" si="32"/>
        <v>8.0695196528703508E-2</v>
      </c>
      <c r="O91" s="19"/>
      <c r="P91" s="19"/>
      <c r="Q91" s="767"/>
      <c r="R91" s="768"/>
      <c r="S91" s="295"/>
      <c r="T91" s="85">
        <f>SUM(T89:T90)</f>
        <v>2129.5955094909677</v>
      </c>
      <c r="U91" s="738">
        <f t="shared" si="33"/>
        <v>6.577863633785716E-2</v>
      </c>
      <c r="V91" s="19"/>
      <c r="W91" s="19"/>
      <c r="X91" s="767"/>
      <c r="Y91" s="768"/>
      <c r="Z91" s="295"/>
      <c r="AA91" s="85">
        <f>SUM(AA89:AA90)</f>
        <v>2245.4977242061323</v>
      </c>
      <c r="AB91" s="738">
        <f t="shared" si="34"/>
        <v>6.1215648616410573E-2</v>
      </c>
      <c r="AC91" s="19"/>
      <c r="AD91" s="19"/>
      <c r="AE91" s="767"/>
      <c r="AF91" s="768"/>
      <c r="AG91" s="295"/>
      <c r="AH91" s="85">
        <f>SUM(AH89:AH90)</f>
        <v>2345.1865876281863</v>
      </c>
      <c r="AI91" s="738">
        <f t="shared" si="35"/>
        <v>6.1843311302106428E-2</v>
      </c>
      <c r="AJ91" s="19"/>
      <c r="AK91" s="19"/>
      <c r="AL91" s="767"/>
      <c r="AM91" s="768"/>
      <c r="AN91" s="295"/>
      <c r="AO91" s="85">
        <f>SUM(AO89:AO90)</f>
        <v>2208.6560803060784</v>
      </c>
      <c r="AP91" s="738">
        <f t="shared" si="36"/>
        <v>5.8453411579085991E-2</v>
      </c>
      <c r="AQ91" s="19"/>
      <c r="AR91" s="19"/>
      <c r="AS91" s="767"/>
      <c r="AT91" s="768"/>
      <c r="AU91" s="295"/>
      <c r="AV91" s="85">
        <f>SUM(AV89:AV90)</f>
        <v>2070.8967984180717</v>
      </c>
      <c r="AW91" s="738">
        <f t="shared" si="37"/>
        <v>5.1187428568367672E-2</v>
      </c>
      <c r="AX91" s="19"/>
      <c r="AY91" s="19"/>
      <c r="AZ91" s="767"/>
      <c r="BA91" s="768"/>
      <c r="BB91" s="295"/>
      <c r="BC91" s="85">
        <f>SUM(BC89:BC90)</f>
        <v>1957.1876829930723</v>
      </c>
      <c r="BD91" s="738">
        <f t="shared" si="38"/>
        <v>5.214518911205631E-2</v>
      </c>
      <c r="BE91" s="19"/>
      <c r="BF91" s="19"/>
      <c r="BG91" s="767"/>
      <c r="BH91" s="768"/>
      <c r="BI91" s="295"/>
      <c r="BJ91" s="85">
        <f>SUM(BJ89:BJ90)</f>
        <v>1817.165185529248</v>
      </c>
      <c r="BK91" s="738">
        <f t="shared" si="42"/>
        <v>4.8595873469329164E-2</v>
      </c>
      <c r="BL91" s="19"/>
      <c r="BM91" s="19"/>
      <c r="BN91" s="767"/>
      <c r="BO91" s="768"/>
      <c r="BP91" s="295"/>
      <c r="BQ91" s="85">
        <f>SUM(BQ89:BQ90)</f>
        <v>1675.8824855882494</v>
      </c>
      <c r="BR91" s="738">
        <f t="shared" si="39"/>
        <v>4.183209432907168E-2</v>
      </c>
      <c r="BS91" s="19"/>
      <c r="BT91" s="19"/>
      <c r="BU91" s="767"/>
      <c r="BV91" s="768"/>
      <c r="BW91" s="295"/>
      <c r="BX91" s="85">
        <f>SUM(BX89:BX90)</f>
        <v>1558.6182413477818</v>
      </c>
      <c r="BY91" s="738">
        <f t="shared" si="40"/>
        <v>4.1971837686139941E-2</v>
      </c>
      <c r="BZ91" s="19"/>
      <c r="CA91" s="19"/>
      <c r="CB91" s="767"/>
      <c r="CC91" s="768"/>
      <c r="CD91" s="295"/>
      <c r="CE91" s="85">
        <f>SUM(CE89:CE90)</f>
        <v>1415.0086189091498</v>
      </c>
      <c r="CF91" s="738">
        <f t="shared" si="41"/>
        <v>3.8252523850476922E-2</v>
      </c>
      <c r="CG91" s="19"/>
      <c r="CH91" s="19"/>
      <c r="CI91" s="767"/>
      <c r="CJ91" s="768"/>
      <c r="CK91" s="295"/>
      <c r="CL91" s="85">
        <f>SUM(CL89:CL90)</f>
        <v>1270.1065098685704</v>
      </c>
      <c r="CM91" s="738">
        <f t="shared" si="43"/>
        <v>3.2568489697161966E-2</v>
      </c>
      <c r="CN91" s="19"/>
      <c r="CO91" s="19"/>
      <c r="CP91" s="767"/>
      <c r="CQ91" s="768"/>
      <c r="CR91" s="295"/>
      <c r="CS91" s="85">
        <f>SUM(CS89:CS90)</f>
        <v>1184.4947102657861</v>
      </c>
      <c r="CT91" s="730">
        <f t="shared" si="44"/>
        <v>3.2809302004494785E-2</v>
      </c>
      <c r="CU91" s="19"/>
      <c r="CV91" s="19"/>
      <c r="CW91" s="767"/>
      <c r="CX91" s="768"/>
      <c r="CY91" s="295"/>
      <c r="CZ91" s="85">
        <f>SUM(CZ89:CZ90)</f>
        <v>1072.8224044665765</v>
      </c>
      <c r="DA91" s="730">
        <f t="shared" si="45"/>
        <v>2.5549027950674309E-2</v>
      </c>
    </row>
    <row r="92" spans="1:105" s="16" customFormat="1" x14ac:dyDescent="0.35">
      <c r="A92" s="600" t="s">
        <v>35</v>
      </c>
      <c r="B92" s="606"/>
      <c r="C92" s="626"/>
      <c r="D92" s="607"/>
      <c r="E92" s="608"/>
      <c r="F92" s="688">
        <f>F55+F72+F84+F87+F91</f>
        <v>18809.793248500002</v>
      </c>
      <c r="G92" s="738">
        <f t="shared" si="31"/>
        <v>0.78275129470553861</v>
      </c>
      <c r="H92" s="600" t="s">
        <v>35</v>
      </c>
      <c r="I92" s="606"/>
      <c r="J92" s="626"/>
      <c r="K92" s="607"/>
      <c r="L92" s="608"/>
      <c r="M92" s="688">
        <f>M91+M87+M72+M55+M84</f>
        <v>19567.351609575071</v>
      </c>
      <c r="N92" s="738">
        <f t="shared" si="32"/>
        <v>0.79954331732050876</v>
      </c>
      <c r="O92" s="600" t="s">
        <v>35</v>
      </c>
      <c r="P92" s="606"/>
      <c r="Q92" s="626"/>
      <c r="R92" s="607"/>
      <c r="S92" s="608"/>
      <c r="T92" s="688">
        <f>T91+T87+T72+T55+T84</f>
        <v>24677.007710899063</v>
      </c>
      <c r="U92" s="738">
        <f t="shared" si="33"/>
        <v>0.76221982479185502</v>
      </c>
      <c r="V92" s="600" t="s">
        <v>35</v>
      </c>
      <c r="W92" s="606"/>
      <c r="X92" s="626"/>
      <c r="Y92" s="607"/>
      <c r="Z92" s="608"/>
      <c r="AA92" s="688">
        <f>AA91+AA87+AA72+AA55+AA84</f>
        <v>28244.423453398991</v>
      </c>
      <c r="AB92" s="738">
        <f t="shared" si="34"/>
        <v>0.76998550604527771</v>
      </c>
      <c r="AC92" s="600" t="s">
        <v>35</v>
      </c>
      <c r="AD92" s="606"/>
      <c r="AE92" s="626"/>
      <c r="AF92" s="607"/>
      <c r="AG92" s="608"/>
      <c r="AH92" s="688">
        <f>AH91+AH87+AH72+AH55+AH84</f>
        <v>29787.623191852475</v>
      </c>
      <c r="AI92" s="738">
        <f t="shared" si="35"/>
        <v>0.78550903528177629</v>
      </c>
      <c r="AJ92" s="600" t="s">
        <v>35</v>
      </c>
      <c r="AK92" s="606"/>
      <c r="AL92" s="626"/>
      <c r="AM92" s="607"/>
      <c r="AN92" s="608"/>
      <c r="AO92" s="688">
        <f>AO91+AO87+AO72+AO55+AO84</f>
        <v>29651.092684530369</v>
      </c>
      <c r="AP92" s="738">
        <f t="shared" si="36"/>
        <v>0.78473400178188424</v>
      </c>
      <c r="AQ92" s="600" t="s">
        <v>35</v>
      </c>
      <c r="AR92" s="606"/>
      <c r="AS92" s="626"/>
      <c r="AT92" s="607"/>
      <c r="AU92" s="608"/>
      <c r="AV92" s="688">
        <f>AV91+AV87+AV72+AV55+AV84</f>
        <v>31823.333402642365</v>
      </c>
      <c r="AW92" s="738">
        <f t="shared" si="37"/>
        <v>0.78659381124131345</v>
      </c>
      <c r="AX92" s="600" t="s">
        <v>35</v>
      </c>
      <c r="AY92" s="606"/>
      <c r="AZ92" s="626"/>
      <c r="BA92" s="607"/>
      <c r="BB92" s="608"/>
      <c r="BC92" s="688">
        <f>BC91+BC87+BC72+BC55+BC84</f>
        <v>29399.624287217364</v>
      </c>
      <c r="BD92" s="738">
        <f t="shared" si="38"/>
        <v>0.78329175152783737</v>
      </c>
      <c r="BE92" s="600" t="s">
        <v>35</v>
      </c>
      <c r="BF92" s="606"/>
      <c r="BG92" s="626"/>
      <c r="BH92" s="607"/>
      <c r="BI92" s="608"/>
      <c r="BJ92" s="688">
        <f>BJ91+BJ87+BJ72+BJ55+BJ84</f>
        <v>29259.601789753538</v>
      </c>
      <c r="BK92" s="738">
        <f t="shared" si="42"/>
        <v>0.78248027073207105</v>
      </c>
      <c r="BL92" s="600" t="s">
        <v>35</v>
      </c>
      <c r="BM92" s="606"/>
      <c r="BN92" s="626"/>
      <c r="BO92" s="607"/>
      <c r="BP92" s="608"/>
      <c r="BQ92" s="688">
        <f>BQ91+BQ87+BQ72+BQ55+BQ84</f>
        <v>31428.319089812543</v>
      </c>
      <c r="BR92" s="738">
        <f t="shared" si="39"/>
        <v>0.78448961670944783</v>
      </c>
      <c r="BS92" s="600" t="s">
        <v>35</v>
      </c>
      <c r="BT92" s="606"/>
      <c r="BU92" s="626"/>
      <c r="BV92" s="607"/>
      <c r="BW92" s="608"/>
      <c r="BX92" s="688">
        <f>BX91+BX87+BX72+BX55+BX84</f>
        <v>29001.054845572075</v>
      </c>
      <c r="BY92" s="738">
        <f t="shared" si="40"/>
        <v>0.78096581601189397</v>
      </c>
      <c r="BZ92" s="600" t="s">
        <v>35</v>
      </c>
      <c r="CA92" s="606"/>
      <c r="CB92" s="626"/>
      <c r="CC92" s="607"/>
      <c r="CD92" s="608"/>
      <c r="CE92" s="688">
        <f>CE91+CE87+CE72+CE55+CE84</f>
        <v>28857.445223133444</v>
      </c>
      <c r="CF92" s="738">
        <f t="shared" si="41"/>
        <v>0.78011546849285796</v>
      </c>
      <c r="CG92" s="600" t="s">
        <v>35</v>
      </c>
      <c r="CH92" s="606"/>
      <c r="CI92" s="626"/>
      <c r="CJ92" s="607"/>
      <c r="CK92" s="608"/>
      <c r="CL92" s="688">
        <f>CL91+CL87+CL72+CL55+CL84</f>
        <v>30396.95796825429</v>
      </c>
      <c r="CM92" s="738">
        <f>CL92/$CL$93</f>
        <v>0.7794488137192509</v>
      </c>
      <c r="CN92" s="600" t="s">
        <v>35</v>
      </c>
      <c r="CO92" s="606"/>
      <c r="CP92" s="626"/>
      <c r="CQ92" s="607"/>
      <c r="CR92" s="608"/>
      <c r="CS92" s="688">
        <f>CS91+CS87+CS72+CS55+CS84</f>
        <v>28001.346168651504</v>
      </c>
      <c r="CT92" s="730">
        <f t="shared" si="44"/>
        <v>0.77560888623432012</v>
      </c>
      <c r="CU92" s="600" t="s">
        <v>35</v>
      </c>
      <c r="CV92" s="606"/>
      <c r="CW92" s="626"/>
      <c r="CX92" s="607"/>
      <c r="CY92" s="608"/>
      <c r="CZ92" s="688">
        <f>CZ91+CZ87+CZ72+CZ55+CZ84</f>
        <v>27889.673862852294</v>
      </c>
      <c r="DA92" s="730">
        <f t="shared" si="45"/>
        <v>0.66418640596110279</v>
      </c>
    </row>
    <row r="93" spans="1:105" s="308" customFormat="1" ht="20" x14ac:dyDescent="0.4">
      <c r="A93" s="594" t="s">
        <v>251</v>
      </c>
      <c r="B93" s="627"/>
      <c r="C93" s="628"/>
      <c r="D93" s="629"/>
      <c r="E93" s="630"/>
      <c r="F93" s="598">
        <f>F92+F54</f>
        <v>24030.357248500004</v>
      </c>
      <c r="G93" s="738">
        <f>F93/$F$93</f>
        <v>1</v>
      </c>
      <c r="H93" s="594" t="s">
        <v>237</v>
      </c>
      <c r="I93" s="627"/>
      <c r="J93" s="628"/>
      <c r="K93" s="629"/>
      <c r="L93" s="630"/>
      <c r="M93" s="598">
        <f>M92+M54</f>
        <v>24473.16009737995</v>
      </c>
      <c r="N93" s="738">
        <f>M93/$M$93</f>
        <v>1</v>
      </c>
      <c r="O93" s="594" t="s">
        <v>238</v>
      </c>
      <c r="P93" s="627"/>
      <c r="Q93" s="628"/>
      <c r="R93" s="629"/>
      <c r="S93" s="630"/>
      <c r="T93" s="598">
        <f>T92+T54</f>
        <v>32375.184832850282</v>
      </c>
      <c r="U93" s="738">
        <f>T93/$T$93</f>
        <v>1</v>
      </c>
      <c r="V93" s="594" t="s">
        <v>239</v>
      </c>
      <c r="W93" s="627"/>
      <c r="X93" s="628"/>
      <c r="Y93" s="629"/>
      <c r="Z93" s="630"/>
      <c r="AA93" s="598">
        <f>AA92+AA54</f>
        <v>36681.759892423383</v>
      </c>
      <c r="AB93" s="738">
        <f>AA93/$AA$93</f>
        <v>1</v>
      </c>
      <c r="AC93" s="594" t="s">
        <v>240</v>
      </c>
      <c r="AD93" s="627"/>
      <c r="AE93" s="628"/>
      <c r="AF93" s="629"/>
      <c r="AG93" s="630"/>
      <c r="AH93" s="598">
        <f>AH92+AH54</f>
        <v>37921.426557706131</v>
      </c>
      <c r="AI93" s="738">
        <f>AH93/$AH$93</f>
        <v>1</v>
      </c>
      <c r="AJ93" s="594" t="s">
        <v>241</v>
      </c>
      <c r="AK93" s="627"/>
      <c r="AL93" s="628"/>
      <c r="AM93" s="629"/>
      <c r="AN93" s="630"/>
      <c r="AO93" s="598">
        <f>AO92+AO54</f>
        <v>37784.896050384028</v>
      </c>
      <c r="AP93" s="738">
        <f>AO93/$AO$93</f>
        <v>1</v>
      </c>
      <c r="AQ93" s="594" t="s">
        <v>242</v>
      </c>
      <c r="AR93" s="627"/>
      <c r="AS93" s="628"/>
      <c r="AT93" s="629"/>
      <c r="AU93" s="630"/>
      <c r="AV93" s="598">
        <f>AV92+AV54</f>
        <v>40457.136768496028</v>
      </c>
      <c r="AW93" s="738">
        <f>AV93/$AV$93</f>
        <v>1</v>
      </c>
      <c r="AX93" s="594" t="s">
        <v>243</v>
      </c>
      <c r="AY93" s="627"/>
      <c r="AZ93" s="628"/>
      <c r="BA93" s="629"/>
      <c r="BB93" s="630"/>
      <c r="BC93" s="598">
        <f>BC92+BC54</f>
        <v>37533.427653071019</v>
      </c>
      <c r="BD93" s="738">
        <f>BC93/$BC$93</f>
        <v>1</v>
      </c>
      <c r="BE93" s="594" t="s">
        <v>244</v>
      </c>
      <c r="BF93" s="627"/>
      <c r="BG93" s="628"/>
      <c r="BH93" s="629"/>
      <c r="BI93" s="630"/>
      <c r="BJ93" s="598">
        <f>BJ92+BJ54</f>
        <v>37393.405155607194</v>
      </c>
      <c r="BK93" s="738">
        <f>BJ93/$BJ$93</f>
        <v>1</v>
      </c>
      <c r="BL93" s="594" t="s">
        <v>245</v>
      </c>
      <c r="BM93" s="627"/>
      <c r="BN93" s="628"/>
      <c r="BO93" s="629"/>
      <c r="BP93" s="630"/>
      <c r="BQ93" s="598">
        <f>BQ92+BQ54</f>
        <v>40062.122455666205</v>
      </c>
      <c r="BR93" s="738">
        <f>BQ93/$BQ$93</f>
        <v>1</v>
      </c>
      <c r="BS93" s="594" t="s">
        <v>246</v>
      </c>
      <c r="BT93" s="627"/>
      <c r="BU93" s="628"/>
      <c r="BV93" s="629"/>
      <c r="BW93" s="630"/>
      <c r="BX93" s="598">
        <f>BX92+BX54</f>
        <v>37134.85821142573</v>
      </c>
      <c r="BY93" s="738">
        <f>BX93/$BX$93</f>
        <v>1</v>
      </c>
      <c r="BZ93" s="594" t="s">
        <v>247</v>
      </c>
      <c r="CA93" s="627"/>
      <c r="CB93" s="628"/>
      <c r="CC93" s="629"/>
      <c r="CD93" s="630"/>
      <c r="CE93" s="598">
        <f>CE92+CE54</f>
        <v>36991.248588987102</v>
      </c>
      <c r="CF93" s="738">
        <f>CE93/$CE$93</f>
        <v>1</v>
      </c>
      <c r="CG93" s="594" t="s">
        <v>248</v>
      </c>
      <c r="CH93" s="627"/>
      <c r="CI93" s="628"/>
      <c r="CJ93" s="629"/>
      <c r="CK93" s="630"/>
      <c r="CL93" s="598">
        <f>CL92+CL54</f>
        <v>38998.016846303071</v>
      </c>
      <c r="CM93" s="738">
        <f>CL93/$CL$93</f>
        <v>1</v>
      </c>
      <c r="CN93" s="594" t="s">
        <v>249</v>
      </c>
      <c r="CO93" s="627"/>
      <c r="CP93" s="628"/>
      <c r="CQ93" s="629"/>
      <c r="CR93" s="630"/>
      <c r="CS93" s="598">
        <f>CS92+CS54</f>
        <v>36102.405046700282</v>
      </c>
      <c r="CT93" s="730">
        <f>CS93/$CS$93</f>
        <v>1</v>
      </c>
      <c r="CU93" s="594" t="s">
        <v>250</v>
      </c>
      <c r="CV93" s="627"/>
      <c r="CW93" s="628"/>
      <c r="CX93" s="629"/>
      <c r="CY93" s="630"/>
      <c r="CZ93" s="598">
        <f>CZ92+CZ54+CV99</f>
        <v>41990.732740901076</v>
      </c>
      <c r="DA93" s="730">
        <f>CZ93/$CZ$93</f>
        <v>1</v>
      </c>
    </row>
    <row r="94" spans="1:105" s="16" customFormat="1" x14ac:dyDescent="0.35">
      <c r="A94" s="309" t="s">
        <v>215</v>
      </c>
      <c r="F94" s="310">
        <f>F16</f>
        <v>2700</v>
      </c>
      <c r="G94" s="311"/>
      <c r="H94" s="309" t="s">
        <v>215</v>
      </c>
      <c r="M94" s="310">
        <f>M16</f>
        <v>7281.0439024390253</v>
      </c>
      <c r="N94" s="311"/>
      <c r="O94" s="309" t="s">
        <v>215</v>
      </c>
      <c r="T94" s="310">
        <f>T16</f>
        <v>19497.160975609753</v>
      </c>
      <c r="U94" s="311"/>
      <c r="V94" s="309" t="s">
        <v>215</v>
      </c>
      <c r="AA94" s="310">
        <f>AA16</f>
        <v>25605.219512195119</v>
      </c>
      <c r="AB94" s="311"/>
      <c r="AC94" s="309" t="s">
        <v>215</v>
      </c>
      <c r="AH94" s="310">
        <f>AH16</f>
        <v>53091.482926829267</v>
      </c>
      <c r="AI94" s="311"/>
      <c r="AJ94" s="309" t="s">
        <v>215</v>
      </c>
      <c r="AO94" s="310">
        <f>AO16</f>
        <v>53091.482926829267</v>
      </c>
      <c r="AP94" s="311"/>
      <c r="AQ94" s="309" t="s">
        <v>215</v>
      </c>
      <c r="AV94" s="310">
        <f>AV16</f>
        <v>53091.482926829267</v>
      </c>
      <c r="AW94" s="311"/>
      <c r="AX94" s="309" t="s">
        <v>215</v>
      </c>
      <c r="BC94" s="310">
        <f>BC16</f>
        <v>53091.482926829267</v>
      </c>
      <c r="BD94" s="311"/>
      <c r="BE94" s="309" t="s">
        <v>215</v>
      </c>
      <c r="BJ94" s="310">
        <f>BJ16</f>
        <v>53091.482926829267</v>
      </c>
      <c r="BK94" s="311"/>
      <c r="BL94" s="309" t="s">
        <v>215</v>
      </c>
      <c r="BQ94" s="310">
        <f>BQ16</f>
        <v>53091.482926829267</v>
      </c>
      <c r="BR94" s="311"/>
      <c r="BS94" s="309" t="s">
        <v>215</v>
      </c>
      <c r="BX94" s="310">
        <f>BX16</f>
        <v>53091.482926829267</v>
      </c>
      <c r="BY94" s="311"/>
      <c r="BZ94" s="309" t="s">
        <v>215</v>
      </c>
      <c r="CE94" s="310">
        <f>CE16</f>
        <v>53091.482926829267</v>
      </c>
      <c r="CF94" s="311"/>
      <c r="CG94" s="309" t="s">
        <v>215</v>
      </c>
      <c r="CL94" s="310">
        <f>CL16</f>
        <v>48510.439024390238</v>
      </c>
      <c r="CM94" s="311"/>
      <c r="CN94" s="309" t="s">
        <v>215</v>
      </c>
      <c r="CS94" s="310">
        <f>CS16</f>
        <v>48510.439024390238</v>
      </c>
      <c r="CT94" s="311"/>
      <c r="CU94" s="309" t="s">
        <v>215</v>
      </c>
      <c r="CZ94" s="310">
        <f>CZ16</f>
        <v>48510.439024390238</v>
      </c>
      <c r="DA94" s="311"/>
    </row>
    <row r="95" spans="1:105" s="16" customFormat="1" x14ac:dyDescent="0.35">
      <c r="A95" s="309" t="s">
        <v>221</v>
      </c>
      <c r="F95" s="310">
        <f>F94-F93</f>
        <v>-21330.357248500004</v>
      </c>
      <c r="G95" s="311"/>
      <c r="H95" s="309" t="s">
        <v>221</v>
      </c>
      <c r="M95" s="310">
        <f>M94-M93</f>
        <v>-17192.116194940925</v>
      </c>
      <c r="N95" s="311"/>
      <c r="O95" s="309" t="s">
        <v>221</v>
      </c>
      <c r="T95" s="310">
        <f>T94-T93</f>
        <v>-12878.023857240529</v>
      </c>
      <c r="U95" s="311"/>
      <c r="V95" s="309" t="s">
        <v>221</v>
      </c>
      <c r="AA95" s="310">
        <f>AA94-AA93</f>
        <v>-11076.540380228264</v>
      </c>
      <c r="AB95" s="311"/>
      <c r="AC95" s="309" t="s">
        <v>221</v>
      </c>
      <c r="AH95" s="310">
        <f>AH94-AH93</f>
        <v>15170.056369123136</v>
      </c>
      <c r="AI95" s="311"/>
      <c r="AJ95" s="309" t="s">
        <v>221</v>
      </c>
      <c r="AO95" s="310">
        <f>AO94-AO93</f>
        <v>15306.586876445239</v>
      </c>
      <c r="AP95" s="311"/>
      <c r="AQ95" s="309" t="s">
        <v>221</v>
      </c>
      <c r="AV95" s="310">
        <f>AV94-AV93</f>
        <v>12634.346158333239</v>
      </c>
      <c r="AW95" s="311"/>
      <c r="AX95" s="309" t="s">
        <v>221</v>
      </c>
      <c r="BC95" s="310">
        <f>BC94-BC93</f>
        <v>15558.055273758247</v>
      </c>
      <c r="BD95" s="311"/>
      <c r="BE95" s="309" t="s">
        <v>221</v>
      </c>
      <c r="BJ95" s="310">
        <f>BJ94-BJ93</f>
        <v>15698.077771222073</v>
      </c>
      <c r="BK95" s="311"/>
      <c r="BL95" s="309" t="s">
        <v>221</v>
      </c>
      <c r="BQ95" s="310">
        <f>BQ94-BQ93</f>
        <v>13029.360471163061</v>
      </c>
      <c r="BR95" s="311"/>
      <c r="BS95" s="309" t="s">
        <v>221</v>
      </c>
      <c r="BX95" s="310">
        <f>BX94-BX93</f>
        <v>15956.624715403537</v>
      </c>
      <c r="BY95" s="311"/>
      <c r="BZ95" s="309" t="s">
        <v>221</v>
      </c>
      <c r="CE95" s="310">
        <f>CE94-CE93</f>
        <v>16100.234337842165</v>
      </c>
      <c r="CF95" s="311"/>
      <c r="CG95" s="309" t="s">
        <v>221</v>
      </c>
      <c r="CL95" s="310">
        <f>CL94-CL93</f>
        <v>9512.4221780871667</v>
      </c>
      <c r="CM95" s="311"/>
      <c r="CN95" s="309" t="s">
        <v>221</v>
      </c>
      <c r="CS95" s="310">
        <f>CS94-CS93</f>
        <v>12408.033977689956</v>
      </c>
      <c r="CT95" s="311"/>
      <c r="CU95" s="309" t="s">
        <v>221</v>
      </c>
      <c r="CZ95" s="310">
        <f>CZ94-CZ93</f>
        <v>6519.7062834891622</v>
      </c>
      <c r="DA95" s="311"/>
    </row>
    <row r="96" spans="1:105" s="104" customFormat="1" ht="18.5" thickBot="1" x14ac:dyDescent="0.45">
      <c r="A96" s="291" t="s">
        <v>405</v>
      </c>
      <c r="C96" s="260"/>
      <c r="D96" s="260"/>
      <c r="E96" s="360"/>
      <c r="F96" s="769">
        <f>'Standard Erstellung'!E156*(-1)</f>
        <v>-124765.91649999999</v>
      </c>
      <c r="G96" s="333"/>
      <c r="H96" s="291" t="s">
        <v>222</v>
      </c>
      <c r="J96" s="260"/>
      <c r="K96" s="260"/>
      <c r="L96" s="360"/>
      <c r="M96" s="769">
        <f>F97</f>
        <v>-146096.27374849998</v>
      </c>
      <c r="N96" s="333"/>
      <c r="O96" s="291" t="s">
        <v>223</v>
      </c>
      <c r="Q96" s="260"/>
      <c r="R96" s="260"/>
      <c r="S96" s="360"/>
      <c r="T96" s="769">
        <f>M97</f>
        <v>-163288.38994344088</v>
      </c>
      <c r="U96" s="333"/>
      <c r="V96" s="291" t="s">
        <v>224</v>
      </c>
      <c r="X96" s="260"/>
      <c r="Y96" s="260"/>
      <c r="Z96" s="360"/>
      <c r="AA96" s="769">
        <f>T97</f>
        <v>-176166.41380068139</v>
      </c>
      <c r="AB96" s="333"/>
      <c r="AC96" s="291" t="s">
        <v>225</v>
      </c>
      <c r="AE96" s="260"/>
      <c r="AF96" s="260"/>
      <c r="AG96" s="360"/>
      <c r="AH96" s="769">
        <f>AA97</f>
        <v>-187242.95418090964</v>
      </c>
      <c r="AI96" s="333"/>
      <c r="AJ96" s="291" t="s">
        <v>226</v>
      </c>
      <c r="AL96" s="260"/>
      <c r="AM96" s="260"/>
      <c r="AN96" s="360"/>
      <c r="AO96" s="769">
        <f>AH97</f>
        <v>-172072.8978117865</v>
      </c>
      <c r="AP96" s="333"/>
      <c r="AQ96" s="291" t="s">
        <v>227</v>
      </c>
      <c r="AS96" s="260"/>
      <c r="AT96" s="260"/>
      <c r="AU96" s="360"/>
      <c r="AV96" s="769">
        <f>AO97</f>
        <v>-156766.31093534129</v>
      </c>
      <c r="AW96" s="333"/>
      <c r="AX96" s="291" t="s">
        <v>228</v>
      </c>
      <c r="AZ96" s="260"/>
      <c r="BA96" s="260"/>
      <c r="BB96" s="360"/>
      <c r="BC96" s="769">
        <f>AV97</f>
        <v>-144131.96477700805</v>
      </c>
      <c r="BD96" s="333"/>
      <c r="BE96" s="291" t="s">
        <v>229</v>
      </c>
      <c r="BG96" s="260"/>
      <c r="BH96" s="260"/>
      <c r="BI96" s="360"/>
      <c r="BJ96" s="769">
        <f>BC97</f>
        <v>-128573.90950324979</v>
      </c>
      <c r="BK96" s="333"/>
      <c r="BL96" s="291" t="s">
        <v>230</v>
      </c>
      <c r="BN96" s="260"/>
      <c r="BO96" s="260"/>
      <c r="BP96" s="360"/>
      <c r="BQ96" s="769">
        <f>BJ97</f>
        <v>-112875.83173202771</v>
      </c>
      <c r="BR96" s="333"/>
      <c r="BS96" s="291" t="s">
        <v>231</v>
      </c>
      <c r="BU96" s="260"/>
      <c r="BV96" s="260"/>
      <c r="BW96" s="360"/>
      <c r="BX96" s="769">
        <f>BQ97</f>
        <v>-99846.471260864651</v>
      </c>
      <c r="BY96" s="333"/>
      <c r="BZ96" s="291" t="s">
        <v>232</v>
      </c>
      <c r="CB96" s="260"/>
      <c r="CC96" s="260"/>
      <c r="CD96" s="360"/>
      <c r="CE96" s="769">
        <f>BX97</f>
        <v>-83889.846545461114</v>
      </c>
      <c r="CF96" s="333"/>
      <c r="CG96" s="291" t="s">
        <v>233</v>
      </c>
      <c r="CI96" s="260"/>
      <c r="CJ96" s="260"/>
      <c r="CK96" s="360"/>
      <c r="CL96" s="769">
        <f>CE97</f>
        <v>-67789.612207618949</v>
      </c>
      <c r="CM96" s="333"/>
      <c r="CN96" s="291" t="s">
        <v>234</v>
      </c>
      <c r="CP96" s="260"/>
      <c r="CQ96" s="260"/>
      <c r="CR96" s="360"/>
      <c r="CS96" s="769">
        <f>CL97</f>
        <v>-58277.190029531783</v>
      </c>
      <c r="CT96" s="333"/>
      <c r="CU96" s="291" t="s">
        <v>235</v>
      </c>
      <c r="CW96" s="260"/>
      <c r="CX96" s="260"/>
      <c r="CY96" s="360"/>
      <c r="CZ96" s="769">
        <f>CS97</f>
        <v>-45869.156051841834</v>
      </c>
      <c r="DA96" s="333"/>
    </row>
    <row r="97" spans="1:115" s="323" customFormat="1" ht="24" customHeight="1" x14ac:dyDescent="0.4">
      <c r="A97" s="322" t="s">
        <v>222</v>
      </c>
      <c r="F97" s="324">
        <f>F96-F93+F94</f>
        <v>-146096.27374849998</v>
      </c>
      <c r="G97" s="329"/>
      <c r="H97" s="322" t="s">
        <v>223</v>
      </c>
      <c r="M97" s="324">
        <f>((M93)*(-1))+M96+M94</f>
        <v>-163288.38994344088</v>
      </c>
      <c r="N97" s="329"/>
      <c r="O97" s="322" t="s">
        <v>224</v>
      </c>
      <c r="T97" s="324">
        <f>((T93)*(-1))+T96+T94</f>
        <v>-176166.41380068139</v>
      </c>
      <c r="U97" s="329"/>
      <c r="V97" s="322" t="s">
        <v>225</v>
      </c>
      <c r="AA97" s="324">
        <f>((AA93)*(-1))+AA96+AA94</f>
        <v>-187242.95418090964</v>
      </c>
      <c r="AB97" s="329"/>
      <c r="AC97" s="322" t="s">
        <v>226</v>
      </c>
      <c r="AH97" s="324">
        <f>((AH93)*(-1))+AH96+AH94</f>
        <v>-172072.8978117865</v>
      </c>
      <c r="AI97" s="329"/>
      <c r="AJ97" s="322" t="s">
        <v>227</v>
      </c>
      <c r="AO97" s="324">
        <f>((AO93)*(-1))+AO96+AO94</f>
        <v>-156766.31093534129</v>
      </c>
      <c r="AP97" s="329"/>
      <c r="AQ97" s="322" t="s">
        <v>228</v>
      </c>
      <c r="AV97" s="324">
        <f>((AV93)*(-1))+AV96+AV94</f>
        <v>-144131.96477700805</v>
      </c>
      <c r="AW97" s="329"/>
      <c r="AX97" s="322" t="s">
        <v>229</v>
      </c>
      <c r="BC97" s="324">
        <f>((BC93)*(-1))+BC96+BC94</f>
        <v>-128573.90950324979</v>
      </c>
      <c r="BD97" s="329"/>
      <c r="BE97" s="322" t="s">
        <v>230</v>
      </c>
      <c r="BJ97" s="324">
        <f>((BJ93)*(-1))+BJ96+BJ94</f>
        <v>-112875.83173202771</v>
      </c>
      <c r="BK97" s="329"/>
      <c r="BL97" s="322" t="s">
        <v>231</v>
      </c>
      <c r="BQ97" s="324">
        <f>((BQ93)*(-1))+BQ96+BQ94</f>
        <v>-99846.471260864651</v>
      </c>
      <c r="BR97" s="329"/>
      <c r="BS97" s="322" t="s">
        <v>232</v>
      </c>
      <c r="BX97" s="324">
        <f>((BX93)*(-1))+BX96+BX94</f>
        <v>-83889.846545461114</v>
      </c>
      <c r="BY97" s="329"/>
      <c r="BZ97" s="322" t="s">
        <v>233</v>
      </c>
      <c r="CE97" s="324">
        <f>((CE93)*(-1))+CE96+CE94</f>
        <v>-67789.612207618949</v>
      </c>
      <c r="CF97" s="329"/>
      <c r="CG97" s="322" t="s">
        <v>234</v>
      </c>
      <c r="CL97" s="324">
        <f>((CL93)*(-1))+CL96+CL94</f>
        <v>-58277.190029531783</v>
      </c>
      <c r="CM97" s="329"/>
      <c r="CN97" s="322" t="s">
        <v>235</v>
      </c>
      <c r="CS97" s="324">
        <f>((CS93)*(-1))+CS96+CS94</f>
        <v>-45869.156051841834</v>
      </c>
      <c r="CT97" s="329"/>
      <c r="CU97" s="322" t="s">
        <v>236</v>
      </c>
      <c r="CZ97" s="324">
        <f>((CZ93)*(-1))+CZ96+CZ94</f>
        <v>-39349.449768352679</v>
      </c>
      <c r="DA97" s="329"/>
      <c r="DB97" s="316"/>
      <c r="DC97" s="316"/>
      <c r="DD97" s="316"/>
      <c r="DE97" s="316"/>
      <c r="DF97" s="316"/>
      <c r="DG97" s="319"/>
      <c r="DH97" s="319"/>
      <c r="DI97" s="319"/>
      <c r="DJ97" s="319"/>
      <c r="DK97" s="319"/>
    </row>
    <row r="98" spans="1:115" s="327" customFormat="1" x14ac:dyDescent="0.35">
      <c r="A98" s="325" t="s">
        <v>64</v>
      </c>
      <c r="B98" s="325"/>
      <c r="C98" s="326"/>
      <c r="D98" s="326"/>
      <c r="E98" s="326"/>
      <c r="F98" s="326">
        <f>F97*(-1)</f>
        <v>146096.27374849998</v>
      </c>
      <c r="G98" s="326"/>
      <c r="H98" s="325" t="s">
        <v>64</v>
      </c>
      <c r="I98" s="325"/>
      <c r="J98" s="326"/>
      <c r="K98" s="326"/>
      <c r="L98" s="326"/>
      <c r="M98" s="326">
        <f>M97*(-1)</f>
        <v>163288.38994344088</v>
      </c>
      <c r="N98" s="326"/>
      <c r="O98" s="325" t="s">
        <v>64</v>
      </c>
      <c r="P98" s="325"/>
      <c r="Q98" s="326"/>
      <c r="R98" s="326"/>
      <c r="S98" s="326"/>
      <c r="T98" s="326">
        <f>T97*(-1)</f>
        <v>176166.41380068139</v>
      </c>
      <c r="U98" s="326"/>
      <c r="V98" s="325" t="s">
        <v>64</v>
      </c>
      <c r="W98" s="325"/>
      <c r="X98" s="326"/>
      <c r="Y98" s="326"/>
      <c r="Z98" s="326"/>
      <c r="AA98" s="326">
        <f>T98-($T$98/'Standard Vorgaben'!$B$29)</f>
        <v>161485.87931729128</v>
      </c>
      <c r="AB98" s="326"/>
      <c r="AC98" s="325" t="s">
        <v>64</v>
      </c>
      <c r="AD98" s="325"/>
      <c r="AE98" s="326"/>
      <c r="AF98" s="326"/>
      <c r="AG98" s="326"/>
      <c r="AH98" s="326">
        <f>AA98-($T$98/'Standard Vorgaben'!$B$29)</f>
        <v>146805.34483390118</v>
      </c>
      <c r="AI98" s="326"/>
      <c r="AJ98" s="325" t="s">
        <v>64</v>
      </c>
      <c r="AK98" s="325"/>
      <c r="AL98" s="326"/>
      <c r="AM98" s="326"/>
      <c r="AN98" s="326"/>
      <c r="AO98" s="326">
        <f>AH98-($T$98/'Standard Vorgaben'!$B$29)</f>
        <v>132124.81035051108</v>
      </c>
      <c r="AP98" s="326"/>
      <c r="AQ98" s="325" t="s">
        <v>64</v>
      </c>
      <c r="AR98" s="325"/>
      <c r="AS98" s="326"/>
      <c r="AT98" s="326"/>
      <c r="AU98" s="326"/>
      <c r="AV98" s="326">
        <f>AO98-($T$98/'Standard Vorgaben'!$B$29)</f>
        <v>117444.27586712096</v>
      </c>
      <c r="AW98" s="326"/>
      <c r="AX98" s="325" t="s">
        <v>64</v>
      </c>
      <c r="AY98" s="325"/>
      <c r="AZ98" s="326"/>
      <c r="BA98" s="326"/>
      <c r="BB98" s="326"/>
      <c r="BC98" s="326">
        <f>AV98-($T$98/'Standard Vorgaben'!$B$29)</f>
        <v>102763.74138373084</v>
      </c>
      <c r="BD98" s="326"/>
      <c r="BE98" s="325" t="s">
        <v>64</v>
      </c>
      <c r="BF98" s="325"/>
      <c r="BG98" s="326"/>
      <c r="BH98" s="326"/>
      <c r="BI98" s="326"/>
      <c r="BJ98" s="326">
        <f>BC98-($T$98/'Standard Vorgaben'!$B$29)</f>
        <v>88083.206900340723</v>
      </c>
      <c r="BK98" s="326"/>
      <c r="BL98" s="325" t="s">
        <v>64</v>
      </c>
      <c r="BM98" s="325"/>
      <c r="BN98" s="326"/>
      <c r="BO98" s="326"/>
      <c r="BP98" s="326"/>
      <c r="BQ98" s="326">
        <f>BJ98-($T$98/'Standard Vorgaben'!$B$29)</f>
        <v>73402.672416950605</v>
      </c>
      <c r="BR98" s="326"/>
      <c r="BS98" s="325" t="s">
        <v>64</v>
      </c>
      <c r="BT98" s="325"/>
      <c r="BU98" s="326"/>
      <c r="BV98" s="326"/>
      <c r="BW98" s="326"/>
      <c r="BX98" s="326">
        <f>BQ98-($T$98/'Standard Vorgaben'!$B$29)</f>
        <v>58722.137933560487</v>
      </c>
      <c r="BY98" s="326"/>
      <c r="BZ98" s="325" t="s">
        <v>64</v>
      </c>
      <c r="CA98" s="325"/>
      <c r="CB98" s="326"/>
      <c r="CC98" s="326"/>
      <c r="CD98" s="326"/>
      <c r="CE98" s="326">
        <f>BX98-($T$98/'Standard Vorgaben'!$B$29)</f>
        <v>44041.603450170369</v>
      </c>
      <c r="CF98" s="326"/>
      <c r="CG98" s="325" t="s">
        <v>64</v>
      </c>
      <c r="CH98" s="325"/>
      <c r="CI98" s="326"/>
      <c r="CJ98" s="326"/>
      <c r="CK98" s="326"/>
      <c r="CL98" s="326">
        <f>CE98-($T$98/'Standard Vorgaben'!$B$29)</f>
        <v>29361.068966780251</v>
      </c>
      <c r="CM98" s="326"/>
      <c r="CN98" s="325" t="s">
        <v>64</v>
      </c>
      <c r="CO98" s="325"/>
      <c r="CP98" s="326"/>
      <c r="CQ98" s="326"/>
      <c r="CR98" s="326"/>
      <c r="CS98" s="326">
        <f>CL98-($T$98/'Standard Vorgaben'!$B$29)</f>
        <v>14680.534483390134</v>
      </c>
      <c r="CT98" s="326"/>
      <c r="CU98" s="325" t="s">
        <v>64</v>
      </c>
      <c r="CV98" s="325"/>
      <c r="CW98" s="326"/>
      <c r="CX98" s="326"/>
      <c r="CY98" s="326"/>
      <c r="CZ98" s="326">
        <f>CS98-($T$98/'Standard Vorgaben'!$B$29)</f>
        <v>1.8189894035458565E-11</v>
      </c>
      <c r="DA98" s="326"/>
    </row>
    <row r="99" spans="1:115" x14ac:dyDescent="0.35">
      <c r="A99"/>
      <c r="B99"/>
      <c r="C99"/>
      <c r="D99"/>
      <c r="E99"/>
      <c r="F99"/>
      <c r="G99"/>
      <c r="H99" s="212"/>
      <c r="I99"/>
      <c r="O99" s="224"/>
      <c r="P99" s="17"/>
      <c r="Q99" s="17"/>
      <c r="R99" s="17"/>
      <c r="S99" s="17"/>
      <c r="T99" s="112"/>
      <c r="CU99" s="334" t="s">
        <v>130</v>
      </c>
      <c r="CV99" s="146">
        <f>'Standard Vorgaben'!C38</f>
        <v>6000</v>
      </c>
    </row>
  </sheetData>
  <mergeCells count="105">
    <mergeCell ref="CG67:CG68"/>
    <mergeCell ref="BE32:BE37"/>
    <mergeCell ref="BL32:BL37"/>
    <mergeCell ref="BS32:BS37"/>
    <mergeCell ref="BZ32:BZ37"/>
    <mergeCell ref="CN67:CN68"/>
    <mergeCell ref="CU67:CU68"/>
    <mergeCell ref="BE67:BE68"/>
    <mergeCell ref="BL67:BL68"/>
    <mergeCell ref="BS67:BS68"/>
    <mergeCell ref="BZ67:BZ68"/>
    <mergeCell ref="BZ43:BZ45"/>
    <mergeCell ref="CG43:CG45"/>
    <mergeCell ref="O67:O68"/>
    <mergeCell ref="H67:H68"/>
    <mergeCell ref="A67:A68"/>
    <mergeCell ref="V67:V68"/>
    <mergeCell ref="AC67:AC68"/>
    <mergeCell ref="AJ67:AJ68"/>
    <mergeCell ref="AQ67:AQ68"/>
    <mergeCell ref="AX67:AX68"/>
    <mergeCell ref="A43:A45"/>
    <mergeCell ref="C7:D7"/>
    <mergeCell ref="AX25:AX31"/>
    <mergeCell ref="V43:V45"/>
    <mergeCell ref="AC43:AC45"/>
    <mergeCell ref="AQ25:AQ31"/>
    <mergeCell ref="AJ25:AJ31"/>
    <mergeCell ref="AX43:AX45"/>
    <mergeCell ref="CU25:CU31"/>
    <mergeCell ref="CN25:CN31"/>
    <mergeCell ref="CN43:CN45"/>
    <mergeCell ref="CU43:CU45"/>
    <mergeCell ref="CG25:CG31"/>
    <mergeCell ref="BE43:BE45"/>
    <mergeCell ref="BS25:BS31"/>
    <mergeCell ref="BL25:BL31"/>
    <mergeCell ref="BL43:BL45"/>
    <mergeCell ref="BS43:BS45"/>
    <mergeCell ref="BE25:BE31"/>
    <mergeCell ref="BZ25:BZ31"/>
    <mergeCell ref="CG32:CG37"/>
    <mergeCell ref="CN32:CN37"/>
    <mergeCell ref="CU32:CU37"/>
    <mergeCell ref="AX32:AX37"/>
    <mergeCell ref="BY7:BY8"/>
    <mergeCell ref="A25:A31"/>
    <mergeCell ref="V25:V31"/>
    <mergeCell ref="A32:A37"/>
    <mergeCell ref="H32:H37"/>
    <mergeCell ref="O32:O37"/>
    <mergeCell ref="V32:V37"/>
    <mergeCell ref="AJ43:AJ45"/>
    <mergeCell ref="AQ43:AQ45"/>
    <mergeCell ref="AC25:AC31"/>
    <mergeCell ref="AC32:AC37"/>
    <mergeCell ref="AJ32:AJ37"/>
    <mergeCell ref="AQ32:AQ37"/>
    <mergeCell ref="O25:O31"/>
    <mergeCell ref="H25:H31"/>
    <mergeCell ref="H43:H45"/>
    <mergeCell ref="O43:O45"/>
    <mergeCell ref="CW7:CX7"/>
    <mergeCell ref="BN7:BO7"/>
    <mergeCell ref="BU7:BV7"/>
    <mergeCell ref="CB7:CC7"/>
    <mergeCell ref="AE7:AF7"/>
    <mergeCell ref="N7:N8"/>
    <mergeCell ref="CP7:CQ7"/>
    <mergeCell ref="C6:G6"/>
    <mergeCell ref="G7:G8"/>
    <mergeCell ref="U7:U8"/>
    <mergeCell ref="Q7:R7"/>
    <mergeCell ref="X7:Y7"/>
    <mergeCell ref="CW6:DA6"/>
    <mergeCell ref="BG6:BK6"/>
    <mergeCell ref="BN6:BR6"/>
    <mergeCell ref="BU6:BY6"/>
    <mergeCell ref="CB6:CF6"/>
    <mergeCell ref="AS6:AW6"/>
    <mergeCell ref="CT7:CT8"/>
    <mergeCell ref="AZ6:BD6"/>
    <mergeCell ref="CI6:CM6"/>
    <mergeCell ref="DA7:DA8"/>
    <mergeCell ref="BK7:BK8"/>
    <mergeCell ref="BR7:BR8"/>
    <mergeCell ref="J6:N6"/>
    <mergeCell ref="Q6:U6"/>
    <mergeCell ref="X6:AB6"/>
    <mergeCell ref="AE6:AI6"/>
    <mergeCell ref="CP6:CT6"/>
    <mergeCell ref="J7:K7"/>
    <mergeCell ref="AB7:AB8"/>
    <mergeCell ref="AI7:AI8"/>
    <mergeCell ref="AP7:AP8"/>
    <mergeCell ref="AW7:AW8"/>
    <mergeCell ref="BD7:BD8"/>
    <mergeCell ref="CI7:CJ7"/>
    <mergeCell ref="CM7:CM8"/>
    <mergeCell ref="CF7:CF8"/>
    <mergeCell ref="AL7:AM7"/>
    <mergeCell ref="AS7:AT7"/>
    <mergeCell ref="AZ7:BA7"/>
    <mergeCell ref="BG7:BH7"/>
    <mergeCell ref="AL6:AP6"/>
  </mergeCells>
  <phoneticPr fontId="23" type="noConversion"/>
  <pageMargins left="0.78740157499999996" right="0.78740157499999996" top="0.984251969" bottom="0.984251969" header="0.4921259845" footer="0.4921259845"/>
  <pageSetup paperSize="9" orientation="portrait" r:id="rId1"/>
  <headerFooter alignWithMargins="0">
    <oddHeader>&amp;LArbokost BIO 2008/09&amp;REsther Bravin, ACW</oddHeader>
  </headerFooter>
  <colBreaks count="4" manualBreakCount="4">
    <brk id="7" max="1048575" man="1"/>
    <brk id="14" max="1048575" man="1"/>
    <brk id="21" max="1048575" man="1"/>
    <brk id="42" max="1048575" man="1"/>
  </col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tandardErtragsphase">
    <tabColor indexed="10"/>
  </sheetPr>
  <dimension ref="A1:M214"/>
  <sheetViews>
    <sheetView topLeftCell="A40" zoomScale="90" zoomScaleNormal="90" workbookViewId="0">
      <selection activeCell="C63" sqref="C63"/>
    </sheetView>
  </sheetViews>
  <sheetFormatPr baseColWidth="10" defaultRowHeight="12.5" x14ac:dyDescent="0.25"/>
  <cols>
    <col min="1" max="1" width="32.7265625" customWidth="1"/>
    <col min="2" max="2" width="41.54296875" customWidth="1"/>
    <col min="3" max="3" width="18" customWidth="1"/>
    <col min="4" max="4" width="14.54296875" customWidth="1"/>
    <col min="5" max="5" width="16.7265625" customWidth="1"/>
    <col min="6" max="6" width="20.7265625" customWidth="1"/>
    <col min="7" max="7" width="10.81640625" style="1" customWidth="1"/>
    <col min="8" max="8" width="10.36328125" style="13" customWidth="1"/>
    <col min="9" max="9" width="15.36328125" customWidth="1"/>
    <col min="10" max="10" width="23.36328125" style="10" bestFit="1" customWidth="1"/>
    <col min="11" max="11" width="11.36328125" style="14" customWidth="1"/>
    <col min="12" max="12" width="14.1796875" bestFit="1" customWidth="1"/>
  </cols>
  <sheetData>
    <row r="1" spans="1:11" ht="42.75" customHeight="1" x14ac:dyDescent="0.35">
      <c r="A1" s="1287" t="str">
        <f>Eingabeseite!$A$1</f>
        <v>Arbokost 2023</v>
      </c>
      <c r="B1" s="1284" t="str">
        <f>'Standard Standjahre'!B1</f>
        <v>BIO- Tafelapfel, Gala auf M9, 3000 Bäume /ha</v>
      </c>
      <c r="C1" s="773"/>
      <c r="D1" s="774"/>
      <c r="E1" s="775"/>
      <c r="F1" s="776"/>
      <c r="G1" s="777"/>
      <c r="J1"/>
      <c r="K1"/>
    </row>
    <row r="2" spans="1:11" ht="23.25" customHeight="1" x14ac:dyDescent="0.35">
      <c r="A2" s="707" t="str">
        <f>'Standard Cashflow'!A2</f>
        <v>Standard 1 ha</v>
      </c>
      <c r="B2" s="1012"/>
      <c r="C2" s="773"/>
      <c r="D2" s="774"/>
      <c r="E2" s="775"/>
      <c r="F2" s="776"/>
      <c r="G2" s="777"/>
      <c r="J2"/>
      <c r="K2"/>
    </row>
    <row r="3" spans="1:11" ht="18" customHeight="1" x14ac:dyDescent="0.8">
      <c r="A3" s="818"/>
      <c r="B3" s="1012"/>
      <c r="C3" s="773"/>
      <c r="D3" s="774"/>
      <c r="E3" s="775"/>
      <c r="F3" s="776"/>
      <c r="G3" s="777"/>
      <c r="J3"/>
      <c r="K3"/>
    </row>
    <row r="4" spans="1:11" ht="18.75" customHeight="1" x14ac:dyDescent="0.25">
      <c r="A4" s="838"/>
      <c r="B4" s="839">
        <f>'Standard Vorgaben'!B24</f>
        <v>3000</v>
      </c>
      <c r="C4" s="991"/>
      <c r="D4" s="991"/>
      <c r="E4" s="991"/>
      <c r="F4" s="1027" t="s">
        <v>451</v>
      </c>
      <c r="G4" s="564"/>
      <c r="H4" s="19"/>
      <c r="I4" s="1"/>
    </row>
    <row r="5" spans="1:11" ht="25" x14ac:dyDescent="0.5">
      <c r="A5" s="1458" t="s">
        <v>429</v>
      </c>
      <c r="B5" s="1458"/>
      <c r="C5" s="1458"/>
      <c r="D5" s="1458"/>
      <c r="E5" s="1458"/>
      <c r="F5" s="1458"/>
      <c r="G5" s="1459"/>
    </row>
    <row r="6" spans="1:11" s="1" customFormat="1" ht="20" x14ac:dyDescent="0.4">
      <c r="A6" s="19"/>
      <c r="B6" s="275"/>
      <c r="D6" s="276"/>
      <c r="E6" s="277"/>
      <c r="F6" s="277"/>
      <c r="G6" s="842"/>
      <c r="H6" s="19"/>
      <c r="J6" s="35"/>
      <c r="K6" s="124"/>
    </row>
    <row r="7" spans="1:11" ht="15.5" x14ac:dyDescent="0.35">
      <c r="A7" s="19"/>
      <c r="B7" s="19"/>
      <c r="C7" s="1440" t="s">
        <v>361</v>
      </c>
      <c r="D7" s="1440"/>
      <c r="E7" s="843" t="s">
        <v>362</v>
      </c>
      <c r="F7" s="811" t="s">
        <v>363</v>
      </c>
      <c r="G7" s="1430" t="s">
        <v>364</v>
      </c>
      <c r="I7" s="2"/>
    </row>
    <row r="8" spans="1:11" x14ac:dyDescent="0.25">
      <c r="B8" s="13"/>
      <c r="C8" s="185" t="s">
        <v>70</v>
      </c>
      <c r="D8" s="185" t="s">
        <v>55</v>
      </c>
      <c r="E8" s="225" t="s">
        <v>156</v>
      </c>
      <c r="F8" s="844" t="s">
        <v>22</v>
      </c>
      <c r="G8" s="1448"/>
      <c r="I8" s="1"/>
    </row>
    <row r="9" spans="1:11" ht="13" x14ac:dyDescent="0.3">
      <c r="A9" s="49"/>
      <c r="B9" s="87" t="str">
        <f>'Standard Vorgaben'!B50</f>
        <v>Tafeläpfel BIO</v>
      </c>
      <c r="C9" s="82">
        <f>D9/$B$4</f>
        <v>6.205000000000001</v>
      </c>
      <c r="D9" s="47">
        <f>D13*G9</f>
        <v>18615.000000000004</v>
      </c>
      <c r="E9" s="45">
        <f>'Standard Vorgaben'!B68</f>
        <v>2.3999999999999995</v>
      </c>
      <c r="F9" s="46">
        <f>D9*E9</f>
        <v>44676</v>
      </c>
      <c r="G9" s="61">
        <f>'Standard Vorgaben'!B89</f>
        <v>0.73000000000000009</v>
      </c>
      <c r="I9" s="1"/>
    </row>
    <row r="10" spans="1:11" ht="13" x14ac:dyDescent="0.3">
      <c r="B10" s="87" t="str">
        <f>'Standard Vorgaben'!C50</f>
        <v>Kochobst BIO</v>
      </c>
      <c r="C10" s="82">
        <f>D10/$B$4</f>
        <v>0.42499999999999999</v>
      </c>
      <c r="D10" s="47">
        <f>$D$13*G10</f>
        <v>1275</v>
      </c>
      <c r="E10" s="45">
        <f>'Standard Vorgaben'!C68</f>
        <v>0.59999999999999987</v>
      </c>
      <c r="F10" s="46">
        <f>D10*E10</f>
        <v>764.99999999999989</v>
      </c>
      <c r="G10" s="61">
        <f>'Standard Vorgaben'!C89</f>
        <v>4.9999999999999996E-2</v>
      </c>
    </row>
    <row r="11" spans="1:11" s="13" customFormat="1" ht="13" x14ac:dyDescent="0.3">
      <c r="A11" s="145"/>
      <c r="B11" s="87" t="str">
        <f>'Standard Vorgaben'!D50</f>
        <v>Mostobst BIO</v>
      </c>
      <c r="C11" s="82">
        <f>D11/$B$4</f>
        <v>1.5299999999999998</v>
      </c>
      <c r="D11" s="47">
        <f>D13*G11</f>
        <v>4589.9999999999991</v>
      </c>
      <c r="E11" s="45">
        <f>'Standard Vorgaben'!D68</f>
        <v>0.33</v>
      </c>
      <c r="F11" s="46">
        <f>D11*E11</f>
        <v>1514.6999999999998</v>
      </c>
      <c r="G11" s="61">
        <f>'Standard Vorgaben'!G89</f>
        <v>0.17999999999999997</v>
      </c>
      <c r="J11" s="11"/>
      <c r="K11" s="106"/>
    </row>
    <row r="12" spans="1:11" s="13" customFormat="1" ht="13.5" thickBot="1" x14ac:dyDescent="0.35">
      <c r="A12" s="145"/>
      <c r="B12" s="87" t="str">
        <f>'Variante Vorgaben'!E50</f>
        <v>Sortierabgang faul</v>
      </c>
      <c r="C12" s="845">
        <f>D12/$B$4</f>
        <v>0.34</v>
      </c>
      <c r="D12" s="262">
        <f>D13*G12</f>
        <v>1020</v>
      </c>
      <c r="E12" s="395">
        <f>'Standard Vorgaben'!E51</f>
        <v>0</v>
      </c>
      <c r="F12" s="474">
        <f>D12*E12</f>
        <v>0</v>
      </c>
      <c r="G12" s="846">
        <f>'Standard Vorgaben'!E74</f>
        <v>0.04</v>
      </c>
      <c r="J12" s="11"/>
      <c r="K12" s="106"/>
    </row>
    <row r="13" spans="1:11" ht="19.5" customHeight="1" x14ac:dyDescent="0.3">
      <c r="B13" s="87"/>
      <c r="C13" s="59">
        <f>SUM(C9:C12)</f>
        <v>8.5</v>
      </c>
      <c r="D13" s="313">
        <f>'Standard Vorgaben'!F68</f>
        <v>25500</v>
      </c>
      <c r="E13" s="60">
        <f>F13/D13</f>
        <v>1.8413999999999999</v>
      </c>
      <c r="F13" s="83">
        <f>SUM(F9:F12)</f>
        <v>46955.7</v>
      </c>
      <c r="G13" s="61">
        <f>SUM(G8:G12)</f>
        <v>1</v>
      </c>
      <c r="I13" s="37"/>
    </row>
    <row r="14" spans="1:11" s="1" customFormat="1" ht="19.5" customHeight="1" x14ac:dyDescent="0.3">
      <c r="B14" s="87"/>
      <c r="C14" s="59"/>
      <c r="D14" s="313"/>
      <c r="E14" s="60"/>
      <c r="F14" s="83"/>
      <c r="G14" s="61"/>
      <c r="H14" s="19"/>
      <c r="I14" s="8"/>
      <c r="J14" s="35"/>
      <c r="K14" s="124"/>
    </row>
    <row r="15" spans="1:11" ht="12.25" customHeight="1" thickBot="1" x14ac:dyDescent="0.35">
      <c r="A15" s="41"/>
      <c r="B15" s="87" t="str">
        <f>'Standard Vorgaben'!A39</f>
        <v>Direktzahlungen BIO</v>
      </c>
      <c r="C15" s="58"/>
      <c r="D15" s="59"/>
      <c r="E15" s="60"/>
      <c r="F15" s="634">
        <f>'Standard Vorgaben'!C39</f>
        <v>2700</v>
      </c>
      <c r="G15" s="61"/>
      <c r="H15" s="19"/>
      <c r="I15" s="183"/>
    </row>
    <row r="16" spans="1:11" ht="24" customHeight="1" x14ac:dyDescent="0.5">
      <c r="A16" s="847" t="s">
        <v>365</v>
      </c>
      <c r="B16" s="831"/>
      <c r="C16" s="831"/>
      <c r="D16" s="831"/>
      <c r="E16" s="831"/>
      <c r="F16" s="598">
        <f>SUM(F13:F15)</f>
        <v>49655.7</v>
      </c>
      <c r="G16" s="831"/>
    </row>
    <row r="17" spans="1:10" ht="24" customHeight="1" x14ac:dyDescent="0.3">
      <c r="A17" s="41" t="s">
        <v>29</v>
      </c>
      <c r="B17" s="42"/>
      <c r="C17" s="185" t="s">
        <v>11</v>
      </c>
      <c r="D17" s="185" t="s">
        <v>137</v>
      </c>
      <c r="E17" s="225" t="s">
        <v>56</v>
      </c>
      <c r="F17" s="848" t="s">
        <v>13</v>
      </c>
      <c r="G17" s="185" t="s">
        <v>57</v>
      </c>
    </row>
    <row r="18" spans="1:10" ht="13" x14ac:dyDescent="0.3">
      <c r="A18" s="41"/>
      <c r="B18" s="1178" t="str">
        <f>'Standard Vorgaben'!B103</f>
        <v>BIORGA N (12%)</v>
      </c>
      <c r="C18" s="108">
        <f>'Standard Vorgaben'!B115</f>
        <v>1</v>
      </c>
      <c r="D18" s="1267">
        <f>'Standard Vorgaben'!B114</f>
        <v>500</v>
      </c>
      <c r="E18" s="1268">
        <f>'Standard Vorgaben'!B104</f>
        <v>1.22</v>
      </c>
      <c r="F18" s="30">
        <f>C18*D18*E18</f>
        <v>610</v>
      </c>
      <c r="G18" s="135">
        <f>F18/$F$102</f>
        <v>1.175231903313748E-2</v>
      </c>
    </row>
    <row r="19" spans="1:10" ht="13" x14ac:dyDescent="0.3">
      <c r="A19" s="17"/>
      <c r="B19" s="1178" t="str">
        <f>'Standard Vorgaben'!C103</f>
        <v>Organisches Dünger (Kompost) Trockensubstanz</v>
      </c>
      <c r="C19" s="1266">
        <f>('Standard Vorgaben'!C115)/3</f>
        <v>5</v>
      </c>
      <c r="D19" s="1372">
        <f>'Standard Vorgaben'!C114</f>
        <v>25000</v>
      </c>
      <c r="E19" s="1373">
        <f>'Standard Vorgaben'!C104</f>
        <v>0.02</v>
      </c>
      <c r="F19" s="30">
        <f>D19*E19/3</f>
        <v>166.66666666666666</v>
      </c>
      <c r="G19" s="135">
        <f>F19/$F$102</f>
        <v>3.2110161292725351E-3</v>
      </c>
    </row>
    <row r="20" spans="1:10" ht="13.5" thickBot="1" x14ac:dyDescent="0.35">
      <c r="A20" s="17"/>
      <c r="B20" s="1178" t="str">
        <f>'Standard Vorgaben'!D103</f>
        <v>Magnesiumkalk Dolomit (18%)</v>
      </c>
      <c r="C20" s="927">
        <f>'Standard Vorgaben'!D115</f>
        <v>1</v>
      </c>
      <c r="D20" s="1374">
        <f>'Standard Vorgaben'!D108</f>
        <v>100</v>
      </c>
      <c r="E20" s="1375">
        <f>'Standard Vorgaben'!D104</f>
        <v>0.43</v>
      </c>
      <c r="F20" s="763">
        <f>C20*D20*E20</f>
        <v>43</v>
      </c>
      <c r="G20" s="135">
        <f>F20/$F$102</f>
        <v>8.2844216135231419E-4</v>
      </c>
    </row>
    <row r="21" spans="1:10" ht="13" x14ac:dyDescent="0.3">
      <c r="A21" s="72"/>
      <c r="B21" s="29"/>
      <c r="C21" s="1266">
        <f>SUM(C18:C20)</f>
        <v>7</v>
      </c>
      <c r="D21" s="11"/>
      <c r="E21" s="107"/>
      <c r="F21" s="83">
        <f>SUM(F18:F20)</f>
        <v>819.66666666666663</v>
      </c>
      <c r="G21" s="555">
        <f>F21/$F$102</f>
        <v>1.5791777323762329E-2</v>
      </c>
    </row>
    <row r="22" spans="1:10" ht="13" x14ac:dyDescent="0.3">
      <c r="A22" s="72" t="s">
        <v>436</v>
      </c>
      <c r="B22" s="29" t="s">
        <v>437</v>
      </c>
      <c r="C22" s="11"/>
      <c r="D22" s="11"/>
      <c r="E22" s="107"/>
      <c r="F22" s="112"/>
      <c r="G22" s="555">
        <f t="shared" ref="G22:G56" si="0">F22/$F$102</f>
        <v>0</v>
      </c>
    </row>
    <row r="23" spans="1:10" ht="13" x14ac:dyDescent="0.3">
      <c r="A23" s="1437" t="s">
        <v>103</v>
      </c>
      <c r="B23" s="108" t="str">
        <f>'Standard Vorgaben'!B119</f>
        <v>Tonerde (Myko Sin)</v>
      </c>
      <c r="C23" s="108">
        <f>'Standard Vorgaben'!C119</f>
        <v>6</v>
      </c>
      <c r="D23" s="108">
        <f>'Standard Vorgaben'!D119</f>
        <v>8</v>
      </c>
      <c r="E23" s="108">
        <f>'Standard Vorgaben'!E119</f>
        <v>9.7279999999999998</v>
      </c>
      <c r="F23" s="1376">
        <f>C23*D23*E23</f>
        <v>466.94399999999996</v>
      </c>
      <c r="G23" s="555">
        <f t="shared" si="0"/>
        <v>8.9961882928022083E-3</v>
      </c>
    </row>
    <row r="24" spans="1:10" ht="13" x14ac:dyDescent="0.3">
      <c r="A24" s="1437"/>
      <c r="B24" s="29" t="str">
        <f>'Standard Vorgaben'!B120</f>
        <v xml:space="preserve">Netzschwefel (Stullin) </v>
      </c>
      <c r="C24" s="108">
        <f>'Standard Vorgaben'!C120</f>
        <v>10</v>
      </c>
      <c r="D24" s="108">
        <f>'Standard Vorgaben'!D120</f>
        <v>12</v>
      </c>
      <c r="E24" s="108">
        <f>'Standard Vorgaben'!E120</f>
        <v>2.98</v>
      </c>
      <c r="F24" s="1376">
        <f t="shared" ref="F24:F36" si="1">C24*D24*E24</f>
        <v>357.6</v>
      </c>
      <c r="G24" s="555">
        <f t="shared" si="0"/>
        <v>6.8895562069671524E-3</v>
      </c>
    </row>
    <row r="25" spans="1:10" ht="13" x14ac:dyDescent="0.3">
      <c r="A25" s="1437"/>
      <c r="B25" s="29" t="str">
        <f>'Standard Vorgaben'!B121</f>
        <v>Kaliumbicarbonat (Armicarb)</v>
      </c>
      <c r="C25" s="108">
        <f>'Standard Vorgaben'!C121</f>
        <v>6</v>
      </c>
      <c r="D25" s="108">
        <f>'Standard Vorgaben'!D121</f>
        <v>4.8</v>
      </c>
      <c r="E25" s="108">
        <f>'Standard Vorgaben'!E121</f>
        <v>17</v>
      </c>
      <c r="F25" s="1376">
        <f t="shared" si="1"/>
        <v>489.59999999999997</v>
      </c>
      <c r="G25" s="555">
        <f t="shared" si="0"/>
        <v>9.4326809813509993E-3</v>
      </c>
    </row>
    <row r="26" spans="1:10" ht="13" x14ac:dyDescent="0.3">
      <c r="A26" s="1437"/>
      <c r="B26" s="29" t="str">
        <f>'Standard Vorgaben'!B122</f>
        <v>Kupfer (Airone WG)</v>
      </c>
      <c r="C26" s="108">
        <f>'Standard Vorgaben'!C122</f>
        <v>2</v>
      </c>
      <c r="D26" s="108">
        <f>'Standard Vorgaben'!D122</f>
        <v>3</v>
      </c>
      <c r="E26" s="108">
        <f>'Standard Vorgaben'!E122</f>
        <v>24.5</v>
      </c>
      <c r="F26" s="1376">
        <f t="shared" si="1"/>
        <v>147</v>
      </c>
      <c r="G26" s="555">
        <f t="shared" si="0"/>
        <v>2.8321162260183763E-3</v>
      </c>
    </row>
    <row r="27" spans="1:10" ht="18.75" customHeight="1" x14ac:dyDescent="0.3">
      <c r="A27" s="1437"/>
      <c r="B27" s="29" t="str">
        <f>'Standard Vorgaben'!B123</f>
        <v>Schwefelkalk (Curatio)</v>
      </c>
      <c r="C27" s="108">
        <f>'Standard Vorgaben'!C123</f>
        <v>5</v>
      </c>
      <c r="D27" s="108">
        <f>'Standard Vorgaben'!D123</f>
        <v>18</v>
      </c>
      <c r="E27" s="108">
        <f>'Standard Vorgaben'!E123</f>
        <v>3.9450000000000003</v>
      </c>
      <c r="F27" s="1376">
        <f t="shared" si="1"/>
        <v>355.05</v>
      </c>
      <c r="G27" s="555">
        <f t="shared" si="0"/>
        <v>6.8404276601892822E-3</v>
      </c>
    </row>
    <row r="28" spans="1:10" ht="13" x14ac:dyDescent="0.3">
      <c r="A28" s="1437"/>
      <c r="B28" s="29" t="str">
        <f>'Standard Vorgaben'!B124</f>
        <v>Laminarin (Vacciplant)</v>
      </c>
      <c r="C28" s="108">
        <f>'Standard Vorgaben'!C124</f>
        <v>5</v>
      </c>
      <c r="D28" s="108">
        <f>'Standard Vorgaben'!D124</f>
        <v>0.75</v>
      </c>
      <c r="E28" s="108">
        <f>'Standard Vorgaben'!E124</f>
        <v>45</v>
      </c>
      <c r="F28" s="1376">
        <f t="shared" si="1"/>
        <v>168.75</v>
      </c>
      <c r="G28" s="555">
        <f t="shared" si="0"/>
        <v>3.2511538308884424E-3</v>
      </c>
    </row>
    <row r="29" spans="1:10" ht="13" x14ac:dyDescent="0.3">
      <c r="A29" s="1369" t="s">
        <v>624</v>
      </c>
      <c r="B29" s="29" t="str">
        <f>'Standard Vorgaben'!B125</f>
        <v>Hefepräparat (Blossom protect)</v>
      </c>
      <c r="C29" s="108">
        <f>'Standard Vorgaben'!C125</f>
        <v>2</v>
      </c>
      <c r="D29" s="108">
        <f>'Standard Vorgaben'!D125</f>
        <v>1.5</v>
      </c>
      <c r="E29" s="108">
        <f>'Standard Vorgaben'!E125</f>
        <v>86.600000000000009</v>
      </c>
      <c r="F29" s="1376">
        <f t="shared" si="1"/>
        <v>259.8</v>
      </c>
      <c r="G29" s="555">
        <f t="shared" si="0"/>
        <v>5.0053319423100286E-3</v>
      </c>
    </row>
    <row r="30" spans="1:10" ht="13" x14ac:dyDescent="0.3">
      <c r="A30" s="1437" t="str">
        <f>'Standard Vorgaben'!$A$126</f>
        <v>Insektizide</v>
      </c>
      <c r="B30" s="29" t="str">
        <f>'Standard Vorgaben'!B126</f>
        <v>Neem (NeemAzal T/S)</v>
      </c>
      <c r="C30" s="108">
        <f>'Standard Vorgaben'!C126</f>
        <v>1</v>
      </c>
      <c r="D30" s="108">
        <f>'Standard Vorgaben'!D126</f>
        <v>4.8</v>
      </c>
      <c r="E30" s="108">
        <f>'Standard Vorgaben'!E126</f>
        <v>89.1</v>
      </c>
      <c r="F30" s="1376">
        <f t="shared" si="1"/>
        <v>427.67999999999995</v>
      </c>
      <c r="G30" s="555">
        <f t="shared" si="0"/>
        <v>8.2397242690036669E-3</v>
      </c>
    </row>
    <row r="31" spans="1:10" ht="13" x14ac:dyDescent="0.3">
      <c r="A31" s="1437"/>
      <c r="B31" s="29" t="str">
        <f>'Standard Vorgaben'!B127</f>
        <v>Pyrethrum</v>
      </c>
      <c r="C31" s="108">
        <f>'Standard Vorgaben'!C127</f>
        <v>1</v>
      </c>
      <c r="D31" s="108">
        <f>'Standard Vorgaben'!D127</f>
        <v>0.5</v>
      </c>
      <c r="E31" s="108">
        <f>'Standard Vorgaben'!E127</f>
        <v>250.04000000000002</v>
      </c>
      <c r="F31" s="1376">
        <f t="shared" si="1"/>
        <v>125.02000000000001</v>
      </c>
      <c r="G31" s="555">
        <f t="shared" si="0"/>
        <v>2.4086474188899144E-3</v>
      </c>
    </row>
    <row r="32" spans="1:10" ht="13" x14ac:dyDescent="0.3">
      <c r="A32" s="1437"/>
      <c r="B32" s="29" t="str">
        <f>'Standard Vorgaben'!B128</f>
        <v>Schmierseife (Natural)</v>
      </c>
      <c r="C32" s="108">
        <f>'Standard Vorgaben'!C128</f>
        <v>1</v>
      </c>
      <c r="D32" s="108">
        <f>'Standard Vorgaben'!D128</f>
        <v>20</v>
      </c>
      <c r="E32" s="108">
        <f>'Standard Vorgaben'!E128</f>
        <v>13.419999999999998</v>
      </c>
      <c r="F32" s="1376">
        <f t="shared" si="1"/>
        <v>268.39999999999998</v>
      </c>
      <c r="G32" s="555">
        <f t="shared" si="0"/>
        <v>5.1710203745804909E-3</v>
      </c>
      <c r="J32" s="25"/>
    </row>
    <row r="33" spans="1:11" ht="13" x14ac:dyDescent="0.3">
      <c r="A33" s="1437"/>
      <c r="B33" s="29" t="str">
        <f>'Standard Vorgaben'!B129</f>
        <v>Granulosevirus (Madex Top)</v>
      </c>
      <c r="C33" s="108">
        <f>'Standard Vorgaben'!C129</f>
        <v>10</v>
      </c>
      <c r="D33" s="108">
        <f>'Standard Vorgaben'!D129</f>
        <v>0.1</v>
      </c>
      <c r="E33" s="108">
        <f>'Standard Vorgaben'!E129</f>
        <v>573.6</v>
      </c>
      <c r="F33" s="1376">
        <f t="shared" si="1"/>
        <v>573.6</v>
      </c>
      <c r="G33" s="555">
        <f t="shared" si="0"/>
        <v>1.1051033110504359E-2</v>
      </c>
    </row>
    <row r="34" spans="1:11" ht="13" x14ac:dyDescent="0.3">
      <c r="A34" s="1437"/>
      <c r="B34" s="29" t="str">
        <f>'Standard Vorgaben'!B130</f>
        <v>Quassiaextrakt (Quassan)</v>
      </c>
      <c r="C34" s="108">
        <f>'Standard Vorgaben'!C130</f>
        <v>1</v>
      </c>
      <c r="D34" s="108">
        <f>'Standard Vorgaben'!D130</f>
        <v>3.5</v>
      </c>
      <c r="E34" s="108">
        <f>'Standard Vorgaben'!E130</f>
        <v>222</v>
      </c>
      <c r="F34" s="1376">
        <f t="shared" si="1"/>
        <v>777</v>
      </c>
      <c r="G34" s="555">
        <f t="shared" si="0"/>
        <v>1.4969757194668561E-2</v>
      </c>
    </row>
    <row r="35" spans="1:11" ht="13" x14ac:dyDescent="0.3">
      <c r="A35" s="1437"/>
      <c r="B35" s="29" t="str">
        <f>'Standard Vorgaben'!B131</f>
        <v>Weissöl (Weissöl Omya)</v>
      </c>
      <c r="C35" s="108">
        <f>'Standard Vorgaben'!C131</f>
        <v>1</v>
      </c>
      <c r="D35" s="108">
        <f>'Standard Vorgaben'!D131</f>
        <v>50</v>
      </c>
      <c r="E35" s="108">
        <f>'Standard Vorgaben'!E131</f>
        <v>3.7833999999999999</v>
      </c>
      <c r="F35" s="1376">
        <f t="shared" si="1"/>
        <v>189.17</v>
      </c>
      <c r="G35" s="555">
        <f t="shared" si="0"/>
        <v>3.6445675270469131E-3</v>
      </c>
    </row>
    <row r="36" spans="1:11" ht="13.5" thickBot="1" x14ac:dyDescent="0.35">
      <c r="A36" s="10" t="s">
        <v>632</v>
      </c>
      <c r="B36" s="29" t="str">
        <f>'Standard Vorgaben'!B132</f>
        <v>Insektenlockstoff (Isomate CLR Max Andermatt)</v>
      </c>
      <c r="C36" s="927">
        <f>'Standard Vorgaben'!C132</f>
        <v>1</v>
      </c>
      <c r="D36" s="927">
        <f>'Standard Vorgaben'!D132</f>
        <v>750</v>
      </c>
      <c r="E36" s="927">
        <f>'Standard Vorgaben'!E132</f>
        <v>0.59599999999999997</v>
      </c>
      <c r="F36" s="1377">
        <f t="shared" si="1"/>
        <v>447</v>
      </c>
      <c r="G36" s="555">
        <f t="shared" si="0"/>
        <v>8.6119452587089407E-3</v>
      </c>
    </row>
    <row r="37" spans="1:11" ht="13" x14ac:dyDescent="0.3">
      <c r="A37" s="71" t="s">
        <v>140</v>
      </c>
      <c r="B37" s="1196">
        <f>'Standard Vorgaben'!B133</f>
        <v>26</v>
      </c>
      <c r="C37" s="829">
        <f>SUM(C23:C36)</f>
        <v>52</v>
      </c>
      <c r="D37" s="829">
        <f>SUM(D23:D36)</f>
        <v>876.95</v>
      </c>
      <c r="E37" s="829">
        <f>SUM(E23:E36)</f>
        <v>1342.2924</v>
      </c>
      <c r="F37" s="83">
        <f>SUM(F23:F36)*0.9</f>
        <v>4547.3526000000002</v>
      </c>
      <c r="G37" s="555">
        <f t="shared" si="0"/>
        <v>8.7609735264536401E-2</v>
      </c>
    </row>
    <row r="38" spans="1:11" s="1" customFormat="1" ht="13" x14ac:dyDescent="0.3">
      <c r="A38" s="145" t="str">
        <f>'Variante Hagel'!A75</f>
        <v>Hagelversicherung</v>
      </c>
      <c r="B38" s="303">
        <f>Eingabeseite!B32</f>
        <v>0</v>
      </c>
      <c r="C38" s="618">
        <f>'Standard Hagel'!D78</f>
        <v>0.112</v>
      </c>
      <c r="D38" s="131">
        <f>'Standard Hagel'!C93</f>
        <v>44675.999999999978</v>
      </c>
      <c r="E38" s="45">
        <f>'Standard Hagel'!E78</f>
        <v>0.8</v>
      </c>
      <c r="F38" s="83">
        <f>B38*C38*D38*E38</f>
        <v>0</v>
      </c>
      <c r="G38" s="555">
        <f t="shared" si="0"/>
        <v>0</v>
      </c>
      <c r="H38" s="19"/>
      <c r="J38" s="35"/>
      <c r="K38" s="124"/>
    </row>
    <row r="39" spans="1:11" s="1" customFormat="1" ht="13" x14ac:dyDescent="0.3">
      <c r="A39" s="87" t="str">
        <f>'Standard Standjahre'!A41</f>
        <v>Bewässerung</v>
      </c>
      <c r="B39" s="145" t="str">
        <f>'Standard Standjahre'!B41</f>
        <v>Wasser</v>
      </c>
      <c r="C39" s="96">
        <f>'Standard Vorgaben'!$C$236</f>
        <v>1</v>
      </c>
      <c r="D39" s="10">
        <f>'Standard Erstellung'!$C$131</f>
        <v>500</v>
      </c>
      <c r="E39" s="280">
        <f>'Standard Erstellung'!$D$131</f>
        <v>2</v>
      </c>
      <c r="F39" s="1061">
        <f>C39*D39*E39</f>
        <v>1000</v>
      </c>
      <c r="G39" s="555">
        <f t="shared" si="0"/>
        <v>1.9266096775635212E-2</v>
      </c>
      <c r="H39" s="19"/>
      <c r="J39" s="35"/>
      <c r="K39" s="124"/>
    </row>
    <row r="40" spans="1:11" s="1" customFormat="1" ht="13" x14ac:dyDescent="0.3">
      <c r="A40" s="234" t="s">
        <v>366</v>
      </c>
      <c r="B40" s="849"/>
      <c r="C40" s="220"/>
      <c r="D40" s="850"/>
      <c r="E40" s="45"/>
      <c r="F40" s="83"/>
      <c r="G40" s="555">
        <f t="shared" si="0"/>
        <v>0</v>
      </c>
      <c r="H40" s="19"/>
      <c r="J40" s="35"/>
      <c r="K40" s="124"/>
    </row>
    <row r="41" spans="1:11" ht="13" x14ac:dyDescent="0.3">
      <c r="A41" s="1417" t="s">
        <v>635</v>
      </c>
      <c r="B41" s="19" t="s">
        <v>602</v>
      </c>
      <c r="C41" s="19"/>
      <c r="D41" s="42" t="s">
        <v>136</v>
      </c>
      <c r="E41" s="45">
        <f>'Standard Vorgaben'!$H$38+'Variante Vorgaben'!$G$40+'Standard Vorgaben'!H48</f>
        <v>468</v>
      </c>
      <c r="F41" s="149">
        <f>E41</f>
        <v>468</v>
      </c>
      <c r="G41" s="555">
        <f t="shared" si="0"/>
        <v>9.0165332909972803E-3</v>
      </c>
    </row>
    <row r="42" spans="1:11" ht="13" x14ac:dyDescent="0.3">
      <c r="A42" s="1417"/>
      <c r="B42" s="19" t="str">
        <f>'Variante Vorgaben'!$F$39</f>
        <v>Mostobst</v>
      </c>
      <c r="C42" s="19"/>
      <c r="D42" s="42" t="s">
        <v>58</v>
      </c>
      <c r="E42" s="45">
        <f>'Standard Vorgaben'!$H$39</f>
        <v>1.1499999999999999</v>
      </c>
      <c r="F42" s="149">
        <f>E42*$D$11/100</f>
        <v>52.784999999999982</v>
      </c>
      <c r="G42" s="555">
        <f t="shared" si="0"/>
        <v>1.0169609183019043E-3</v>
      </c>
    </row>
    <row r="43" spans="1:11" ht="13" x14ac:dyDescent="0.3">
      <c r="A43" s="1417"/>
      <c r="B43" s="19" t="s">
        <v>603</v>
      </c>
      <c r="C43" s="19"/>
      <c r="D43" s="42" t="s">
        <v>58</v>
      </c>
      <c r="E43" s="45">
        <f>'Standard Vorgaben'!H41</f>
        <v>0.85</v>
      </c>
      <c r="F43" s="149">
        <f>E43*D13/100</f>
        <v>216.75</v>
      </c>
      <c r="G43" s="555">
        <f t="shared" si="0"/>
        <v>4.1759264761189324E-3</v>
      </c>
    </row>
    <row r="44" spans="1:11" ht="13" x14ac:dyDescent="0.3">
      <c r="A44" s="756" t="str">
        <f>'Standard Vorgaben'!F43</f>
        <v>Gebindekosten</v>
      </c>
      <c r="B44" s="150" t="str">
        <f>'Standard Vorgaben'!G43</f>
        <v xml:space="preserve">Tafelobst </v>
      </c>
      <c r="C44" s="19"/>
      <c r="D44" s="19" t="s">
        <v>58</v>
      </c>
      <c r="E44" s="616">
        <f>'Standard Vorgaben'!H43</f>
        <v>0</v>
      </c>
      <c r="F44" s="149">
        <f>($D$9+$D$10)/100*E44</f>
        <v>0</v>
      </c>
      <c r="G44" s="555">
        <f t="shared" si="0"/>
        <v>0</v>
      </c>
    </row>
    <row r="45" spans="1:11" ht="13" x14ac:dyDescent="0.3">
      <c r="A45" s="756" t="str">
        <f>'Standard Vorgaben'!F44</f>
        <v>Sortierkosten</v>
      </c>
      <c r="B45" s="19" t="str">
        <f>'Standard Vorgaben'!G44</f>
        <v xml:space="preserve">Tafelobst </v>
      </c>
      <c r="C45" s="19"/>
      <c r="D45" s="19" t="s">
        <v>58</v>
      </c>
      <c r="E45" s="45">
        <f>'Standard Vorgaben'!H44</f>
        <v>0</v>
      </c>
      <c r="F45" s="149">
        <f>($D$9+$D$10)/100*E45</f>
        <v>0</v>
      </c>
      <c r="G45" s="555">
        <f t="shared" si="0"/>
        <v>0</v>
      </c>
      <c r="H45" s="1019"/>
      <c r="I45" s="1"/>
    </row>
    <row r="46" spans="1:11" ht="13" x14ac:dyDescent="0.3">
      <c r="A46" s="756"/>
      <c r="B46" s="19" t="str">
        <f>'Standard Vorgaben'!G45</f>
        <v>Abgang</v>
      </c>
      <c r="C46" s="19"/>
      <c r="D46" s="19" t="s">
        <v>58</v>
      </c>
      <c r="E46" s="45">
        <f>'Standard Vorgaben'!H45</f>
        <v>12</v>
      </c>
      <c r="F46" s="149">
        <f>(E46/100)*('Standard Vorgaben'!D89*D11)</f>
        <v>66.096000000000004</v>
      </c>
      <c r="G46" s="555">
        <f t="shared" si="0"/>
        <v>1.273411932482385E-3</v>
      </c>
      <c r="H46" s="1019"/>
      <c r="I46" s="1"/>
    </row>
    <row r="47" spans="1:11" ht="13" x14ac:dyDescent="0.3">
      <c r="A47" s="756" t="str">
        <f>'Standard Vorgaben'!$F$46</f>
        <v>Bürsten</v>
      </c>
      <c r="B47" s="19"/>
      <c r="C47" s="19"/>
      <c r="D47" s="19" t="s">
        <v>58</v>
      </c>
      <c r="E47" s="45">
        <f>'Standard Vorgaben'!$H$46*'Standard Vorgaben'!I46</f>
        <v>0</v>
      </c>
      <c r="F47" s="149">
        <f>(D9*E47)/100</f>
        <v>0</v>
      </c>
      <c r="G47" s="555">
        <f t="shared" si="0"/>
        <v>0</v>
      </c>
      <c r="H47" s="1019"/>
      <c r="I47" s="1"/>
    </row>
    <row r="48" spans="1:11" ht="13.5" thickBot="1" x14ac:dyDescent="0.35">
      <c r="A48" s="756" t="str">
        <f>'Standard Vorgaben'!$F$47</f>
        <v>Heisswassertauchen</v>
      </c>
      <c r="B48" s="19"/>
      <c r="C48" s="1380"/>
      <c r="D48" s="1380" t="s">
        <v>58</v>
      </c>
      <c r="E48" s="395">
        <f>'Standard Vorgaben'!$H$47*'Standard Vorgaben'!I47</f>
        <v>0</v>
      </c>
      <c r="F48" s="587">
        <f>E48*D9/100</f>
        <v>0</v>
      </c>
      <c r="G48" s="555">
        <f t="shared" si="0"/>
        <v>0</v>
      </c>
      <c r="H48" s="1019"/>
      <c r="I48" s="1"/>
    </row>
    <row r="49" spans="1:13" ht="13" x14ac:dyDescent="0.3">
      <c r="A49" s="617"/>
      <c r="B49" s="19"/>
      <c r="C49" s="19"/>
      <c r="D49" s="19"/>
      <c r="E49" s="45"/>
      <c r="F49" s="83">
        <f>SUM(F41:F48)</f>
        <v>803.63099999999997</v>
      </c>
      <c r="G49" s="555">
        <f t="shared" si="0"/>
        <v>1.5482832617900502E-2</v>
      </c>
    </row>
    <row r="50" spans="1:13" s="1" customFormat="1" ht="13" x14ac:dyDescent="0.3">
      <c r="A50" s="617"/>
      <c r="B50" s="19"/>
      <c r="C50" s="19"/>
      <c r="D50" s="19"/>
      <c r="E50" s="45"/>
      <c r="F50" s="83"/>
      <c r="G50" s="555">
        <f t="shared" si="0"/>
        <v>0</v>
      </c>
      <c r="H50" s="19"/>
      <c r="J50" s="35"/>
      <c r="K50" s="124"/>
    </row>
    <row r="51" spans="1:13" ht="32.5" customHeight="1" x14ac:dyDescent="0.3">
      <c r="A51" s="851" t="s">
        <v>194</v>
      </c>
      <c r="B51" s="857" t="s">
        <v>304</v>
      </c>
      <c r="C51" s="853">
        <f>'Standard Standjahre'!T98</f>
        <v>176166.41380068139</v>
      </c>
      <c r="D51" s="858">
        <f>'Standard Vorgaben'!B29</f>
        <v>12</v>
      </c>
      <c r="E51" s="855"/>
      <c r="F51" s="853">
        <f>C51/D51</f>
        <v>14680.534483390116</v>
      </c>
      <c r="G51" s="555">
        <f t="shared" si="0"/>
        <v>0.28283659807504385</v>
      </c>
    </row>
    <row r="52" spans="1:13" s="1" customFormat="1" ht="18.75" customHeight="1" x14ac:dyDescent="0.3">
      <c r="A52" s="279"/>
      <c r="B52" s="158"/>
      <c r="C52" s="175"/>
      <c r="D52" s="339"/>
      <c r="E52" s="167"/>
      <c r="F52" s="175"/>
      <c r="G52" s="555">
        <f t="shared" si="0"/>
        <v>0</v>
      </c>
      <c r="H52" s="19"/>
      <c r="J52" s="35"/>
      <c r="K52" s="124"/>
    </row>
    <row r="53" spans="1:13" s="53" customFormat="1" ht="21.25" customHeight="1" x14ac:dyDescent="0.3">
      <c r="A53" s="75" t="s">
        <v>175</v>
      </c>
      <c r="B53" s="635" t="s">
        <v>367</v>
      </c>
      <c r="C53" s="281"/>
      <c r="D53" s="111"/>
      <c r="E53" s="282"/>
      <c r="F53" s="134">
        <f>'Standard Vorgaben'!F207</f>
        <v>600</v>
      </c>
      <c r="G53" s="555">
        <f t="shared" si="0"/>
        <v>1.1559658065381128E-2</v>
      </c>
      <c r="H53" s="1020"/>
      <c r="J53" s="121"/>
      <c r="K53" s="125"/>
    </row>
    <row r="54" spans="1:13" s="53" customFormat="1" ht="11" customHeight="1" x14ac:dyDescent="0.3">
      <c r="A54" s="54"/>
      <c r="B54" s="340"/>
      <c r="C54" s="226"/>
      <c r="D54" s="227"/>
      <c r="E54" s="228"/>
      <c r="F54" s="176"/>
      <c r="G54" s="555">
        <f t="shared" si="0"/>
        <v>0</v>
      </c>
      <c r="H54" s="1020"/>
      <c r="J54" s="121"/>
      <c r="K54" s="125"/>
    </row>
    <row r="55" spans="1:13" s="53" customFormat="1" ht="21.25" customHeight="1" x14ac:dyDescent="0.3">
      <c r="A55" s="54"/>
      <c r="B55" s="281" t="s">
        <v>131</v>
      </c>
      <c r="C55" s="281"/>
      <c r="D55" s="111"/>
      <c r="E55" s="282">
        <f>(PMT('Standard Vorgaben'!C40,'Standard Vorgaben'!B29,'Standard Vorgaben'!C38))*(-1)</f>
        <v>550.07995743737365</v>
      </c>
      <c r="F55" s="134">
        <f>E55</f>
        <v>550.07995743737365</v>
      </c>
      <c r="G55" s="555">
        <f t="shared" si="0"/>
        <v>1.059789369432574E-2</v>
      </c>
      <c r="H55" s="1020"/>
      <c r="J55" s="121"/>
      <c r="K55" s="125"/>
    </row>
    <row r="56" spans="1:13" s="53" customFormat="1" ht="21.25" customHeight="1" x14ac:dyDescent="0.3">
      <c r="A56" s="54"/>
      <c r="B56" s="281"/>
      <c r="C56" s="281"/>
      <c r="D56" s="111"/>
      <c r="E56" s="282"/>
      <c r="F56" s="176"/>
      <c r="G56" s="555">
        <f t="shared" si="0"/>
        <v>0</v>
      </c>
      <c r="H56" s="1020"/>
      <c r="J56" s="121"/>
      <c r="K56" s="125"/>
    </row>
    <row r="57" spans="1:13" s="16" customFormat="1" ht="27" customHeight="1" x14ac:dyDescent="0.4">
      <c r="A57" s="594" t="s">
        <v>214</v>
      </c>
      <c r="B57" s="627"/>
      <c r="C57" s="699"/>
      <c r="D57" s="699"/>
      <c r="E57" s="700"/>
      <c r="F57" s="598">
        <f>F53+F51+F49+F37+F21+F55</f>
        <v>22001.26470749416</v>
      </c>
      <c r="G57" s="1043">
        <f>F57/$F$102</f>
        <v>0.42387849504095004</v>
      </c>
      <c r="H57" s="70"/>
      <c r="J57" s="123"/>
      <c r="K57" s="127"/>
    </row>
    <row r="58" spans="1:13" ht="18.75" customHeight="1" x14ac:dyDescent="0.35">
      <c r="A58" s="17" t="s">
        <v>181</v>
      </c>
      <c r="B58" s="13"/>
      <c r="C58" s="150" t="s">
        <v>59</v>
      </c>
      <c r="D58" s="762">
        <f>'Standard Vorgaben'!C203</f>
        <v>10</v>
      </c>
      <c r="E58" s="45">
        <f>'Standard Vorgaben'!D203</f>
        <v>15</v>
      </c>
      <c r="F58" s="287">
        <f>D58*E58</f>
        <v>150</v>
      </c>
      <c r="G58" s="555">
        <f>F58/$F$102</f>
        <v>2.889914516345282E-3</v>
      </c>
      <c r="J58" s="1449"/>
      <c r="K58" s="1449"/>
      <c r="L58" s="1444"/>
      <c r="M58" s="1444"/>
    </row>
    <row r="59" spans="1:13" s="1" customFormat="1" ht="18.75" customHeight="1" x14ac:dyDescent="0.3">
      <c r="A59" s="3"/>
      <c r="C59" s="129"/>
      <c r="D59" s="297"/>
      <c r="E59" s="48"/>
      <c r="F59" s="55"/>
      <c r="G59" s="135"/>
      <c r="H59" s="19"/>
      <c r="J59" s="269"/>
      <c r="K59" s="269"/>
      <c r="L59" s="35"/>
      <c r="M59" s="35"/>
    </row>
    <row r="60" spans="1:13" ht="18" customHeight="1" x14ac:dyDescent="0.3">
      <c r="C60" s="38" t="s">
        <v>11</v>
      </c>
      <c r="D60" s="120" t="s">
        <v>105</v>
      </c>
      <c r="E60" s="304" t="s">
        <v>106</v>
      </c>
      <c r="F60" s="305" t="s">
        <v>22</v>
      </c>
      <c r="G60" s="135"/>
      <c r="J60" s="38" t="s">
        <v>414</v>
      </c>
      <c r="K60" s="144" t="s">
        <v>82</v>
      </c>
      <c r="L60" s="1"/>
      <c r="M60" s="143"/>
    </row>
    <row r="61" spans="1:13" ht="13" x14ac:dyDescent="0.3">
      <c r="A61" s="17" t="s">
        <v>98</v>
      </c>
      <c r="B61" s="42" t="str">
        <f>'Standard Vorgaben'!$B$177</f>
        <v>Anbaugebläsepritze 1000 l</v>
      </c>
      <c r="C61" s="460">
        <f>C37-B37-C36</f>
        <v>25</v>
      </c>
      <c r="D61" s="40">
        <f>'Standard Vorgaben'!$C$177</f>
        <v>1</v>
      </c>
      <c r="E61" s="45">
        <f>'Standard Vorgaben'!$D$177</f>
        <v>37</v>
      </c>
      <c r="F61" s="46">
        <f>C61*E61</f>
        <v>925</v>
      </c>
      <c r="G61" s="135">
        <f t="shared" ref="G61:G76" si="2">F61/$F$102</f>
        <v>1.7821139517462573E-2</v>
      </c>
      <c r="J61" s="119">
        <f>'Standard Vorgaben'!H177</f>
        <v>0</v>
      </c>
      <c r="K61" s="124">
        <f>C61*J61</f>
        <v>0</v>
      </c>
      <c r="L61" s="343"/>
      <c r="M61" s="1"/>
    </row>
    <row r="62" spans="1:13" ht="13" x14ac:dyDescent="0.3">
      <c r="A62" s="17"/>
      <c r="B62" s="42" t="str">
        <f>'Standard Vorgaben'!$B$178</f>
        <v>Fadengerät Behangsregulierung</v>
      </c>
      <c r="C62" s="460">
        <f>'Standard Vorgaben'!E178</f>
        <v>2</v>
      </c>
      <c r="D62" s="221">
        <f>'Standard Vorgaben'!$C$178</f>
        <v>1</v>
      </c>
      <c r="E62" s="1385">
        <f>'Standard Vorgaben'!$D$178</f>
        <v>57</v>
      </c>
      <c r="F62" s="46">
        <f>C62*D62*E62</f>
        <v>114</v>
      </c>
      <c r="G62" s="135">
        <f t="shared" si="2"/>
        <v>2.1963350324224144E-3</v>
      </c>
      <c r="J62" s="119"/>
      <c r="K62" s="124"/>
      <c r="L62" s="343"/>
      <c r="M62" s="1"/>
    </row>
    <row r="63" spans="1:13" ht="13" x14ac:dyDescent="0.3">
      <c r="A63" s="17"/>
      <c r="B63" s="42" t="str">
        <f>'Standard Vorgaben'!$B$179</f>
        <v>Düngerstreuer Einkasten 2.5 m</v>
      </c>
      <c r="C63" s="460">
        <f>C21-C19</f>
        <v>2</v>
      </c>
      <c r="D63" s="221">
        <v>1</v>
      </c>
      <c r="E63" s="45">
        <f>'Standard Vorgaben'!$D$179</f>
        <v>18</v>
      </c>
      <c r="F63" s="46">
        <f>C63*E63</f>
        <v>36</v>
      </c>
      <c r="G63" s="135">
        <f t="shared" si="2"/>
        <v>6.9357948392286765E-4</v>
      </c>
      <c r="J63" s="119">
        <f>'Standard Vorgaben'!H179</f>
        <v>0</v>
      </c>
      <c r="K63" s="124">
        <f>C63*J63</f>
        <v>0</v>
      </c>
      <c r="L63" s="183"/>
    </row>
    <row r="64" spans="1:13" ht="13" x14ac:dyDescent="0.3">
      <c r="A64" s="17"/>
      <c r="B64" s="42" t="str">
        <f>'Standard Vorgaben'!$B$180</f>
        <v>Kompoststreuer für Obstanlagen, um 3m³</v>
      </c>
      <c r="C64" s="460">
        <f>C19</f>
        <v>5</v>
      </c>
      <c r="D64" s="221">
        <v>1</v>
      </c>
      <c r="E64" s="1385">
        <f>'Standard Vorgaben'!$D$180</f>
        <v>113</v>
      </c>
      <c r="F64" s="46">
        <f>C64*D64*E64</f>
        <v>565</v>
      </c>
      <c r="G64" s="135">
        <f t="shared" si="2"/>
        <v>1.0885344678233896E-2</v>
      </c>
      <c r="J64" s="119"/>
      <c r="K64" s="124"/>
      <c r="L64" s="183"/>
    </row>
    <row r="65" spans="1:12" ht="13" x14ac:dyDescent="0.3">
      <c r="A65" s="17"/>
      <c r="B65" s="42" t="str">
        <f>'Standard Vorgaben'!$B$181</f>
        <v>Erntewagen 4 Grosskisten</v>
      </c>
      <c r="C65" s="619">
        <f>'Standard Vorgaben'!$C$181</f>
        <v>960</v>
      </c>
      <c r="D65" s="19"/>
      <c r="E65" s="620">
        <f>'Standard Vorgaben'!$D$181</f>
        <v>9</v>
      </c>
      <c r="F65" s="46">
        <f>D66*E65</f>
        <v>215.15625000000003</v>
      </c>
      <c r="G65" s="135">
        <f t="shared" si="2"/>
        <v>4.1452211343827646E-3</v>
      </c>
      <c r="J65" s="119">
        <f>'Standard Vorgaben'!G181</f>
        <v>1.57</v>
      </c>
      <c r="K65" s="124">
        <f>D66*J65</f>
        <v>37.532812500000006</v>
      </c>
      <c r="L65" s="183"/>
    </row>
    <row r="66" spans="1:12" ht="13" x14ac:dyDescent="0.3">
      <c r="A66" s="17"/>
      <c r="B66" s="298" t="s">
        <v>208</v>
      </c>
      <c r="C66" s="266">
        <f>'Standard Vorgaben'!$E$181</f>
        <v>4</v>
      </c>
      <c r="D66" s="336">
        <f>((D9+D10)+('Standard Vorgaben'!$D$89*D13))/C65</f>
        <v>23.906250000000004</v>
      </c>
      <c r="E66" s="338">
        <f>C65/C91/C66</f>
        <v>2.4742268041237114</v>
      </c>
      <c r="F66" s="46"/>
      <c r="G66" s="135">
        <f t="shared" si="2"/>
        <v>0</v>
      </c>
      <c r="K66" s="131"/>
      <c r="L66" s="341"/>
    </row>
    <row r="67" spans="1:12" ht="13" x14ac:dyDescent="0.3">
      <c r="A67" s="17"/>
      <c r="B67" s="42" t="str">
        <f>'Standard Vorgaben'!$B$182</f>
        <v>Sichelmulchgerät mit beids. Schwenkarm</v>
      </c>
      <c r="C67" s="47">
        <f>'Standard Vorgaben'!$E$182</f>
        <v>7</v>
      </c>
      <c r="D67" s="40">
        <f>'Standard Vorgaben'!$C$182</f>
        <v>1</v>
      </c>
      <c r="E67" s="45">
        <f>'Standard Vorgaben'!$D$182</f>
        <v>41</v>
      </c>
      <c r="F67" s="46">
        <f>C67*E67</f>
        <v>287</v>
      </c>
      <c r="G67" s="135">
        <f t="shared" si="2"/>
        <v>5.5293697746073064E-3</v>
      </c>
      <c r="J67" s="119">
        <f>'Standard Vorgaben'!H182</f>
        <v>0</v>
      </c>
      <c r="K67" s="131">
        <f>C67*J67</f>
        <v>0</v>
      </c>
      <c r="L67" s="341"/>
    </row>
    <row r="68" spans="1:12" ht="13.5" thickBot="1" x14ac:dyDescent="0.35">
      <c r="A68" s="17"/>
      <c r="B68" s="42" t="str">
        <f>'Standard Vorgaben'!$B$183</f>
        <v>Schnittholzhacker</v>
      </c>
      <c r="C68" s="564">
        <v>1</v>
      </c>
      <c r="D68" s="733">
        <f>'Standard Vorgaben'!$C$183</f>
        <v>2</v>
      </c>
      <c r="E68" s="45">
        <f>'Standard Vorgaben'!$D$183</f>
        <v>68.3</v>
      </c>
      <c r="F68" s="474">
        <f>C68*E68</f>
        <v>68.3</v>
      </c>
      <c r="G68" s="135">
        <f t="shared" si="2"/>
        <v>1.315874409775885E-3</v>
      </c>
      <c r="H68" s="19"/>
      <c r="J68" s="119">
        <f>'Standard Vorgaben'!G183</f>
        <v>29.05</v>
      </c>
      <c r="K68" s="131">
        <f>C68*J68</f>
        <v>29.05</v>
      </c>
      <c r="L68" s="341"/>
    </row>
    <row r="69" spans="1:12" ht="13" x14ac:dyDescent="0.3">
      <c r="A69" s="17"/>
      <c r="B69" s="42" t="s">
        <v>107</v>
      </c>
      <c r="C69" s="44"/>
      <c r="D69" s="623">
        <f>(C61*D61)+(C62*D62)+(C486)+(C63*D63)+(D66*E66*'Standard Vorgaben'!$I$174)+(C67*D67)+(C68*D68)+(C73*D73)</f>
        <v>58.787371134020617</v>
      </c>
      <c r="E69" s="45"/>
      <c r="F69" s="85">
        <f>SUM(F61:F68)</f>
        <v>2210.4562500000002</v>
      </c>
      <c r="G69" s="135">
        <f t="shared" si="2"/>
        <v>4.2586864030807706E-2</v>
      </c>
      <c r="H69" s="19"/>
      <c r="J69" s="119"/>
      <c r="K69" s="131"/>
      <c r="L69" s="341"/>
    </row>
    <row r="70" spans="1:12" ht="13" x14ac:dyDescent="0.3">
      <c r="A70" s="859"/>
      <c r="B70" s="87" t="str">
        <f>'Standard Vorgaben'!$B$174</f>
        <v>Obstbautraktor 4-Rad</v>
      </c>
      <c r="C70" s="44"/>
      <c r="D70" s="623">
        <f>D69</f>
        <v>58.787371134020617</v>
      </c>
      <c r="E70" s="45">
        <f>'Standard Vorgaben'!$D$174</f>
        <v>41</v>
      </c>
      <c r="F70" s="149">
        <f>D70*E70</f>
        <v>2410.2822164948452</v>
      </c>
      <c r="G70" s="135">
        <f t="shared" si="2"/>
        <v>4.6436730439582234E-2</v>
      </c>
      <c r="H70" s="1021"/>
      <c r="I70" t="s">
        <v>108</v>
      </c>
      <c r="J70" s="128">
        <f>'Standard Vorgaben'!H191</f>
        <v>0</v>
      </c>
      <c r="K70" s="131">
        <f>D70*J70</f>
        <v>0</v>
      </c>
      <c r="L70" s="341"/>
    </row>
    <row r="71" spans="1:12" x14ac:dyDescent="0.25">
      <c r="A71" s="1423" t="s">
        <v>406</v>
      </c>
      <c r="B71" s="145" t="str">
        <f>'Standard Vorgaben'!$B$174</f>
        <v>Obstbautraktor 4-Rad</v>
      </c>
      <c r="C71" s="564">
        <v>10</v>
      </c>
      <c r="D71" s="320"/>
      <c r="E71" s="45">
        <f>'Standard Vorgaben'!$D$174</f>
        <v>41</v>
      </c>
      <c r="F71" s="149">
        <f>E71*C71</f>
        <v>410</v>
      </c>
      <c r="G71" s="135">
        <f t="shared" si="2"/>
        <v>7.8990996780104374E-3</v>
      </c>
      <c r="H71" s="1021"/>
      <c r="J71" s="128"/>
      <c r="K71" s="131"/>
      <c r="L71" s="341"/>
    </row>
    <row r="72" spans="1:12" x14ac:dyDescent="0.25">
      <c r="A72" s="1423"/>
      <c r="B72" s="145" t="str">
        <f>'Standard Vorgaben'!$B$187</f>
        <v>Hebebühne schwer, selbstfahrend, elektrisch Ernte</v>
      </c>
      <c r="C72" s="1383">
        <f>C66*D66*'Standard Vorgaben'!$C$187+'Standard Vorgaben'!$C$188*'Standard Vorgaben'!$C$231+'Standard Vorgaben'!$D$96*'Standard Vorgaben'!$C$189</f>
        <v>89.125</v>
      </c>
      <c r="D72" s="744"/>
      <c r="E72" s="1385">
        <f>'Standard Vorgaben'!$D$187</f>
        <v>17.5</v>
      </c>
      <c r="F72" s="149">
        <f>E72*C72</f>
        <v>1559.6875</v>
      </c>
      <c r="G72" s="135">
        <f t="shared" si="2"/>
        <v>3.0049090314748547E-2</v>
      </c>
      <c r="H72" s="1021"/>
      <c r="J72" s="128"/>
      <c r="K72" s="131"/>
      <c r="L72" s="341"/>
    </row>
    <row r="73" spans="1:12" x14ac:dyDescent="0.25">
      <c r="A73" s="1260"/>
      <c r="B73" s="145" t="str">
        <f>'Standard Vorgaben'!$B$184</f>
        <v>Hackgerät Ladurner</v>
      </c>
      <c r="C73" s="221">
        <f>'Standard Vorgaben'!$E$184</f>
        <v>3</v>
      </c>
      <c r="D73" s="221">
        <f>'Standard Vorgaben'!$C$184</f>
        <v>2</v>
      </c>
      <c r="E73" s="1388">
        <f>'Standard Vorgaben'!$D$184</f>
        <v>130</v>
      </c>
      <c r="F73" s="46">
        <f>C73*E73</f>
        <v>390</v>
      </c>
      <c r="G73" s="135">
        <f t="shared" si="2"/>
        <v>7.5137777424977327E-3</v>
      </c>
      <c r="H73" s="1021"/>
      <c r="J73" s="128"/>
      <c r="K73" s="131"/>
      <c r="L73" s="341"/>
    </row>
    <row r="74" spans="1:12" x14ac:dyDescent="0.25">
      <c r="A74" s="1368"/>
      <c r="B74" s="145" t="str">
        <f>'Standard Vorgaben'!$B$185</f>
        <v>Fadengerät Beikrautregulierung zweiseitg</v>
      </c>
      <c r="C74" s="44">
        <f>'Standard Vorgaben'!$E$185</f>
        <v>6</v>
      </c>
      <c r="D74" s="320">
        <f>'Standard Vorgaben'!$C$185</f>
        <v>1</v>
      </c>
      <c r="E74" s="1386">
        <f>'Standard Vorgaben'!$D$185</f>
        <v>84</v>
      </c>
      <c r="F74" s="149">
        <f>E74*C74*D74</f>
        <v>504</v>
      </c>
      <c r="G74" s="135">
        <f t="shared" si="2"/>
        <v>9.7101127749201471E-3</v>
      </c>
      <c r="H74" s="1021"/>
      <c r="J74" s="128"/>
      <c r="K74" s="131"/>
      <c r="L74" s="341"/>
    </row>
    <row r="75" spans="1:12" ht="13" thickBot="1" x14ac:dyDescent="0.3">
      <c r="A75" s="1260"/>
      <c r="B75" s="42" t="str">
        <f>'Standard Vorgaben'!$B$186</f>
        <v>Diverse Kleingeräte + Mäusevergaser</v>
      </c>
      <c r="C75" s="44"/>
      <c r="D75" s="44"/>
      <c r="E75" s="45"/>
      <c r="F75" s="587">
        <f>'Standard Vorgaben'!D186</f>
        <v>500</v>
      </c>
      <c r="G75" s="135">
        <f t="shared" si="2"/>
        <v>9.6330483878176061E-3</v>
      </c>
      <c r="H75" s="1021"/>
      <c r="J75" s="128"/>
      <c r="K75" s="131"/>
      <c r="L75" s="341"/>
    </row>
    <row r="76" spans="1:12" ht="13" x14ac:dyDescent="0.3">
      <c r="A76" s="860"/>
      <c r="B76" s="4"/>
      <c r="C76" s="35"/>
      <c r="D76" s="35"/>
      <c r="E76" s="48"/>
      <c r="F76" s="55">
        <f>SUM(F69:F75)</f>
        <v>7984.4259664948459</v>
      </c>
      <c r="G76" s="135">
        <f t="shared" si="2"/>
        <v>0.15382872336838441</v>
      </c>
      <c r="K76" s="342">
        <f>SUM(K61:K70)</f>
        <v>66.582812500000003</v>
      </c>
      <c r="L76" s="13"/>
    </row>
    <row r="77" spans="1:12" ht="13" x14ac:dyDescent="0.3">
      <c r="A77" s="77"/>
      <c r="G77" s="135"/>
      <c r="K77" s="131"/>
      <c r="L77" s="13"/>
    </row>
    <row r="78" spans="1:12" ht="13" x14ac:dyDescent="0.3">
      <c r="A78" s="77"/>
      <c r="B78" s="15"/>
      <c r="C78" s="35"/>
      <c r="D78" s="35"/>
      <c r="E78" s="48"/>
      <c r="F78" s="55"/>
      <c r="G78" s="135"/>
      <c r="K78" s="131"/>
      <c r="L78" s="13"/>
    </row>
    <row r="79" spans="1:12" x14ac:dyDescent="0.25">
      <c r="B79" s="15"/>
      <c r="C79" s="44"/>
      <c r="D79" s="120" t="s">
        <v>27</v>
      </c>
      <c r="E79" s="307" t="s">
        <v>21</v>
      </c>
      <c r="F79" s="305" t="s">
        <v>22</v>
      </c>
      <c r="G79" s="135"/>
      <c r="K79" s="131"/>
      <c r="L79" s="13"/>
    </row>
    <row r="80" spans="1:12" ht="13" x14ac:dyDescent="0.3">
      <c r="A80" s="17" t="s">
        <v>62</v>
      </c>
      <c r="B80" s="29" t="s">
        <v>29</v>
      </c>
      <c r="C80" s="44"/>
      <c r="D80" s="368">
        <f>C63*D63</f>
        <v>2</v>
      </c>
      <c r="E80" s="45">
        <f>'Standard Vorgaben'!$C$36</f>
        <v>32.700000000000003</v>
      </c>
      <c r="F80" s="46">
        <f t="shared" ref="F80:F92" si="3">D80*E80</f>
        <v>65.400000000000006</v>
      </c>
      <c r="G80" s="135">
        <f t="shared" ref="G80:G93" si="4">F80/$F$102</f>
        <v>1.2600027291265431E-3</v>
      </c>
    </row>
    <row r="81" spans="1:11" ht="13" x14ac:dyDescent="0.3">
      <c r="A81" s="17"/>
      <c r="B81" s="42" t="s">
        <v>151</v>
      </c>
      <c r="C81" s="13"/>
      <c r="D81" s="47">
        <f>((C61*D61)+'Standard Vorgaben'!B96+'Standard Vorgaben'!C96)</f>
        <v>65</v>
      </c>
      <c r="E81" s="45">
        <f>'Standard Vorgaben'!$C$36</f>
        <v>32.700000000000003</v>
      </c>
      <c r="F81" s="46">
        <f t="shared" si="3"/>
        <v>2125.5</v>
      </c>
      <c r="G81" s="135">
        <f t="shared" si="4"/>
        <v>4.0950088696612645E-2</v>
      </c>
    </row>
    <row r="82" spans="1:11" ht="13" x14ac:dyDescent="0.3">
      <c r="A82" s="17"/>
      <c r="B82" s="42" t="str">
        <f>'Standard Vorgaben'!D93</f>
        <v>Baumerziehung 
(Sommer+Winter)</v>
      </c>
      <c r="C82" s="44"/>
      <c r="D82" s="131">
        <f>'Standard Vorgaben'!D96</f>
        <v>120</v>
      </c>
      <c r="E82" s="45">
        <f>'Standard Vorgaben'!$C$36</f>
        <v>32.700000000000003</v>
      </c>
      <c r="F82" s="46">
        <f t="shared" si="3"/>
        <v>3924.0000000000005</v>
      </c>
      <c r="G82" s="135">
        <f t="shared" si="4"/>
        <v>7.5600163747592583E-2</v>
      </c>
    </row>
    <row r="83" spans="1:11" ht="13" x14ac:dyDescent="0.3">
      <c r="A83" s="17"/>
      <c r="B83" s="29" t="s">
        <v>96</v>
      </c>
      <c r="C83" s="44"/>
      <c r="D83" s="221">
        <f>(C67*D67)+(C68*D68)</f>
        <v>9</v>
      </c>
      <c r="E83" s="45">
        <f>'Standard Vorgaben'!$C$36</f>
        <v>32.700000000000003</v>
      </c>
      <c r="F83" s="46">
        <f t="shared" si="3"/>
        <v>294.3</v>
      </c>
      <c r="G83" s="135">
        <f t="shared" si="4"/>
        <v>5.6700122810694432E-3</v>
      </c>
    </row>
    <row r="84" spans="1:11" ht="13" x14ac:dyDescent="0.3">
      <c r="A84" s="17"/>
      <c r="B84" s="321" t="str">
        <f>'Standard Vorgaben'!E94</f>
        <v>Behangsregulierung (von Hand)</v>
      </c>
      <c r="C84" s="19" t="s">
        <v>202</v>
      </c>
      <c r="D84" s="47">
        <f>'Standard Vorgaben'!E96</f>
        <v>200</v>
      </c>
      <c r="E84" s="45">
        <f>'Standard Vorgaben'!C35</f>
        <v>22.754999999999999</v>
      </c>
      <c r="F84" s="46">
        <f t="shared" si="3"/>
        <v>4551</v>
      </c>
      <c r="G84" s="135">
        <f t="shared" si="4"/>
        <v>8.7680006425915849E-2</v>
      </c>
      <c r="J84" s="11"/>
    </row>
    <row r="85" spans="1:11" ht="13" x14ac:dyDescent="0.3">
      <c r="A85" s="17"/>
      <c r="B85" s="321" t="s">
        <v>684</v>
      </c>
      <c r="C85" s="19"/>
      <c r="D85" s="40">
        <f>C73*D73+C74*D74</f>
        <v>12</v>
      </c>
      <c r="E85" s="45">
        <f>'Standard Vorgaben'!C32</f>
        <v>41.4</v>
      </c>
      <c r="F85" s="46">
        <f>D85*E85</f>
        <v>496.79999999999995</v>
      </c>
      <c r="G85" s="135">
        <f t="shared" si="4"/>
        <v>9.5713968781355723E-3</v>
      </c>
      <c r="J85" s="11"/>
    </row>
    <row r="86" spans="1:11" s="1" customFormat="1" ht="13" x14ac:dyDescent="0.3">
      <c r="A86" s="41"/>
      <c r="B86" s="321" t="s">
        <v>407</v>
      </c>
      <c r="C86" s="273">
        <f>'Standard Vorgaben'!$C$231</f>
        <v>1</v>
      </c>
      <c r="D86" s="923">
        <v>15</v>
      </c>
      <c r="E86" s="45">
        <f>'Standard Vorgaben'!C35</f>
        <v>22.754999999999999</v>
      </c>
      <c r="F86" s="46">
        <f t="shared" si="3"/>
        <v>341.32499999999999</v>
      </c>
      <c r="G86" s="135">
        <f t="shared" si="4"/>
        <v>6.5760004819436892E-3</v>
      </c>
      <c r="H86" s="19"/>
      <c r="J86" s="44"/>
      <c r="K86" s="124"/>
    </row>
    <row r="87" spans="1:11" s="1" customFormat="1" ht="13" x14ac:dyDescent="0.3">
      <c r="A87" s="41"/>
      <c r="B87" s="321" t="s">
        <v>408</v>
      </c>
      <c r="C87" s="273">
        <f>'Standard Vorgaben'!$C$231</f>
        <v>1</v>
      </c>
      <c r="D87" s="923">
        <v>10</v>
      </c>
      <c r="E87" s="45">
        <f>'Standard Vorgaben'!C35</f>
        <v>22.754999999999999</v>
      </c>
      <c r="F87" s="46">
        <f t="shared" si="3"/>
        <v>227.54999999999998</v>
      </c>
      <c r="G87" s="135">
        <f t="shared" si="4"/>
        <v>4.3840003212957919E-3</v>
      </c>
      <c r="H87" s="19"/>
      <c r="J87" s="35"/>
      <c r="K87" s="124"/>
    </row>
    <row r="88" spans="1:11" s="1" customFormat="1" ht="13" x14ac:dyDescent="0.3">
      <c r="A88" s="41"/>
      <c r="B88" t="s">
        <v>484</v>
      </c>
      <c r="C88" s="273">
        <f>'Standard Vorgaben'!$C$238</f>
        <v>1</v>
      </c>
      <c r="D88" s="1059">
        <f>'Standard Standjahre'!D82</f>
        <v>10</v>
      </c>
      <c r="E88" s="45">
        <f>'Standard Vorgaben'!D240</f>
        <v>32.700000000000003</v>
      </c>
      <c r="F88" s="46">
        <f t="shared" si="3"/>
        <v>327</v>
      </c>
      <c r="G88" s="135">
        <f t="shared" si="4"/>
        <v>6.300013645632715E-3</v>
      </c>
      <c r="H88" s="19"/>
      <c r="J88" s="35"/>
      <c r="K88" s="124"/>
    </row>
    <row r="89" spans="1:11" s="1" customFormat="1" ht="13.5" thickBot="1" x14ac:dyDescent="0.35">
      <c r="A89" s="41"/>
      <c r="B89" t="s">
        <v>485</v>
      </c>
      <c r="C89" s="273">
        <f>'Standard Vorgaben'!$C$238</f>
        <v>1</v>
      </c>
      <c r="D89" s="1059">
        <f>'Standard Standjahre'!D83</f>
        <v>4</v>
      </c>
      <c r="E89" s="45">
        <f>'Standard Vorgaben'!D241</f>
        <v>32.700000000000003</v>
      </c>
      <c r="F89" s="46">
        <f t="shared" si="3"/>
        <v>130.80000000000001</v>
      </c>
      <c r="G89" s="135">
        <f t="shared" si="4"/>
        <v>2.5200054582530862E-3</v>
      </c>
      <c r="H89" s="19"/>
      <c r="J89" s="35"/>
      <c r="K89" s="124"/>
    </row>
    <row r="90" spans="1:11" s="1" customFormat="1" ht="15.5" x14ac:dyDescent="0.35">
      <c r="A90" s="41"/>
      <c r="C90" s="19"/>
      <c r="D90" s="344"/>
      <c r="E90" s="45"/>
      <c r="F90" s="1125">
        <f>SUM(F80:F89)</f>
        <v>12483.674999999999</v>
      </c>
      <c r="G90" s="135">
        <f t="shared" si="4"/>
        <v>0.2405116906655779</v>
      </c>
      <c r="H90" s="19"/>
      <c r="J90" s="35"/>
      <c r="K90" s="124"/>
    </row>
    <row r="91" spans="1:11" ht="13" x14ac:dyDescent="0.3">
      <c r="A91" s="17" t="s">
        <v>343</v>
      </c>
      <c r="B91" s="756" t="s">
        <v>344</v>
      </c>
      <c r="C91" s="764">
        <f>'Standard Vorgaben'!H89</f>
        <v>97</v>
      </c>
      <c r="D91" s="47">
        <f>(D9+D10+('Standard Vorgaben'!D89*D13))/C91</f>
        <v>236.59793814432993</v>
      </c>
      <c r="E91" s="45">
        <f>'Standard Vorgaben'!C35</f>
        <v>22.754999999999999</v>
      </c>
      <c r="F91" s="46">
        <f t="shared" si="3"/>
        <v>5383.7860824742274</v>
      </c>
      <c r="G91" s="135">
        <f t="shared" si="4"/>
        <v>0.10372454368426645</v>
      </c>
    </row>
    <row r="92" spans="1:11" ht="13.5" thickBot="1" x14ac:dyDescent="0.35">
      <c r="A92" s="17"/>
      <c r="B92" s="29" t="s">
        <v>95</v>
      </c>
      <c r="C92" s="44"/>
      <c r="D92" s="47">
        <f>'Standard Vorgaben'!F96+'Standard Vorgaben'!G96</f>
        <v>40</v>
      </c>
      <c r="E92" s="45">
        <f>'Standard Vorgaben'!$C$32</f>
        <v>41.4</v>
      </c>
      <c r="F92" s="474">
        <f t="shared" si="3"/>
        <v>1656</v>
      </c>
      <c r="G92" s="135">
        <f t="shared" si="4"/>
        <v>3.1904656260451913E-2</v>
      </c>
    </row>
    <row r="93" spans="1:11" ht="15.5" x14ac:dyDescent="0.35">
      <c r="A93" s="754" t="s">
        <v>84</v>
      </c>
      <c r="B93" s="765">
        <f>('Standard Vorgaben'!G34*D84)+('Standard Vorgaben'!G34*D91)</f>
        <v>371.10824742268045</v>
      </c>
      <c r="C93" s="756" t="s">
        <v>82</v>
      </c>
      <c r="D93" s="861">
        <f>SUM(D80:D84,D91:D92)+C86*D86+C87*D87+C88*D88+C89*D89</f>
        <v>711.59793814432987</v>
      </c>
      <c r="E93" s="45"/>
      <c r="F93" s="287">
        <f>SUM(F90:F92)</f>
        <v>19523.461082474227</v>
      </c>
      <c r="G93" s="555">
        <f t="shared" si="4"/>
        <v>0.37614089061029626</v>
      </c>
    </row>
    <row r="94" spans="1:11" s="1" customFormat="1" ht="13" x14ac:dyDescent="0.3">
      <c r="A94" s="756"/>
      <c r="B94" s="765"/>
      <c r="C94" s="756"/>
      <c r="D94" s="861"/>
      <c r="E94" s="45"/>
      <c r="F94" s="83"/>
      <c r="G94" s="135"/>
      <c r="H94" s="19"/>
      <c r="J94" s="35"/>
      <c r="K94" s="124"/>
    </row>
    <row r="95" spans="1:11" s="1" customFormat="1" ht="13" x14ac:dyDescent="0.3">
      <c r="A95" s="756"/>
      <c r="B95" s="765"/>
      <c r="C95" s="756"/>
      <c r="D95" s="861"/>
      <c r="E95" s="45"/>
      <c r="F95" s="83"/>
      <c r="G95" s="135"/>
      <c r="H95" s="19"/>
      <c r="J95" s="35"/>
      <c r="K95" s="124"/>
    </row>
    <row r="96" spans="1:11" ht="13" x14ac:dyDescent="0.3">
      <c r="A96" s="17" t="s">
        <v>66</v>
      </c>
      <c r="B96" s="29" t="s">
        <v>63</v>
      </c>
      <c r="C96" s="44"/>
      <c r="D96" s="44"/>
      <c r="E96" s="45"/>
      <c r="F96" s="46">
        <f>'Standard Vorgaben'!C42</f>
        <v>660</v>
      </c>
      <c r="G96" s="135">
        <f>F96/$F$102</f>
        <v>1.271562387191924E-2</v>
      </c>
    </row>
    <row r="97" spans="1:11" ht="13" thickBot="1" x14ac:dyDescent="0.3">
      <c r="A97" s="13"/>
      <c r="B97" s="13" t="s">
        <v>193</v>
      </c>
      <c r="C97" s="862">
        <f>'Standard Vorgaben'!C41</f>
        <v>0.6</v>
      </c>
      <c r="D97" s="863">
        <f>'Standard Vorgaben'!C40</f>
        <v>1.4999999999999999E-2</v>
      </c>
      <c r="E97" s="149">
        <f>C51</f>
        <v>176166.41380068139</v>
      </c>
      <c r="F97" s="474">
        <f>$D$97*E97*$C$97</f>
        <v>1585.4977242061323</v>
      </c>
      <c r="G97" s="135">
        <f>F97/$F$102</f>
        <v>3.0546352592104732E-2</v>
      </c>
    </row>
    <row r="98" spans="1:11" ht="15.5" x14ac:dyDescent="0.35">
      <c r="A98" s="13"/>
      <c r="B98" s="13"/>
      <c r="C98" s="19"/>
      <c r="D98" s="19"/>
      <c r="E98" s="19"/>
      <c r="F98" s="287">
        <f>SUM(F96:F97)</f>
        <v>2245.4977242061323</v>
      </c>
      <c r="G98" s="555">
        <f>F98/$F$102</f>
        <v>4.3261976464023973E-2</v>
      </c>
    </row>
    <row r="99" spans="1:11" s="1" customFormat="1" ht="13" x14ac:dyDescent="0.3">
      <c r="F99" s="134"/>
      <c r="G99" s="135"/>
      <c r="H99" s="19"/>
      <c r="J99" s="35"/>
      <c r="K99" s="124"/>
    </row>
    <row r="100" spans="1:11" ht="20" x14ac:dyDescent="0.4">
      <c r="A100" s="742" t="s">
        <v>35</v>
      </c>
      <c r="B100" s="743"/>
      <c r="C100" s="1034"/>
      <c r="D100" s="1035"/>
      <c r="E100" s="1036"/>
      <c r="F100" s="598">
        <f>F98+F93+F76+F58</f>
        <v>29903.384773175203</v>
      </c>
      <c r="G100" s="1037">
        <f>F100/$F$102</f>
        <v>0.5761215049590499</v>
      </c>
    </row>
    <row r="101" spans="1:11" s="1" customFormat="1" ht="20" x14ac:dyDescent="0.4">
      <c r="A101" s="645"/>
      <c r="B101" s="650"/>
      <c r="C101" s="651"/>
      <c r="D101" s="652"/>
      <c r="E101" s="653"/>
      <c r="F101" s="648"/>
      <c r="G101" s="1017"/>
      <c r="H101" s="19"/>
      <c r="J101" s="35"/>
      <c r="K101" s="124"/>
    </row>
    <row r="102" spans="1:11" s="350" customFormat="1" ht="27.75" customHeight="1" x14ac:dyDescent="0.5">
      <c r="A102" s="847" t="s">
        <v>219</v>
      </c>
      <c r="B102" s="1029"/>
      <c r="C102" s="1030"/>
      <c r="D102" s="1031"/>
      <c r="E102" s="1032"/>
      <c r="F102" s="649">
        <f>F100+F57</f>
        <v>51904.649480669366</v>
      </c>
      <c r="G102" s="1033">
        <f>F102/$F$102</f>
        <v>1</v>
      </c>
      <c r="H102" s="1022"/>
      <c r="I102" s="347"/>
      <c r="J102" s="348"/>
      <c r="K102" s="349"/>
    </row>
    <row r="103" spans="1:11" s="350" customFormat="1" ht="13.75" customHeight="1" x14ac:dyDescent="0.5">
      <c r="A103" s="654"/>
      <c r="B103" s="655"/>
      <c r="C103" s="656"/>
      <c r="D103" s="657"/>
      <c r="E103" s="658"/>
      <c r="F103" s="649"/>
      <c r="G103" s="1018"/>
      <c r="H103" s="1022"/>
      <c r="I103" s="347"/>
      <c r="J103" s="348"/>
      <c r="K103" s="349"/>
    </row>
    <row r="104" spans="1:11" s="350" customFormat="1" ht="22.5" x14ac:dyDescent="0.45">
      <c r="A104" s="1038" t="s">
        <v>419</v>
      </c>
      <c r="B104" s="1039"/>
      <c r="C104" s="1040"/>
      <c r="D104" s="1041"/>
      <c r="E104" s="1042"/>
      <c r="F104" s="660">
        <f>F102/D13</f>
        <v>2.0354764502223279</v>
      </c>
      <c r="G104" s="1033"/>
      <c r="H104" s="1022"/>
      <c r="I104" s="347"/>
      <c r="J104" s="348"/>
      <c r="K104" s="349"/>
    </row>
    <row r="105" spans="1:11" s="350" customFormat="1" ht="31" x14ac:dyDescent="0.45">
      <c r="A105" s="363" t="s">
        <v>295</v>
      </c>
      <c r="B105" s="103"/>
      <c r="C105" s="333"/>
      <c r="D105" s="377" t="s">
        <v>420</v>
      </c>
      <c r="E105" s="378" t="s">
        <v>68</v>
      </c>
      <c r="F105" s="102"/>
      <c r="G105" s="928"/>
      <c r="H105" s="1022"/>
      <c r="I105" s="347"/>
      <c r="J105" s="348"/>
      <c r="K105" s="349"/>
    </row>
    <row r="106" spans="1:11" s="350" customFormat="1" ht="23" x14ac:dyDescent="0.5">
      <c r="A106" s="371"/>
      <c r="B106" s="374"/>
      <c r="C106" s="1049" t="s">
        <v>601</v>
      </c>
      <c r="D106" s="1050">
        <f>F9/F13</f>
        <v>0.95144998370804823</v>
      </c>
      <c r="E106" s="1051">
        <f>D106*F102</f>
        <v>49384.677902754825</v>
      </c>
      <c r="F106" s="1052">
        <f>E106/D9</f>
        <v>2.6529507334276023</v>
      </c>
      <c r="G106" s="928"/>
      <c r="H106" s="1022"/>
      <c r="I106" s="347"/>
      <c r="J106" s="348"/>
      <c r="K106" s="349"/>
    </row>
    <row r="107" spans="1:11" s="350" customFormat="1" ht="23" x14ac:dyDescent="0.5">
      <c r="A107" s="358"/>
      <c r="B107" s="359"/>
      <c r="C107" s="333"/>
      <c r="D107" s="864"/>
      <c r="E107" s="365"/>
      <c r="F107" s="369"/>
      <c r="G107" s="928"/>
      <c r="H107" s="1022"/>
      <c r="I107" s="347"/>
      <c r="J107" s="348"/>
      <c r="K107" s="349"/>
    </row>
    <row r="108" spans="1:11" s="99" customFormat="1" ht="23.5" customHeight="1" x14ac:dyDescent="0.4">
      <c r="A108" s="1038" t="s">
        <v>416</v>
      </c>
      <c r="B108" s="1039"/>
      <c r="C108" s="1040"/>
      <c r="D108" s="1041"/>
      <c r="E108" s="659"/>
      <c r="F108" s="614">
        <f>F16-F102</f>
        <v>-2248.9494806693692</v>
      </c>
      <c r="G108" s="929"/>
      <c r="H108" s="1023"/>
      <c r="I108" s="351"/>
      <c r="J108" s="352"/>
      <c r="K108" s="353"/>
    </row>
    <row r="109" spans="1:11" s="99" customFormat="1" ht="13.75" customHeight="1" x14ac:dyDescent="0.4">
      <c r="A109" s="363"/>
      <c r="B109" s="103"/>
      <c r="C109" s="333"/>
      <c r="D109" s="364"/>
      <c r="E109" s="365"/>
      <c r="F109" s="102"/>
      <c r="G109" s="929"/>
      <c r="H109" s="1023"/>
      <c r="I109" s="351"/>
      <c r="J109" s="352" t="s">
        <v>415</v>
      </c>
      <c r="K109" s="353"/>
    </row>
    <row r="110" spans="1:11" s="51" customFormat="1" ht="18.75" customHeight="1" x14ac:dyDescent="0.4">
      <c r="A110" s="702" t="s">
        <v>417</v>
      </c>
      <c r="B110" s="316"/>
      <c r="C110" s="314"/>
      <c r="D110" s="366"/>
      <c r="E110" s="367"/>
      <c r="F110" s="703">
        <f>F16/F102</f>
        <v>0.95667152166190939</v>
      </c>
      <c r="G110" s="930"/>
      <c r="H110" s="1024"/>
      <c r="I110" s="66"/>
      <c r="J110" s="122"/>
      <c r="K110" s="126"/>
    </row>
    <row r="111" spans="1:11" s="51" customFormat="1" ht="13.5" customHeight="1" x14ac:dyDescent="0.4">
      <c r="A111" s="153"/>
      <c r="B111" s="316"/>
      <c r="C111" s="314"/>
      <c r="D111" s="366"/>
      <c r="E111" s="367"/>
      <c r="F111" s="643"/>
      <c r="G111" s="930"/>
      <c r="H111" s="1024"/>
      <c r="I111" s="66"/>
      <c r="J111" s="122"/>
      <c r="K111" s="126"/>
    </row>
    <row r="112" spans="1:11" s="51" customFormat="1" ht="21.65" customHeight="1" x14ac:dyDescent="0.4">
      <c r="A112" s="704" t="s">
        <v>211</v>
      </c>
      <c r="B112" s="704"/>
      <c r="C112" s="103" t="s">
        <v>212</v>
      </c>
      <c r="D112" s="705"/>
      <c r="E112" s="705"/>
      <c r="F112" s="705">
        <f>F13-F57</f>
        <v>24954.435292505837</v>
      </c>
      <c r="G112" s="930"/>
      <c r="H112" s="1024"/>
      <c r="I112" s="66"/>
      <c r="J112" s="122"/>
      <c r="K112" s="126"/>
    </row>
    <row r="113" spans="1:11" s="51" customFormat="1" ht="21.65" customHeight="1" x14ac:dyDescent="0.4">
      <c r="A113" s="704"/>
      <c r="B113" s="704"/>
      <c r="C113" s="113" t="s">
        <v>79</v>
      </c>
      <c r="D113" s="705"/>
      <c r="E113" s="705"/>
      <c r="F113" s="644">
        <f>F16-F57</f>
        <v>27654.435292505837</v>
      </c>
      <c r="G113" s="930"/>
      <c r="H113" s="1024"/>
      <c r="I113" s="66"/>
      <c r="J113" s="122"/>
      <c r="K113" s="126"/>
    </row>
    <row r="114" spans="1:11" s="51" customFormat="1" ht="13.5" customHeight="1" x14ac:dyDescent="0.4">
      <c r="A114" s="153"/>
      <c r="B114" s="316"/>
      <c r="C114" s="314"/>
      <c r="D114" s="366"/>
      <c r="E114" s="367"/>
      <c r="F114" s="643"/>
      <c r="G114" s="930"/>
      <c r="H114" s="1024"/>
      <c r="I114" s="66"/>
      <c r="J114" s="122"/>
      <c r="K114" s="126"/>
    </row>
    <row r="115" spans="1:11" s="51" customFormat="1" ht="25.25" customHeight="1" x14ac:dyDescent="0.4">
      <c r="A115" s="315" t="s">
        <v>418</v>
      </c>
      <c r="B115" s="316"/>
      <c r="C115" s="314"/>
      <c r="D115" s="366"/>
      <c r="E115" s="367"/>
      <c r="F115" s="706">
        <f>F108+F51</f>
        <v>12431.585002720747</v>
      </c>
      <c r="G115" s="930"/>
      <c r="H115" s="1024"/>
      <c r="I115" s="66"/>
      <c r="J115" s="122"/>
      <c r="K115" s="126"/>
    </row>
    <row r="116" spans="1:11" s="51" customFormat="1" ht="18.75" customHeight="1" x14ac:dyDescent="0.4">
      <c r="A116" s="361"/>
      <c r="B116" s="319"/>
      <c r="C116" s="317"/>
      <c r="D116" s="345"/>
      <c r="E116" s="346"/>
      <c r="F116" s="362"/>
      <c r="G116" s="930"/>
      <c r="H116" s="1024"/>
      <c r="I116" s="66"/>
      <c r="J116" s="122"/>
      <c r="K116" s="126"/>
    </row>
    <row r="117" spans="1:11" s="1" customFormat="1" ht="16.5" customHeight="1" x14ac:dyDescent="0.4">
      <c r="A117" s="153" t="s">
        <v>67</v>
      </c>
      <c r="B117" s="145"/>
      <c r="C117" s="221"/>
      <c r="D117" s="368"/>
      <c r="E117" s="219"/>
      <c r="F117" s="292">
        <f>F102-F93</f>
        <v>32381.18839819514</v>
      </c>
      <c r="G117" s="135"/>
      <c r="H117" s="1025"/>
      <c r="J117" s="35"/>
      <c r="K117" s="124"/>
    </row>
    <row r="118" spans="1:11" s="1" customFormat="1" ht="16.5" customHeight="1" x14ac:dyDescent="0.4">
      <c r="A118" s="331" t="s">
        <v>188</v>
      </c>
      <c r="B118" s="145"/>
      <c r="C118" s="221"/>
      <c r="D118" s="368"/>
      <c r="E118" s="219"/>
      <c r="F118" s="292">
        <f>F93</f>
        <v>19523.461082474227</v>
      </c>
      <c r="G118" s="135"/>
      <c r="H118" s="1025"/>
      <c r="J118" s="35"/>
      <c r="K118" s="124"/>
    </row>
    <row r="119" spans="1:11" ht="18" x14ac:dyDescent="0.4">
      <c r="A119" s="331" t="s">
        <v>216</v>
      </c>
      <c r="B119" s="87"/>
      <c r="C119" s="87"/>
      <c r="D119" s="87"/>
      <c r="E119" s="87"/>
      <c r="F119" s="292">
        <f>F16-F117</f>
        <v>17274.511601804857</v>
      </c>
      <c r="G119" s="19"/>
      <c r="H119" s="1026"/>
    </row>
    <row r="120" spans="1:11" ht="20" x14ac:dyDescent="0.4">
      <c r="A120" s="742" t="s">
        <v>220</v>
      </c>
      <c r="B120" s="1044"/>
      <c r="C120" s="1044"/>
      <c r="D120" s="1044"/>
      <c r="E120" s="583"/>
      <c r="F120" s="646">
        <f>F119/D93</f>
        <v>24.275662808765972</v>
      </c>
      <c r="G120" s="19"/>
    </row>
    <row r="121" spans="1:11" s="1" customFormat="1" ht="20" x14ac:dyDescent="0.4">
      <c r="A121" s="742"/>
      <c r="B121" s="1044"/>
      <c r="C121" s="1044"/>
      <c r="D121" s="1044"/>
      <c r="E121" s="583"/>
      <c r="F121" s="646"/>
      <c r="G121" s="19"/>
      <c r="H121" s="19"/>
      <c r="J121" s="35"/>
      <c r="K121" s="124"/>
    </row>
    <row r="122" spans="1:11" s="308" customFormat="1" ht="20" x14ac:dyDescent="0.4">
      <c r="A122" s="742" t="s">
        <v>83</v>
      </c>
      <c r="B122" s="742"/>
      <c r="C122" s="742"/>
      <c r="D122" s="742"/>
      <c r="E122" s="645"/>
      <c r="F122" s="647">
        <f>(F119-(B93*'Standard Vorgaben'!C34))/(D93-B93)</f>
        <v>27.845889800168688</v>
      </c>
      <c r="G122" s="316"/>
      <c r="H122" s="778"/>
      <c r="J122" s="354"/>
      <c r="K122" s="355"/>
    </row>
    <row r="123" spans="1:11" s="319" customFormat="1" ht="20" x14ac:dyDescent="0.4">
      <c r="A123" s="275"/>
      <c r="B123" s="275"/>
      <c r="C123" s="275"/>
      <c r="D123" s="275"/>
      <c r="E123" s="275"/>
      <c r="F123" s="356"/>
      <c r="G123" s="316"/>
      <c r="H123" s="316"/>
      <c r="J123" s="317"/>
      <c r="K123" s="357"/>
    </row>
    <row r="124" spans="1:11" ht="22.75" customHeight="1" x14ac:dyDescent="0.4">
      <c r="A124" s="372" t="s">
        <v>113</v>
      </c>
      <c r="B124" s="1445" t="s">
        <v>421</v>
      </c>
      <c r="C124" s="1445"/>
      <c r="D124" s="1445"/>
      <c r="E124" s="1445"/>
      <c r="F124" s="661">
        <f>K76+F93+F49+F37+F21+F90</f>
        <v>38244.369161640898</v>
      </c>
      <c r="G124" s="46">
        <f>F16</f>
        <v>49655.7</v>
      </c>
    </row>
    <row r="125" spans="1:11" s="1" customFormat="1" ht="15" customHeight="1" x14ac:dyDescent="0.4">
      <c r="A125" s="372"/>
      <c r="B125" s="373"/>
      <c r="C125" s="373"/>
      <c r="D125" s="373"/>
      <c r="E125" s="373"/>
      <c r="F125" s="661"/>
      <c r="G125" s="46"/>
      <c r="H125" s="19"/>
      <c r="J125" s="35"/>
      <c r="K125" s="124"/>
    </row>
    <row r="126" spans="1:11" ht="15.5" x14ac:dyDescent="0.35">
      <c r="A126" s="153" t="s">
        <v>132</v>
      </c>
      <c r="B126" s="113" t="s">
        <v>217</v>
      </c>
      <c r="C126" s="145"/>
      <c r="D126" s="145"/>
      <c r="E126" s="145"/>
      <c r="F126" s="662">
        <f>F16/D93</f>
        <v>69.780556320173844</v>
      </c>
      <c r="G126" s="19"/>
    </row>
    <row r="127" spans="1:11" ht="13" x14ac:dyDescent="0.3">
      <c r="A127" s="87"/>
      <c r="B127" s="145" t="s">
        <v>177</v>
      </c>
      <c r="C127" s="145"/>
      <c r="D127" s="145"/>
      <c r="E127" s="145"/>
      <c r="F127" s="375">
        <f>D9/D93</f>
        <v>26.15943498732344</v>
      </c>
      <c r="G127" s="19"/>
    </row>
    <row r="128" spans="1:11" ht="13" x14ac:dyDescent="0.3">
      <c r="A128" s="87"/>
      <c r="B128" s="145"/>
      <c r="C128" s="145"/>
      <c r="D128" s="145"/>
      <c r="E128" s="145"/>
      <c r="F128" s="375"/>
      <c r="G128" s="19"/>
    </row>
    <row r="129" spans="1:11" s="1" customFormat="1" ht="20" x14ac:dyDescent="0.4">
      <c r="A129" s="315" t="s">
        <v>133</v>
      </c>
      <c r="B129" s="113" t="s">
        <v>210</v>
      </c>
      <c r="C129" s="113"/>
      <c r="D129" s="113"/>
      <c r="E129" s="113"/>
      <c r="F129" s="663">
        <f>(F108+F97)/E97</f>
        <v>-3.7660513269792795E-3</v>
      </c>
      <c r="G129" s="19"/>
      <c r="H129" s="19"/>
      <c r="J129" s="35"/>
      <c r="K129" s="8"/>
    </row>
    <row r="130" spans="1:11" x14ac:dyDescent="0.25">
      <c r="A130" s="13"/>
      <c r="B130" s="13"/>
      <c r="C130" s="13"/>
      <c r="D130" s="13"/>
      <c r="E130" s="13"/>
      <c r="F130" s="376"/>
    </row>
    <row r="131" spans="1:11" x14ac:dyDescent="0.25">
      <c r="A131" s="13"/>
      <c r="B131" s="13"/>
      <c r="C131" s="13"/>
      <c r="D131" s="13"/>
      <c r="E131" s="13"/>
      <c r="F131" s="376"/>
    </row>
    <row r="132" spans="1:11" x14ac:dyDescent="0.25">
      <c r="F132" s="37"/>
    </row>
    <row r="133" spans="1:11" ht="20" x14ac:dyDescent="0.4">
      <c r="A133" s="636" t="s">
        <v>192</v>
      </c>
      <c r="B133" s="637"/>
      <c r="C133" s="637"/>
      <c r="D133" s="637"/>
      <c r="E133" s="637"/>
      <c r="F133" s="640"/>
    </row>
    <row r="134" spans="1:11" x14ac:dyDescent="0.25">
      <c r="F134" s="37"/>
    </row>
    <row r="135" spans="1:11" s="169" customFormat="1" ht="21.75" customHeight="1" x14ac:dyDescent="0.25">
      <c r="A135" s="871" t="s">
        <v>186</v>
      </c>
      <c r="B135" s="866" t="s">
        <v>69</v>
      </c>
      <c r="C135" s="866" t="s">
        <v>190</v>
      </c>
      <c r="G135" s="172"/>
      <c r="H135" s="938"/>
      <c r="J135" s="170"/>
      <c r="K135" s="171"/>
    </row>
    <row r="136" spans="1:11" ht="13" x14ac:dyDescent="0.3">
      <c r="A136" s="19" t="s">
        <v>188</v>
      </c>
      <c r="B136" s="46">
        <f>F93</f>
        <v>19523.461082474227</v>
      </c>
      <c r="C136" s="872">
        <f>B136/$B$139</f>
        <v>0.37614089061029626</v>
      </c>
      <c r="D136" s="1"/>
      <c r="E136" s="1"/>
      <c r="F136" s="1"/>
    </row>
    <row r="137" spans="1:11" ht="13" x14ac:dyDescent="0.3">
      <c r="A137" s="19" t="s">
        <v>279</v>
      </c>
      <c r="B137" s="46">
        <f>F98</f>
        <v>2245.4977242061323</v>
      </c>
      <c r="C137" s="872">
        <f>B137/$B$139</f>
        <v>4.3261976464023973E-2</v>
      </c>
      <c r="D137" s="1"/>
      <c r="E137" s="1"/>
      <c r="F137" s="1"/>
    </row>
    <row r="138" spans="1:11" ht="13.5" thickBot="1" x14ac:dyDescent="0.35">
      <c r="A138" s="19" t="s">
        <v>187</v>
      </c>
      <c r="B138" s="474">
        <f>F102-B136-B137</f>
        <v>30135.690673989007</v>
      </c>
      <c r="C138" s="872">
        <f>B138/$B$139</f>
        <v>0.58059713292567972</v>
      </c>
      <c r="D138" s="1"/>
      <c r="E138" s="1"/>
      <c r="F138" s="1"/>
    </row>
    <row r="139" spans="1:11" ht="13" x14ac:dyDescent="0.3">
      <c r="A139" s="87" t="str">
        <f>A102</f>
        <v>Produktionskosten pro ha</v>
      </c>
      <c r="B139" s="46">
        <f>F102</f>
        <v>51904.649480669366</v>
      </c>
      <c r="C139" s="872">
        <f>B139/$B$139</f>
        <v>1</v>
      </c>
      <c r="D139" s="35"/>
      <c r="E139" s="1"/>
      <c r="F139" s="1"/>
    </row>
    <row r="140" spans="1:11" x14ac:dyDescent="0.25">
      <c r="A140" s="19"/>
      <c r="B140" s="19"/>
      <c r="C140" s="19"/>
      <c r="D140" s="1"/>
      <c r="E140" s="1"/>
      <c r="F140" s="8"/>
    </row>
    <row r="141" spans="1:11" s="169" customFormat="1" ht="30.75" customHeight="1" x14ac:dyDescent="0.25">
      <c r="A141" s="873" t="s">
        <v>275</v>
      </c>
      <c r="B141" s="866" t="s">
        <v>69</v>
      </c>
      <c r="C141" s="874" t="s">
        <v>303</v>
      </c>
      <c r="D141" s="172"/>
      <c r="G141" s="172"/>
      <c r="H141" s="938"/>
      <c r="J141" s="170"/>
      <c r="K141" s="171"/>
    </row>
    <row r="142" spans="1:11" ht="13" x14ac:dyDescent="0.3">
      <c r="A142" s="145" t="str">
        <f>B96</f>
        <v>für Boden</v>
      </c>
      <c r="B142" s="46">
        <f>F96</f>
        <v>660</v>
      </c>
      <c r="C142" s="555">
        <f>B142/$B$144</f>
        <v>0.29392147357144832</v>
      </c>
      <c r="D142" s="1"/>
      <c r="E142" s="1"/>
      <c r="F142" s="1"/>
    </row>
    <row r="143" spans="1:11" ht="13.5" thickBot="1" x14ac:dyDescent="0.35">
      <c r="A143" s="145" t="str">
        <f>B97</f>
        <v xml:space="preserve">für Investition Obstanlage </v>
      </c>
      <c r="B143" s="474">
        <f>F97</f>
        <v>1585.4977242061323</v>
      </c>
      <c r="C143" s="555">
        <f>B143/$B$144</f>
        <v>0.70607852642855173</v>
      </c>
      <c r="D143" s="1"/>
      <c r="E143" s="1"/>
      <c r="F143" s="1"/>
    </row>
    <row r="144" spans="1:11" ht="13" x14ac:dyDescent="0.3">
      <c r="A144" s="875" t="s">
        <v>189</v>
      </c>
      <c r="B144" s="46">
        <f>SUM(B142:B143)</f>
        <v>2245.4977242061323</v>
      </c>
      <c r="C144" s="555">
        <f>B144/$B$144</f>
        <v>1</v>
      </c>
      <c r="D144" s="1"/>
      <c r="E144" s="1"/>
      <c r="F144" s="1"/>
    </row>
    <row r="145" spans="1:11" ht="13.75" customHeight="1" x14ac:dyDescent="0.25">
      <c r="A145" s="13"/>
      <c r="B145" s="13"/>
      <c r="C145" s="13"/>
      <c r="F145" s="37"/>
    </row>
    <row r="146" spans="1:11" s="169" customFormat="1" ht="24.65" customHeight="1" x14ac:dyDescent="0.25">
      <c r="A146" s="876" t="s">
        <v>422</v>
      </c>
      <c r="B146" s="866" t="s">
        <v>69</v>
      </c>
      <c r="C146" s="874" t="s">
        <v>303</v>
      </c>
      <c r="D146" s="172"/>
      <c r="G146" s="172"/>
      <c r="H146" s="938"/>
      <c r="J146" s="170"/>
      <c r="K146" s="171"/>
    </row>
    <row r="147" spans="1:11" ht="13" x14ac:dyDescent="0.3">
      <c r="A147" s="145" t="str">
        <f>B80</f>
        <v>Düngung</v>
      </c>
      <c r="B147" s="46">
        <f>F80</f>
        <v>65.400000000000006</v>
      </c>
      <c r="C147" s="555">
        <f t="shared" ref="C147:C156" si="5">B147/$B$156</f>
        <v>3.5220253794523899E-3</v>
      </c>
      <c r="D147" s="1"/>
      <c r="E147" s="1"/>
      <c r="F147" s="1"/>
    </row>
    <row r="148" spans="1:11" ht="13" x14ac:dyDescent="0.3">
      <c r="A148" s="145" t="str">
        <f>B81</f>
        <v>Pflanzenschutz inkl. Kontrolle und Mausen</v>
      </c>
      <c r="B148" s="46">
        <f>F81</f>
        <v>2125.5</v>
      </c>
      <c r="C148" s="555">
        <f t="shared" si="5"/>
        <v>0.11446582483220266</v>
      </c>
      <c r="D148" s="1"/>
      <c r="E148" s="1"/>
      <c r="F148" s="1"/>
    </row>
    <row r="149" spans="1:11" ht="13" x14ac:dyDescent="0.3">
      <c r="A149" s="145" t="str">
        <f>B82</f>
        <v>Baumerziehung 
(Sommer+Winter)</v>
      </c>
      <c r="B149" s="46">
        <f>F82</f>
        <v>3924.0000000000005</v>
      </c>
      <c r="C149" s="555">
        <f t="shared" si="5"/>
        <v>0.21132152276714339</v>
      </c>
      <c r="D149" s="1"/>
      <c r="E149" s="1"/>
      <c r="F149" s="1"/>
    </row>
    <row r="150" spans="1:11" ht="13" x14ac:dyDescent="0.3">
      <c r="A150" s="145" t="str">
        <f>B83</f>
        <v>Mulchen und Schnittholz hacken</v>
      </c>
      <c r="B150" s="46">
        <f>F83</f>
        <v>294.3</v>
      </c>
      <c r="C150" s="555">
        <f t="shared" si="5"/>
        <v>1.5849114207535753E-2</v>
      </c>
      <c r="D150" s="1"/>
      <c r="E150" s="1"/>
      <c r="F150" s="1"/>
    </row>
    <row r="151" spans="1:11" ht="13" x14ac:dyDescent="0.3">
      <c r="A151" s="145" t="str">
        <f>B84</f>
        <v>Behangsregulierung (von Hand)</v>
      </c>
      <c r="B151" s="46">
        <f>F84</f>
        <v>4551</v>
      </c>
      <c r="C151" s="555">
        <f t="shared" si="5"/>
        <v>0.24508772938666398</v>
      </c>
      <c r="D151" s="1"/>
      <c r="E151" s="1"/>
      <c r="F151" s="1"/>
    </row>
    <row r="152" spans="1:11" ht="13" x14ac:dyDescent="0.3">
      <c r="A152" s="42" t="s">
        <v>633</v>
      </c>
      <c r="B152" s="46">
        <f>F91</f>
        <v>5383.7860824742274</v>
      </c>
      <c r="C152" s="555">
        <f t="shared" si="5"/>
        <v>0.28993625718680099</v>
      </c>
      <c r="D152" s="1"/>
      <c r="E152" s="1"/>
      <c r="F152" s="1"/>
    </row>
    <row r="153" spans="1:11" ht="13" x14ac:dyDescent="0.3">
      <c r="A153" s="145" t="s">
        <v>407</v>
      </c>
      <c r="B153" s="46">
        <f>F86</f>
        <v>341.32499999999999</v>
      </c>
      <c r="C153" s="555">
        <f t="shared" si="5"/>
        <v>1.8381579703999798E-2</v>
      </c>
      <c r="D153" s="1"/>
      <c r="E153" s="1"/>
      <c r="F153" s="1"/>
    </row>
    <row r="154" spans="1:11" ht="13" x14ac:dyDescent="0.3">
      <c r="A154" s="145" t="s">
        <v>423</v>
      </c>
      <c r="B154" s="46">
        <f>F87</f>
        <v>227.54999999999998</v>
      </c>
      <c r="C154" s="555">
        <f t="shared" si="5"/>
        <v>1.2254386469333198E-2</v>
      </c>
      <c r="D154" s="1"/>
      <c r="E154" s="1"/>
      <c r="F154" s="1"/>
    </row>
    <row r="155" spans="1:11" ht="13.5" thickBot="1" x14ac:dyDescent="0.35">
      <c r="A155" s="145" t="str">
        <f>B92</f>
        <v>Verwaltung + übrige Arbeiten</v>
      </c>
      <c r="B155" s="474">
        <f>F92</f>
        <v>1656</v>
      </c>
      <c r="C155" s="555">
        <f t="shared" si="5"/>
        <v>8.9181560066867838E-2</v>
      </c>
      <c r="D155" s="1"/>
      <c r="E155" s="1"/>
      <c r="F155" s="1"/>
    </row>
    <row r="156" spans="1:11" ht="13" x14ac:dyDescent="0.3">
      <c r="A156" s="875" t="str">
        <f>A136</f>
        <v>Arbeitskosten</v>
      </c>
      <c r="B156" s="46">
        <f>SUM(B147:B155)</f>
        <v>18568.861082474228</v>
      </c>
      <c r="C156" s="555">
        <f t="shared" si="5"/>
        <v>1</v>
      </c>
      <c r="D156" s="1"/>
      <c r="E156" s="1"/>
      <c r="F156" s="1"/>
    </row>
    <row r="157" spans="1:11" x14ac:dyDescent="0.25">
      <c r="A157" s="13"/>
      <c r="B157" s="13"/>
      <c r="C157" s="13"/>
    </row>
    <row r="158" spans="1:11" x14ac:dyDescent="0.25">
      <c r="A158" s="13"/>
      <c r="B158" s="13"/>
      <c r="C158" s="13"/>
      <c r="F158" s="37"/>
    </row>
    <row r="159" spans="1:11" s="169" customFormat="1" ht="18" customHeight="1" x14ac:dyDescent="0.25">
      <c r="A159" s="704" t="s">
        <v>195</v>
      </c>
      <c r="B159" s="866" t="s">
        <v>69</v>
      </c>
      <c r="C159" s="866" t="s">
        <v>292</v>
      </c>
      <c r="D159" s="172"/>
      <c r="E159" s="172"/>
      <c r="F159" s="151"/>
      <c r="G159" s="172"/>
      <c r="H159" s="938"/>
      <c r="J159" s="170"/>
      <c r="K159" s="171"/>
    </row>
    <row r="160" spans="1:11" ht="13" x14ac:dyDescent="0.3">
      <c r="A160" s="145" t="str">
        <f>A40</f>
        <v xml:space="preserve">Abzüge   </v>
      </c>
      <c r="B160" s="46">
        <f>F49</f>
        <v>803.63099999999997</v>
      </c>
      <c r="C160" s="456">
        <f>B160/$B$164</f>
        <v>2.6667084179146996E-2</v>
      </c>
      <c r="D160" s="173"/>
      <c r="E160" s="34"/>
      <c r="F160" s="174"/>
    </row>
    <row r="161" spans="1:11" ht="15.75" customHeight="1" x14ac:dyDescent="0.25">
      <c r="A161" s="852" t="str">
        <f>A51</f>
        <v xml:space="preserve">Abschreibung Obstanlage </v>
      </c>
      <c r="B161" s="641">
        <f>F51</f>
        <v>14680.534483390116</v>
      </c>
      <c r="C161" s="456">
        <f>B161/$B$164</f>
        <v>0.48714776914209945</v>
      </c>
      <c r="D161" s="1"/>
      <c r="E161" s="1"/>
      <c r="F161" s="1"/>
    </row>
    <row r="162" spans="1:11" ht="13" x14ac:dyDescent="0.25">
      <c r="A162" s="145" t="str">
        <f>A61</f>
        <v>Maschinen und Geräte</v>
      </c>
      <c r="B162" s="46">
        <f>F76</f>
        <v>7984.4259664948459</v>
      </c>
      <c r="C162" s="456">
        <f>B162/$B$164</f>
        <v>0.264949161207924</v>
      </c>
      <c r="D162" s="1"/>
      <c r="E162" s="1"/>
      <c r="F162" s="1"/>
    </row>
    <row r="163" spans="1:11" ht="13.5" thickBot="1" x14ac:dyDescent="0.3">
      <c r="A163" s="145" t="s">
        <v>433</v>
      </c>
      <c r="B163" s="474">
        <f>B164-B160-B161-B162</f>
        <v>6667.099224104044</v>
      </c>
      <c r="C163" s="456">
        <f>B163/$B$164</f>
        <v>0.22123598547082948</v>
      </c>
      <c r="D163" s="1"/>
      <c r="E163" s="1"/>
      <c r="F163" s="1"/>
    </row>
    <row r="164" spans="1:11" ht="13" x14ac:dyDescent="0.25">
      <c r="A164" s="19" t="str">
        <f>A138</f>
        <v>Sachkosten</v>
      </c>
      <c r="B164" s="46">
        <f>B138</f>
        <v>30135.690673989007</v>
      </c>
      <c r="C164" s="456">
        <f>B164/$B$164</f>
        <v>1</v>
      </c>
      <c r="D164" s="1"/>
      <c r="E164" s="1"/>
      <c r="F164" s="1"/>
    </row>
    <row r="165" spans="1:11" x14ac:dyDescent="0.25">
      <c r="A165" s="13"/>
      <c r="B165" s="13"/>
      <c r="C165" s="13"/>
    </row>
    <row r="166" spans="1:11" x14ac:dyDescent="0.25">
      <c r="A166" s="13"/>
      <c r="B166" s="13"/>
      <c r="C166" s="13"/>
    </row>
    <row r="167" spans="1:11" s="169" customFormat="1" ht="47.25" customHeight="1" x14ac:dyDescent="0.25">
      <c r="A167" s="873" t="s">
        <v>191</v>
      </c>
      <c r="B167" s="866" t="s">
        <v>69</v>
      </c>
      <c r="C167" s="866" t="s">
        <v>190</v>
      </c>
      <c r="G167" s="172"/>
      <c r="H167" s="938"/>
      <c r="J167" s="170"/>
      <c r="K167" s="171"/>
    </row>
    <row r="168" spans="1:11" ht="13" x14ac:dyDescent="0.3">
      <c r="A168" s="19" t="str">
        <f>A57</f>
        <v>Total Direktkosten</v>
      </c>
      <c r="B168" s="46">
        <f>F57</f>
        <v>22001.26470749416</v>
      </c>
      <c r="C168" s="872">
        <f>G57</f>
        <v>0.42387849504095004</v>
      </c>
      <c r="D168" s="1"/>
      <c r="E168" s="1"/>
      <c r="F168" s="1"/>
    </row>
    <row r="169" spans="1:11" ht="13.5" thickBot="1" x14ac:dyDescent="0.35">
      <c r="A169" s="19" t="str">
        <f>A100</f>
        <v>Total Strukturkosten</v>
      </c>
      <c r="B169" s="474">
        <f>F100</f>
        <v>29903.384773175203</v>
      </c>
      <c r="C169" s="872">
        <f>G100</f>
        <v>0.5761215049590499</v>
      </c>
      <c r="D169" s="1"/>
      <c r="E169" s="1"/>
      <c r="F169" s="1"/>
    </row>
    <row r="170" spans="1:11" ht="13" x14ac:dyDescent="0.3">
      <c r="A170" s="19" t="str">
        <f>A102</f>
        <v>Produktionskosten pro ha</v>
      </c>
      <c r="B170" s="46">
        <f>SUM(B168:B169)</f>
        <v>51904.649480669366</v>
      </c>
      <c r="C170" s="872">
        <f>SUM(C168:C169)</f>
        <v>1</v>
      </c>
      <c r="D170" s="1"/>
      <c r="E170" s="1"/>
      <c r="F170" s="1"/>
    </row>
    <row r="171" spans="1:11" x14ac:dyDescent="0.25">
      <c r="A171" s="13"/>
      <c r="B171" s="13"/>
      <c r="C171" s="13"/>
    </row>
    <row r="173" spans="1:11" ht="20" x14ac:dyDescent="0.4">
      <c r="A173" s="636" t="s">
        <v>425</v>
      </c>
      <c r="B173" s="636"/>
      <c r="C173" s="636"/>
      <c r="D173" s="636"/>
      <c r="E173" s="636"/>
      <c r="F173" s="642"/>
    </row>
    <row r="174" spans="1:11" s="1" customFormat="1" ht="11" customHeight="1" x14ac:dyDescent="0.4">
      <c r="A174" s="318"/>
      <c r="B174" s="318"/>
      <c r="C174" s="318"/>
      <c r="D174" s="318"/>
      <c r="E174" s="318"/>
      <c r="F174" s="381"/>
      <c r="H174" s="19"/>
      <c r="J174" s="35"/>
      <c r="K174" s="124"/>
    </row>
    <row r="175" spans="1:11" x14ac:dyDescent="0.25">
      <c r="A175" s="13"/>
      <c r="B175" s="866" t="s">
        <v>69</v>
      </c>
      <c r="C175" s="866" t="s">
        <v>190</v>
      </c>
    </row>
    <row r="176" spans="1:11" ht="13" x14ac:dyDescent="0.3">
      <c r="A176" s="72" t="s">
        <v>276</v>
      </c>
      <c r="B176" s="13"/>
      <c r="C176" s="13"/>
    </row>
    <row r="177" spans="1:3" ht="13" x14ac:dyDescent="0.3">
      <c r="A177" s="109" t="s">
        <v>102</v>
      </c>
      <c r="B177" s="85">
        <f>F37</f>
        <v>4547.3526000000002</v>
      </c>
      <c r="C177" s="302">
        <f>B177/$F$102</f>
        <v>8.7609735264536401E-2</v>
      </c>
    </row>
    <row r="178" spans="1:3" x14ac:dyDescent="0.25">
      <c r="A178" s="13"/>
      <c r="B178" s="46"/>
      <c r="C178" s="302"/>
    </row>
    <row r="179" spans="1:3" ht="13" x14ac:dyDescent="0.3">
      <c r="A179" s="72" t="s">
        <v>23</v>
      </c>
      <c r="B179" s="44"/>
      <c r="C179" s="302"/>
    </row>
    <row r="180" spans="1:3" x14ac:dyDescent="0.25">
      <c r="A180" s="19" t="str">
        <f>B61</f>
        <v>Anbaugebläsepritze 1000 l</v>
      </c>
      <c r="B180" s="46">
        <f>F61</f>
        <v>925</v>
      </c>
      <c r="C180" s="302">
        <f t="shared" ref="C180:C185" si="6">B180/$F$102</f>
        <v>1.7821139517462573E-2</v>
      </c>
    </row>
    <row r="181" spans="1:3" ht="13" thickBot="1" x14ac:dyDescent="0.3">
      <c r="A181" s="19" t="s">
        <v>24</v>
      </c>
      <c r="B181" s="870">
        <f>((C61*D61)+E70)</f>
        <v>66</v>
      </c>
      <c r="C181" s="302">
        <f t="shared" si="6"/>
        <v>1.2715623871919241E-3</v>
      </c>
    </row>
    <row r="182" spans="1:3" ht="13" x14ac:dyDescent="0.3">
      <c r="A182" s="19"/>
      <c r="B182" s="85">
        <f>SUM(B180:B181)</f>
        <v>991</v>
      </c>
      <c r="C182" s="302">
        <f t="shared" si="6"/>
        <v>1.9092701904654497E-2</v>
      </c>
    </row>
    <row r="183" spans="1:3" x14ac:dyDescent="0.25">
      <c r="A183" s="19"/>
      <c r="B183" s="44"/>
      <c r="C183" s="302"/>
    </row>
    <row r="184" spans="1:3" ht="13" x14ac:dyDescent="0.3">
      <c r="A184" s="87" t="s">
        <v>28</v>
      </c>
      <c r="B184" s="44"/>
      <c r="C184" s="302"/>
    </row>
    <row r="185" spans="1:3" ht="13.5" thickBot="1" x14ac:dyDescent="0.35">
      <c r="A185" s="19" t="str">
        <f>B81</f>
        <v>Pflanzenschutz inkl. Kontrolle und Mausen</v>
      </c>
      <c r="B185" s="634">
        <f>F81</f>
        <v>2125.5</v>
      </c>
      <c r="C185" s="302">
        <f t="shared" si="6"/>
        <v>4.0950088696612645E-2</v>
      </c>
    </row>
    <row r="186" spans="1:3" x14ac:dyDescent="0.25">
      <c r="A186" s="19"/>
      <c r="B186" s="19"/>
      <c r="C186" s="13"/>
    </row>
    <row r="187" spans="1:3" ht="13" x14ac:dyDescent="0.3">
      <c r="A187" s="87" t="s">
        <v>283</v>
      </c>
      <c r="B187" s="85">
        <f>B177+B182+B185</f>
        <v>7663.8526000000002</v>
      </c>
      <c r="C187" s="867">
        <f>B187/$F$102</f>
        <v>0.14765252586580355</v>
      </c>
    </row>
    <row r="188" spans="1:3" x14ac:dyDescent="0.25">
      <c r="A188" s="13" t="s">
        <v>278</v>
      </c>
      <c r="B188" s="46">
        <f>F102-B194</f>
        <v>44240.796880669368</v>
      </c>
      <c r="C188" s="302">
        <f>B188/$F$102</f>
        <v>0.85234747413419654</v>
      </c>
    </row>
    <row r="189" spans="1:3" x14ac:dyDescent="0.25">
      <c r="A189" s="13"/>
      <c r="B189" s="19"/>
      <c r="C189" s="13"/>
    </row>
    <row r="190" spans="1:3" ht="25" x14ac:dyDescent="0.35">
      <c r="A190" s="309" t="s">
        <v>277</v>
      </c>
      <c r="B190" s="866" t="s">
        <v>69</v>
      </c>
      <c r="C190" s="868" t="s">
        <v>426</v>
      </c>
    </row>
    <row r="191" spans="1:3" x14ac:dyDescent="0.25">
      <c r="A191" s="13" t="s">
        <v>276</v>
      </c>
      <c r="B191" s="46">
        <f>B177</f>
        <v>4547.3526000000002</v>
      </c>
      <c r="C191" s="302">
        <f>B191/$B$194</f>
        <v>0.593350738504548</v>
      </c>
    </row>
    <row r="192" spans="1:3" x14ac:dyDescent="0.25">
      <c r="A192" s="13" t="s">
        <v>23</v>
      </c>
      <c r="B192" s="46">
        <f>B182</f>
        <v>991</v>
      </c>
      <c r="C192" s="302">
        <f>B192/$B$194</f>
        <v>0.12930833246975548</v>
      </c>
    </row>
    <row r="193" spans="1:11" ht="13" thickBot="1" x14ac:dyDescent="0.3">
      <c r="A193" s="13" t="s">
        <v>28</v>
      </c>
      <c r="B193" s="474">
        <f>B185</f>
        <v>2125.5</v>
      </c>
      <c r="C193" s="302">
        <f>B193/$B$194</f>
        <v>0.27734092902569657</v>
      </c>
    </row>
    <row r="194" spans="1:11" s="169" customFormat="1" ht="28.5" customHeight="1" x14ac:dyDescent="0.25">
      <c r="A194" s="869" t="s">
        <v>288</v>
      </c>
      <c r="B194" s="853">
        <f>SUM(B191:B193)</f>
        <v>7663.8526000000002</v>
      </c>
      <c r="C194" s="302">
        <f>B194/$B$194</f>
        <v>1</v>
      </c>
      <c r="G194" s="172"/>
      <c r="H194" s="938"/>
      <c r="J194" s="170"/>
      <c r="K194" s="171"/>
    </row>
    <row r="195" spans="1:11" ht="15.75" customHeight="1" x14ac:dyDescent="0.25">
      <c r="A195" s="1"/>
      <c r="B195" s="34"/>
      <c r="C195" s="91"/>
      <c r="D195" s="1"/>
    </row>
    <row r="197" spans="1:11" ht="20.5" x14ac:dyDescent="0.45">
      <c r="A197" s="636" t="s">
        <v>424</v>
      </c>
      <c r="B197" s="637"/>
      <c r="C197" s="637"/>
      <c r="D197" s="637"/>
      <c r="E197" s="637"/>
      <c r="F197" s="640"/>
    </row>
    <row r="198" spans="1:11" s="1" customFormat="1" ht="20" x14ac:dyDescent="0.4">
      <c r="A198" s="318"/>
      <c r="B198" s="319"/>
      <c r="C198" s="319"/>
      <c r="D198" s="319"/>
      <c r="E198" s="319"/>
      <c r="F198" s="382"/>
      <c r="H198" s="19"/>
      <c r="J198" s="35"/>
      <c r="K198" s="124"/>
    </row>
    <row r="199" spans="1:11" x14ac:dyDescent="0.25">
      <c r="A199" s="13"/>
      <c r="B199" s="866" t="s">
        <v>69</v>
      </c>
      <c r="C199" s="866" t="s">
        <v>190</v>
      </c>
      <c r="D199" s="13"/>
    </row>
    <row r="200" spans="1:11" ht="13" x14ac:dyDescent="0.3">
      <c r="A200" s="72" t="s">
        <v>23</v>
      </c>
      <c r="B200" s="19"/>
      <c r="C200" s="13"/>
      <c r="D200" s="13"/>
    </row>
    <row r="201" spans="1:11" x14ac:dyDescent="0.25">
      <c r="A201" s="109" t="str">
        <f>B65</f>
        <v>Erntewagen 4 Grosskisten</v>
      </c>
      <c r="B201" s="46">
        <f>F65</f>
        <v>215.15625000000003</v>
      </c>
      <c r="C201" s="302">
        <f>B201/$F$102</f>
        <v>4.1452211343827646E-3</v>
      </c>
      <c r="D201" s="13"/>
    </row>
    <row r="202" spans="1:11" x14ac:dyDescent="0.25">
      <c r="A202" s="109" t="s">
        <v>24</v>
      </c>
      <c r="B202" s="385">
        <f>((D66*E66))</f>
        <v>59.149484536082483</v>
      </c>
      <c r="C202" s="302">
        <f t="shared" ref="C202:C208" si="7">B202/$F$102</f>
        <v>1.1395796933011035E-3</v>
      </c>
      <c r="D202" s="13"/>
    </row>
    <row r="203" spans="1:11" x14ac:dyDescent="0.25">
      <c r="A203" s="109"/>
      <c r="B203" s="385"/>
      <c r="C203" s="302"/>
      <c r="D203" s="13"/>
    </row>
    <row r="204" spans="1:11" ht="13" x14ac:dyDescent="0.3">
      <c r="A204" s="72" t="s">
        <v>28</v>
      </c>
      <c r="B204" s="44"/>
      <c r="C204" s="302"/>
      <c r="D204" s="13"/>
    </row>
    <row r="205" spans="1:11" x14ac:dyDescent="0.25">
      <c r="A205" s="755" t="str">
        <f>B91</f>
        <v>baumfallend</v>
      </c>
      <c r="B205" s="46">
        <f>F91</f>
        <v>5383.7860824742274</v>
      </c>
      <c r="C205" s="302">
        <f t="shared" si="7"/>
        <v>0.10372454368426645</v>
      </c>
      <c r="D205" s="13"/>
    </row>
    <row r="206" spans="1:11" ht="13" thickBot="1" x14ac:dyDescent="0.3">
      <c r="A206" s="755" t="s">
        <v>427</v>
      </c>
      <c r="B206" s="474">
        <f>F92</f>
        <v>1656</v>
      </c>
      <c r="C206" s="302">
        <f t="shared" si="7"/>
        <v>3.1904656260451913E-2</v>
      </c>
      <c r="D206" s="13"/>
    </row>
    <row r="207" spans="1:11" ht="15.5" x14ac:dyDescent="0.35">
      <c r="A207" s="309" t="s">
        <v>284</v>
      </c>
      <c r="B207" s="85">
        <f>SUM(B201:B206)</f>
        <v>7314.0918170103096</v>
      </c>
      <c r="C207" s="867">
        <f t="shared" si="7"/>
        <v>0.14091400077240221</v>
      </c>
      <c r="D207" s="13"/>
    </row>
    <row r="208" spans="1:11" x14ac:dyDescent="0.25">
      <c r="A208" s="13" t="s">
        <v>278</v>
      </c>
      <c r="B208" s="46">
        <f>F102-B207</f>
        <v>44590.557663659056</v>
      </c>
      <c r="C208" s="302">
        <f t="shared" si="7"/>
        <v>0.85908599922759776</v>
      </c>
      <c r="D208" s="13"/>
    </row>
    <row r="209" spans="1:4" x14ac:dyDescent="0.25">
      <c r="A209" s="13"/>
      <c r="B209" s="19"/>
      <c r="C209" s="13"/>
      <c r="D209" s="13"/>
    </row>
    <row r="210" spans="1:4" ht="15.5" x14ac:dyDescent="0.35">
      <c r="A210" s="309" t="s">
        <v>277</v>
      </c>
      <c r="B210" s="866" t="s">
        <v>69</v>
      </c>
      <c r="C210" s="866" t="s">
        <v>294</v>
      </c>
      <c r="D210" s="13"/>
    </row>
    <row r="211" spans="1:4" x14ac:dyDescent="0.25">
      <c r="A211" s="13" t="s">
        <v>23</v>
      </c>
      <c r="B211" s="46">
        <f>B201+B202</f>
        <v>274.30573453608253</v>
      </c>
      <c r="C211" s="302">
        <f>B211/$B$213</f>
        <v>3.7503731344762786E-2</v>
      </c>
      <c r="D211" s="13"/>
    </row>
    <row r="212" spans="1:4" ht="13" thickBot="1" x14ac:dyDescent="0.3">
      <c r="A212" s="13" t="s">
        <v>28</v>
      </c>
      <c r="B212" s="474">
        <f>B205+B206</f>
        <v>7039.7860824742274</v>
      </c>
      <c r="C212" s="302">
        <f>B212/$B$213</f>
        <v>0.9624962686552373</v>
      </c>
      <c r="D212" s="13"/>
    </row>
    <row r="213" spans="1:4" ht="13" x14ac:dyDescent="0.3">
      <c r="A213" s="13" t="s">
        <v>284</v>
      </c>
      <c r="B213" s="85">
        <f>SUM(B211:B212)</f>
        <v>7314.0918170103096</v>
      </c>
      <c r="C213" s="302">
        <f>B213/$B$213</f>
        <v>1</v>
      </c>
      <c r="D213" s="13"/>
    </row>
    <row r="214" spans="1:4" x14ac:dyDescent="0.25">
      <c r="B214" s="25"/>
      <c r="C214" s="192"/>
    </row>
  </sheetData>
  <mergeCells count="10">
    <mergeCell ref="J58:K58"/>
    <mergeCell ref="L58:M58"/>
    <mergeCell ref="B124:E124"/>
    <mergeCell ref="A5:G5"/>
    <mergeCell ref="G7:G8"/>
    <mergeCell ref="A71:A72"/>
    <mergeCell ref="C7:D7"/>
    <mergeCell ref="A41:A43"/>
    <mergeCell ref="A23:A28"/>
    <mergeCell ref="A30:A35"/>
  </mergeCells>
  <phoneticPr fontId="23" type="noConversion"/>
  <pageMargins left="0.78740157499999996" right="0.78740157499999996" top="0.984251969" bottom="0.984251969" header="0.4921259845" footer="0.4921259845"/>
  <pageSetup paperSize="9" orientation="portrait" r:id="rId1"/>
  <headerFooter alignWithMargins="0">
    <oddHeader>&amp;LArbokost BIO 2008/09&amp;REsther Bravin, ACW</oddHead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tandardCashflow">
    <tabColor indexed="10"/>
  </sheetPr>
  <dimension ref="A1:L47"/>
  <sheetViews>
    <sheetView zoomScale="75" workbookViewId="0">
      <selection activeCell="K20" sqref="K20:K37"/>
    </sheetView>
  </sheetViews>
  <sheetFormatPr baseColWidth="10" defaultRowHeight="12.5" x14ac:dyDescent="0.25"/>
  <cols>
    <col min="1" max="1" width="36.7265625" customWidth="1"/>
    <col min="2" max="2" width="10.36328125" customWidth="1"/>
    <col min="3" max="3" width="19.54296875" customWidth="1"/>
    <col min="4" max="4" width="12.36328125" customWidth="1"/>
    <col min="5" max="5" width="21.81640625" customWidth="1"/>
    <col min="6" max="6" width="14.36328125" customWidth="1"/>
    <col min="7" max="7" width="13" customWidth="1"/>
    <col min="11" max="11" width="14.81640625" customWidth="1"/>
  </cols>
  <sheetData>
    <row r="1" spans="1:10" ht="28" x14ac:dyDescent="0.25">
      <c r="A1" s="1287" t="str">
        <f>Eingabeseite!$A$1</f>
        <v>Arbokost 2023</v>
      </c>
      <c r="B1" s="1284" t="str">
        <f>'Standard Ertragsphase'!B1</f>
        <v>BIO- Tafelapfel, Gala auf M9, 3000 Bäume /ha</v>
      </c>
    </row>
    <row r="2" spans="1:10" ht="24.75" customHeight="1" x14ac:dyDescent="0.25">
      <c r="A2" s="707" t="s">
        <v>468</v>
      </c>
    </row>
    <row r="3" spans="1:10" s="1" customFormat="1" ht="21" customHeight="1" x14ac:dyDescent="0.25">
      <c r="A3" s="713"/>
    </row>
    <row r="4" spans="1:10" ht="23" x14ac:dyDescent="0.5">
      <c r="A4" s="708" t="s">
        <v>454</v>
      </c>
      <c r="B4" s="709"/>
      <c r="C4" s="710"/>
      <c r="D4" s="710"/>
      <c r="E4" s="710"/>
      <c r="F4" s="711"/>
      <c r="G4" s="711"/>
      <c r="H4" s="711"/>
      <c r="I4" s="712"/>
      <c r="J4" s="712"/>
    </row>
    <row r="5" spans="1:10" s="1" customFormat="1" ht="30" x14ac:dyDescent="0.6">
      <c r="A5" s="674"/>
      <c r="B5" s="674"/>
      <c r="C5" s="674"/>
      <c r="D5" s="674"/>
      <c r="E5" s="674"/>
      <c r="F5" s="674"/>
      <c r="G5" s="674"/>
      <c r="H5" s="674"/>
      <c r="I5" s="674"/>
      <c r="J5" s="674"/>
    </row>
    <row r="6" spans="1:10" s="1" customFormat="1" ht="30" x14ac:dyDescent="0.6">
      <c r="A6" s="674"/>
      <c r="B6" s="674"/>
      <c r="C6" s="674"/>
      <c r="D6" s="674"/>
      <c r="E6" s="674"/>
      <c r="F6" s="674"/>
      <c r="G6" s="674"/>
      <c r="H6" s="674"/>
      <c r="I6" s="674"/>
      <c r="J6" s="674"/>
    </row>
    <row r="7" spans="1:10" s="1" customFormat="1" ht="30" x14ac:dyDescent="0.6">
      <c r="A7" s="674"/>
      <c r="B7" s="674"/>
      <c r="C7" s="674"/>
      <c r="D7" s="674"/>
      <c r="E7" s="674"/>
      <c r="F7" s="674"/>
      <c r="G7" s="674"/>
      <c r="H7" s="674"/>
      <c r="I7" s="674"/>
      <c r="J7" s="674"/>
    </row>
    <row r="8" spans="1:10" s="1" customFormat="1" ht="30" x14ac:dyDescent="0.6">
      <c r="A8" s="674"/>
      <c r="B8" s="674"/>
      <c r="C8" s="674"/>
      <c r="D8" s="674"/>
      <c r="E8" s="674"/>
      <c r="F8" s="674"/>
      <c r="G8" s="674"/>
      <c r="H8" s="674"/>
      <c r="I8" s="674"/>
      <c r="J8" s="674"/>
    </row>
    <row r="9" spans="1:10" s="1" customFormat="1" ht="30" x14ac:dyDescent="0.6">
      <c r="A9" s="674"/>
      <c r="B9" s="674"/>
      <c r="C9" s="674"/>
      <c r="D9" s="674"/>
      <c r="E9" s="674"/>
      <c r="F9" s="674"/>
      <c r="G9" s="674"/>
      <c r="H9" s="674"/>
      <c r="I9" s="674"/>
      <c r="J9" s="674"/>
    </row>
    <row r="10" spans="1:10" s="1" customFormat="1" ht="30" x14ac:dyDescent="0.6">
      <c r="A10" s="674"/>
      <c r="B10" s="674"/>
      <c r="C10" s="674"/>
      <c r="D10" s="674"/>
      <c r="E10" s="674"/>
      <c r="F10" s="674"/>
      <c r="G10" s="674"/>
      <c r="H10" s="674"/>
      <c r="I10" s="674"/>
      <c r="J10" s="674"/>
    </row>
    <row r="11" spans="1:10" s="1" customFormat="1" ht="30" x14ac:dyDescent="0.6">
      <c r="A11" s="674"/>
      <c r="B11" s="674"/>
      <c r="C11" s="674"/>
      <c r="D11" s="674"/>
      <c r="E11" s="674"/>
      <c r="F11" s="674"/>
      <c r="G11" s="674"/>
      <c r="H11" s="674"/>
      <c r="I11" s="674"/>
      <c r="J11" s="674"/>
    </row>
    <row r="12" spans="1:10" s="1" customFormat="1" ht="30" x14ac:dyDescent="0.6">
      <c r="A12" s="674"/>
      <c r="B12" s="674"/>
      <c r="C12" s="674"/>
      <c r="D12" s="674"/>
      <c r="E12" s="674"/>
      <c r="F12" s="674"/>
      <c r="G12" s="674"/>
      <c r="H12" s="674"/>
      <c r="I12" s="674"/>
      <c r="J12" s="674"/>
    </row>
    <row r="13" spans="1:10" s="1" customFormat="1" ht="30" x14ac:dyDescent="0.6">
      <c r="A13" s="674"/>
      <c r="B13" s="674"/>
      <c r="C13" s="674"/>
      <c r="D13" s="674"/>
      <c r="E13" s="674"/>
      <c r="F13" s="674"/>
      <c r="G13" s="674"/>
      <c r="H13" s="674"/>
      <c r="I13" s="674"/>
      <c r="J13" s="674"/>
    </row>
    <row r="14" spans="1:10" s="1" customFormat="1" ht="30" x14ac:dyDescent="0.6">
      <c r="A14" s="674"/>
      <c r="B14" s="674"/>
      <c r="C14" s="674"/>
      <c r="D14" s="674"/>
      <c r="E14" s="674"/>
      <c r="F14" s="674"/>
      <c r="G14" s="674"/>
      <c r="H14" s="674"/>
      <c r="I14" s="674"/>
      <c r="J14" s="674"/>
    </row>
    <row r="15" spans="1:10" ht="194.25" customHeight="1" x14ac:dyDescent="0.4">
      <c r="A15" s="386"/>
      <c r="B15" s="278"/>
      <c r="C15" s="278"/>
      <c r="D15" s="246"/>
      <c r="E15" s="387"/>
      <c r="F15" s="105"/>
    </row>
    <row r="16" spans="1:10" s="16" customFormat="1" ht="15.5" x14ac:dyDescent="0.35">
      <c r="A16" s="383"/>
      <c r="B16" s="383"/>
      <c r="G16" s="388"/>
    </row>
    <row r="17" spans="1:12" x14ac:dyDescent="0.25">
      <c r="A17" s="1"/>
      <c r="B17" s="1"/>
      <c r="C17" s="68" t="str">
        <f>'Standard Vorgaben'!B50</f>
        <v>Tafeläpfel BIO</v>
      </c>
      <c r="D17" s="68" t="str">
        <f>'Standard Vorgaben'!C50</f>
        <v>Kochobst BIO</v>
      </c>
      <c r="E17" s="68" t="str">
        <f>'Standard Vorgaben'!D50</f>
        <v>Mostobst BIO</v>
      </c>
    </row>
    <row r="18" spans="1:12" ht="17.5" x14ac:dyDescent="0.35">
      <c r="A18" s="3" t="s">
        <v>38</v>
      </c>
      <c r="B18" s="389">
        <f>'Standard Vorgaben'!B10</f>
        <v>3000</v>
      </c>
      <c r="C18" s="48">
        <f>'Standard Vorgaben'!B69</f>
        <v>2.3999999999999995</v>
      </c>
      <c r="D18" s="48">
        <f>'Standard Vorgaben'!C69</f>
        <v>0.59999999999999987</v>
      </c>
      <c r="E18" s="48">
        <f>'Standard Vorgaben'!D69</f>
        <v>0.33</v>
      </c>
    </row>
    <row r="19" spans="1:12" s="1" customFormat="1" ht="17.5" x14ac:dyDescent="0.35">
      <c r="A19" s="3"/>
      <c r="B19" s="389"/>
      <c r="C19" s="48"/>
      <c r="D19" s="48"/>
      <c r="E19" s="48"/>
    </row>
    <row r="20" spans="1:12" ht="46.5" x14ac:dyDescent="0.25">
      <c r="A20" s="901"/>
      <c r="B20" s="902"/>
      <c r="C20" s="908" t="s">
        <v>305</v>
      </c>
      <c r="D20" s="902"/>
      <c r="E20" s="902"/>
      <c r="F20" s="902"/>
      <c r="G20" s="902"/>
      <c r="H20" s="902"/>
      <c r="I20" s="902"/>
      <c r="J20" s="903"/>
    </row>
    <row r="21" spans="1:12" ht="13" x14ac:dyDescent="0.3">
      <c r="A21" s="770"/>
      <c r="B21" s="833"/>
      <c r="C21" s="909" t="s">
        <v>69</v>
      </c>
      <c r="D21" s="834" t="s">
        <v>215</v>
      </c>
      <c r="E21" s="834" t="s">
        <v>218</v>
      </c>
      <c r="F21" s="904" t="s">
        <v>221</v>
      </c>
      <c r="G21" s="834" t="s">
        <v>171</v>
      </c>
      <c r="H21" s="905" t="s">
        <v>55</v>
      </c>
      <c r="I21" s="906" t="s">
        <v>70</v>
      </c>
      <c r="J21" s="907" t="s">
        <v>64</v>
      </c>
    </row>
    <row r="22" spans="1:12" ht="15.5" x14ac:dyDescent="0.35">
      <c r="A22" s="880" t="s">
        <v>71</v>
      </c>
      <c r="B22" s="881">
        <v>0</v>
      </c>
      <c r="C22" s="910">
        <f>'Standard Standjahre'!F96</f>
        <v>-124765.91649999999</v>
      </c>
      <c r="D22" s="882">
        <v>0</v>
      </c>
      <c r="E22" s="883">
        <f>C22*(-1)</f>
        <v>124765.91649999999</v>
      </c>
      <c r="F22" s="884">
        <f>D22-E22</f>
        <v>-124765.91649999999</v>
      </c>
      <c r="G22" s="885">
        <f>D22/E22</f>
        <v>0</v>
      </c>
      <c r="H22" s="886"/>
      <c r="I22" s="886"/>
      <c r="J22" s="887">
        <f>('Standard Standjahre'!F96)*(-1)</f>
        <v>124765.91649999999</v>
      </c>
      <c r="L22" s="8"/>
    </row>
    <row r="23" spans="1:12" ht="15.5" x14ac:dyDescent="0.35">
      <c r="A23" s="212" t="s">
        <v>72</v>
      </c>
      <c r="B23" s="11">
        <v>1</v>
      </c>
      <c r="C23" s="911">
        <f>'Standard Standjahre'!F97</f>
        <v>-146096.27374849998</v>
      </c>
      <c r="D23" s="385">
        <f>'Standard Standjahre'!F16</f>
        <v>2700</v>
      </c>
      <c r="E23" s="223">
        <f>'Standard Standjahre'!F93</f>
        <v>24030.357248500004</v>
      </c>
      <c r="F23" s="664">
        <f t="shared" ref="F23:F37" si="0">D23-E23</f>
        <v>-21330.357248500004</v>
      </c>
      <c r="G23" s="63">
        <f t="shared" ref="G23:G37" si="1">D23/E23</f>
        <v>0.11235788016295664</v>
      </c>
      <c r="H23" s="272">
        <f>'Standard Standjahre'!D13</f>
        <v>0</v>
      </c>
      <c r="I23" s="261">
        <f>H23/B18</f>
        <v>0</v>
      </c>
      <c r="J23" s="888">
        <f>'Standard Standjahre'!F98</f>
        <v>146096.27374849998</v>
      </c>
      <c r="L23" s="7"/>
    </row>
    <row r="24" spans="1:12" ht="15.5" x14ac:dyDescent="0.35">
      <c r="A24" s="212" t="s">
        <v>40</v>
      </c>
      <c r="B24" s="11">
        <v>2</v>
      </c>
      <c r="C24" s="911">
        <f>'Standard Standjahre'!M97</f>
        <v>-163288.38994344088</v>
      </c>
      <c r="D24" s="385">
        <f>'Standard Standjahre'!M16</f>
        <v>7281.0439024390253</v>
      </c>
      <c r="E24" s="223">
        <f>'Standard Standjahre'!M93</f>
        <v>24473.16009737995</v>
      </c>
      <c r="F24" s="664">
        <f t="shared" si="0"/>
        <v>-17192.116194940925</v>
      </c>
      <c r="G24" s="63">
        <f t="shared" si="1"/>
        <v>0.29751139098781609</v>
      </c>
      <c r="H24" s="272">
        <f>'Standard Standjahre'!K13</f>
        <v>2487.8048780487807</v>
      </c>
      <c r="I24" s="261">
        <f>H24/B18</f>
        <v>0.8292682926829269</v>
      </c>
      <c r="J24" s="888">
        <f>'Standard Standjahre'!M98</f>
        <v>163288.38994344088</v>
      </c>
      <c r="L24" s="7"/>
    </row>
    <row r="25" spans="1:12" s="49" customFormat="1" ht="15.5" x14ac:dyDescent="0.35">
      <c r="A25" s="256" t="s">
        <v>41</v>
      </c>
      <c r="B25" s="114">
        <v>3</v>
      </c>
      <c r="C25" s="911">
        <f>'Standard Standjahre'!T97</f>
        <v>-176166.41380068139</v>
      </c>
      <c r="D25" s="665">
        <f>'Standard Standjahre'!T16</f>
        <v>19497.160975609753</v>
      </c>
      <c r="E25" s="665">
        <f>'Standard Standjahre'!T93</f>
        <v>32375.184832850282</v>
      </c>
      <c r="F25" s="664">
        <f t="shared" si="0"/>
        <v>-12878.023857240529</v>
      </c>
      <c r="G25" s="555">
        <f t="shared" si="1"/>
        <v>0.60222547226437695</v>
      </c>
      <c r="H25" s="313">
        <f>'Standard Standjahre'!R13</f>
        <v>9121.9512195121952</v>
      </c>
      <c r="I25" s="312">
        <f>H25/B18</f>
        <v>3.0406504065040649</v>
      </c>
      <c r="J25" s="889">
        <f>'Standard Standjahre'!T98</f>
        <v>176166.41380068139</v>
      </c>
      <c r="K25"/>
      <c r="L25" s="182"/>
    </row>
    <row r="26" spans="1:12" s="57" customFormat="1" ht="15.5" x14ac:dyDescent="0.35">
      <c r="A26" s="890" t="s">
        <v>42</v>
      </c>
      <c r="B26" s="753">
        <v>4</v>
      </c>
      <c r="C26" s="911">
        <f>'Standard Standjahre'!AA97</f>
        <v>-187242.95418090964</v>
      </c>
      <c r="D26" s="223">
        <f>'Standard Standjahre'!AA16</f>
        <v>25605.219512195119</v>
      </c>
      <c r="E26" s="223">
        <f>'Standard Standjahre'!AA93</f>
        <v>36681.759892423383</v>
      </c>
      <c r="F26" s="664">
        <f t="shared" si="0"/>
        <v>-11076.540380228264</v>
      </c>
      <c r="G26" s="220">
        <f t="shared" si="1"/>
        <v>0.6980368332186776</v>
      </c>
      <c r="H26" s="666">
        <f>'Standard Standjahre'!Y13</f>
        <v>12439.024390243902</v>
      </c>
      <c r="I26" s="667">
        <f>H26/B18</f>
        <v>4.1463414634146343</v>
      </c>
      <c r="J26" s="891">
        <f>'Standard Standjahre'!AA98</f>
        <v>161485.87931729128</v>
      </c>
      <c r="K26"/>
      <c r="L26" s="180"/>
    </row>
    <row r="27" spans="1:12" ht="15.5" x14ac:dyDescent="0.35">
      <c r="A27" s="212" t="s">
        <v>43</v>
      </c>
      <c r="B27" s="11">
        <v>5</v>
      </c>
      <c r="C27" s="911">
        <f>'Standard Standjahre'!AH97</f>
        <v>-172072.8978117865</v>
      </c>
      <c r="D27" s="385">
        <f>'Standard Standjahre'!AH16</f>
        <v>53091.482926829267</v>
      </c>
      <c r="E27" s="223">
        <f>'Standard Standjahre'!AH93</f>
        <v>37921.426557706131</v>
      </c>
      <c r="F27" s="664">
        <f t="shared" si="0"/>
        <v>15170.056369123136</v>
      </c>
      <c r="G27" s="63">
        <f t="shared" si="1"/>
        <v>1.40003917959253</v>
      </c>
      <c r="H27" s="272">
        <f>'Standard Standjahre'!AF13</f>
        <v>27365.853658536584</v>
      </c>
      <c r="I27" s="261">
        <f>H27/B18</f>
        <v>9.1219512195121943</v>
      </c>
      <c r="J27" s="888">
        <f>'Standard Standjahre'!AH98</f>
        <v>146805.34483390118</v>
      </c>
      <c r="L27" s="7"/>
    </row>
    <row r="28" spans="1:12" ht="15.5" x14ac:dyDescent="0.35">
      <c r="A28" s="212" t="s">
        <v>44</v>
      </c>
      <c r="B28" s="11">
        <v>6</v>
      </c>
      <c r="C28" s="911">
        <f>'Standard Standjahre'!AO97</f>
        <v>-156766.31093534129</v>
      </c>
      <c r="D28" s="385">
        <f>'Standard Standjahre'!AO16</f>
        <v>53091.482926829267</v>
      </c>
      <c r="E28" s="223">
        <f>'Standard Standjahre'!AO93</f>
        <v>37784.896050384028</v>
      </c>
      <c r="F28" s="664">
        <f t="shared" si="0"/>
        <v>15306.586876445239</v>
      </c>
      <c r="G28" s="63">
        <f t="shared" si="1"/>
        <v>1.4050980279536767</v>
      </c>
      <c r="H28" s="272">
        <f>'Standard Standjahre'!AM13</f>
        <v>27365.853658536584</v>
      </c>
      <c r="I28" s="261">
        <f>H28/B18</f>
        <v>9.1219512195121943</v>
      </c>
      <c r="J28" s="888">
        <f>'Standard Standjahre'!AO98</f>
        <v>132124.81035051108</v>
      </c>
      <c r="L28" s="7"/>
    </row>
    <row r="29" spans="1:12" ht="15.5" x14ac:dyDescent="0.35">
      <c r="A29" s="212" t="s">
        <v>45</v>
      </c>
      <c r="B29" s="11">
        <v>7</v>
      </c>
      <c r="C29" s="911">
        <f>'Standard Standjahre'!AV97</f>
        <v>-144131.96477700805</v>
      </c>
      <c r="D29" s="385">
        <f>'Standard Standjahre'!AV16</f>
        <v>53091.482926829267</v>
      </c>
      <c r="E29" s="223">
        <f>'Standard Standjahre'!AV93</f>
        <v>40457.136768496028</v>
      </c>
      <c r="F29" s="664">
        <f t="shared" si="0"/>
        <v>12634.346158333239</v>
      </c>
      <c r="G29" s="63">
        <f t="shared" si="1"/>
        <v>1.3122896766182328</v>
      </c>
      <c r="H29" s="272">
        <f>'Standard Standjahre'!AT13</f>
        <v>27365.853658536584</v>
      </c>
      <c r="I29" s="261">
        <f>H29/B18</f>
        <v>9.1219512195121943</v>
      </c>
      <c r="J29" s="888">
        <f>'Standard Standjahre'!AV98</f>
        <v>117444.27586712096</v>
      </c>
      <c r="L29" s="7"/>
    </row>
    <row r="30" spans="1:12" ht="15.5" x14ac:dyDescent="0.35">
      <c r="A30" s="892" t="s">
        <v>46</v>
      </c>
      <c r="B30" s="108">
        <v>8</v>
      </c>
      <c r="C30" s="911">
        <f>'Standard Standjahre'!BC97</f>
        <v>-128573.90950324979</v>
      </c>
      <c r="D30" s="385">
        <f>'Standard Standjahre'!BC16</f>
        <v>53091.482926829267</v>
      </c>
      <c r="E30" s="223">
        <f>'Standard Standjahre'!BC93</f>
        <v>37533.427653071019</v>
      </c>
      <c r="F30" s="664">
        <f t="shared" si="0"/>
        <v>15558.055273758247</v>
      </c>
      <c r="G30" s="63">
        <f t="shared" si="1"/>
        <v>1.4145119762992195</v>
      </c>
      <c r="H30" s="272">
        <f>'Standard Standjahre'!BA13</f>
        <v>27365.853658536584</v>
      </c>
      <c r="I30" s="261">
        <f>H30/B18</f>
        <v>9.1219512195121943</v>
      </c>
      <c r="J30" s="888">
        <f>'Standard Standjahre'!BC98</f>
        <v>102763.74138373084</v>
      </c>
      <c r="L30" s="7"/>
    </row>
    <row r="31" spans="1:12" ht="15.5" x14ac:dyDescent="0.35">
      <c r="A31" s="212" t="s">
        <v>47</v>
      </c>
      <c r="B31" s="11">
        <v>9</v>
      </c>
      <c r="C31" s="911">
        <f>'Standard Standjahre'!BJ97</f>
        <v>-112875.83173202771</v>
      </c>
      <c r="D31" s="385">
        <f>'Standard Standjahre'!BJ16</f>
        <v>53091.482926829267</v>
      </c>
      <c r="E31" s="223">
        <f>'Standard Standjahre'!BJ93</f>
        <v>37393.405155607194</v>
      </c>
      <c r="F31" s="664">
        <f t="shared" si="0"/>
        <v>15698.077771222073</v>
      </c>
      <c r="G31" s="63">
        <f t="shared" si="1"/>
        <v>1.4198087257872563</v>
      </c>
      <c r="H31" s="272">
        <f>'Standard Standjahre'!BH13</f>
        <v>27365.853658536584</v>
      </c>
      <c r="I31" s="261">
        <f>H31/B18</f>
        <v>9.1219512195121943</v>
      </c>
      <c r="J31" s="888">
        <f>'Standard Standjahre'!BJ98</f>
        <v>88083.206900340723</v>
      </c>
      <c r="L31" s="7"/>
    </row>
    <row r="32" spans="1:12" ht="15.5" x14ac:dyDescent="0.35">
      <c r="A32" s="892" t="s">
        <v>48</v>
      </c>
      <c r="B32" s="11">
        <v>10</v>
      </c>
      <c r="C32" s="911">
        <f>'Standard Standjahre'!BQ97</f>
        <v>-99846.471260864651</v>
      </c>
      <c r="D32" s="385">
        <f>'Standard Standjahre'!BQ16</f>
        <v>53091.482926829267</v>
      </c>
      <c r="E32" s="223">
        <f>'Standard Standjahre'!BQ93</f>
        <v>40062.122455666205</v>
      </c>
      <c r="F32" s="664">
        <f t="shared" si="0"/>
        <v>13029.360471163061</v>
      </c>
      <c r="G32" s="63">
        <f t="shared" si="1"/>
        <v>1.3252289113134657</v>
      </c>
      <c r="H32" s="272">
        <f>'Standard Standjahre'!BO13</f>
        <v>27365.853658536584</v>
      </c>
      <c r="I32" s="261">
        <f>H32/B18</f>
        <v>9.1219512195121943</v>
      </c>
      <c r="J32" s="888">
        <f>'Standard Standjahre'!BQ98</f>
        <v>73402.672416950605</v>
      </c>
      <c r="L32" s="7"/>
    </row>
    <row r="33" spans="1:12" ht="15.5" x14ac:dyDescent="0.35">
      <c r="A33" s="892" t="s">
        <v>49</v>
      </c>
      <c r="B33" s="11">
        <v>11</v>
      </c>
      <c r="C33" s="911">
        <f>'Standard Standjahre'!BX97</f>
        <v>-83889.846545461114</v>
      </c>
      <c r="D33" s="668">
        <f>'Standard Standjahre'!BX16</f>
        <v>53091.482926829267</v>
      </c>
      <c r="E33" s="669">
        <f>'Standard Standjahre'!BX93</f>
        <v>37134.85821142573</v>
      </c>
      <c r="F33" s="664">
        <f t="shared" si="0"/>
        <v>15956.624715403537</v>
      </c>
      <c r="G33" s="63">
        <f t="shared" si="1"/>
        <v>1.4296939717543871</v>
      </c>
      <c r="H33" s="272">
        <f>'Standard Standjahre'!BV13</f>
        <v>27365.853658536584</v>
      </c>
      <c r="I33" s="261">
        <f>H33/B18</f>
        <v>9.1219512195121943</v>
      </c>
      <c r="J33" s="888">
        <f>'Standard Standjahre'!BX98</f>
        <v>58722.137933560487</v>
      </c>
      <c r="L33" s="7"/>
    </row>
    <row r="34" spans="1:12" ht="15.5" x14ac:dyDescent="0.35">
      <c r="A34" s="212" t="s">
        <v>50</v>
      </c>
      <c r="B34" s="11">
        <v>12</v>
      </c>
      <c r="C34" s="911">
        <f>'Standard Standjahre'!CE97</f>
        <v>-67789.612207618949</v>
      </c>
      <c r="D34" s="668">
        <f>'Standard Standjahre'!CE16</f>
        <v>53091.482926829267</v>
      </c>
      <c r="E34" s="669">
        <f>'Standard Standjahre'!CE93</f>
        <v>36991.248588987102</v>
      </c>
      <c r="F34" s="664">
        <f t="shared" si="0"/>
        <v>16100.234337842165</v>
      </c>
      <c r="G34" s="63">
        <f t="shared" si="1"/>
        <v>1.4352444146109593</v>
      </c>
      <c r="H34" s="272">
        <f>'Standard Standjahre'!CC13</f>
        <v>27365.853658536584</v>
      </c>
      <c r="I34" s="261">
        <f>H34/B18</f>
        <v>9.1219512195121943</v>
      </c>
      <c r="J34" s="888">
        <f>'Standard Standjahre'!CE98</f>
        <v>44041.603450170369</v>
      </c>
      <c r="L34" s="7"/>
    </row>
    <row r="35" spans="1:12" ht="15.5" x14ac:dyDescent="0.35">
      <c r="A35" s="212" t="s">
        <v>51</v>
      </c>
      <c r="B35" s="878">
        <v>13</v>
      </c>
      <c r="C35" s="911">
        <f>'Standard Standjahre'!CL97</f>
        <v>-58277.190029531783</v>
      </c>
      <c r="D35" s="668">
        <f>'Standard Standjahre'!CL16</f>
        <v>48510.439024390238</v>
      </c>
      <c r="E35" s="669">
        <f>'Standard Standjahre'!CL93</f>
        <v>38998.016846303071</v>
      </c>
      <c r="F35" s="664">
        <f t="shared" si="0"/>
        <v>9512.4221780871667</v>
      </c>
      <c r="G35" s="63">
        <f t="shared" si="1"/>
        <v>1.243920664365499</v>
      </c>
      <c r="H35" s="272">
        <f>'Standard Standjahre'!CJ13</f>
        <v>24878.048780487803</v>
      </c>
      <c r="I35" s="261">
        <f>H35/B18</f>
        <v>8.2926829268292686</v>
      </c>
      <c r="J35" s="888">
        <f>'Standard Standjahre'!CL98</f>
        <v>29361.068966780251</v>
      </c>
      <c r="L35" s="7"/>
    </row>
    <row r="36" spans="1:12" ht="15.5" x14ac:dyDescent="0.35">
      <c r="A36" s="212" t="s">
        <v>52</v>
      </c>
      <c r="B36" s="11">
        <v>14</v>
      </c>
      <c r="C36" s="911">
        <f>'Standard Standjahre'!CS97</f>
        <v>-45869.156051841834</v>
      </c>
      <c r="D36" s="668">
        <f>'Standard Standjahre'!CS16</f>
        <v>48510.439024390238</v>
      </c>
      <c r="E36" s="669">
        <f>'Standard Standjahre'!CS93</f>
        <v>36102.405046700282</v>
      </c>
      <c r="F36" s="664">
        <f t="shared" si="0"/>
        <v>12408.033977689956</v>
      </c>
      <c r="G36" s="63">
        <f t="shared" si="1"/>
        <v>1.343689955326786</v>
      </c>
      <c r="H36" s="272">
        <f>'Standard Standjahre'!CQ13</f>
        <v>24878.048780487803</v>
      </c>
      <c r="I36" s="261">
        <f>H36/B18</f>
        <v>8.2926829268292686</v>
      </c>
      <c r="J36" s="888">
        <f>'Standard Standjahre'!CS98</f>
        <v>14680.534483390134</v>
      </c>
      <c r="L36" s="7"/>
    </row>
    <row r="37" spans="1:12" ht="15.5" x14ac:dyDescent="0.35">
      <c r="A37" s="893" t="s">
        <v>53</v>
      </c>
      <c r="B37" s="31">
        <v>15</v>
      </c>
      <c r="C37" s="912">
        <f>'Standard Standjahre'!CZ97</f>
        <v>-39349.449768352679</v>
      </c>
      <c r="D37" s="894">
        <f>'Standard Standjahre'!CZ16</f>
        <v>48510.439024390238</v>
      </c>
      <c r="E37" s="895">
        <f>'Standard Standjahre'!CZ93</f>
        <v>41990.732740901076</v>
      </c>
      <c r="F37" s="896">
        <f t="shared" si="0"/>
        <v>6519.7062834891622</v>
      </c>
      <c r="G37" s="897">
        <f t="shared" si="1"/>
        <v>1.1552653611385695</v>
      </c>
      <c r="H37" s="898">
        <f>'Standard Standjahre'!CX13</f>
        <v>24878.048780487803</v>
      </c>
      <c r="I37" s="899">
        <f>H37/$B$18</f>
        <v>8.2926829268292686</v>
      </c>
      <c r="J37" s="900">
        <f>'Standard Standjahre'!CZ98</f>
        <v>1.8189894035458565E-11</v>
      </c>
      <c r="L37" s="7"/>
    </row>
    <row r="38" spans="1:12" x14ac:dyDescent="0.25">
      <c r="A38" s="13"/>
      <c r="B38" s="11"/>
      <c r="C38" s="149"/>
      <c r="D38" s="385"/>
      <c r="E38" s="223"/>
      <c r="F38" s="879"/>
      <c r="G38" s="63"/>
      <c r="H38" s="272"/>
      <c r="I38" s="261"/>
      <c r="J38" s="877"/>
      <c r="K38" s="9"/>
      <c r="L38" s="7"/>
    </row>
    <row r="39" spans="1:12" ht="13" x14ac:dyDescent="0.3">
      <c r="A39" s="13"/>
      <c r="B39" s="13"/>
      <c r="C39" s="13"/>
      <c r="D39" s="17"/>
      <c r="E39" s="30"/>
      <c r="F39" s="13"/>
      <c r="G39" s="13"/>
      <c r="H39" s="13"/>
      <c r="I39" s="13"/>
      <c r="J39" s="13"/>
    </row>
    <row r="40" spans="1:12" ht="24.75" customHeight="1" x14ac:dyDescent="0.4">
      <c r="A40" s="1453" t="s">
        <v>147</v>
      </c>
      <c r="B40" s="1453"/>
      <c r="C40" s="592">
        <f>C37</f>
        <v>-39349.449768352679</v>
      </c>
      <c r="D40" s="13"/>
      <c r="E40" s="13"/>
      <c r="F40" s="13"/>
      <c r="G40" s="13"/>
      <c r="H40" s="13"/>
      <c r="I40" s="13"/>
      <c r="J40" s="13"/>
    </row>
    <row r="41" spans="1:12" ht="6" customHeight="1" x14ac:dyDescent="0.35">
      <c r="A41" s="724"/>
      <c r="B41" s="725"/>
      <c r="C41" s="723"/>
    </row>
    <row r="42" spans="1:12" ht="15.5" x14ac:dyDescent="0.35">
      <c r="A42" s="609" t="s">
        <v>74</v>
      </c>
      <c r="B42" s="521"/>
      <c r="C42" s="671">
        <f>'Standard Ertragsphase'!F120</f>
        <v>24.275662808765972</v>
      </c>
    </row>
    <row r="43" spans="1:12" ht="15.5" x14ac:dyDescent="0.35">
      <c r="A43" s="606" t="s">
        <v>75</v>
      </c>
      <c r="B43" s="527"/>
      <c r="C43" s="672">
        <f>'Standard Ertragsphase'!D93</f>
        <v>711.59793814432987</v>
      </c>
    </row>
    <row r="44" spans="1:12" ht="15.5" x14ac:dyDescent="0.35">
      <c r="A44" s="606" t="s">
        <v>205</v>
      </c>
      <c r="B44" s="526"/>
      <c r="C44" s="673">
        <f>2700/C43</f>
        <v>3.7942774357116988</v>
      </c>
      <c r="D44" t="s">
        <v>471</v>
      </c>
    </row>
    <row r="45" spans="1:12" ht="9.75" customHeight="1" x14ac:dyDescent="0.25"/>
    <row r="47" spans="1:12" x14ac:dyDescent="0.25">
      <c r="C47" s="73"/>
      <c r="D47" s="73"/>
      <c r="E47" s="74"/>
    </row>
  </sheetData>
  <mergeCells count="1">
    <mergeCell ref="A40:B40"/>
  </mergeCells>
  <phoneticPr fontId="23" type="noConversion"/>
  <pageMargins left="0.78740157499999996" right="0.78740157499999996" top="0.984251969" bottom="0.984251969" header="0.4921259845" footer="0.4921259845"/>
  <pageSetup paperSize="9" orientation="portrait" r:id="rId1"/>
  <headerFooter alignWithMargins="0">
    <oddHeader>&amp;LArbokost BIO 2008/09&amp;REsther Bravin, ACW</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3:L22"/>
  <sheetViews>
    <sheetView workbookViewId="0">
      <selection activeCell="H23" sqref="H23"/>
    </sheetView>
  </sheetViews>
  <sheetFormatPr baseColWidth="10" defaultRowHeight="12.5" x14ac:dyDescent="0.25"/>
  <sheetData>
    <row r="3" spans="1:12" ht="14" x14ac:dyDescent="0.3">
      <c r="A3" s="49" t="s">
        <v>307</v>
      </c>
      <c r="B3" s="57" t="s">
        <v>308</v>
      </c>
      <c r="C3" s="57"/>
      <c r="D3" s="57"/>
      <c r="E3" s="57"/>
      <c r="F3" s="57"/>
      <c r="G3" s="57"/>
      <c r="H3" s="57"/>
      <c r="I3" s="57"/>
      <c r="J3" s="57"/>
      <c r="K3" s="57"/>
      <c r="L3" s="229"/>
    </row>
    <row r="4" spans="1:12" ht="14" x14ac:dyDescent="0.3">
      <c r="A4" s="57"/>
      <c r="B4" s="57" t="s">
        <v>319</v>
      </c>
      <c r="C4" s="57"/>
      <c r="D4" s="57"/>
      <c r="E4" s="57"/>
      <c r="F4" s="57"/>
      <c r="G4" s="57"/>
      <c r="H4" s="57"/>
      <c r="I4" s="57"/>
      <c r="J4" s="57"/>
      <c r="K4" s="57"/>
      <c r="L4" s="229"/>
    </row>
    <row r="5" spans="1:12" ht="14" x14ac:dyDescent="0.3">
      <c r="A5" s="57"/>
      <c r="B5" s="57" t="s">
        <v>309</v>
      </c>
      <c r="C5" s="57"/>
      <c r="D5" s="57"/>
      <c r="E5" s="57"/>
      <c r="F5" s="57"/>
      <c r="G5" s="57"/>
      <c r="H5" s="57"/>
      <c r="I5" s="57"/>
      <c r="J5" s="57"/>
      <c r="K5" s="57"/>
      <c r="L5" s="229"/>
    </row>
    <row r="6" spans="1:12" ht="14" x14ac:dyDescent="0.3">
      <c r="A6" s="57"/>
      <c r="B6" s="57" t="s">
        <v>311</v>
      </c>
      <c r="C6" s="57"/>
      <c r="D6" s="57"/>
      <c r="E6" s="57"/>
      <c r="F6" s="57"/>
      <c r="G6" s="57"/>
      <c r="H6" s="57"/>
      <c r="I6" s="57"/>
      <c r="J6" s="57"/>
      <c r="K6" s="57"/>
      <c r="L6" s="229"/>
    </row>
    <row r="7" spans="1:12" ht="14" x14ac:dyDescent="0.3">
      <c r="A7" s="57"/>
      <c r="B7" s="57"/>
      <c r="C7" s="57" t="s">
        <v>310</v>
      </c>
      <c r="D7" s="57"/>
      <c r="E7" s="57"/>
      <c r="F7" s="57"/>
      <c r="G7" s="57"/>
      <c r="H7" s="57"/>
      <c r="I7" s="57"/>
      <c r="J7" s="57"/>
      <c r="K7" s="57"/>
      <c r="L7" s="229"/>
    </row>
    <row r="8" spans="1:12" ht="14" x14ac:dyDescent="0.3">
      <c r="A8" s="57"/>
      <c r="B8" s="57" t="s">
        <v>314</v>
      </c>
      <c r="D8" s="57"/>
      <c r="E8" s="57"/>
      <c r="F8" s="57"/>
      <c r="G8" s="57"/>
      <c r="H8" s="57"/>
      <c r="I8" s="57"/>
      <c r="J8" s="57"/>
      <c r="K8" s="57"/>
      <c r="L8" s="229"/>
    </row>
    <row r="9" spans="1:12" ht="14" x14ac:dyDescent="0.3">
      <c r="A9" s="57"/>
      <c r="B9" s="57" t="s">
        <v>316</v>
      </c>
      <c r="D9" s="57"/>
      <c r="E9" s="57"/>
      <c r="F9" s="57"/>
      <c r="G9" s="57"/>
      <c r="H9" s="57"/>
      <c r="I9" s="57"/>
      <c r="J9" s="57"/>
      <c r="K9" s="57"/>
      <c r="L9" s="229"/>
    </row>
    <row r="10" spans="1:12" ht="14" x14ac:dyDescent="0.3">
      <c r="A10" s="57"/>
      <c r="B10" s="57"/>
      <c r="C10" s="57"/>
      <c r="D10" s="57"/>
      <c r="E10" s="57"/>
      <c r="F10" s="57"/>
      <c r="G10" s="57"/>
      <c r="H10" s="57"/>
      <c r="I10" s="57"/>
      <c r="J10" s="57"/>
      <c r="K10" s="57"/>
      <c r="L10" s="229"/>
    </row>
    <row r="11" spans="1:12" ht="14" x14ac:dyDescent="0.3">
      <c r="B11" t="s">
        <v>315</v>
      </c>
      <c r="D11" s="57"/>
      <c r="E11" s="57"/>
      <c r="F11" s="57"/>
      <c r="G11" s="57"/>
      <c r="H11" s="57"/>
      <c r="I11" s="57"/>
      <c r="J11" s="57"/>
      <c r="K11" s="57"/>
      <c r="L11" s="229"/>
    </row>
    <row r="12" spans="1:12" x14ac:dyDescent="0.25">
      <c r="B12" t="s">
        <v>318</v>
      </c>
      <c r="D12" s="57"/>
      <c r="E12" s="57"/>
      <c r="F12" s="57"/>
      <c r="G12" s="57"/>
      <c r="H12" s="57"/>
      <c r="I12" s="57"/>
      <c r="J12" s="57"/>
      <c r="K12" s="57"/>
    </row>
    <row r="13" spans="1:12" x14ac:dyDescent="0.25">
      <c r="B13" s="57" t="s">
        <v>317</v>
      </c>
      <c r="D13" s="57"/>
      <c r="E13" s="57"/>
      <c r="F13" s="57"/>
      <c r="G13" s="57"/>
      <c r="H13" s="57"/>
      <c r="I13" s="57"/>
      <c r="J13" s="57"/>
      <c r="K13" s="57"/>
    </row>
    <row r="14" spans="1:12" x14ac:dyDescent="0.25">
      <c r="D14" s="57"/>
      <c r="E14" s="57"/>
      <c r="F14" s="57"/>
      <c r="G14" s="57"/>
      <c r="H14" s="57"/>
      <c r="I14" s="57"/>
      <c r="J14" s="57"/>
      <c r="K14" s="57"/>
    </row>
    <row r="15" spans="1:12" x14ac:dyDescent="0.25">
      <c r="A15" s="57"/>
      <c r="B15" s="57"/>
      <c r="C15" s="57"/>
      <c r="D15" s="57"/>
      <c r="E15" s="57"/>
      <c r="F15" s="57"/>
      <c r="G15" s="57"/>
      <c r="H15" s="57"/>
      <c r="I15" s="57"/>
      <c r="J15" s="57"/>
      <c r="K15" s="57"/>
    </row>
    <row r="16" spans="1:12" x14ac:dyDescent="0.25">
      <c r="A16" s="57" t="s">
        <v>312</v>
      </c>
      <c r="B16" s="57"/>
      <c r="C16" s="57" t="s">
        <v>313</v>
      </c>
      <c r="D16" s="57"/>
      <c r="E16" s="57"/>
      <c r="F16" s="57"/>
      <c r="G16" s="57"/>
      <c r="H16" s="57"/>
      <c r="I16" s="57"/>
      <c r="J16" s="57"/>
      <c r="K16" s="57"/>
    </row>
    <row r="17" spans="1:11" x14ac:dyDescent="0.25">
      <c r="A17" s="57"/>
      <c r="B17" s="57"/>
      <c r="C17" s="57"/>
      <c r="D17" s="57"/>
      <c r="E17" s="57"/>
      <c r="F17" s="57"/>
      <c r="G17" s="57"/>
      <c r="H17" s="57"/>
      <c r="I17" s="57"/>
      <c r="J17" s="57"/>
      <c r="K17" s="57"/>
    </row>
    <row r="18" spans="1:11" x14ac:dyDescent="0.25">
      <c r="C18" s="57" t="s">
        <v>322</v>
      </c>
      <c r="D18" s="57"/>
      <c r="E18" s="57" t="s">
        <v>320</v>
      </c>
      <c r="F18" s="57"/>
      <c r="G18" s="57"/>
      <c r="H18" s="57"/>
      <c r="I18" s="57"/>
      <c r="J18" s="57"/>
      <c r="K18" s="57"/>
    </row>
    <row r="19" spans="1:11" x14ac:dyDescent="0.25">
      <c r="C19" s="57" t="s">
        <v>135</v>
      </c>
      <c r="D19" s="57"/>
      <c r="E19" s="57" t="s">
        <v>321</v>
      </c>
      <c r="F19" s="57"/>
      <c r="G19" s="57"/>
      <c r="H19" s="57"/>
      <c r="I19" s="57"/>
      <c r="J19" s="57"/>
      <c r="K19" s="57"/>
    </row>
    <row r="20" spans="1:11" x14ac:dyDescent="0.25">
      <c r="A20" s="57"/>
      <c r="B20" s="57"/>
      <c r="C20" s="57"/>
      <c r="D20" s="57"/>
      <c r="E20" s="57"/>
      <c r="F20" s="57"/>
      <c r="G20" s="57"/>
      <c r="H20" s="57"/>
      <c r="I20" s="57"/>
      <c r="J20" s="57"/>
      <c r="K20" s="57"/>
    </row>
    <row r="21" spans="1:11" x14ac:dyDescent="0.25">
      <c r="A21" s="57"/>
      <c r="B21" s="57"/>
      <c r="C21" s="57"/>
      <c r="D21" s="57"/>
      <c r="E21" s="57"/>
      <c r="F21" s="57"/>
      <c r="G21" s="57"/>
      <c r="H21" s="57"/>
      <c r="I21" s="57"/>
      <c r="J21" s="57"/>
      <c r="K21" s="57"/>
    </row>
    <row r="22" spans="1:11" x14ac:dyDescent="0.25">
      <c r="A22" s="57"/>
      <c r="B22" s="57"/>
      <c r="C22" s="57"/>
      <c r="D22" s="57"/>
      <c r="E22" s="57"/>
      <c r="F22" s="57"/>
      <c r="G22" s="57"/>
      <c r="H22" s="57"/>
      <c r="I22" s="57"/>
      <c r="J22" s="57"/>
      <c r="K22" s="57"/>
    </row>
  </sheetData>
  <phoneticPr fontId="23" type="noConversion"/>
  <pageMargins left="0.78740157499999996" right="0.78740157499999996" top="0.984251969" bottom="0.984251969" header="0.4921259845" footer="0.4921259845"/>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tandardVorgaben1">
    <tabColor indexed="8"/>
  </sheetPr>
  <dimension ref="A1:K300"/>
  <sheetViews>
    <sheetView zoomScaleNormal="100" workbookViewId="0">
      <selection activeCell="A4" sqref="A4:H4"/>
    </sheetView>
  </sheetViews>
  <sheetFormatPr baseColWidth="10" defaultRowHeight="12.5" x14ac:dyDescent="0.25"/>
  <cols>
    <col min="1" max="1" width="38.26953125" customWidth="1"/>
    <col min="2" max="2" width="35" customWidth="1"/>
    <col min="3" max="3" width="25.81640625" style="93" customWidth="1"/>
    <col min="4" max="4" width="21" style="10" customWidth="1"/>
    <col min="5" max="5" width="23.7265625" style="10" customWidth="1"/>
    <col min="6" max="6" width="23.26953125" style="10" customWidth="1"/>
    <col min="7" max="7" width="20.1796875" customWidth="1"/>
    <col min="8" max="8" width="21" customWidth="1"/>
  </cols>
  <sheetData>
    <row r="1" spans="1:8" ht="44.25" customHeight="1" x14ac:dyDescent="0.35">
      <c r="A1" s="1287" t="str">
        <f>Eingabeseite!A1</f>
        <v>Arbokost 2023</v>
      </c>
      <c r="B1" s="1284" t="str">
        <f>Eingabeseite!B1</f>
        <v>BIO- Tafelapfel, Gala auf M9, 3000 Bäume /ha</v>
      </c>
      <c r="C1" s="773"/>
      <c r="D1" s="774"/>
      <c r="E1" s="775"/>
      <c r="F1" s="776"/>
      <c r="G1" s="777"/>
      <c r="H1" s="771"/>
    </row>
    <row r="2" spans="1:8" ht="27" customHeight="1" x14ac:dyDescent="0.5">
      <c r="A2" s="993" t="s">
        <v>469</v>
      </c>
      <c r="B2" s="819"/>
      <c r="C2" s="773"/>
      <c r="D2" s="774"/>
      <c r="E2" s="775"/>
      <c r="F2" s="776"/>
      <c r="G2" s="777"/>
      <c r="H2" s="771"/>
    </row>
    <row r="3" spans="1:8" s="1" customFormat="1" ht="48" customHeight="1" x14ac:dyDescent="0.25">
      <c r="A3" s="820" t="s">
        <v>470</v>
      </c>
      <c r="B3" s="1424" t="str">
        <f>'Standard Vorgaben'!B3:I3</f>
        <v>Zeitgemässe Tafelapfelanlage auf schwachwachsender Unterlage. Werte sind ausgelegt auf gemischtwirtschaftliche Betriebe mit 2 - 5 ha Obstfläche, an geeigneten Standort in einem der Hauptproduktionsgebiete der Schweiz.</v>
      </c>
      <c r="C3" s="1424"/>
      <c r="D3" s="1424"/>
      <c r="E3" s="1424"/>
      <c r="F3" s="1424"/>
      <c r="G3" s="1424"/>
      <c r="H3" s="1424"/>
    </row>
    <row r="4" spans="1:8" s="1" customFormat="1" ht="38.25" customHeight="1" x14ac:dyDescent="0.25">
      <c r="A4" s="1425" t="s">
        <v>640</v>
      </c>
      <c r="B4" s="1425"/>
      <c r="C4" s="1425"/>
      <c r="D4" s="1425"/>
      <c r="E4" s="1425"/>
      <c r="F4" s="1425"/>
      <c r="G4" s="1425"/>
      <c r="H4" s="1425"/>
    </row>
    <row r="5" spans="1:8" s="1" customFormat="1" ht="13.5" customHeight="1" x14ac:dyDescent="0.25">
      <c r="A5" s="145"/>
      <c r="C5" s="95"/>
      <c r="D5" s="35"/>
      <c r="E5" s="35"/>
      <c r="F5" s="35"/>
      <c r="H5" s="529" t="s">
        <v>451</v>
      </c>
    </row>
    <row r="6" spans="1:8" ht="25" x14ac:dyDescent="0.5">
      <c r="A6" s="1418" t="s">
        <v>117</v>
      </c>
      <c r="B6" s="1418"/>
      <c r="C6" s="1418"/>
      <c r="D6" s="1418"/>
      <c r="E6" s="1418"/>
      <c r="F6" s="1418"/>
      <c r="G6" s="1418"/>
      <c r="H6" s="1418"/>
    </row>
    <row r="7" spans="1:8" s="1" customFormat="1" ht="15.5" x14ac:dyDescent="0.35">
      <c r="A7" s="2" t="s">
        <v>119</v>
      </c>
      <c r="B7" s="530" t="s">
        <v>273</v>
      </c>
      <c r="C7" s="726"/>
      <c r="D7" s="19"/>
      <c r="E7" s="19"/>
      <c r="F7" s="19"/>
      <c r="G7" s="19"/>
    </row>
    <row r="8" spans="1:8" s="1" customFormat="1" ht="15.5" x14ac:dyDescent="0.35">
      <c r="A8" s="2" t="s">
        <v>160</v>
      </c>
      <c r="B8" s="530" t="s">
        <v>686</v>
      </c>
      <c r="C8" s="531"/>
      <c r="D8" s="19"/>
      <c r="E8" s="19"/>
      <c r="F8" s="19"/>
      <c r="G8" s="19"/>
    </row>
    <row r="9" spans="1:8" s="1" customFormat="1" ht="15.5" x14ac:dyDescent="0.35">
      <c r="A9" s="2" t="s">
        <v>120</v>
      </c>
      <c r="B9" s="530" t="s">
        <v>555</v>
      </c>
      <c r="C9" s="535"/>
      <c r="D9" s="19"/>
      <c r="E9" s="19"/>
      <c r="F9" s="19"/>
      <c r="G9" s="19"/>
    </row>
    <row r="10" spans="1:8" s="1" customFormat="1" ht="19.5" customHeight="1" x14ac:dyDescent="0.35">
      <c r="A10" s="2" t="s">
        <v>7</v>
      </c>
      <c r="B10" s="247">
        <f>B24</f>
        <v>3000</v>
      </c>
      <c r="C10" s="19"/>
      <c r="D10" s="130"/>
      <c r="E10" s="43"/>
    </row>
    <row r="11" spans="1:8" s="1" customFormat="1" ht="20.25" customHeight="1" x14ac:dyDescent="0.35">
      <c r="A11" s="2" t="s">
        <v>121</v>
      </c>
      <c r="B11" s="530" t="s">
        <v>3</v>
      </c>
      <c r="C11" s="531"/>
      <c r="D11" s="531"/>
      <c r="E11" s="531"/>
      <c r="F11" s="531"/>
    </row>
    <row r="12" spans="1:8" s="1" customFormat="1" ht="20.25" customHeight="1" x14ac:dyDescent="0.35">
      <c r="A12" s="2" t="s">
        <v>204</v>
      </c>
      <c r="B12" s="1426" t="s">
        <v>556</v>
      </c>
      <c r="C12" s="1427"/>
      <c r="D12" s="1427"/>
      <c r="E12" s="1427"/>
      <c r="F12" s="1427"/>
      <c r="G12" s="693"/>
    </row>
    <row r="13" spans="1:8" ht="15.5" x14ac:dyDescent="0.35">
      <c r="A13" s="2" t="s">
        <v>178</v>
      </c>
      <c r="B13" s="532" t="s">
        <v>179</v>
      </c>
      <c r="C13" s="727"/>
      <c r="D13" s="534"/>
      <c r="E13" s="535"/>
      <c r="F13" s="536"/>
      <c r="G13" s="19"/>
    </row>
    <row r="14" spans="1:8" ht="15.5" x14ac:dyDescent="0.35">
      <c r="A14" s="2" t="s">
        <v>169</v>
      </c>
      <c r="B14" s="1428" t="s">
        <v>338</v>
      </c>
      <c r="C14" s="1428"/>
      <c r="D14" s="1428"/>
      <c r="E14" s="537"/>
      <c r="F14" s="538"/>
      <c r="G14" s="1"/>
    </row>
    <row r="15" spans="1:8" ht="13" x14ac:dyDescent="0.3">
      <c r="B15" s="1"/>
      <c r="C15" s="19"/>
      <c r="D15" s="41"/>
      <c r="E15" s="19"/>
      <c r="F15" s="133"/>
      <c r="G15" s="19"/>
    </row>
    <row r="16" spans="1:8" s="1" customFormat="1" ht="18.5" thickBot="1" x14ac:dyDescent="0.45">
      <c r="A16" s="691" t="s">
        <v>439</v>
      </c>
      <c r="B16" s="692"/>
      <c r="C16" s="692"/>
      <c r="D16" s="692"/>
      <c r="E16" s="702"/>
      <c r="F16" s="702"/>
      <c r="G16" s="702"/>
      <c r="H16" s="702"/>
    </row>
    <row r="17" spans="1:6" s="1" customFormat="1" x14ac:dyDescent="0.25">
      <c r="A17" s="160"/>
      <c r="B17" s="154" t="s">
        <v>157</v>
      </c>
      <c r="C17" s="159" t="s">
        <v>158</v>
      </c>
      <c r="D17" s="137" t="s">
        <v>159</v>
      </c>
      <c r="E17" s="35"/>
      <c r="F17" s="35"/>
    </row>
    <row r="18" spans="1:6" s="1" customFormat="1" ht="13" x14ac:dyDescent="0.3">
      <c r="A18" s="675" t="s">
        <v>0</v>
      </c>
      <c r="B18" s="539">
        <v>125</v>
      </c>
      <c r="C18" s="541">
        <v>120</v>
      </c>
      <c r="D18" s="543">
        <f>1-(C20/B20)</f>
        <v>9.9999999999999978E-2</v>
      </c>
      <c r="E18" s="35"/>
      <c r="F18" s="35"/>
    </row>
    <row r="19" spans="1:6" s="1" customFormat="1" x14ac:dyDescent="0.25">
      <c r="A19" s="675" t="s">
        <v>1</v>
      </c>
      <c r="B19" s="540">
        <v>80</v>
      </c>
      <c r="C19" s="542">
        <v>75</v>
      </c>
      <c r="D19" s="676"/>
      <c r="E19" s="35"/>
      <c r="F19" s="35"/>
    </row>
    <row r="20" spans="1:6" s="1" customFormat="1" ht="13.5" thickBot="1" x14ac:dyDescent="0.35">
      <c r="A20" s="162" t="s">
        <v>59</v>
      </c>
      <c r="B20" s="545">
        <f>B18*B19</f>
        <v>10000</v>
      </c>
      <c r="C20" s="546">
        <f>C18*C19</f>
        <v>9000</v>
      </c>
      <c r="D20" s="544">
        <f>B20-C20</f>
        <v>1000</v>
      </c>
      <c r="E20" s="35"/>
      <c r="F20" s="35"/>
    </row>
    <row r="21" spans="1:6" s="1" customFormat="1" ht="13" x14ac:dyDescent="0.3">
      <c r="A21" s="163" t="s">
        <v>4</v>
      </c>
      <c r="B21" s="88"/>
      <c r="C21" s="549">
        <v>3</v>
      </c>
      <c r="D21" s="155"/>
      <c r="E21" s="35"/>
      <c r="F21" s="35"/>
    </row>
    <row r="22" spans="1:6" s="1" customFormat="1" ht="13" x14ac:dyDescent="0.3">
      <c r="A22" s="163" t="s">
        <v>5</v>
      </c>
      <c r="B22" s="88"/>
      <c r="C22" s="549">
        <v>1</v>
      </c>
      <c r="D22" s="155"/>
      <c r="E22" s="35"/>
      <c r="F22" s="35"/>
    </row>
    <row r="23" spans="1:6" s="1" customFormat="1" ht="13" x14ac:dyDescent="0.3">
      <c r="A23" s="163" t="s">
        <v>6</v>
      </c>
      <c r="B23" s="88"/>
      <c r="C23" s="547">
        <f>ROUND((C19/C21),0)</f>
        <v>25</v>
      </c>
      <c r="D23" s="136"/>
      <c r="E23" s="35"/>
      <c r="F23" s="35"/>
    </row>
    <row r="24" spans="1:6" s="1" customFormat="1" ht="16" thickBot="1" x14ac:dyDescent="0.4">
      <c r="A24" s="996" t="s">
        <v>116</v>
      </c>
      <c r="B24" s="997">
        <f>Eingabeseite!D24</f>
        <v>3000</v>
      </c>
      <c r="C24" s="548">
        <f>ROUND(((C18/C22)+1),0)*ROUND(C23,0)</f>
        <v>3025</v>
      </c>
      <c r="D24" s="677"/>
      <c r="E24" s="35"/>
      <c r="F24" s="35"/>
    </row>
    <row r="25" spans="1:6" s="1" customFormat="1" x14ac:dyDescent="0.25">
      <c r="A25" s="19"/>
      <c r="B25" s="19"/>
      <c r="C25" s="19"/>
      <c r="D25" s="35"/>
      <c r="E25" s="35"/>
      <c r="F25" s="35"/>
    </row>
    <row r="26" spans="1:6" s="1" customFormat="1" x14ac:dyDescent="0.25">
      <c r="A26" s="19" t="s">
        <v>77</v>
      </c>
      <c r="B26" s="779">
        <v>15</v>
      </c>
      <c r="C26" s="19"/>
      <c r="D26" s="35"/>
      <c r="E26" s="35"/>
      <c r="F26" s="35"/>
    </row>
    <row r="27" spans="1:6" s="1" customFormat="1" x14ac:dyDescent="0.25">
      <c r="A27" s="19" t="s">
        <v>73</v>
      </c>
      <c r="B27" s="779">
        <v>3</v>
      </c>
      <c r="C27" s="19"/>
      <c r="D27" s="35"/>
      <c r="E27" s="35"/>
      <c r="F27" s="35"/>
    </row>
    <row r="28" spans="1:6" s="1" customFormat="1" ht="13" thickBot="1" x14ac:dyDescent="0.3">
      <c r="A28" s="19" t="s">
        <v>78</v>
      </c>
      <c r="B28" s="781">
        <f>B26-B27</f>
        <v>12</v>
      </c>
      <c r="C28" s="19"/>
      <c r="D28" s="35"/>
      <c r="E28" s="35"/>
      <c r="F28" s="35"/>
    </row>
    <row r="29" spans="1:6" s="1" customFormat="1" ht="15.5" x14ac:dyDescent="0.35">
      <c r="A29" s="153" t="s">
        <v>180</v>
      </c>
      <c r="B29" s="780">
        <f>B28</f>
        <v>12</v>
      </c>
      <c r="C29" s="19"/>
      <c r="D29" s="35"/>
      <c r="E29" s="35"/>
      <c r="F29" s="35"/>
    </row>
    <row r="30" spans="1:6" s="1" customFormat="1" x14ac:dyDescent="0.25">
      <c r="A30" s="19"/>
      <c r="B30" s="19"/>
      <c r="C30" s="19"/>
      <c r="D30" s="44"/>
      <c r="E30" s="44"/>
      <c r="F30" s="44"/>
    </row>
    <row r="31" spans="1:6" s="1" customFormat="1" ht="13" x14ac:dyDescent="0.3">
      <c r="A31" s="41" t="s">
        <v>8</v>
      </c>
      <c r="B31" s="145" t="s">
        <v>114</v>
      </c>
      <c r="C31" s="60">
        <f>Eingabeseite!D26</f>
        <v>12</v>
      </c>
      <c r="D31" s="87" t="s">
        <v>161</v>
      </c>
      <c r="E31" s="19"/>
      <c r="F31" s="19"/>
    </row>
    <row r="32" spans="1:6" s="1" customFormat="1" ht="13" x14ac:dyDescent="0.3">
      <c r="A32" s="41" t="s">
        <v>81</v>
      </c>
      <c r="B32" s="13" t="s">
        <v>434</v>
      </c>
      <c r="C32" s="253">
        <f>Eingabeseite!D19</f>
        <v>41.4</v>
      </c>
      <c r="D32" s="13"/>
      <c r="E32" s="13"/>
      <c r="F32" s="19"/>
    </row>
    <row r="33" spans="1:8" s="1" customFormat="1" ht="13" x14ac:dyDescent="0.3">
      <c r="A33" s="41"/>
      <c r="B33" s="13" t="s">
        <v>110</v>
      </c>
      <c r="C33" s="253">
        <f>Eingabeseite!D20</f>
        <v>24</v>
      </c>
      <c r="D33" s="13"/>
      <c r="E33" s="13"/>
      <c r="F33" s="19"/>
    </row>
    <row r="34" spans="1:8" s="1" customFormat="1" ht="13.5" thickBot="1" x14ac:dyDescent="0.35">
      <c r="A34" s="19"/>
      <c r="B34" s="19" t="s">
        <v>115</v>
      </c>
      <c r="C34" s="468">
        <f>Eingabeseite!D21</f>
        <v>21</v>
      </c>
      <c r="D34" s="150" t="s">
        <v>176</v>
      </c>
      <c r="E34" s="19"/>
      <c r="F34" s="555">
        <f>Eingabeseite!D22</f>
        <v>0.85</v>
      </c>
      <c r="G34" s="147"/>
    </row>
    <row r="35" spans="1:8" s="1" customFormat="1" ht="14" x14ac:dyDescent="0.3">
      <c r="A35" s="19"/>
      <c r="B35" s="13" t="s">
        <v>441</v>
      </c>
      <c r="C35" s="783">
        <f>(F34*C34)+(((1-F34)/2)*C33)+ (((1-F34)/2)*C32)</f>
        <v>22.754999999999999</v>
      </c>
      <c r="D35" s="11"/>
      <c r="E35" s="44"/>
      <c r="F35" s="44"/>
    </row>
    <row r="36" spans="1:8" s="1" customFormat="1" ht="14" x14ac:dyDescent="0.3">
      <c r="A36" s="19"/>
      <c r="B36" s="13" t="s">
        <v>442</v>
      </c>
      <c r="C36" s="783">
        <f>AVERAGE(C32:C33)</f>
        <v>32.700000000000003</v>
      </c>
      <c r="D36" s="11"/>
      <c r="E36" s="44"/>
      <c r="F36" s="44"/>
    </row>
    <row r="37" spans="1:8" s="1" customFormat="1" ht="14" x14ac:dyDescent="0.3">
      <c r="A37" s="19"/>
      <c r="B37" s="29" t="s">
        <v>636</v>
      </c>
      <c r="C37" s="783">
        <f>AVERAGE(C33:C34)</f>
        <v>22.5</v>
      </c>
      <c r="D37" s="11"/>
      <c r="E37" s="44"/>
      <c r="F37" s="44"/>
      <c r="G37" s="19"/>
      <c r="H37" s="19"/>
    </row>
    <row r="38" spans="1:8" s="1" customFormat="1" ht="13" x14ac:dyDescent="0.3">
      <c r="A38" s="87" t="s">
        <v>118</v>
      </c>
      <c r="B38" s="19"/>
      <c r="C38" s="788">
        <v>6000</v>
      </c>
      <c r="D38" s="19"/>
      <c r="E38" s="87" t="s">
        <v>631</v>
      </c>
      <c r="F38" s="251" t="s">
        <v>626</v>
      </c>
      <c r="G38" s="1053">
        <v>325</v>
      </c>
      <c r="H38" s="19"/>
    </row>
    <row r="39" spans="1:8" s="1" customFormat="1" ht="13" x14ac:dyDescent="0.3">
      <c r="A39" s="41" t="s">
        <v>620</v>
      </c>
      <c r="B39" s="19"/>
      <c r="C39" s="784">
        <v>2700</v>
      </c>
      <c r="D39" s="19"/>
      <c r="E39" s="19"/>
      <c r="F39" s="19" t="s">
        <v>342</v>
      </c>
      <c r="G39" s="1145">
        <v>1.1499999999999999</v>
      </c>
      <c r="H39" s="19"/>
    </row>
    <row r="40" spans="1:8" s="1" customFormat="1" ht="13" x14ac:dyDescent="0.3">
      <c r="A40" s="41" t="s">
        <v>10</v>
      </c>
      <c r="B40" s="19"/>
      <c r="C40" s="790">
        <f>Eingabeseite!D30</f>
        <v>1.4999999999999999E-2</v>
      </c>
      <c r="D40" s="19"/>
      <c r="F40" s="42" t="s">
        <v>564</v>
      </c>
      <c r="G40" s="1144">
        <v>100</v>
      </c>
      <c r="H40" s="19"/>
    </row>
    <row r="41" spans="1:8" s="1" customFormat="1" x14ac:dyDescent="0.25">
      <c r="A41" s="19" t="s">
        <v>150</v>
      </c>
      <c r="B41" s="19"/>
      <c r="C41" s="566">
        <v>0.6</v>
      </c>
      <c r="D41" s="19"/>
      <c r="F41" s="42" t="s">
        <v>565</v>
      </c>
      <c r="G41" s="1145">
        <v>0.85</v>
      </c>
      <c r="H41" s="1205"/>
    </row>
    <row r="42" spans="1:8" s="1" customFormat="1" ht="13" x14ac:dyDescent="0.3">
      <c r="A42" s="87" t="s">
        <v>143</v>
      </c>
      <c r="B42" s="19"/>
      <c r="C42" s="789">
        <v>660</v>
      </c>
      <c r="D42" s="19"/>
      <c r="E42" s="1141"/>
      <c r="F42" s="1140"/>
      <c r="G42" s="1262"/>
      <c r="H42" s="19"/>
    </row>
    <row r="43" spans="1:8" ht="13" x14ac:dyDescent="0.3">
      <c r="D43" s="44"/>
      <c r="E43" s="234" t="s">
        <v>80</v>
      </c>
      <c r="F43" s="251" t="str">
        <f>F38</f>
        <v>Tafelobst</v>
      </c>
      <c r="G43" s="1290">
        <v>0</v>
      </c>
      <c r="H43" s="19"/>
    </row>
    <row r="44" spans="1:8" ht="13" x14ac:dyDescent="0.3">
      <c r="D44" s="44"/>
      <c r="E44" s="234" t="s">
        <v>203</v>
      </c>
      <c r="F44" s="252" t="str">
        <f>F38</f>
        <v>Tafelobst</v>
      </c>
      <c r="G44" s="786">
        <v>0</v>
      </c>
      <c r="H44" s="1205"/>
    </row>
    <row r="45" spans="1:8" ht="13" x14ac:dyDescent="0.3">
      <c r="A45" s="72"/>
      <c r="B45" s="19"/>
      <c r="C45" s="791"/>
      <c r="D45" s="44"/>
      <c r="E45" s="44"/>
      <c r="F45" s="150" t="s">
        <v>207</v>
      </c>
      <c r="G45" s="786">
        <v>12</v>
      </c>
      <c r="H45" s="87" t="s">
        <v>682</v>
      </c>
    </row>
    <row r="46" spans="1:8" ht="13" x14ac:dyDescent="0.3">
      <c r="A46" s="72"/>
      <c r="B46" s="19"/>
      <c r="C46" s="791"/>
      <c r="D46" s="44"/>
      <c r="E46" s="234" t="s">
        <v>622</v>
      </c>
      <c r="G46" s="786">
        <v>5</v>
      </c>
      <c r="H46" s="47">
        <f>Eingabeseite!D16</f>
        <v>0</v>
      </c>
    </row>
    <row r="47" spans="1:8" ht="13" x14ac:dyDescent="0.3">
      <c r="A47" s="72"/>
      <c r="B47" s="19"/>
      <c r="C47" s="791"/>
      <c r="D47" s="44"/>
      <c r="E47" s="234" t="s">
        <v>621</v>
      </c>
      <c r="G47" s="1145">
        <v>10</v>
      </c>
      <c r="H47" s="47">
        <f>Eingabeseite!D17</f>
        <v>0</v>
      </c>
    </row>
    <row r="48" spans="1:8" ht="13" x14ac:dyDescent="0.3">
      <c r="A48" s="49"/>
      <c r="B48" s="1"/>
      <c r="C48" s="248"/>
      <c r="D48" s="35"/>
      <c r="E48" s="998" t="s">
        <v>558</v>
      </c>
      <c r="F48" s="1146" t="s">
        <v>559</v>
      </c>
      <c r="G48" s="1144">
        <v>43</v>
      </c>
      <c r="H48" s="1205"/>
    </row>
    <row r="49" spans="1:8" s="1" customFormat="1" ht="25" x14ac:dyDescent="0.5">
      <c r="A49" s="1418" t="s">
        <v>643</v>
      </c>
      <c r="B49" s="1418"/>
      <c r="C49" s="1418"/>
      <c r="D49" s="1418"/>
      <c r="E49" s="1418"/>
      <c r="F49" s="1418"/>
      <c r="G49" s="1418"/>
      <c r="H49" s="1418"/>
    </row>
    <row r="50" spans="1:8" s="1" customFormat="1" ht="11.25" customHeight="1" x14ac:dyDescent="0.3">
      <c r="A50" s="80" t="s">
        <v>135</v>
      </c>
      <c r="B50" s="177" t="str">
        <f>'Standard Vorgaben'!B50</f>
        <v>Tafeläpfel BIO</v>
      </c>
      <c r="C50" s="177" t="str">
        <f>'Standard Vorgaben'!C50</f>
        <v>Kochobst BIO</v>
      </c>
      <c r="D50" s="177" t="str">
        <f>'Standard Vorgaben'!D50</f>
        <v>Mostobst BIO</v>
      </c>
      <c r="E50" s="177" t="str">
        <f>Eingabeseite!A9</f>
        <v>Sortierabgang faul</v>
      </c>
      <c r="F50" s="80" t="s">
        <v>36</v>
      </c>
      <c r="G50" s="80" t="s">
        <v>37</v>
      </c>
      <c r="H50" s="80" t="s">
        <v>135</v>
      </c>
    </row>
    <row r="51" spans="1:8" s="1" customFormat="1" ht="13" x14ac:dyDescent="0.3">
      <c r="A51" s="173">
        <v>1</v>
      </c>
      <c r="B51" s="48">
        <f>Eingabeseite!D6</f>
        <v>2.4</v>
      </c>
      <c r="C51" s="45">
        <f>Eingabeseite!D7</f>
        <v>0.6</v>
      </c>
      <c r="D51" s="45">
        <f>Eingabeseite!D8</f>
        <v>0.33</v>
      </c>
      <c r="E51" s="45">
        <f>Eingabeseite!D9</f>
        <v>0</v>
      </c>
      <c r="F51" s="124">
        <f>'Standard Vorgaben'!F51*(1+Eingabeseite!$C$15)</f>
        <v>0</v>
      </c>
      <c r="G51" s="36">
        <f>F51/'Variante Vorgaben'!$B$24</f>
        <v>0</v>
      </c>
      <c r="H51" s="278">
        <v>1</v>
      </c>
    </row>
    <row r="52" spans="1:8" s="1" customFormat="1" ht="13" x14ac:dyDescent="0.3">
      <c r="A52" s="173">
        <v>2</v>
      </c>
      <c r="B52" s="48">
        <f t="shared" ref="B52:B65" si="0">B51</f>
        <v>2.4</v>
      </c>
      <c r="C52" s="48">
        <f t="shared" ref="C52:C65" si="1">C51</f>
        <v>0.6</v>
      </c>
      <c r="D52" s="48">
        <f t="shared" ref="D52:D65" si="2">$D$51</f>
        <v>0.33</v>
      </c>
      <c r="E52" s="45">
        <f>$E$51</f>
        <v>0</v>
      </c>
      <c r="F52" s="124">
        <f>'Standard Vorgaben'!F52*(1+Eingabeseite!$C$15)</f>
        <v>2487.8048780487807</v>
      </c>
      <c r="G52" s="36">
        <f>F52/'Variante Vorgaben'!$B$24</f>
        <v>0.8292682926829269</v>
      </c>
      <c r="H52" s="278">
        <v>2</v>
      </c>
    </row>
    <row r="53" spans="1:8" s="1" customFormat="1" ht="13" x14ac:dyDescent="0.3">
      <c r="A53" s="173">
        <v>3</v>
      </c>
      <c r="B53" s="48">
        <f t="shared" si="0"/>
        <v>2.4</v>
      </c>
      <c r="C53" s="48">
        <f t="shared" si="1"/>
        <v>0.6</v>
      </c>
      <c r="D53" s="48">
        <f t="shared" si="2"/>
        <v>0.33</v>
      </c>
      <c r="E53" s="45">
        <f t="shared" ref="E53:E65" si="3">$E$51</f>
        <v>0</v>
      </c>
      <c r="F53" s="124">
        <f>'Standard Vorgaben'!F53*(1+Eingabeseite!$C$15)</f>
        <v>9121.9512195121952</v>
      </c>
      <c r="G53" s="36">
        <f>F53/'Variante Vorgaben'!$B$24</f>
        <v>3.0406504065040649</v>
      </c>
      <c r="H53" s="278">
        <v>3</v>
      </c>
    </row>
    <row r="54" spans="1:8" s="1" customFormat="1" ht="13" x14ac:dyDescent="0.3">
      <c r="A54" s="678">
        <v>4</v>
      </c>
      <c r="B54" s="48">
        <f t="shared" si="0"/>
        <v>2.4</v>
      </c>
      <c r="C54" s="48">
        <f t="shared" si="1"/>
        <v>0.6</v>
      </c>
      <c r="D54" s="48">
        <f t="shared" si="2"/>
        <v>0.33</v>
      </c>
      <c r="E54" s="45">
        <f t="shared" si="3"/>
        <v>0</v>
      </c>
      <c r="F54" s="124">
        <f>'Standard Vorgaben'!F54*(1+Eingabeseite!$C$15)</f>
        <v>12439.024390243902</v>
      </c>
      <c r="G54" s="36">
        <f>F54/'Variante Vorgaben'!$B$24</f>
        <v>4.1463414634146343</v>
      </c>
      <c r="H54" s="278">
        <v>4</v>
      </c>
    </row>
    <row r="55" spans="1:8" s="1" customFormat="1" ht="13" x14ac:dyDescent="0.3">
      <c r="A55" s="678">
        <v>5</v>
      </c>
      <c r="B55" s="48">
        <f t="shared" si="0"/>
        <v>2.4</v>
      </c>
      <c r="C55" s="48">
        <f t="shared" si="1"/>
        <v>0.6</v>
      </c>
      <c r="D55" s="48">
        <f t="shared" si="2"/>
        <v>0.33</v>
      </c>
      <c r="E55" s="45">
        <f t="shared" si="3"/>
        <v>0</v>
      </c>
      <c r="F55" s="124">
        <f>'Standard Vorgaben'!F55*(1+Eingabeseite!$C$15)</f>
        <v>27365.853658536584</v>
      </c>
      <c r="G55" s="36">
        <f>F55/'Variante Vorgaben'!$B$24</f>
        <v>9.1219512195121943</v>
      </c>
      <c r="H55" s="278">
        <v>5</v>
      </c>
    </row>
    <row r="56" spans="1:8" s="1" customFormat="1" ht="13" x14ac:dyDescent="0.3">
      <c r="A56" s="678">
        <v>6</v>
      </c>
      <c r="B56" s="48">
        <f t="shared" si="0"/>
        <v>2.4</v>
      </c>
      <c r="C56" s="48">
        <f t="shared" si="1"/>
        <v>0.6</v>
      </c>
      <c r="D56" s="48">
        <f t="shared" si="2"/>
        <v>0.33</v>
      </c>
      <c r="E56" s="45">
        <f t="shared" si="3"/>
        <v>0</v>
      </c>
      <c r="F56" s="124">
        <f>'Standard Vorgaben'!F56*(1+Eingabeseite!$C$15)</f>
        <v>27365.853658536584</v>
      </c>
      <c r="G56" s="36">
        <f>F56/'Variante Vorgaben'!$B$24</f>
        <v>9.1219512195121943</v>
      </c>
      <c r="H56" s="278">
        <v>6</v>
      </c>
    </row>
    <row r="57" spans="1:8" s="1" customFormat="1" ht="13" x14ac:dyDescent="0.3">
      <c r="A57" s="678">
        <v>7</v>
      </c>
      <c r="B57" s="48">
        <f t="shared" si="0"/>
        <v>2.4</v>
      </c>
      <c r="C57" s="48">
        <f t="shared" si="1"/>
        <v>0.6</v>
      </c>
      <c r="D57" s="48">
        <f t="shared" si="2"/>
        <v>0.33</v>
      </c>
      <c r="E57" s="45">
        <f t="shared" si="3"/>
        <v>0</v>
      </c>
      <c r="F57" s="124">
        <f>'Standard Vorgaben'!F57*(1+Eingabeseite!$C$15)</f>
        <v>27365.853658536584</v>
      </c>
      <c r="G57" s="36">
        <f>F57/'Variante Vorgaben'!$B$24</f>
        <v>9.1219512195121943</v>
      </c>
      <c r="H57" s="278">
        <v>7</v>
      </c>
    </row>
    <row r="58" spans="1:8" s="1" customFormat="1" ht="13" x14ac:dyDescent="0.3">
      <c r="A58" s="678">
        <v>8</v>
      </c>
      <c r="B58" s="48">
        <f t="shared" si="0"/>
        <v>2.4</v>
      </c>
      <c r="C58" s="48">
        <f t="shared" si="1"/>
        <v>0.6</v>
      </c>
      <c r="D58" s="48">
        <f t="shared" si="2"/>
        <v>0.33</v>
      </c>
      <c r="E58" s="45">
        <f t="shared" si="3"/>
        <v>0</v>
      </c>
      <c r="F58" s="124">
        <f>'Standard Vorgaben'!F58*(1+Eingabeseite!$C$15)</f>
        <v>27365.853658536584</v>
      </c>
      <c r="G58" s="36">
        <f>F58/'Variante Vorgaben'!$B$24</f>
        <v>9.1219512195121943</v>
      </c>
      <c r="H58" s="278">
        <v>8</v>
      </c>
    </row>
    <row r="59" spans="1:8" s="1" customFormat="1" ht="13" x14ac:dyDescent="0.3">
      <c r="A59" s="678">
        <v>9</v>
      </c>
      <c r="B59" s="48">
        <f t="shared" si="0"/>
        <v>2.4</v>
      </c>
      <c r="C59" s="48">
        <f t="shared" si="1"/>
        <v>0.6</v>
      </c>
      <c r="D59" s="48">
        <f t="shared" si="2"/>
        <v>0.33</v>
      </c>
      <c r="E59" s="45">
        <f t="shared" si="3"/>
        <v>0</v>
      </c>
      <c r="F59" s="124">
        <f>'Standard Vorgaben'!F59*(1+Eingabeseite!$C$15)</f>
        <v>27365.853658536584</v>
      </c>
      <c r="G59" s="36">
        <f>F59/'Variante Vorgaben'!$B$24</f>
        <v>9.1219512195121943</v>
      </c>
      <c r="H59" s="278">
        <v>9</v>
      </c>
    </row>
    <row r="60" spans="1:8" s="1" customFormat="1" ht="13" x14ac:dyDescent="0.3">
      <c r="A60" s="678">
        <v>10</v>
      </c>
      <c r="B60" s="48">
        <f t="shared" si="0"/>
        <v>2.4</v>
      </c>
      <c r="C60" s="48">
        <f t="shared" si="1"/>
        <v>0.6</v>
      </c>
      <c r="D60" s="48">
        <f t="shared" si="2"/>
        <v>0.33</v>
      </c>
      <c r="E60" s="45">
        <f t="shared" si="3"/>
        <v>0</v>
      </c>
      <c r="F60" s="124">
        <f>'Standard Vorgaben'!F60*(1+Eingabeseite!$C$15)</f>
        <v>27365.853658536584</v>
      </c>
      <c r="G60" s="36">
        <f>F60/'Variante Vorgaben'!$B$24</f>
        <v>9.1219512195121943</v>
      </c>
      <c r="H60" s="278">
        <v>10</v>
      </c>
    </row>
    <row r="61" spans="1:8" s="1" customFormat="1" ht="13" x14ac:dyDescent="0.3">
      <c r="A61" s="678">
        <v>11</v>
      </c>
      <c r="B61" s="48">
        <f t="shared" si="0"/>
        <v>2.4</v>
      </c>
      <c r="C61" s="48">
        <f t="shared" si="1"/>
        <v>0.6</v>
      </c>
      <c r="D61" s="48">
        <f t="shared" si="2"/>
        <v>0.33</v>
      </c>
      <c r="E61" s="45">
        <f t="shared" si="3"/>
        <v>0</v>
      </c>
      <c r="F61" s="124">
        <f>'Standard Vorgaben'!F61*(1+Eingabeseite!$C$15)</f>
        <v>27365.853658536584</v>
      </c>
      <c r="G61" s="36">
        <f>F61/'Variante Vorgaben'!$B$24</f>
        <v>9.1219512195121943</v>
      </c>
      <c r="H61" s="278">
        <v>11</v>
      </c>
    </row>
    <row r="62" spans="1:8" s="1" customFormat="1" ht="13" x14ac:dyDescent="0.3">
      <c r="A62" s="678">
        <v>12</v>
      </c>
      <c r="B62" s="48">
        <f t="shared" si="0"/>
        <v>2.4</v>
      </c>
      <c r="C62" s="48">
        <f t="shared" si="1"/>
        <v>0.6</v>
      </c>
      <c r="D62" s="48">
        <f t="shared" si="2"/>
        <v>0.33</v>
      </c>
      <c r="E62" s="45">
        <f t="shared" si="3"/>
        <v>0</v>
      </c>
      <c r="F62" s="124">
        <f>'Standard Vorgaben'!F62*(1+Eingabeseite!$C$15)</f>
        <v>27365.853658536584</v>
      </c>
      <c r="G62" s="36">
        <f>F62/'Variante Vorgaben'!$B$24</f>
        <v>9.1219512195121943</v>
      </c>
      <c r="H62" s="278">
        <v>12</v>
      </c>
    </row>
    <row r="63" spans="1:8" s="1" customFormat="1" ht="13" x14ac:dyDescent="0.3">
      <c r="A63" s="678">
        <v>13</v>
      </c>
      <c r="B63" s="48">
        <f t="shared" si="0"/>
        <v>2.4</v>
      </c>
      <c r="C63" s="48">
        <f t="shared" si="1"/>
        <v>0.6</v>
      </c>
      <c r="D63" s="48">
        <f t="shared" si="2"/>
        <v>0.33</v>
      </c>
      <c r="E63" s="45">
        <f t="shared" si="3"/>
        <v>0</v>
      </c>
      <c r="F63" s="124">
        <f>'Standard Vorgaben'!F63*(1+Eingabeseite!$C$15)</f>
        <v>24878.048780487803</v>
      </c>
      <c r="G63" s="36">
        <f>F63/'Variante Vorgaben'!$B$24</f>
        <v>8.2926829268292686</v>
      </c>
      <c r="H63" s="278">
        <v>13</v>
      </c>
    </row>
    <row r="64" spans="1:8" s="1" customFormat="1" ht="13" x14ac:dyDescent="0.3">
      <c r="A64" s="678">
        <v>14</v>
      </c>
      <c r="B64" s="48">
        <f t="shared" si="0"/>
        <v>2.4</v>
      </c>
      <c r="C64" s="48">
        <f t="shared" si="1"/>
        <v>0.6</v>
      </c>
      <c r="D64" s="48">
        <f t="shared" si="2"/>
        <v>0.33</v>
      </c>
      <c r="E64" s="45">
        <f t="shared" si="3"/>
        <v>0</v>
      </c>
      <c r="F64" s="124">
        <f>'Standard Vorgaben'!F64*(1+Eingabeseite!$C$15)</f>
        <v>24878.048780487803</v>
      </c>
      <c r="G64" s="36">
        <f>F64/'Variante Vorgaben'!$B$24</f>
        <v>8.2926829268292686</v>
      </c>
      <c r="H64" s="278">
        <v>14</v>
      </c>
    </row>
    <row r="65" spans="1:11" s="1" customFormat="1" ht="13" x14ac:dyDescent="0.3">
      <c r="A65" s="678">
        <v>15</v>
      </c>
      <c r="B65" s="48">
        <f t="shared" si="0"/>
        <v>2.4</v>
      </c>
      <c r="C65" s="48">
        <f t="shared" si="1"/>
        <v>0.6</v>
      </c>
      <c r="D65" s="48">
        <f t="shared" si="2"/>
        <v>0.33</v>
      </c>
      <c r="E65" s="45">
        <f t="shared" si="3"/>
        <v>0</v>
      </c>
      <c r="F65" s="124">
        <f>'Standard Vorgaben'!F65*(1+Eingabeseite!$C$15)</f>
        <v>24878.048780487803</v>
      </c>
      <c r="G65" s="36">
        <f>F65/'Variante Vorgaben'!$B$24</f>
        <v>8.2926829268292686</v>
      </c>
      <c r="H65" s="278">
        <v>15</v>
      </c>
    </row>
    <row r="66" spans="1:11" s="1" customFormat="1" ht="13" x14ac:dyDescent="0.3">
      <c r="A66" s="679" t="s">
        <v>196</v>
      </c>
      <c r="F66" s="64">
        <f>SUM(F51:F53)</f>
        <v>11609.756097560976</v>
      </c>
      <c r="G66" s="79">
        <f>SUM(G51:G53)</f>
        <v>3.8699186991869921</v>
      </c>
    </row>
    <row r="67" spans="1:11" s="1" customFormat="1" ht="13" x14ac:dyDescent="0.3">
      <c r="A67" s="679" t="s">
        <v>197</v>
      </c>
      <c r="F67" s="64">
        <f>SUM(F51:F65)</f>
        <v>317609.75609756098</v>
      </c>
      <c r="G67" s="79">
        <f>SUM(G51:G65)</f>
        <v>105.86991869918701</v>
      </c>
    </row>
    <row r="68" spans="1:11" s="1" customFormat="1" ht="13" x14ac:dyDescent="0.3">
      <c r="A68" s="679" t="s">
        <v>198</v>
      </c>
      <c r="B68" s="554">
        <f>AVERAGE(B54:B65)</f>
        <v>2.3999999999999995</v>
      </c>
      <c r="C68" s="554">
        <f>AVERAGE(C54:C65)</f>
        <v>0.59999999999999987</v>
      </c>
      <c r="D68" s="554">
        <f>AVERAGE(D54:D65)</f>
        <v>0.33</v>
      </c>
      <c r="E68" s="554">
        <f>AVERAGE(E54:E65)</f>
        <v>0</v>
      </c>
      <c r="F68" s="64">
        <f>Eingabeseite!D15</f>
        <v>25500</v>
      </c>
      <c r="G68" s="79">
        <f>AVERAGE(G54:G65)</f>
        <v>8.5000000000000018</v>
      </c>
    </row>
    <row r="69" spans="1:11" s="1" customFormat="1" ht="13" x14ac:dyDescent="0.3">
      <c r="A69" s="679" t="s">
        <v>199</v>
      </c>
      <c r="B69" s="554">
        <f t="shared" ref="B69:G69" si="4">AVERAGE(B51:B65)</f>
        <v>2.3999999999999995</v>
      </c>
      <c r="C69" s="554">
        <f t="shared" si="4"/>
        <v>0.59999999999999987</v>
      </c>
      <c r="D69" s="554">
        <f t="shared" si="4"/>
        <v>0.33</v>
      </c>
      <c r="E69" s="554">
        <f t="shared" si="4"/>
        <v>0</v>
      </c>
      <c r="F69" s="64">
        <f t="shared" si="4"/>
        <v>21173.9837398374</v>
      </c>
      <c r="G69" s="79">
        <f t="shared" si="4"/>
        <v>7.0579945799458006</v>
      </c>
      <c r="H69" s="555">
        <v>0</v>
      </c>
    </row>
    <row r="70" spans="1:11" s="1" customFormat="1" ht="13" x14ac:dyDescent="0.3">
      <c r="B70" s="78"/>
      <c r="C70" s="78"/>
      <c r="D70" s="78"/>
      <c r="E70" s="64"/>
      <c r="F70" s="79"/>
    </row>
    <row r="71" spans="1:11" s="1" customFormat="1" ht="32.5" customHeight="1" x14ac:dyDescent="0.5">
      <c r="A71" s="1418" t="s">
        <v>134</v>
      </c>
      <c r="B71" s="1418"/>
      <c r="C71" s="1418"/>
      <c r="D71" s="1418"/>
      <c r="E71" s="1418"/>
      <c r="F71" s="1418"/>
      <c r="G71" s="1418"/>
      <c r="H71" s="1418"/>
    </row>
    <row r="72" spans="1:11" s="1" customFormat="1" ht="13" x14ac:dyDescent="0.3">
      <c r="A72" s="796"/>
      <c r="B72" s="797"/>
      <c r="C72" s="794"/>
      <c r="D72" s="1429" t="str">
        <f>D50</f>
        <v>Mostobst BIO</v>
      </c>
      <c r="E72" s="1430"/>
      <c r="F72" s="798"/>
      <c r="G72" s="798"/>
      <c r="H72" s="798" t="s">
        <v>343</v>
      </c>
    </row>
    <row r="73" spans="1:11" s="1" customFormat="1" ht="13" x14ac:dyDescent="0.3">
      <c r="A73" s="793" t="s">
        <v>135</v>
      </c>
      <c r="B73" s="1150" t="str">
        <f>B50</f>
        <v>Tafeläpfel BIO</v>
      </c>
      <c r="C73" s="1150" t="str">
        <f>C50</f>
        <v>Kochobst BIO</v>
      </c>
      <c r="D73" s="185" t="str">
        <f>Eingabeseite!A12</f>
        <v>Mostobst Sortierabgang</v>
      </c>
      <c r="E73" s="1325" t="str">
        <f>Eingabeseite!A13</f>
        <v>Mostobst ab Boden</v>
      </c>
      <c r="F73" s="798" t="str">
        <f>Eingabeseite!A9</f>
        <v>Sortierabgang faul</v>
      </c>
      <c r="G73" s="795" t="s">
        <v>342</v>
      </c>
      <c r="H73" s="86" t="s">
        <v>344</v>
      </c>
    </row>
    <row r="74" spans="1:11" s="1" customFormat="1" ht="13" x14ac:dyDescent="0.3">
      <c r="A74" s="255">
        <v>1</v>
      </c>
      <c r="B74" s="135">
        <f>Eingabeseite!D10</f>
        <v>0.73</v>
      </c>
      <c r="C74" s="135">
        <f>Eingabeseite!D11</f>
        <v>0.05</v>
      </c>
      <c r="D74" s="135">
        <f>Eingabeseite!D12</f>
        <v>0.12</v>
      </c>
      <c r="E74" s="135">
        <f>Eingabeseite!D13</f>
        <v>0.06</v>
      </c>
      <c r="F74" s="174">
        <f>Eingabeseite!D14</f>
        <v>0.04</v>
      </c>
      <c r="G74" s="135">
        <f>SUM(D74:E74)</f>
        <v>0.18</v>
      </c>
      <c r="H74" s="254">
        <f>Eingabeseite!D18</f>
        <v>97</v>
      </c>
      <c r="K74" s="1289"/>
    </row>
    <row r="75" spans="1:11" s="1" customFormat="1" ht="13" x14ac:dyDescent="0.3">
      <c r="A75" s="255">
        <v>2</v>
      </c>
      <c r="B75" s="135">
        <f>B74</f>
        <v>0.73</v>
      </c>
      <c r="C75" s="135">
        <f>C74</f>
        <v>0.05</v>
      </c>
      <c r="D75" s="135">
        <f>D74</f>
        <v>0.12</v>
      </c>
      <c r="E75" s="135">
        <f>E74</f>
        <v>0.06</v>
      </c>
      <c r="F75" s="174">
        <f>$F$74</f>
        <v>0.04</v>
      </c>
      <c r="G75" s="132">
        <f t="shared" ref="G75:G88" si="5">$G$74</f>
        <v>0.18</v>
      </c>
      <c r="H75" s="254">
        <f>H74</f>
        <v>97</v>
      </c>
    </row>
    <row r="76" spans="1:11" s="1" customFormat="1" ht="13" x14ac:dyDescent="0.3">
      <c r="A76" s="255">
        <v>3</v>
      </c>
      <c r="B76" s="135">
        <f>B74</f>
        <v>0.73</v>
      </c>
      <c r="C76" s="135">
        <f>C74</f>
        <v>0.05</v>
      </c>
      <c r="D76" s="135">
        <f>D74</f>
        <v>0.12</v>
      </c>
      <c r="E76" s="135">
        <f>E74</f>
        <v>0.06</v>
      </c>
      <c r="F76" s="174">
        <f t="shared" ref="F76:F90" si="6">$F$74</f>
        <v>0.04</v>
      </c>
      <c r="G76" s="132">
        <f t="shared" si="5"/>
        <v>0.18</v>
      </c>
      <c r="H76" s="254">
        <f>H74</f>
        <v>97</v>
      </c>
    </row>
    <row r="77" spans="1:11" s="1" customFormat="1" ht="13" x14ac:dyDescent="0.3">
      <c r="A77" s="255">
        <v>4</v>
      </c>
      <c r="B77" s="135">
        <f>B74</f>
        <v>0.73</v>
      </c>
      <c r="C77" s="135">
        <f>C74</f>
        <v>0.05</v>
      </c>
      <c r="D77" s="135">
        <f>D74</f>
        <v>0.12</v>
      </c>
      <c r="E77" s="135">
        <f>E74</f>
        <v>0.06</v>
      </c>
      <c r="F77" s="174">
        <f t="shared" si="6"/>
        <v>0.04</v>
      </c>
      <c r="G77" s="132">
        <f t="shared" si="5"/>
        <v>0.18</v>
      </c>
      <c r="H77" s="254">
        <f>H74</f>
        <v>97</v>
      </c>
    </row>
    <row r="78" spans="1:11" s="1" customFormat="1" ht="13" x14ac:dyDescent="0.3">
      <c r="A78" s="256">
        <v>5</v>
      </c>
      <c r="B78" s="135">
        <f>B74</f>
        <v>0.73</v>
      </c>
      <c r="C78" s="135">
        <f>C74</f>
        <v>0.05</v>
      </c>
      <c r="D78" s="135">
        <f>D74</f>
        <v>0.12</v>
      </c>
      <c r="E78" s="135">
        <f>E74</f>
        <v>0.06</v>
      </c>
      <c r="F78" s="174">
        <f t="shared" si="6"/>
        <v>0.04</v>
      </c>
      <c r="G78" s="132">
        <f t="shared" si="5"/>
        <v>0.18</v>
      </c>
      <c r="H78" s="254">
        <f>H74</f>
        <v>97</v>
      </c>
    </row>
    <row r="79" spans="1:11" s="1" customFormat="1" ht="13" x14ac:dyDescent="0.3">
      <c r="A79" s="256">
        <v>6</v>
      </c>
      <c r="B79" s="135">
        <f>B74</f>
        <v>0.73</v>
      </c>
      <c r="C79" s="135">
        <f>C74</f>
        <v>0.05</v>
      </c>
      <c r="D79" s="135">
        <f>D74</f>
        <v>0.12</v>
      </c>
      <c r="E79" s="135">
        <f>E74</f>
        <v>0.06</v>
      </c>
      <c r="F79" s="174">
        <f t="shared" si="6"/>
        <v>0.04</v>
      </c>
      <c r="G79" s="132">
        <f t="shared" si="5"/>
        <v>0.18</v>
      </c>
      <c r="H79" s="254">
        <f>H74</f>
        <v>97</v>
      </c>
    </row>
    <row r="80" spans="1:11" s="1" customFormat="1" ht="13" x14ac:dyDescent="0.3">
      <c r="A80" s="256">
        <v>7</v>
      </c>
      <c r="B80" s="135">
        <f>B74</f>
        <v>0.73</v>
      </c>
      <c r="C80" s="135">
        <f>C74</f>
        <v>0.05</v>
      </c>
      <c r="D80" s="135">
        <f>D74</f>
        <v>0.12</v>
      </c>
      <c r="E80" s="135">
        <f>E74</f>
        <v>0.06</v>
      </c>
      <c r="F80" s="174">
        <f t="shared" si="6"/>
        <v>0.04</v>
      </c>
      <c r="G80" s="132">
        <f t="shared" si="5"/>
        <v>0.18</v>
      </c>
      <c r="H80" s="254">
        <f>H74</f>
        <v>97</v>
      </c>
    </row>
    <row r="81" spans="1:8" s="1" customFormat="1" ht="13" x14ac:dyDescent="0.3">
      <c r="A81" s="256">
        <v>8</v>
      </c>
      <c r="B81" s="135">
        <f>B74</f>
        <v>0.73</v>
      </c>
      <c r="C81" s="135">
        <f>C74</f>
        <v>0.05</v>
      </c>
      <c r="D81" s="135">
        <f>D74</f>
        <v>0.12</v>
      </c>
      <c r="E81" s="135">
        <f>E74</f>
        <v>0.06</v>
      </c>
      <c r="F81" s="174">
        <f t="shared" si="6"/>
        <v>0.04</v>
      </c>
      <c r="G81" s="132">
        <f t="shared" si="5"/>
        <v>0.18</v>
      </c>
      <c r="H81" s="254">
        <f>H74</f>
        <v>97</v>
      </c>
    </row>
    <row r="82" spans="1:8" s="1" customFormat="1" ht="13" x14ac:dyDescent="0.3">
      <c r="A82" s="256">
        <v>9</v>
      </c>
      <c r="B82" s="135">
        <f>B74</f>
        <v>0.73</v>
      </c>
      <c r="C82" s="135">
        <f>C74</f>
        <v>0.05</v>
      </c>
      <c r="D82" s="135">
        <f>D74</f>
        <v>0.12</v>
      </c>
      <c r="E82" s="135">
        <f>E74</f>
        <v>0.06</v>
      </c>
      <c r="F82" s="174">
        <f t="shared" si="6"/>
        <v>0.04</v>
      </c>
      <c r="G82" s="132">
        <f t="shared" si="5"/>
        <v>0.18</v>
      </c>
      <c r="H82" s="254">
        <f>H74</f>
        <v>97</v>
      </c>
    </row>
    <row r="83" spans="1:8" s="1" customFormat="1" ht="13" x14ac:dyDescent="0.3">
      <c r="A83" s="256">
        <v>10</v>
      </c>
      <c r="B83" s="135">
        <f>B74</f>
        <v>0.73</v>
      </c>
      <c r="C83" s="135">
        <f>C74</f>
        <v>0.05</v>
      </c>
      <c r="D83" s="135">
        <f>D74</f>
        <v>0.12</v>
      </c>
      <c r="E83" s="135">
        <f>E74</f>
        <v>0.06</v>
      </c>
      <c r="F83" s="174">
        <f t="shared" si="6"/>
        <v>0.04</v>
      </c>
      <c r="G83" s="132">
        <f t="shared" si="5"/>
        <v>0.18</v>
      </c>
      <c r="H83" s="254">
        <f>H74</f>
        <v>97</v>
      </c>
    </row>
    <row r="84" spans="1:8" s="1" customFormat="1" ht="13" x14ac:dyDescent="0.3">
      <c r="A84" s="256">
        <v>11</v>
      </c>
      <c r="B84" s="135">
        <f>B74</f>
        <v>0.73</v>
      </c>
      <c r="C84" s="135">
        <f>C74</f>
        <v>0.05</v>
      </c>
      <c r="D84" s="135">
        <f>D74</f>
        <v>0.12</v>
      </c>
      <c r="E84" s="135">
        <f>E74</f>
        <v>0.06</v>
      </c>
      <c r="F84" s="174">
        <f t="shared" si="6"/>
        <v>0.04</v>
      </c>
      <c r="G84" s="132">
        <f t="shared" si="5"/>
        <v>0.18</v>
      </c>
      <c r="H84" s="254">
        <f>H74</f>
        <v>97</v>
      </c>
    </row>
    <row r="85" spans="1:8" s="1" customFormat="1" ht="13" x14ac:dyDescent="0.3">
      <c r="A85" s="256">
        <v>12</v>
      </c>
      <c r="B85" s="135">
        <f>B74</f>
        <v>0.73</v>
      </c>
      <c r="C85" s="135">
        <f>C74</f>
        <v>0.05</v>
      </c>
      <c r="D85" s="135">
        <f>D74</f>
        <v>0.12</v>
      </c>
      <c r="E85" s="135">
        <f>E74</f>
        <v>0.06</v>
      </c>
      <c r="F85" s="174">
        <f t="shared" si="6"/>
        <v>0.04</v>
      </c>
      <c r="G85" s="132">
        <f t="shared" si="5"/>
        <v>0.18</v>
      </c>
      <c r="H85" s="254">
        <f>H74</f>
        <v>97</v>
      </c>
    </row>
    <row r="86" spans="1:8" s="1" customFormat="1" ht="13" x14ac:dyDescent="0.3">
      <c r="A86" s="330">
        <v>13</v>
      </c>
      <c r="B86" s="135">
        <f>B74</f>
        <v>0.73</v>
      </c>
      <c r="C86" s="135">
        <f>C74</f>
        <v>0.05</v>
      </c>
      <c r="D86" s="135">
        <f>D74</f>
        <v>0.12</v>
      </c>
      <c r="E86" s="135">
        <f>E74</f>
        <v>0.06</v>
      </c>
      <c r="F86" s="174">
        <f t="shared" si="6"/>
        <v>0.04</v>
      </c>
      <c r="G86" s="132">
        <f t="shared" si="5"/>
        <v>0.18</v>
      </c>
      <c r="H86" s="254">
        <f>H74</f>
        <v>97</v>
      </c>
    </row>
    <row r="87" spans="1:8" s="1" customFormat="1" ht="13" x14ac:dyDescent="0.3">
      <c r="A87" s="330">
        <v>14</v>
      </c>
      <c r="B87" s="135">
        <f>B74</f>
        <v>0.73</v>
      </c>
      <c r="C87" s="135">
        <f>C74</f>
        <v>0.05</v>
      </c>
      <c r="D87" s="135">
        <f>D74</f>
        <v>0.12</v>
      </c>
      <c r="E87" s="135">
        <f>E74</f>
        <v>0.06</v>
      </c>
      <c r="F87" s="174">
        <f t="shared" si="6"/>
        <v>0.04</v>
      </c>
      <c r="G87" s="132">
        <f t="shared" si="5"/>
        <v>0.18</v>
      </c>
      <c r="H87" s="254">
        <f>H74</f>
        <v>97</v>
      </c>
    </row>
    <row r="88" spans="1:8" s="1" customFormat="1" ht="13" x14ac:dyDescent="0.3">
      <c r="A88" s="330">
        <v>15</v>
      </c>
      <c r="B88" s="135">
        <f>B74</f>
        <v>0.73</v>
      </c>
      <c r="C88" s="135">
        <f>C74</f>
        <v>0.05</v>
      </c>
      <c r="D88" s="135">
        <f>D74</f>
        <v>0.12</v>
      </c>
      <c r="E88" s="135">
        <f>E74</f>
        <v>0.06</v>
      </c>
      <c r="F88" s="174">
        <f t="shared" si="6"/>
        <v>0.04</v>
      </c>
      <c r="G88" s="132">
        <f t="shared" si="5"/>
        <v>0.18</v>
      </c>
      <c r="H88" s="254">
        <f>H74</f>
        <v>97</v>
      </c>
    </row>
    <row r="89" spans="1:8" s="1" customFormat="1" ht="13" x14ac:dyDescent="0.3">
      <c r="A89" s="442" t="s">
        <v>198</v>
      </c>
      <c r="B89" s="556">
        <f t="shared" ref="B89:E89" si="7">AVERAGE(B77:B88)</f>
        <v>0.73000000000000009</v>
      </c>
      <c r="C89" s="556">
        <f t="shared" si="7"/>
        <v>4.9999999999999996E-2</v>
      </c>
      <c r="D89" s="556">
        <f t="shared" si="7"/>
        <v>0.12000000000000004</v>
      </c>
      <c r="E89" s="556">
        <f t="shared" si="7"/>
        <v>6.0000000000000019E-2</v>
      </c>
      <c r="F89" s="174">
        <f t="shared" si="6"/>
        <v>0.04</v>
      </c>
      <c r="G89" s="556">
        <f>AVERAGE(G77:G88)</f>
        <v>0.17999999999999997</v>
      </c>
      <c r="H89" s="557">
        <f>AVERAGE(H77:H88)</f>
        <v>97</v>
      </c>
    </row>
    <row r="90" spans="1:8" s="1" customFormat="1" ht="13" x14ac:dyDescent="0.3">
      <c r="A90" s="335" t="s">
        <v>199</v>
      </c>
      <c r="B90" s="558">
        <f t="shared" ref="B90:E90" si="8">AVERAGE(B74:B88)</f>
        <v>0.7300000000000002</v>
      </c>
      <c r="C90" s="558">
        <f t="shared" si="8"/>
        <v>5.000000000000001E-2</v>
      </c>
      <c r="D90" s="558">
        <f t="shared" si="8"/>
        <v>0.12000000000000005</v>
      </c>
      <c r="E90" s="558">
        <f t="shared" si="8"/>
        <v>6.0000000000000026E-2</v>
      </c>
      <c r="F90" s="1313">
        <f t="shared" si="6"/>
        <v>0.04</v>
      </c>
      <c r="G90" s="558">
        <f>AVERAGE(G74:G88)</f>
        <v>0.18000000000000002</v>
      </c>
      <c r="H90" s="559">
        <f>AVERAGE(H74:H88)</f>
        <v>97</v>
      </c>
    </row>
    <row r="91" spans="1:8" s="1" customFormat="1" ht="13" x14ac:dyDescent="0.3">
      <c r="B91" s="78"/>
      <c r="C91" s="78"/>
      <c r="D91" s="78"/>
      <c r="E91" s="64"/>
      <c r="F91" s="79"/>
    </row>
    <row r="92" spans="1:8" s="1" customFormat="1" ht="32.5" customHeight="1" x14ac:dyDescent="0.5">
      <c r="A92" s="1418" t="s">
        <v>346</v>
      </c>
      <c r="B92" s="1418"/>
      <c r="C92" s="1418"/>
      <c r="D92" s="1418"/>
      <c r="E92" s="1418"/>
      <c r="F92" s="1418"/>
      <c r="G92" s="1418"/>
      <c r="H92" s="1418"/>
    </row>
    <row r="93" spans="1:8" s="1" customFormat="1" ht="22.5" customHeight="1" x14ac:dyDescent="0.65">
      <c r="A93" s="799"/>
      <c r="B93" s="270"/>
      <c r="C93" s="270"/>
      <c r="D93" s="1432" t="s">
        <v>345</v>
      </c>
      <c r="E93" s="1431" t="s">
        <v>170</v>
      </c>
      <c r="F93" s="271"/>
      <c r="G93" s="117"/>
      <c r="H93" s="157"/>
    </row>
    <row r="94" spans="1:8" s="1" customFormat="1" ht="29.25" customHeight="1" x14ac:dyDescent="0.25">
      <c r="A94" s="19"/>
      <c r="B94" s="219" t="s">
        <v>623</v>
      </c>
      <c r="C94" s="219" t="s">
        <v>124</v>
      </c>
      <c r="D94" s="1432"/>
      <c r="E94" s="1431"/>
      <c r="F94" s="259" t="s">
        <v>126</v>
      </c>
      <c r="G94" s="145" t="s">
        <v>127</v>
      </c>
      <c r="H94" s="4"/>
    </row>
    <row r="95" spans="1:8" s="1" customFormat="1" ht="13" thickBot="1" x14ac:dyDescent="0.3">
      <c r="A95" s="19"/>
      <c r="B95" s="142" t="s">
        <v>125</v>
      </c>
      <c r="C95" s="142" t="s">
        <v>125</v>
      </c>
      <c r="D95" s="142" t="s">
        <v>125</v>
      </c>
      <c r="E95" s="142" t="s">
        <v>125</v>
      </c>
      <c r="F95" s="142" t="s">
        <v>125</v>
      </c>
      <c r="G95" s="142" t="s">
        <v>125</v>
      </c>
      <c r="H95" s="1153"/>
    </row>
    <row r="96" spans="1:8" s="1" customFormat="1" ht="13" x14ac:dyDescent="0.3">
      <c r="A96" s="75" t="s">
        <v>78</v>
      </c>
      <c r="B96" s="680">
        <v>20</v>
      </c>
      <c r="C96" s="680">
        <v>20</v>
      </c>
      <c r="D96" s="680">
        <v>120</v>
      </c>
      <c r="E96" s="680">
        <f>Eingabeseite!D23</f>
        <v>200</v>
      </c>
      <c r="F96" s="682">
        <v>30</v>
      </c>
      <c r="G96" s="683">
        <v>10</v>
      </c>
      <c r="H96" s="143"/>
    </row>
    <row r="97" spans="1:8" s="1" customFormat="1" ht="13" x14ac:dyDescent="0.3">
      <c r="A97" s="1" t="s">
        <v>99</v>
      </c>
      <c r="B97" s="681">
        <v>20</v>
      </c>
      <c r="C97" s="681">
        <v>20</v>
      </c>
      <c r="D97" s="680">
        <v>50</v>
      </c>
      <c r="E97" s="680">
        <v>100</v>
      </c>
      <c r="F97" s="682">
        <v>10</v>
      </c>
      <c r="G97" s="683">
        <v>10</v>
      </c>
      <c r="H97" s="143"/>
    </row>
    <row r="98" spans="1:8" s="1" customFormat="1" ht="13" x14ac:dyDescent="0.3">
      <c r="A98" s="1" t="s">
        <v>128</v>
      </c>
      <c r="B98" s="681">
        <v>20</v>
      </c>
      <c r="C98" s="681">
        <v>20</v>
      </c>
      <c r="D98" s="680">
        <v>50</v>
      </c>
      <c r="E98" s="680">
        <v>200</v>
      </c>
      <c r="F98" s="682">
        <v>10</v>
      </c>
      <c r="G98" s="683">
        <v>10</v>
      </c>
      <c r="H98" s="143"/>
    </row>
    <row r="99" spans="1:8" s="1" customFormat="1" ht="13" x14ac:dyDescent="0.3">
      <c r="A99" s="1" t="s">
        <v>152</v>
      </c>
      <c r="B99" s="140" t="s">
        <v>129</v>
      </c>
      <c r="C99" s="140" t="s">
        <v>129</v>
      </c>
      <c r="D99" s="140" t="s">
        <v>129</v>
      </c>
      <c r="E99" s="140" t="s">
        <v>129</v>
      </c>
      <c r="F99" s="140" t="s">
        <v>129</v>
      </c>
      <c r="G99" s="140" t="s">
        <v>129</v>
      </c>
      <c r="H99" s="140"/>
    </row>
    <row r="100" spans="1:8" s="1" customFormat="1" ht="13" x14ac:dyDescent="0.3">
      <c r="B100" s="140"/>
      <c r="C100" s="140"/>
      <c r="D100" s="140"/>
      <c r="E100" s="140"/>
      <c r="F100" s="79"/>
    </row>
    <row r="101" spans="1:8" x14ac:dyDescent="0.25">
      <c r="G101" s="1"/>
    </row>
    <row r="102" spans="1:8" s="1" customFormat="1" ht="25" x14ac:dyDescent="0.5">
      <c r="A102" s="1418" t="s">
        <v>642</v>
      </c>
      <c r="B102" s="1418"/>
      <c r="C102" s="1418"/>
      <c r="D102" s="1418"/>
      <c r="E102" s="1418"/>
      <c r="F102" s="1418"/>
      <c r="G102" s="1418"/>
      <c r="H102" s="1418"/>
    </row>
    <row r="103" spans="1:8" ht="51.75" customHeight="1" x14ac:dyDescent="0.25">
      <c r="A103" s="1"/>
      <c r="B103" s="1154" t="s">
        <v>658</v>
      </c>
      <c r="C103" s="1154" t="s">
        <v>560</v>
      </c>
      <c r="D103" s="1154"/>
      <c r="E103" s="1154" t="s">
        <v>566</v>
      </c>
      <c r="G103" s="1"/>
    </row>
    <row r="104" spans="1:8" ht="13" x14ac:dyDescent="0.3">
      <c r="A104" s="283" t="s">
        <v>56</v>
      </c>
      <c r="B104" s="1173">
        <v>1.22</v>
      </c>
      <c r="C104" s="1173">
        <v>0.02</v>
      </c>
      <c r="D104" s="1173"/>
      <c r="E104" s="1173">
        <v>0.43</v>
      </c>
      <c r="G104" s="1"/>
    </row>
    <row r="105" spans="1:8" x14ac:dyDescent="0.25">
      <c r="A105" s="141"/>
      <c r="B105" s="1155"/>
      <c r="C105" s="1165"/>
      <c r="D105" s="529"/>
      <c r="E105" s="1155"/>
      <c r="G105" s="1"/>
    </row>
    <row r="106" spans="1:8" ht="13" x14ac:dyDescent="0.3">
      <c r="A106" s="278" t="s">
        <v>85</v>
      </c>
      <c r="B106" s="1157">
        <v>0</v>
      </c>
      <c r="C106" s="1158"/>
      <c r="D106" s="529"/>
      <c r="E106" s="1157">
        <v>0</v>
      </c>
      <c r="G106" s="1"/>
    </row>
    <row r="107" spans="1:8" x14ac:dyDescent="0.25">
      <c r="A107" s="69"/>
      <c r="B107" s="1156"/>
      <c r="C107" s="1138"/>
      <c r="D107" s="529"/>
      <c r="E107" s="1159"/>
      <c r="G107" s="1"/>
    </row>
    <row r="108" spans="1:8" ht="13" x14ac:dyDescent="0.3">
      <c r="A108" s="278" t="s">
        <v>99</v>
      </c>
      <c r="B108" s="1157">
        <v>125</v>
      </c>
      <c r="C108" s="1157">
        <v>25000</v>
      </c>
      <c r="D108" s="529"/>
      <c r="E108" s="1157">
        <v>100</v>
      </c>
      <c r="G108" s="1"/>
    </row>
    <row r="109" spans="1:8" x14ac:dyDescent="0.25">
      <c r="A109" s="111" t="s">
        <v>142</v>
      </c>
      <c r="B109" s="1138">
        <v>1</v>
      </c>
      <c r="C109" s="1138">
        <v>15</v>
      </c>
      <c r="D109" s="529"/>
      <c r="E109" s="1138">
        <v>0</v>
      </c>
      <c r="G109" s="1"/>
    </row>
    <row r="110" spans="1:8" ht="13" x14ac:dyDescent="0.3">
      <c r="A110" s="278" t="s">
        <v>100</v>
      </c>
      <c r="B110" s="1157">
        <v>250</v>
      </c>
      <c r="C110" s="1158"/>
      <c r="D110" s="1164"/>
      <c r="E110" s="1157">
        <v>100</v>
      </c>
      <c r="G110" s="1"/>
    </row>
    <row r="111" spans="1:8" x14ac:dyDescent="0.25">
      <c r="A111" s="111" t="s">
        <v>142</v>
      </c>
      <c r="B111" s="1138">
        <v>1</v>
      </c>
      <c r="C111" s="1158"/>
      <c r="D111" s="529"/>
      <c r="E111" s="1138">
        <v>0</v>
      </c>
      <c r="G111" s="1"/>
    </row>
    <row r="112" spans="1:8" ht="13" x14ac:dyDescent="0.3">
      <c r="A112" s="278" t="s">
        <v>101</v>
      </c>
      <c r="B112" s="1157">
        <v>375</v>
      </c>
      <c r="C112" s="1158"/>
      <c r="D112" s="1164"/>
      <c r="E112" s="1157">
        <v>100</v>
      </c>
      <c r="G112" s="1"/>
    </row>
    <row r="113" spans="1:8" x14ac:dyDescent="0.25">
      <c r="A113" s="111" t="s">
        <v>142</v>
      </c>
      <c r="B113" s="1138">
        <v>1</v>
      </c>
      <c r="C113" s="1158"/>
      <c r="D113" s="529"/>
      <c r="E113" s="1138">
        <v>0</v>
      </c>
      <c r="G113" s="1"/>
    </row>
    <row r="114" spans="1:8" ht="13" x14ac:dyDescent="0.3">
      <c r="A114" s="278" t="s">
        <v>78</v>
      </c>
      <c r="B114" s="1157">
        <v>500</v>
      </c>
      <c r="C114" s="1157">
        <v>25000</v>
      </c>
      <c r="D114" s="1164"/>
      <c r="E114" s="1157">
        <v>100</v>
      </c>
      <c r="G114" s="1"/>
    </row>
    <row r="115" spans="1:8" x14ac:dyDescent="0.25">
      <c r="A115" s="111" t="s">
        <v>142</v>
      </c>
      <c r="B115" s="1138">
        <v>1</v>
      </c>
      <c r="C115" s="1138">
        <v>15</v>
      </c>
      <c r="D115" s="529"/>
      <c r="E115" s="1138">
        <v>1</v>
      </c>
      <c r="G115" s="1"/>
    </row>
    <row r="116" spans="1:8" x14ac:dyDescent="0.25">
      <c r="A116" s="1"/>
      <c r="G116" s="1"/>
    </row>
    <row r="117" spans="1:8" s="1" customFormat="1" ht="25" x14ac:dyDescent="0.5">
      <c r="A117" s="1418" t="s">
        <v>641</v>
      </c>
      <c r="B117" s="1418"/>
      <c r="C117" s="1418"/>
      <c r="D117" s="1418"/>
      <c r="E117" s="1418"/>
      <c r="F117" s="1418"/>
      <c r="G117" s="1418"/>
      <c r="H117" s="1418"/>
    </row>
    <row r="118" spans="1:8" ht="20" x14ac:dyDescent="0.4">
      <c r="A118" s="315" t="s">
        <v>78</v>
      </c>
      <c r="B118" s="561"/>
      <c r="C118" s="86" t="s">
        <v>11</v>
      </c>
      <c r="D118" s="86" t="s">
        <v>136</v>
      </c>
      <c r="E118" s="1316" t="s">
        <v>660</v>
      </c>
      <c r="F118" s="802" t="s">
        <v>440</v>
      </c>
      <c r="H118" s="473"/>
    </row>
    <row r="119" spans="1:8" ht="13" x14ac:dyDescent="0.3">
      <c r="A119" s="1423" t="s">
        <v>103</v>
      </c>
      <c r="B119" s="42" t="s">
        <v>661</v>
      </c>
      <c r="C119" s="1160">
        <v>6</v>
      </c>
      <c r="D119" s="1162">
        <v>8</v>
      </c>
      <c r="E119" s="1163">
        <f>243.2/25</f>
        <v>9.7279999999999998</v>
      </c>
      <c r="F119" s="145"/>
      <c r="H119" s="473"/>
    </row>
    <row r="120" spans="1:8" ht="13" x14ac:dyDescent="0.3">
      <c r="A120" s="1423"/>
      <c r="B120" s="42" t="s">
        <v>662</v>
      </c>
      <c r="C120" s="1160">
        <v>10</v>
      </c>
      <c r="D120" s="1162">
        <v>12</v>
      </c>
      <c r="E120" s="1163">
        <f xml:space="preserve"> 74.5/25</f>
        <v>2.98</v>
      </c>
      <c r="F120" s="145"/>
      <c r="H120" s="473"/>
    </row>
    <row r="121" spans="1:8" ht="13" x14ac:dyDescent="0.3">
      <c r="A121" s="1423"/>
      <c r="B121" s="42" t="s">
        <v>663</v>
      </c>
      <c r="C121" s="1160">
        <v>6</v>
      </c>
      <c r="D121" s="1162">
        <v>4.8</v>
      </c>
      <c r="E121" s="1293">
        <f>85/5</f>
        <v>17</v>
      </c>
      <c r="F121" s="145"/>
      <c r="H121" s="473"/>
    </row>
    <row r="122" spans="1:8" ht="13" x14ac:dyDescent="0.3">
      <c r="A122" s="1423"/>
      <c r="B122" s="42" t="s">
        <v>664</v>
      </c>
      <c r="C122" s="1160">
        <v>2</v>
      </c>
      <c r="D122" s="1162">
        <v>3</v>
      </c>
      <c r="E122" s="1293">
        <v>24.5</v>
      </c>
      <c r="F122" s="145"/>
      <c r="H122" s="473"/>
    </row>
    <row r="123" spans="1:8" ht="13" x14ac:dyDescent="0.3">
      <c r="A123" s="1423"/>
      <c r="B123" s="42" t="s">
        <v>665</v>
      </c>
      <c r="C123" s="1160">
        <v>5</v>
      </c>
      <c r="D123" s="1164">
        <v>18</v>
      </c>
      <c r="E123" s="1314">
        <f>78.9/20</f>
        <v>3.9450000000000003</v>
      </c>
      <c r="F123" s="145"/>
      <c r="H123" s="473"/>
    </row>
    <row r="124" spans="1:8" ht="13" x14ac:dyDescent="0.3">
      <c r="A124" s="1423"/>
      <c r="B124" s="42" t="s">
        <v>666</v>
      </c>
      <c r="C124" s="1160">
        <v>5</v>
      </c>
      <c r="D124" s="1315">
        <v>0.75</v>
      </c>
      <c r="E124" s="1314">
        <f>225/5</f>
        <v>45</v>
      </c>
      <c r="F124" s="145"/>
      <c r="H124" s="473"/>
    </row>
    <row r="125" spans="1:8" ht="13" x14ac:dyDescent="0.3">
      <c r="A125" s="197" t="s">
        <v>624</v>
      </c>
      <c r="B125" s="42" t="s">
        <v>672</v>
      </c>
      <c r="C125" s="1160">
        <v>2</v>
      </c>
      <c r="D125" s="1162">
        <v>1.5</v>
      </c>
      <c r="E125" s="1293">
        <f>129.9/1.5</f>
        <v>86.600000000000009</v>
      </c>
      <c r="F125" s="145"/>
      <c r="H125" s="473"/>
    </row>
    <row r="126" spans="1:8" ht="13" x14ac:dyDescent="0.3">
      <c r="A126" s="1417" t="s">
        <v>299</v>
      </c>
      <c r="B126" s="42" t="s">
        <v>667</v>
      </c>
      <c r="C126" s="1160">
        <v>1</v>
      </c>
      <c r="D126" s="1164">
        <v>4.8</v>
      </c>
      <c r="E126" s="1295">
        <v>89.1</v>
      </c>
      <c r="F126" s="145"/>
      <c r="H126" s="473"/>
    </row>
    <row r="127" spans="1:8" ht="13" x14ac:dyDescent="0.3">
      <c r="A127" s="1417"/>
      <c r="B127" s="42" t="s">
        <v>634</v>
      </c>
      <c r="C127" s="1160">
        <v>1</v>
      </c>
      <c r="D127" s="1161">
        <v>0.5</v>
      </c>
      <c r="E127" s="1295">
        <f>1250.2/5</f>
        <v>250.04000000000002</v>
      </c>
      <c r="F127" s="145"/>
      <c r="H127" s="473"/>
    </row>
    <row r="128" spans="1:8" ht="13" x14ac:dyDescent="0.3">
      <c r="A128" s="1417"/>
      <c r="B128" s="42" t="s">
        <v>668</v>
      </c>
      <c r="C128" s="1160">
        <v>1</v>
      </c>
      <c r="D128" s="1164">
        <v>20</v>
      </c>
      <c r="E128" s="1295">
        <f>134.2/10</f>
        <v>13.419999999999998</v>
      </c>
      <c r="F128" s="145"/>
      <c r="H128" s="473"/>
    </row>
    <row r="129" spans="1:8" ht="13" x14ac:dyDescent="0.3">
      <c r="A129" s="1417"/>
      <c r="B129" s="42" t="s">
        <v>659</v>
      </c>
      <c r="C129" s="1160">
        <v>10</v>
      </c>
      <c r="D129" s="1161">
        <v>0.1</v>
      </c>
      <c r="E129" s="1295">
        <f>286.8/0.5</f>
        <v>573.6</v>
      </c>
      <c r="F129" s="145"/>
      <c r="H129" s="473"/>
    </row>
    <row r="130" spans="1:8" ht="13" x14ac:dyDescent="0.3">
      <c r="A130" s="1417"/>
      <c r="B130" s="42" t="s">
        <v>669</v>
      </c>
      <c r="C130" s="1160">
        <v>1</v>
      </c>
      <c r="D130" s="1161">
        <v>3.5</v>
      </c>
      <c r="E130" s="1295">
        <v>222</v>
      </c>
      <c r="F130" s="145"/>
      <c r="H130" s="473"/>
    </row>
    <row r="131" spans="1:8" ht="13" x14ac:dyDescent="0.3">
      <c r="A131" s="1417"/>
      <c r="B131" s="42" t="s">
        <v>670</v>
      </c>
      <c r="C131" s="1160">
        <v>1</v>
      </c>
      <c r="D131" s="1164">
        <v>50</v>
      </c>
      <c r="E131" s="1295">
        <f>3783.4/1000</f>
        <v>3.7833999999999999</v>
      </c>
      <c r="F131" s="145"/>
      <c r="H131" s="473"/>
    </row>
    <row r="132" spans="1:8" ht="13" x14ac:dyDescent="0.3">
      <c r="A132" s="1296" t="s">
        <v>632</v>
      </c>
      <c r="B132" s="42" t="s">
        <v>671</v>
      </c>
      <c r="C132" s="1160">
        <v>1</v>
      </c>
      <c r="D132" s="1298">
        <v>750</v>
      </c>
      <c r="E132" s="1297">
        <f>59.6/100</f>
        <v>0.59599999999999997</v>
      </c>
      <c r="F132" s="145"/>
      <c r="H132" s="473"/>
    </row>
    <row r="133" spans="1:8" ht="13" x14ac:dyDescent="0.3">
      <c r="A133" s="19" t="s">
        <v>141</v>
      </c>
      <c r="B133" s="47">
        <v>26</v>
      </c>
      <c r="C133" s="47">
        <f>SUM(C119:C132)</f>
        <v>52</v>
      </c>
      <c r="D133" s="44"/>
      <c r="E133" s="44"/>
      <c r="F133" s="150"/>
      <c r="H133" s="473"/>
    </row>
    <row r="134" spans="1:8" ht="13" x14ac:dyDescent="0.3">
      <c r="A134" s="19"/>
      <c r="B134" s="47"/>
      <c r="C134" s="47"/>
      <c r="D134" s="44"/>
      <c r="E134" s="44"/>
      <c r="F134" s="150"/>
      <c r="H134" s="473"/>
    </row>
    <row r="135" spans="1:8" ht="18" x14ac:dyDescent="0.4">
      <c r="A135" s="561" t="s">
        <v>39</v>
      </c>
      <c r="B135" s="561"/>
      <c r="C135" s="86" t="s">
        <v>11</v>
      </c>
      <c r="D135" s="86" t="s">
        <v>55</v>
      </c>
      <c r="E135" s="801" t="s">
        <v>56</v>
      </c>
      <c r="F135" s="802"/>
      <c r="H135" s="473"/>
    </row>
    <row r="136" spans="1:8" ht="13" x14ac:dyDescent="0.3">
      <c r="A136" s="1417" t="s">
        <v>103</v>
      </c>
      <c r="B136" s="19" t="str">
        <f>B119</f>
        <v>Tonerde (Myko Sin)</v>
      </c>
      <c r="C136" s="564">
        <v>6</v>
      </c>
      <c r="D136" s="261">
        <f>D119*$F$136</f>
        <v>8</v>
      </c>
      <c r="E136" s="1166">
        <f>E119</f>
        <v>9.7279999999999998</v>
      </c>
      <c r="F136" s="1326">
        <v>1</v>
      </c>
      <c r="H136" s="473"/>
    </row>
    <row r="137" spans="1:8" ht="13" x14ac:dyDescent="0.3">
      <c r="A137" s="1417"/>
      <c r="B137" s="19" t="str">
        <f>B120</f>
        <v xml:space="preserve">Netzschwefel (Stullin) </v>
      </c>
      <c r="C137" s="564">
        <v>10</v>
      </c>
      <c r="D137" s="261">
        <f t="shared" ref="D137:D149" si="9">D120*$F$136</f>
        <v>12</v>
      </c>
      <c r="E137" s="1166">
        <f t="shared" ref="E137:E149" si="10">E120</f>
        <v>2.98</v>
      </c>
      <c r="F137" s="145"/>
      <c r="H137" s="473"/>
    </row>
    <row r="138" spans="1:8" ht="13" x14ac:dyDescent="0.3">
      <c r="A138" s="1417"/>
      <c r="B138" s="19" t="str">
        <f t="shared" ref="B138:B142" si="11">B121</f>
        <v>Kaliumbicarbonat (Armicarb)</v>
      </c>
      <c r="C138" s="564">
        <v>2</v>
      </c>
      <c r="D138" s="261">
        <f t="shared" si="9"/>
        <v>4.8</v>
      </c>
      <c r="E138" s="1166">
        <f t="shared" si="10"/>
        <v>17</v>
      </c>
      <c r="F138" s="145"/>
      <c r="H138" s="473"/>
    </row>
    <row r="139" spans="1:8" ht="13" x14ac:dyDescent="0.3">
      <c r="A139" s="1417"/>
      <c r="B139" s="19" t="str">
        <f t="shared" si="11"/>
        <v>Kupfer (Airone WG)</v>
      </c>
      <c r="C139" s="564">
        <v>2</v>
      </c>
      <c r="D139" s="261">
        <f t="shared" si="9"/>
        <v>3</v>
      </c>
      <c r="E139" s="1166">
        <f t="shared" si="10"/>
        <v>24.5</v>
      </c>
      <c r="F139" s="145"/>
      <c r="H139" s="473"/>
    </row>
    <row r="140" spans="1:8" ht="13" x14ac:dyDescent="0.3">
      <c r="A140" s="1417"/>
      <c r="B140" s="19" t="str">
        <f t="shared" si="11"/>
        <v>Schwefelkalk (Curatio)</v>
      </c>
      <c r="C140" s="564">
        <v>5</v>
      </c>
      <c r="D140" s="261">
        <f t="shared" si="9"/>
        <v>18</v>
      </c>
      <c r="E140" s="1166">
        <f t="shared" si="10"/>
        <v>3.9450000000000003</v>
      </c>
      <c r="F140" s="145"/>
      <c r="H140" s="473"/>
    </row>
    <row r="141" spans="1:8" ht="13" x14ac:dyDescent="0.3">
      <c r="A141" s="1417"/>
      <c r="B141" s="19" t="str">
        <f t="shared" si="11"/>
        <v>Laminarin (Vacciplant)</v>
      </c>
      <c r="C141" s="564">
        <v>0</v>
      </c>
      <c r="D141" s="261">
        <f t="shared" si="9"/>
        <v>0.75</v>
      </c>
      <c r="E141" s="1166">
        <f t="shared" si="10"/>
        <v>45</v>
      </c>
      <c r="F141" s="145"/>
      <c r="H141" s="473"/>
    </row>
    <row r="142" spans="1:8" ht="13" x14ac:dyDescent="0.3">
      <c r="A142" s="1417"/>
      <c r="B142" s="19" t="str">
        <f t="shared" si="11"/>
        <v>Hefepräparat (Blossom protect)</v>
      </c>
      <c r="C142" s="564">
        <v>0</v>
      </c>
      <c r="D142" s="261">
        <f t="shared" si="9"/>
        <v>1.5</v>
      </c>
      <c r="E142" s="1166">
        <f t="shared" si="10"/>
        <v>86.600000000000009</v>
      </c>
      <c r="F142" s="145"/>
      <c r="H142" s="473"/>
    </row>
    <row r="143" spans="1:8" ht="13" x14ac:dyDescent="0.3">
      <c r="A143" s="1417" t="s">
        <v>299</v>
      </c>
      <c r="B143" s="42" t="str">
        <f t="shared" ref="B143:B149" si="12">B126</f>
        <v>Neem (NeemAzal T/S)</v>
      </c>
      <c r="C143" s="564">
        <v>1</v>
      </c>
      <c r="D143" s="261">
        <f t="shared" si="9"/>
        <v>4.8</v>
      </c>
      <c r="E143" s="1166">
        <f t="shared" si="10"/>
        <v>89.1</v>
      </c>
      <c r="F143" s="145"/>
      <c r="H143" s="473"/>
    </row>
    <row r="144" spans="1:8" ht="13" x14ac:dyDescent="0.3">
      <c r="A144" s="1417"/>
      <c r="B144" s="42" t="str">
        <f t="shared" si="12"/>
        <v>Pyrethrum</v>
      </c>
      <c r="C144" s="564">
        <v>1</v>
      </c>
      <c r="D144" s="261">
        <f t="shared" si="9"/>
        <v>0.5</v>
      </c>
      <c r="E144" s="1166">
        <f t="shared" si="10"/>
        <v>250.04000000000002</v>
      </c>
      <c r="F144" s="145"/>
      <c r="H144" s="473"/>
    </row>
    <row r="145" spans="1:11" ht="13" x14ac:dyDescent="0.3">
      <c r="A145" s="1417"/>
      <c r="B145" s="42" t="str">
        <f t="shared" si="12"/>
        <v>Schmierseife (Natural)</v>
      </c>
      <c r="C145" s="564">
        <v>1</v>
      </c>
      <c r="D145" s="261">
        <f t="shared" si="9"/>
        <v>20</v>
      </c>
      <c r="E145" s="1166">
        <f t="shared" si="10"/>
        <v>13.419999999999998</v>
      </c>
      <c r="F145" s="145"/>
      <c r="H145" s="473"/>
    </row>
    <row r="146" spans="1:11" ht="13" x14ac:dyDescent="0.3">
      <c r="A146" s="1417"/>
      <c r="B146" s="42" t="str">
        <f t="shared" si="12"/>
        <v>Granulosevirus (Madex Top)</v>
      </c>
      <c r="C146" s="1160">
        <v>0</v>
      </c>
      <c r="D146" s="261">
        <f t="shared" si="9"/>
        <v>0.1</v>
      </c>
      <c r="E146" s="1166">
        <f t="shared" si="10"/>
        <v>573.6</v>
      </c>
      <c r="F146" s="145"/>
      <c r="H146" s="473"/>
    </row>
    <row r="147" spans="1:11" ht="13" x14ac:dyDescent="0.3">
      <c r="A147" s="1417"/>
      <c r="B147" s="42" t="str">
        <f t="shared" si="12"/>
        <v>Quassiaextrakt (Quassan)</v>
      </c>
      <c r="C147" s="564">
        <v>0</v>
      </c>
      <c r="D147" s="261">
        <f t="shared" si="9"/>
        <v>3.5</v>
      </c>
      <c r="E147" s="1166">
        <f t="shared" si="10"/>
        <v>222</v>
      </c>
      <c r="F147" s="145"/>
      <c r="H147" s="473"/>
    </row>
    <row r="148" spans="1:11" x14ac:dyDescent="0.25">
      <c r="A148" s="1417"/>
      <c r="B148" s="42" t="str">
        <f t="shared" si="12"/>
        <v>Weissöl (Weissöl Omya)</v>
      </c>
      <c r="C148" s="564">
        <v>1</v>
      </c>
      <c r="D148" s="261">
        <f t="shared" si="9"/>
        <v>50</v>
      </c>
      <c r="E148" s="1166">
        <f t="shared" si="10"/>
        <v>3.7833999999999999</v>
      </c>
      <c r="F148" s="145"/>
      <c r="G148" s="1341"/>
      <c r="H148" s="42"/>
      <c r="I148" s="564"/>
      <c r="J148" s="261"/>
      <c r="K148" s="1166"/>
    </row>
    <row r="149" spans="1:11" ht="13" x14ac:dyDescent="0.3">
      <c r="A149" s="1322" t="s">
        <v>632</v>
      </c>
      <c r="B149" s="42" t="str">
        <f t="shared" si="12"/>
        <v>Insektenlockstoff (Isomate CLR Max Andermatt)</v>
      </c>
      <c r="C149" s="564">
        <v>0</v>
      </c>
      <c r="D149" s="261">
        <f t="shared" si="9"/>
        <v>750</v>
      </c>
      <c r="E149" s="1166">
        <f t="shared" si="10"/>
        <v>0.59599999999999997</v>
      </c>
      <c r="F149" s="145"/>
      <c r="H149" s="473"/>
    </row>
    <row r="150" spans="1:11" ht="18" customHeight="1" x14ac:dyDescent="0.25">
      <c r="A150" s="19" t="s">
        <v>141</v>
      </c>
      <c r="B150" s="582">
        <v>0</v>
      </c>
      <c r="C150" s="47">
        <f>SUM(C136:C149)</f>
        <v>29</v>
      </c>
      <c r="D150" s="44"/>
      <c r="E150" s="44"/>
      <c r="F150" s="44"/>
    </row>
    <row r="151" spans="1:11" x14ac:dyDescent="0.25">
      <c r="A151" s="19"/>
      <c r="B151" s="19"/>
      <c r="C151" s="47"/>
      <c r="D151" s="44"/>
      <c r="E151" s="44"/>
      <c r="F151" s="44"/>
    </row>
    <row r="152" spans="1:11" ht="18" x14ac:dyDescent="0.4">
      <c r="A152" s="561" t="s">
        <v>40</v>
      </c>
      <c r="B152" s="561"/>
      <c r="C152" s="86" t="s">
        <v>11</v>
      </c>
      <c r="D152" s="86" t="s">
        <v>55</v>
      </c>
      <c r="E152" s="801" t="s">
        <v>56</v>
      </c>
      <c r="F152" s="802"/>
    </row>
    <row r="153" spans="1:11" ht="13" x14ac:dyDescent="0.3">
      <c r="A153" s="1417" t="s">
        <v>103</v>
      </c>
      <c r="B153" s="19" t="str">
        <f>B136</f>
        <v>Tonerde (Myko Sin)</v>
      </c>
      <c r="C153" s="564">
        <v>6</v>
      </c>
      <c r="D153" s="261">
        <f>D119*$F$153</f>
        <v>8</v>
      </c>
      <c r="E153" s="45">
        <f>E119</f>
        <v>9.7279999999999998</v>
      </c>
      <c r="F153" s="1326">
        <v>1</v>
      </c>
      <c r="H153" s="473"/>
    </row>
    <row r="154" spans="1:11" ht="13" x14ac:dyDescent="0.3">
      <c r="A154" s="1417"/>
      <c r="B154" s="42" t="str">
        <f>B120</f>
        <v xml:space="preserve">Netzschwefel (Stullin) </v>
      </c>
      <c r="C154" s="564">
        <v>10</v>
      </c>
      <c r="D154" s="261">
        <f t="shared" ref="D154:D166" si="13">D120*$F$153</f>
        <v>12</v>
      </c>
      <c r="E154" s="45">
        <f t="shared" ref="E154:E166" si="14">E120</f>
        <v>2.98</v>
      </c>
      <c r="F154" s="145"/>
      <c r="H154" s="473"/>
    </row>
    <row r="155" spans="1:11" ht="13" x14ac:dyDescent="0.3">
      <c r="A155" s="1417"/>
      <c r="B155" s="42" t="str">
        <f t="shared" ref="B155:B159" si="15">B121</f>
        <v>Kaliumbicarbonat (Armicarb)</v>
      </c>
      <c r="C155" s="564">
        <v>2</v>
      </c>
      <c r="D155" s="261">
        <f t="shared" si="13"/>
        <v>4.8</v>
      </c>
      <c r="E155" s="45">
        <f t="shared" si="14"/>
        <v>17</v>
      </c>
      <c r="F155" s="145"/>
      <c r="H155" s="473"/>
    </row>
    <row r="156" spans="1:11" ht="13" x14ac:dyDescent="0.3">
      <c r="A156" s="1417"/>
      <c r="B156" s="42" t="str">
        <f t="shared" si="15"/>
        <v>Kupfer (Airone WG)</v>
      </c>
      <c r="C156" s="564">
        <v>2</v>
      </c>
      <c r="D156" s="261">
        <f t="shared" si="13"/>
        <v>3</v>
      </c>
      <c r="E156" s="45">
        <f t="shared" si="14"/>
        <v>24.5</v>
      </c>
      <c r="F156" s="145"/>
      <c r="H156" s="473"/>
    </row>
    <row r="157" spans="1:11" ht="13" x14ac:dyDescent="0.3">
      <c r="A157" s="1417"/>
      <c r="B157" s="42" t="str">
        <f t="shared" si="15"/>
        <v>Schwefelkalk (Curatio)</v>
      </c>
      <c r="C157" s="564">
        <v>5</v>
      </c>
      <c r="D157" s="261">
        <f t="shared" si="13"/>
        <v>18</v>
      </c>
      <c r="E157" s="45">
        <f t="shared" si="14"/>
        <v>3.9450000000000003</v>
      </c>
      <c r="F157" s="145"/>
      <c r="H157" s="473"/>
    </row>
    <row r="158" spans="1:11" ht="13" x14ac:dyDescent="0.3">
      <c r="A158" s="1417"/>
      <c r="B158" s="42" t="str">
        <f t="shared" si="15"/>
        <v>Laminarin (Vacciplant)</v>
      </c>
      <c r="C158" s="564">
        <v>0</v>
      </c>
      <c r="D158" s="261">
        <f t="shared" si="13"/>
        <v>0.75</v>
      </c>
      <c r="E158" s="45">
        <f t="shared" si="14"/>
        <v>45</v>
      </c>
      <c r="F158" s="145"/>
      <c r="H158" s="473"/>
    </row>
    <row r="159" spans="1:11" ht="13" x14ac:dyDescent="0.3">
      <c r="A159" s="1417"/>
      <c r="B159" s="42" t="str">
        <f t="shared" si="15"/>
        <v>Hefepräparat (Blossom protect)</v>
      </c>
      <c r="C159" s="564">
        <v>0</v>
      </c>
      <c r="D159" s="261">
        <f t="shared" si="13"/>
        <v>1.5</v>
      </c>
      <c r="E159" s="45">
        <f t="shared" si="14"/>
        <v>86.600000000000009</v>
      </c>
      <c r="F159" s="145"/>
      <c r="H159" s="473"/>
    </row>
    <row r="160" spans="1:11" ht="13" x14ac:dyDescent="0.3">
      <c r="A160" s="1417" t="s">
        <v>299</v>
      </c>
      <c r="B160" s="42" t="str">
        <f>B126</f>
        <v>Neem (NeemAzal T/S)</v>
      </c>
      <c r="C160" s="564">
        <v>1</v>
      </c>
      <c r="D160" s="261">
        <f t="shared" si="13"/>
        <v>4.8</v>
      </c>
      <c r="E160" s="45">
        <f t="shared" si="14"/>
        <v>89.1</v>
      </c>
      <c r="F160" s="145"/>
      <c r="H160" s="473"/>
    </row>
    <row r="161" spans="1:9" ht="13" x14ac:dyDescent="0.3">
      <c r="A161" s="1417"/>
      <c r="B161" s="42" t="str">
        <f>B144</f>
        <v>Pyrethrum</v>
      </c>
      <c r="C161" s="564">
        <v>1</v>
      </c>
      <c r="D161" s="261">
        <f t="shared" si="13"/>
        <v>0.5</v>
      </c>
      <c r="E161" s="45">
        <f t="shared" si="14"/>
        <v>250.04000000000002</v>
      </c>
      <c r="F161" s="145"/>
      <c r="H161" s="473"/>
    </row>
    <row r="162" spans="1:9" ht="13" x14ac:dyDescent="0.3">
      <c r="A162" s="1417"/>
      <c r="B162" s="42" t="str">
        <f>B145</f>
        <v>Schmierseife (Natural)</v>
      </c>
      <c r="C162" s="564">
        <v>1</v>
      </c>
      <c r="D162" s="261">
        <f t="shared" si="13"/>
        <v>20</v>
      </c>
      <c r="E162" s="45">
        <f t="shared" si="14"/>
        <v>13.419999999999998</v>
      </c>
      <c r="F162" s="145"/>
      <c r="H162" s="473"/>
    </row>
    <row r="163" spans="1:9" ht="13" x14ac:dyDescent="0.3">
      <c r="A163" s="1417"/>
      <c r="B163" s="42" t="str">
        <f t="shared" ref="B163:B165" si="16">B146</f>
        <v>Granulosevirus (Madex Top)</v>
      </c>
      <c r="C163" s="1160">
        <v>0</v>
      </c>
      <c r="D163" s="261">
        <f t="shared" si="13"/>
        <v>0.1</v>
      </c>
      <c r="E163" s="45">
        <f t="shared" si="14"/>
        <v>573.6</v>
      </c>
      <c r="F163" s="145"/>
      <c r="H163" s="473"/>
    </row>
    <row r="164" spans="1:9" ht="13" x14ac:dyDescent="0.3">
      <c r="A164" s="1417"/>
      <c r="B164" s="42" t="str">
        <f t="shared" si="16"/>
        <v>Quassiaextrakt (Quassan)</v>
      </c>
      <c r="C164" s="564">
        <v>0</v>
      </c>
      <c r="D164" s="261">
        <f t="shared" si="13"/>
        <v>3.5</v>
      </c>
      <c r="E164" s="45">
        <f t="shared" si="14"/>
        <v>222</v>
      </c>
      <c r="F164" s="145"/>
      <c r="H164" s="473"/>
    </row>
    <row r="165" spans="1:9" ht="13" x14ac:dyDescent="0.3">
      <c r="A165" s="1417"/>
      <c r="B165" s="42" t="str">
        <f t="shared" si="16"/>
        <v>Weissöl (Weissöl Omya)</v>
      </c>
      <c r="C165" s="564">
        <v>1</v>
      </c>
      <c r="D165" s="261">
        <f t="shared" si="13"/>
        <v>50</v>
      </c>
      <c r="E165" s="45">
        <f t="shared" si="14"/>
        <v>3.7833999999999999</v>
      </c>
      <c r="F165" s="145"/>
      <c r="H165" s="473"/>
    </row>
    <row r="166" spans="1:9" ht="13" x14ac:dyDescent="0.3">
      <c r="A166" s="1321" t="s">
        <v>632</v>
      </c>
      <c r="B166" s="42" t="str">
        <f>B149</f>
        <v>Insektenlockstoff (Isomate CLR Max Andermatt)</v>
      </c>
      <c r="C166" s="564">
        <v>0</v>
      </c>
      <c r="D166" s="261">
        <f t="shared" si="13"/>
        <v>750</v>
      </c>
      <c r="E166" s="45">
        <f t="shared" si="14"/>
        <v>0.59599999999999997</v>
      </c>
      <c r="F166" s="145"/>
      <c r="H166" s="473"/>
    </row>
    <row r="167" spans="1:9" ht="13" x14ac:dyDescent="0.3">
      <c r="A167" s="1320"/>
      <c r="B167" s="42"/>
      <c r="C167" s="564"/>
      <c r="D167" s="261"/>
      <c r="E167" s="45"/>
      <c r="F167" s="145"/>
      <c r="H167" s="473"/>
    </row>
    <row r="168" spans="1:9" ht="13.75" customHeight="1" x14ac:dyDescent="0.3">
      <c r="A168" s="19" t="s">
        <v>141</v>
      </c>
      <c r="B168" s="582">
        <v>0</v>
      </c>
      <c r="C168" s="47">
        <f>SUM(C153:C163)</f>
        <v>28</v>
      </c>
      <c r="D168" s="44"/>
      <c r="E168" s="44"/>
      <c r="F168" s="19"/>
      <c r="H168" s="473"/>
    </row>
    <row r="169" spans="1:9" ht="18" x14ac:dyDescent="0.4">
      <c r="A169" s="561" t="s">
        <v>139</v>
      </c>
      <c r="B169" s="561"/>
      <c r="C169" s="800"/>
      <c r="D169" s="333"/>
      <c r="E169" s="333"/>
      <c r="F169" s="19"/>
    </row>
    <row r="170" spans="1:9" x14ac:dyDescent="0.25">
      <c r="A170" s="42"/>
      <c r="B170" s="19"/>
      <c r="C170" s="19"/>
      <c r="D170" s="19"/>
      <c r="E170" s="19"/>
      <c r="F170" s="19"/>
    </row>
    <row r="171" spans="1:9" ht="25" x14ac:dyDescent="0.5">
      <c r="A171" s="1418" t="s">
        <v>644</v>
      </c>
      <c r="B171" s="1418"/>
      <c r="C171" s="1418"/>
      <c r="D171" s="1418"/>
      <c r="E171" s="1418"/>
      <c r="F171" s="1418"/>
      <c r="G171" s="1418"/>
      <c r="H171" s="1418"/>
    </row>
    <row r="172" spans="1:9" ht="13" x14ac:dyDescent="0.3">
      <c r="A172" s="1419"/>
      <c r="B172" s="1419"/>
      <c r="D172" s="11"/>
      <c r="E172" s="11"/>
      <c r="F172" s="11"/>
      <c r="G172" s="13"/>
    </row>
    <row r="173" spans="1:9" x14ac:dyDescent="0.25">
      <c r="A173" s="1420" t="s">
        <v>153</v>
      </c>
      <c r="B173" s="1420"/>
      <c r="C173" s="1420"/>
      <c r="D173" s="11"/>
      <c r="E173" s="11"/>
      <c r="F173" s="11"/>
      <c r="G173" s="13"/>
    </row>
    <row r="174" spans="1:9" x14ac:dyDescent="0.25">
      <c r="A174" s="69"/>
      <c r="B174" s="145"/>
      <c r="C174" s="92"/>
      <c r="D174" s="11"/>
      <c r="E174" s="11"/>
      <c r="F174" s="11"/>
    </row>
    <row r="175" spans="1:9" ht="14" x14ac:dyDescent="0.3">
      <c r="A175" s="13"/>
      <c r="B175" s="806" t="s">
        <v>90</v>
      </c>
      <c r="C175" s="11"/>
      <c r="D175" s="11"/>
      <c r="E175" s="11"/>
      <c r="F175" s="13"/>
      <c r="G175" s="13"/>
      <c r="H175" s="13"/>
      <c r="I175" s="13"/>
    </row>
    <row r="176" spans="1:9" ht="18" customHeight="1" x14ac:dyDescent="0.3">
      <c r="A176" s="618" t="s">
        <v>24</v>
      </c>
      <c r="B176" s="87" t="s">
        <v>452</v>
      </c>
      <c r="C176" s="92"/>
      <c r="D176" s="253">
        <f>D193</f>
        <v>41</v>
      </c>
      <c r="E176" s="11"/>
      <c r="F176" s="803" t="s">
        <v>201</v>
      </c>
      <c r="G176" s="13"/>
      <c r="H176" s="618">
        <v>0.25</v>
      </c>
      <c r="I176" s="13"/>
    </row>
    <row r="177" spans="1:9" ht="18" customHeight="1" x14ac:dyDescent="0.3">
      <c r="A177" s="756"/>
      <c r="B177" s="87"/>
      <c r="C177" s="92"/>
      <c r="D177" s="92"/>
      <c r="E177" s="109"/>
      <c r="F177" s="11"/>
      <c r="G177" s="114"/>
      <c r="H177" s="13"/>
      <c r="I177" s="13"/>
    </row>
    <row r="178" spans="1:9" x14ac:dyDescent="0.25">
      <c r="A178" s="145"/>
      <c r="B178" s="145"/>
      <c r="C178" s="1323" t="s">
        <v>105</v>
      </c>
      <c r="D178" s="307" t="s">
        <v>106</v>
      </c>
      <c r="E178" s="94" t="s">
        <v>11</v>
      </c>
      <c r="F178" s="94" t="s">
        <v>348</v>
      </c>
      <c r="G178" s="86" t="s">
        <v>349</v>
      </c>
      <c r="H178" s="94" t="s">
        <v>350</v>
      </c>
    </row>
    <row r="179" spans="1:9" ht="13" x14ac:dyDescent="0.3">
      <c r="A179" s="1421" t="s">
        <v>104</v>
      </c>
      <c r="B179" s="145" t="s">
        <v>638</v>
      </c>
      <c r="C179" s="562">
        <v>1</v>
      </c>
      <c r="D179" s="1319">
        <v>37</v>
      </c>
      <c r="E179" s="265"/>
      <c r="F179" s="264"/>
      <c r="G179" s="264"/>
      <c r="H179" s="264"/>
      <c r="I179" s="473"/>
    </row>
    <row r="180" spans="1:9" ht="13" x14ac:dyDescent="0.3">
      <c r="A180" s="1421"/>
      <c r="B180" s="42" t="s">
        <v>674</v>
      </c>
      <c r="C180" s="562">
        <v>1</v>
      </c>
      <c r="D180" s="1391">
        <v>57</v>
      </c>
      <c r="E180" s="96">
        <v>2</v>
      </c>
      <c r="F180" s="1189"/>
      <c r="G180" s="1189"/>
      <c r="H180" s="264"/>
      <c r="I180" s="473"/>
    </row>
    <row r="181" spans="1:9" ht="13" x14ac:dyDescent="0.3">
      <c r="A181" s="1421"/>
      <c r="B181" s="145" t="s">
        <v>88</v>
      </c>
      <c r="C181" s="562">
        <v>1</v>
      </c>
      <c r="D181" s="1319">
        <v>18</v>
      </c>
      <c r="E181" s="96"/>
      <c r="F181" s="1189"/>
      <c r="G181" s="1189"/>
      <c r="H181" s="264"/>
      <c r="I181" s="473"/>
    </row>
    <row r="182" spans="1:9" ht="13" x14ac:dyDescent="0.3">
      <c r="A182" s="1421"/>
      <c r="B182" s="42" t="s">
        <v>683</v>
      </c>
      <c r="C182" s="562">
        <v>1</v>
      </c>
      <c r="D182" s="1384">
        <v>113</v>
      </c>
      <c r="E182" s="96"/>
      <c r="F182" s="1189"/>
      <c r="G182" s="1189"/>
      <c r="H182" s="264"/>
      <c r="I182" s="473"/>
    </row>
    <row r="183" spans="1:9" ht="13" customHeight="1" x14ac:dyDescent="0.3">
      <c r="A183" s="1421"/>
      <c r="B183" s="145" t="s">
        <v>200</v>
      </c>
      <c r="C183" s="563">
        <v>960</v>
      </c>
      <c r="D183" s="1319">
        <v>9</v>
      </c>
      <c r="E183" s="266">
        <v>4</v>
      </c>
      <c r="F183" s="565">
        <v>8.4700000000000006</v>
      </c>
      <c r="G183" s="565">
        <v>1.57</v>
      </c>
      <c r="H183" s="264">
        <f t="shared" ref="H183" si="17">ROUND(F183+G183,1)</f>
        <v>10</v>
      </c>
      <c r="I183" s="473"/>
    </row>
    <row r="184" spans="1:9" ht="13" customHeight="1" x14ac:dyDescent="0.3">
      <c r="A184" s="1421"/>
      <c r="B184" s="42" t="s">
        <v>673</v>
      </c>
      <c r="C184" s="562">
        <v>1</v>
      </c>
      <c r="D184" s="1319">
        <v>41</v>
      </c>
      <c r="E184" s="96">
        <v>7</v>
      </c>
      <c r="F184" s="1189"/>
      <c r="G184" s="1189"/>
      <c r="H184" s="264"/>
      <c r="I184" s="473"/>
    </row>
    <row r="185" spans="1:9" ht="13" customHeight="1" x14ac:dyDescent="0.3">
      <c r="A185" s="1421"/>
      <c r="B185" s="42" t="s">
        <v>61</v>
      </c>
      <c r="C185" s="562">
        <v>2</v>
      </c>
      <c r="D185" s="1319">
        <f t="shared" ref="D185" si="18">H185</f>
        <v>68.3</v>
      </c>
      <c r="E185" s="44">
        <v>1</v>
      </c>
      <c r="F185" s="565">
        <v>39.25</v>
      </c>
      <c r="G185" s="565">
        <v>29.05</v>
      </c>
      <c r="H185" s="264">
        <f>ROUND(F185+G185,1)</f>
        <v>68.3</v>
      </c>
      <c r="I185" s="473"/>
    </row>
    <row r="186" spans="1:9" ht="13" customHeight="1" x14ac:dyDescent="0.25">
      <c r="A186" s="1421"/>
      <c r="B186" s="145" t="s">
        <v>561</v>
      </c>
      <c r="C186" s="1304">
        <v>2</v>
      </c>
      <c r="D186" s="566">
        <v>130</v>
      </c>
      <c r="E186" s="1303">
        <v>3</v>
      </c>
      <c r="F186" s="264"/>
      <c r="G186" s="264"/>
      <c r="H186" s="264">
        <f>C186*D186</f>
        <v>260</v>
      </c>
    </row>
    <row r="187" spans="1:9" ht="13" customHeight="1" x14ac:dyDescent="0.25">
      <c r="A187" s="1421"/>
      <c r="B187" s="42" t="s">
        <v>675</v>
      </c>
      <c r="C187" s="1304">
        <v>1</v>
      </c>
      <c r="D187" s="1168">
        <v>84</v>
      </c>
      <c r="E187" s="1303">
        <v>6</v>
      </c>
      <c r="F187" s="264"/>
      <c r="G187" s="264"/>
      <c r="H187" s="264"/>
    </row>
    <row r="188" spans="1:9" ht="13" customHeight="1" x14ac:dyDescent="0.25">
      <c r="A188" s="1421"/>
      <c r="B188" s="145" t="s">
        <v>563</v>
      </c>
      <c r="C188" s="92"/>
      <c r="D188" s="804">
        <v>500</v>
      </c>
      <c r="E188" s="11"/>
      <c r="F188" s="128"/>
      <c r="G188" s="128"/>
      <c r="H188" s="128">
        <f>D188</f>
        <v>500</v>
      </c>
    </row>
    <row r="189" spans="1:9" ht="13" customHeight="1" x14ac:dyDescent="0.25">
      <c r="A189" s="1421"/>
      <c r="B189" s="42" t="s">
        <v>677</v>
      </c>
      <c r="C189" s="562">
        <v>0.2</v>
      </c>
      <c r="D189" s="1384">
        <v>17.5</v>
      </c>
      <c r="E189"/>
      <c r="F189"/>
    </row>
    <row r="190" spans="1:9" x14ac:dyDescent="0.25">
      <c r="A190" s="1421"/>
      <c r="B190" s="42" t="s">
        <v>678</v>
      </c>
      <c r="C190" s="1304">
        <v>10</v>
      </c>
      <c r="D190" s="92"/>
      <c r="E190" s="11"/>
      <c r="F190" s="128"/>
      <c r="G190" s="128"/>
      <c r="H190" s="128"/>
    </row>
    <row r="191" spans="1:9" x14ac:dyDescent="0.25">
      <c r="A191" s="1421"/>
      <c r="B191" s="42" t="s">
        <v>679</v>
      </c>
      <c r="C191" s="1319">
        <v>0.5</v>
      </c>
      <c r="D191" s="92"/>
      <c r="E191" s="11"/>
      <c r="F191" s="128"/>
      <c r="G191" s="128"/>
      <c r="H191" s="128"/>
    </row>
    <row r="192" spans="1:9" ht="17.5" customHeight="1" x14ac:dyDescent="0.3">
      <c r="A192" s="49"/>
      <c r="B192" s="806" t="s">
        <v>97</v>
      </c>
      <c r="C192" s="120" t="s">
        <v>76</v>
      </c>
      <c r="D192" s="94" t="s">
        <v>21</v>
      </c>
      <c r="E192" s="94"/>
      <c r="F192" s="795" t="s">
        <v>351</v>
      </c>
      <c r="G192" s="795" t="s">
        <v>352</v>
      </c>
      <c r="H192" s="94" t="s">
        <v>453</v>
      </c>
    </row>
    <row r="193" spans="1:9" ht="26" x14ac:dyDescent="0.3">
      <c r="A193" s="807" t="s">
        <v>24</v>
      </c>
      <c r="B193" s="1302" t="s">
        <v>639</v>
      </c>
      <c r="C193" s="263" t="s">
        <v>2</v>
      </c>
      <c r="D193" s="1343">
        <v>41</v>
      </c>
      <c r="E193" s="11"/>
      <c r="F193" s="694"/>
      <c r="G193" s="694"/>
      <c r="H193" s="264"/>
      <c r="I193" s="473"/>
    </row>
    <row r="194" spans="1:9" ht="13" x14ac:dyDescent="0.3">
      <c r="A194" s="1421" t="s">
        <v>104</v>
      </c>
      <c r="B194" s="145" t="s">
        <v>166</v>
      </c>
      <c r="C194" s="566">
        <v>3.8</v>
      </c>
      <c r="D194" s="1344">
        <v>23</v>
      </c>
      <c r="E194" s="11"/>
      <c r="F194" s="264"/>
      <c r="G194" s="264"/>
      <c r="H194" s="264"/>
      <c r="I194" s="473"/>
    </row>
    <row r="195" spans="1:9" x14ac:dyDescent="0.25">
      <c r="A195" s="1421"/>
      <c r="B195" s="42" t="s">
        <v>637</v>
      </c>
      <c r="C195" s="566">
        <v>1.8</v>
      </c>
      <c r="D195" s="1344">
        <v>101</v>
      </c>
      <c r="E195" s="11"/>
      <c r="F195" s="264"/>
      <c r="G195" s="264"/>
      <c r="H195" s="264"/>
    </row>
    <row r="196" spans="1:9" ht="13" x14ac:dyDescent="0.3">
      <c r="A196" s="1421"/>
      <c r="B196" s="145" t="s">
        <v>87</v>
      </c>
      <c r="C196" s="566">
        <v>1.6</v>
      </c>
      <c r="D196" s="1344">
        <v>83</v>
      </c>
      <c r="E196" s="11"/>
      <c r="F196" s="264"/>
      <c r="G196" s="264"/>
      <c r="H196" s="264"/>
      <c r="I196" s="473"/>
    </row>
    <row r="197" spans="1:9" ht="13" x14ac:dyDescent="0.3">
      <c r="A197" s="1421"/>
      <c r="B197" s="145" t="s">
        <v>89</v>
      </c>
      <c r="C197" s="567">
        <v>0.1</v>
      </c>
      <c r="D197" s="1344">
        <v>15</v>
      </c>
      <c r="E197" s="11"/>
      <c r="F197" s="264"/>
      <c r="G197" s="264"/>
      <c r="H197" s="264"/>
      <c r="I197" s="473"/>
    </row>
    <row r="198" spans="1:9" ht="13" x14ac:dyDescent="0.3">
      <c r="A198" s="1421"/>
      <c r="B198" s="145" t="s">
        <v>384</v>
      </c>
      <c r="C198" s="267"/>
      <c r="D198" s="1344">
        <v>25</v>
      </c>
      <c r="E198" s="11"/>
      <c r="F198" s="264"/>
      <c r="G198" s="264"/>
      <c r="H198" s="264"/>
      <c r="I198" s="473"/>
    </row>
    <row r="199" spans="1:9" x14ac:dyDescent="0.25">
      <c r="A199" s="1421"/>
      <c r="B199" s="145" t="s">
        <v>373</v>
      </c>
      <c r="C199" s="267" t="s">
        <v>383</v>
      </c>
      <c r="D199" s="568">
        <v>150</v>
      </c>
      <c r="E199" s="11"/>
      <c r="F199" s="264"/>
      <c r="G199" s="264"/>
      <c r="H199" s="264"/>
    </row>
    <row r="200" spans="1:9" x14ac:dyDescent="0.25">
      <c r="A200" s="1421"/>
      <c r="B200" s="145" t="s">
        <v>563</v>
      </c>
      <c r="C200" s="92"/>
      <c r="D200" s="805">
        <v>500</v>
      </c>
      <c r="E200" s="11"/>
      <c r="F200" s="11"/>
      <c r="G200" s="13"/>
      <c r="H200" s="128"/>
    </row>
    <row r="201" spans="1:9" x14ac:dyDescent="0.25">
      <c r="H201" s="119"/>
    </row>
    <row r="202" spans="1:9" ht="25" x14ac:dyDescent="0.5">
      <c r="A202" s="1418" t="s">
        <v>17</v>
      </c>
      <c r="B202" s="1418"/>
      <c r="C202" s="1418"/>
      <c r="D202" s="1418"/>
      <c r="E202" s="1418"/>
      <c r="F202" s="1418"/>
      <c r="G202" s="1418"/>
      <c r="H202" s="1418"/>
    </row>
    <row r="203" spans="1:9" x14ac:dyDescent="0.25">
      <c r="C203" s="165" t="s">
        <v>184</v>
      </c>
      <c r="D203" s="38" t="s">
        <v>183</v>
      </c>
    </row>
    <row r="204" spans="1:9" ht="25.5" x14ac:dyDescent="0.3">
      <c r="A204" s="49" t="s">
        <v>181</v>
      </c>
      <c r="B204" s="166" t="s">
        <v>185</v>
      </c>
      <c r="C204" s="470">
        <v>10</v>
      </c>
      <c r="D204" s="529">
        <v>15</v>
      </c>
      <c r="E204" s="129"/>
    </row>
    <row r="205" spans="1:9" ht="18" customHeight="1" x14ac:dyDescent="0.25">
      <c r="B205" t="s">
        <v>182</v>
      </c>
      <c r="C205" s="577">
        <v>0</v>
      </c>
      <c r="D205" s="578">
        <v>15</v>
      </c>
      <c r="E205" s="35"/>
    </row>
    <row r="206" spans="1:9" x14ac:dyDescent="0.25">
      <c r="C206" s="268">
        <f>SUM(C204:C205)</f>
        <v>10</v>
      </c>
      <c r="D206" s="269">
        <f>((C204*D204)+(C205*D205))/C206</f>
        <v>15</v>
      </c>
      <c r="E206" s="35"/>
    </row>
    <row r="207" spans="1:9" ht="13.5" thickBot="1" x14ac:dyDescent="0.35">
      <c r="A207" s="49" t="s">
        <v>175</v>
      </c>
      <c r="C207" s="95"/>
      <c r="D207" s="35"/>
      <c r="E207" s="142" t="s">
        <v>172</v>
      </c>
    </row>
    <row r="208" spans="1:9" x14ac:dyDescent="0.25">
      <c r="B208" t="s">
        <v>173</v>
      </c>
      <c r="C208" s="95"/>
      <c r="D208" s="35"/>
      <c r="E208" s="579">
        <v>200</v>
      </c>
      <c r="G208" s="10"/>
    </row>
    <row r="209" spans="1:8" x14ac:dyDescent="0.25">
      <c r="B209" t="s">
        <v>174</v>
      </c>
      <c r="C209" s="95"/>
      <c r="D209" s="35"/>
      <c r="E209" s="1009">
        <v>400</v>
      </c>
    </row>
    <row r="210" spans="1:8" x14ac:dyDescent="0.25">
      <c r="E210" s="230">
        <f>SUM(E208:E209)</f>
        <v>600</v>
      </c>
    </row>
    <row r="212" spans="1:8" ht="25" x14ac:dyDescent="0.5">
      <c r="A212" s="1418" t="s">
        <v>645</v>
      </c>
      <c r="B212" s="1418"/>
      <c r="C212" s="1418"/>
      <c r="D212" s="1418"/>
      <c r="E212" s="1418"/>
      <c r="F212" s="1418"/>
      <c r="G212" s="1418"/>
      <c r="H212" s="1418"/>
    </row>
    <row r="213" spans="1:8" ht="16.5" customHeight="1" x14ac:dyDescent="0.3">
      <c r="A213" s="13"/>
      <c r="B213" s="13"/>
      <c r="C213" s="794" t="s">
        <v>11</v>
      </c>
      <c r="D213" s="794" t="s">
        <v>12</v>
      </c>
      <c r="E213" s="794" t="s">
        <v>172</v>
      </c>
      <c r="F213" s="44"/>
    </row>
    <row r="214" spans="1:8" ht="12.75" customHeight="1" x14ac:dyDescent="0.3">
      <c r="A214" s="1422" t="s">
        <v>276</v>
      </c>
      <c r="B214" s="19" t="s">
        <v>91</v>
      </c>
      <c r="C214" s="814"/>
      <c r="D214" s="553">
        <v>6.9</v>
      </c>
      <c r="E214" s="44"/>
      <c r="F214" s="469"/>
    </row>
    <row r="215" spans="1:8" ht="13" x14ac:dyDescent="0.3">
      <c r="A215" s="1422"/>
      <c r="B215" s="19" t="s">
        <v>443</v>
      </c>
      <c r="C215" s="47"/>
      <c r="D215" s="553">
        <v>9.6</v>
      </c>
      <c r="E215" s="44"/>
      <c r="F215" s="469"/>
    </row>
    <row r="216" spans="1:8" ht="14.25" customHeight="1" x14ac:dyDescent="0.3">
      <c r="A216" s="1422"/>
      <c r="B216" s="19" t="s">
        <v>444</v>
      </c>
      <c r="C216" s="47"/>
      <c r="D216" s="553">
        <v>15.5</v>
      </c>
      <c r="E216" s="44"/>
      <c r="F216" s="469"/>
    </row>
    <row r="217" spans="1:8" ht="14.25" customHeight="1" x14ac:dyDescent="0.3">
      <c r="A217" s="1422"/>
      <c r="B217" s="19" t="s">
        <v>444</v>
      </c>
      <c r="C217" s="582">
        <v>6</v>
      </c>
      <c r="D217" s="553">
        <v>19.8</v>
      </c>
      <c r="E217" s="44"/>
      <c r="F217" s="469"/>
    </row>
    <row r="218" spans="1:8" ht="14.25" customHeight="1" x14ac:dyDescent="0.3">
      <c r="A218" s="1422"/>
      <c r="B218" s="19" t="s">
        <v>15</v>
      </c>
      <c r="C218" s="582">
        <v>2</v>
      </c>
      <c r="D218" s="553">
        <v>200</v>
      </c>
      <c r="E218" s="44"/>
      <c r="F218" s="469"/>
    </row>
    <row r="219" spans="1:8" ht="14.25" customHeight="1" x14ac:dyDescent="0.3">
      <c r="A219" s="1422"/>
      <c r="B219" s="19" t="s">
        <v>445</v>
      </c>
      <c r="C219" s="815"/>
      <c r="D219" s="553">
        <v>4.0999999999999996</v>
      </c>
      <c r="E219" s="44"/>
      <c r="F219" s="469"/>
    </row>
    <row r="220" spans="1:8" ht="14.25" customHeight="1" x14ac:dyDescent="0.3">
      <c r="A220" s="1422"/>
      <c r="B220" s="19" t="s">
        <v>92</v>
      </c>
      <c r="C220" s="573">
        <v>3</v>
      </c>
      <c r="D220" s="553">
        <v>11.95</v>
      </c>
      <c r="E220" s="44"/>
      <c r="F220" s="469"/>
    </row>
    <row r="221" spans="1:8" ht="14.25" customHeight="1" x14ac:dyDescent="0.25">
      <c r="A221" s="1422"/>
      <c r="B221" s="19" t="s">
        <v>16</v>
      </c>
      <c r="C221" s="47" t="s">
        <v>393</v>
      </c>
      <c r="D221" s="816">
        <v>0.25</v>
      </c>
      <c r="E221" s="44"/>
      <c r="F221" s="35"/>
    </row>
    <row r="222" spans="1:8" ht="14.25" customHeight="1" x14ac:dyDescent="0.25">
      <c r="A222" s="1422"/>
      <c r="B222" s="19" t="s">
        <v>394</v>
      </c>
      <c r="C222" s="47" t="s">
        <v>395</v>
      </c>
      <c r="D222" s="816">
        <v>1</v>
      </c>
      <c r="E222" s="44"/>
      <c r="F222" s="35"/>
    </row>
    <row r="223" spans="1:8" ht="14.25" customHeight="1" x14ac:dyDescent="0.25">
      <c r="A223" s="1422"/>
      <c r="B223" s="19" t="s">
        <v>94</v>
      </c>
      <c r="C223" s="47"/>
      <c r="D223" s="135"/>
      <c r="E223" s="817">
        <v>300</v>
      </c>
      <c r="F223" s="35"/>
    </row>
    <row r="224" spans="1:8" ht="14.25" customHeight="1" x14ac:dyDescent="0.25">
      <c r="A224" s="1422" t="s">
        <v>575</v>
      </c>
      <c r="B224" s="42" t="s">
        <v>568</v>
      </c>
      <c r="C224" s="1169">
        <f>(B18+B19)*2</f>
        <v>410</v>
      </c>
      <c r="D224" s="1170">
        <v>4.2</v>
      </c>
      <c r="E224" s="817"/>
      <c r="F224" s="35"/>
    </row>
    <row r="225" spans="1:8" ht="14.25" customHeight="1" x14ac:dyDescent="0.25">
      <c r="A225" s="1422"/>
      <c r="B225" s="42" t="s">
        <v>567</v>
      </c>
      <c r="C225" s="1187">
        <v>135</v>
      </c>
      <c r="D225" s="1188">
        <v>0.5</v>
      </c>
      <c r="E225" s="817"/>
      <c r="F225" s="35"/>
    </row>
    <row r="226" spans="1:8" ht="14.25" customHeight="1" x14ac:dyDescent="0.25">
      <c r="A226" s="1422"/>
      <c r="B226" s="42" t="s">
        <v>569</v>
      </c>
      <c r="C226" s="1187">
        <v>3</v>
      </c>
      <c r="D226" s="1188">
        <v>15</v>
      </c>
      <c r="E226" s="817"/>
      <c r="F226" s="35"/>
    </row>
    <row r="227" spans="1:8" ht="14.25" customHeight="1" x14ac:dyDescent="0.25">
      <c r="A227" s="1422"/>
      <c r="B227" s="42" t="s">
        <v>570</v>
      </c>
      <c r="C227" s="1187">
        <v>400</v>
      </c>
      <c r="D227" s="1188">
        <v>1</v>
      </c>
      <c r="E227" s="35"/>
      <c r="F227" s="35"/>
    </row>
    <row r="228" spans="1:8" ht="14.25" customHeight="1" x14ac:dyDescent="0.25">
      <c r="A228" s="1422"/>
      <c r="B228" s="42" t="s">
        <v>571</v>
      </c>
      <c r="C228" s="1187">
        <v>34</v>
      </c>
      <c r="D228" s="1188">
        <v>47</v>
      </c>
      <c r="E228" s="35"/>
      <c r="F228" s="35"/>
    </row>
    <row r="229" spans="1:8" ht="14.25" customHeight="1" x14ac:dyDescent="0.3">
      <c r="A229" s="41" t="s">
        <v>28</v>
      </c>
      <c r="B229" s="13"/>
      <c r="C229" s="812" t="s">
        <v>27</v>
      </c>
      <c r="D229" s="44"/>
      <c r="E229" s="44"/>
      <c r="F229" s="35"/>
    </row>
    <row r="230" spans="1:8" ht="14.25" customHeight="1" x14ac:dyDescent="0.25">
      <c r="A230" s="13"/>
      <c r="B230" s="19" t="s">
        <v>33</v>
      </c>
      <c r="C230" s="685">
        <v>70</v>
      </c>
      <c r="D230" s="44"/>
      <c r="E230" s="44"/>
      <c r="F230" s="35"/>
    </row>
    <row r="231" spans="1:8" ht="14.25" customHeight="1" x14ac:dyDescent="0.25">
      <c r="A231" s="13"/>
      <c r="B231" s="19" t="s">
        <v>625</v>
      </c>
      <c r="C231" s="685">
        <v>20</v>
      </c>
      <c r="D231" s="44"/>
      <c r="E231" s="44"/>
      <c r="F231" s="35"/>
    </row>
    <row r="232" spans="1:8" ht="24" customHeight="1" x14ac:dyDescent="0.5">
      <c r="A232" s="1418" t="s">
        <v>339</v>
      </c>
      <c r="B232" s="1418"/>
      <c r="C232" s="1418"/>
      <c r="D232" s="1418"/>
      <c r="E232" s="1418"/>
      <c r="F232" s="1418"/>
      <c r="G232" s="1418"/>
      <c r="H232" s="1418"/>
    </row>
    <row r="233" spans="1:8" ht="14.25" customHeight="1" x14ac:dyDescent="0.25">
      <c r="B233" t="str">
        <f>Eingabeseite!A31</f>
        <v>Hagelnetz  (ja=1, nein =0)</v>
      </c>
      <c r="C233" s="470">
        <f>Eingabeseite!D31</f>
        <v>1</v>
      </c>
    </row>
    <row r="234" spans="1:8" x14ac:dyDescent="0.25">
      <c r="B234" t="str">
        <f>Eingabeseite!A32</f>
        <v>Hagelversicherung (ja =1, nein =0)</v>
      </c>
      <c r="C234" s="470">
        <f>Eingabeseite!D32</f>
        <v>0</v>
      </c>
      <c r="D234" s="95"/>
    </row>
    <row r="235" spans="1:8" ht="25" x14ac:dyDescent="0.5">
      <c r="A235" s="1418" t="s">
        <v>553</v>
      </c>
      <c r="B235" s="1418"/>
      <c r="C235" s="1418"/>
      <c r="D235" s="1418"/>
      <c r="E235" s="1418"/>
      <c r="F235" s="1418"/>
      <c r="G235" s="1418"/>
      <c r="H235" s="1418"/>
    </row>
    <row r="236" spans="1:8" x14ac:dyDescent="0.25">
      <c r="B236" t="str">
        <f>Eingabeseite!A33</f>
        <v>Wasserpreis (Fr/m3)</v>
      </c>
      <c r="C236" s="1135">
        <f>Eingabeseite!D33</f>
        <v>2</v>
      </c>
    </row>
    <row r="237" spans="1:8" x14ac:dyDescent="0.25">
      <c r="B237" t="str">
        <f>Eingabeseite!A34</f>
        <v>Bewässerung mit Tropfenbewässerung (ja=1, nein =0)</v>
      </c>
      <c r="C237" s="470">
        <f>Eingabeseite!D34</f>
        <v>1</v>
      </c>
    </row>
    <row r="238" spans="1:8" ht="13" thickBot="1" x14ac:dyDescent="0.3">
      <c r="B238" t="str">
        <f>Eingabeseite!A35</f>
        <v>Bewässerung mit Mikrojet              (ja=1, nein=0)</v>
      </c>
      <c r="C238" s="1270">
        <f>Eingabeseite!D35</f>
        <v>0</v>
      </c>
    </row>
    <row r="239" spans="1:8" x14ac:dyDescent="0.25">
      <c r="B239" t="s">
        <v>605</v>
      </c>
      <c r="C239" s="470">
        <f>SUM(C237:C238)</f>
        <v>1</v>
      </c>
    </row>
    <row r="240" spans="1:8" ht="13" x14ac:dyDescent="0.3">
      <c r="A240" s="1124" t="s">
        <v>481</v>
      </c>
      <c r="B240" s="1124"/>
      <c r="C240" s="1124"/>
      <c r="D240" s="1124"/>
      <c r="E240" s="1124"/>
      <c r="F240" s="1124"/>
    </row>
    <row r="241" spans="1:8" x14ac:dyDescent="0.25">
      <c r="B241" s="57" t="s">
        <v>484</v>
      </c>
      <c r="C241" s="10">
        <f>'Variante Bewässerung'!E53</f>
        <v>10</v>
      </c>
      <c r="D241">
        <f>'Standard Vorgaben'!$C$36</f>
        <v>32.700000000000003</v>
      </c>
      <c r="E241" s="10">
        <f>C241*D241</f>
        <v>327</v>
      </c>
      <c r="F241" s="13"/>
    </row>
    <row r="242" spans="1:8" x14ac:dyDescent="0.25">
      <c r="B242" t="s">
        <v>485</v>
      </c>
      <c r="C242" s="10">
        <f>'Variante Bewässerung'!E51</f>
        <v>4</v>
      </c>
      <c r="D242">
        <f>'Standard Vorgaben'!$C$36</f>
        <v>32.700000000000003</v>
      </c>
      <c r="E242" s="10">
        <f>C242*D242</f>
        <v>130.80000000000001</v>
      </c>
      <c r="F242" s="13"/>
    </row>
    <row r="243" spans="1:8" x14ac:dyDescent="0.25">
      <c r="B243" t="s">
        <v>486</v>
      </c>
      <c r="C243" s="10">
        <v>500</v>
      </c>
      <c r="D243" s="1060">
        <f>C236</f>
        <v>2</v>
      </c>
      <c r="E243" s="10">
        <f>C243*D243</f>
        <v>1000</v>
      </c>
      <c r="F243" s="13"/>
    </row>
    <row r="244" spans="1:8" ht="13" x14ac:dyDescent="0.3">
      <c r="C244" s="1126"/>
      <c r="D244"/>
      <c r="E244" s="1126">
        <f>E241+E242+E243</f>
        <v>1457.8</v>
      </c>
      <c r="F244" s="13"/>
    </row>
    <row r="245" spans="1:8" ht="25" x14ac:dyDescent="0.5">
      <c r="A245" s="1418" t="s">
        <v>618</v>
      </c>
      <c r="B245" s="1418"/>
      <c r="C245" s="1418"/>
      <c r="D245" s="1418"/>
      <c r="E245" s="1418"/>
      <c r="F245" s="1418"/>
      <c r="G245" s="1418"/>
      <c r="H245" s="1418"/>
    </row>
    <row r="246" spans="1:8" x14ac:dyDescent="0.25">
      <c r="B246" s="10" t="s">
        <v>619</v>
      </c>
      <c r="C246" s="1288">
        <f>C233+C239</f>
        <v>2</v>
      </c>
    </row>
    <row r="286" ht="25.5" customHeight="1" x14ac:dyDescent="0.25"/>
    <row r="287" ht="17.5" customHeight="1" x14ac:dyDescent="0.25"/>
    <row r="299" ht="16.5" customHeight="1" x14ac:dyDescent="0.25"/>
    <row r="300" ht="15" customHeight="1" x14ac:dyDescent="0.25"/>
  </sheetData>
  <mergeCells count="31">
    <mergeCell ref="A126:A131"/>
    <mergeCell ref="A119:A124"/>
    <mergeCell ref="B3:H3"/>
    <mergeCell ref="A4:H4"/>
    <mergeCell ref="A6:H6"/>
    <mergeCell ref="B12:F12"/>
    <mergeCell ref="A117:H117"/>
    <mergeCell ref="A71:H71"/>
    <mergeCell ref="B14:D14"/>
    <mergeCell ref="A49:H49"/>
    <mergeCell ref="D72:E72"/>
    <mergeCell ref="A92:H92"/>
    <mergeCell ref="E93:E94"/>
    <mergeCell ref="D93:D94"/>
    <mergeCell ref="A102:H102"/>
    <mergeCell ref="A245:H245"/>
    <mergeCell ref="A235:H235"/>
    <mergeCell ref="A194:A200"/>
    <mergeCell ref="A224:A228"/>
    <mergeCell ref="A232:H232"/>
    <mergeCell ref="A214:A223"/>
    <mergeCell ref="A202:H202"/>
    <mergeCell ref="A136:A142"/>
    <mergeCell ref="A212:H212"/>
    <mergeCell ref="A171:H171"/>
    <mergeCell ref="A172:B172"/>
    <mergeCell ref="A173:C173"/>
    <mergeCell ref="A179:A191"/>
    <mergeCell ref="A153:A159"/>
    <mergeCell ref="A143:A148"/>
    <mergeCell ref="A160:A165"/>
  </mergeCells>
  <phoneticPr fontId="0" type="noConversion"/>
  <dataValidations count="2">
    <dataValidation type="custom" showErrorMessage="1" errorTitle="Falsche Bruttofläche" error="Die Bruttofläche entspricht nicht 10000 m2" sqref="B19">
      <formula1>B18*B19=10000</formula1>
    </dataValidation>
    <dataValidation type="whole" operator="notEqual" showErrorMessage="1" errorTitle="Falsche Länge" error="Es muss eine Länge eingetragen sein" sqref="E10 B18">
      <formula1>0</formula1>
    </dataValidation>
  </dataValidations>
  <printOptions gridLines="1" gridLinesSet="0"/>
  <pageMargins left="0.17" right="0.17" top="0.59055118110236227" bottom="0.59055118110236227" header="0.51181102362204722" footer="0.51181102362204722"/>
  <pageSetup paperSize="9" scale="50" orientation="portrait" horizontalDpi="4294967292" verticalDpi="464" r:id="rId1"/>
  <headerFooter alignWithMargins="0">
    <oddFooter>&amp;LArbokost Bio 2008/09&amp;REsther Bravin, Agroscope Changins-Wädenswil ACW</oddFooter>
  </headerFooter>
  <rowBreaks count="2" manualBreakCount="2">
    <brk id="90" max="16383" man="1"/>
    <brk id="170"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tabColor indexed="8"/>
  </sheetPr>
  <dimension ref="A1:H94"/>
  <sheetViews>
    <sheetView topLeftCell="A13" workbookViewId="0">
      <selection activeCell="D26" sqref="D26:D28"/>
    </sheetView>
  </sheetViews>
  <sheetFormatPr baseColWidth="10" defaultRowHeight="12.5" x14ac:dyDescent="0.25"/>
  <cols>
    <col min="1" max="1" width="35" customWidth="1"/>
    <col min="2" max="2" width="16.1796875" customWidth="1"/>
    <col min="5" max="5" width="15.1796875" customWidth="1"/>
  </cols>
  <sheetData>
    <row r="1" spans="1:8" ht="42" customHeight="1" x14ac:dyDescent="0.35">
      <c r="A1" s="1287" t="str">
        <f>Eingabeseite!A1</f>
        <v>Arbokost 2023</v>
      </c>
      <c r="B1" s="1284" t="str">
        <f>'Variante Vorgaben'!B1</f>
        <v>BIO- Tafelapfel, Gala auf M9, 3000 Bäume /ha</v>
      </c>
      <c r="C1" s="773"/>
      <c r="D1" s="774"/>
      <c r="E1" s="775"/>
      <c r="F1" s="776"/>
    </row>
    <row r="2" spans="1:8" ht="30" x14ac:dyDescent="0.35">
      <c r="A2" s="993" t="s">
        <v>469</v>
      </c>
      <c r="B2" s="1012"/>
      <c r="C2" s="773"/>
      <c r="D2" s="774"/>
      <c r="E2" s="775"/>
      <c r="F2" s="776"/>
    </row>
    <row r="3" spans="1:8" ht="15.5" x14ac:dyDescent="0.25">
      <c r="A3" s="820" t="str">
        <f>'Variante Vorgaben'!A3</f>
        <v>Definition Variante:</v>
      </c>
      <c r="B3" s="1424" t="str">
        <f>'Variante Vorgaben'!B3:H3</f>
        <v>Zeitgemässe Tafelapfelanlage auf schwachwachsender Unterlage. Werte sind ausgelegt auf gemischtwirtschaftliche Betriebe mit 2 - 5 ha Obstfläche, an geeigneten Standort in einem der Hauptproduktionsgebiete der Schweiz.</v>
      </c>
      <c r="C3" s="1433"/>
      <c r="D3" s="1433"/>
      <c r="E3" s="1433"/>
      <c r="F3" s="1433"/>
    </row>
    <row r="4" spans="1:8" ht="25" x14ac:dyDescent="0.25">
      <c r="A4" s="1425" t="s">
        <v>547</v>
      </c>
      <c r="B4" s="1425"/>
      <c r="C4" s="1425"/>
      <c r="D4" s="1425"/>
      <c r="E4" s="1425"/>
      <c r="F4" s="1425"/>
      <c r="G4" s="1425"/>
      <c r="H4" s="1425"/>
    </row>
    <row r="5" spans="1:8" ht="25" x14ac:dyDescent="0.5">
      <c r="A5" s="1418" t="s">
        <v>646</v>
      </c>
      <c r="B5" s="1418"/>
      <c r="C5" s="1418"/>
      <c r="D5" s="1418"/>
      <c r="E5" s="1418"/>
      <c r="F5" s="1418"/>
      <c r="G5" s="1418"/>
      <c r="H5" s="1418"/>
    </row>
    <row r="6" spans="1:8" ht="15.5" x14ac:dyDescent="0.35">
      <c r="A6" s="87" t="s">
        <v>692</v>
      </c>
      <c r="C6" s="569"/>
      <c r="D6" s="1398">
        <v>0.18</v>
      </c>
    </row>
    <row r="7" spans="1:8" ht="25" x14ac:dyDescent="0.5">
      <c r="A7" s="318" t="s">
        <v>276</v>
      </c>
      <c r="B7" s="809"/>
      <c r="C7" s="810" t="s">
        <v>11</v>
      </c>
      <c r="D7" s="810" t="s">
        <v>12</v>
      </c>
      <c r="E7" s="811" t="s">
        <v>82</v>
      </c>
      <c r="F7" s="44"/>
    </row>
    <row r="8" spans="1:8" x14ac:dyDescent="0.25">
      <c r="A8" s="13"/>
      <c r="B8" s="13"/>
      <c r="C8" s="97"/>
      <c r="D8" s="44"/>
      <c r="E8" s="44"/>
      <c r="F8" s="35"/>
    </row>
    <row r="9" spans="1:8" ht="13" x14ac:dyDescent="0.3">
      <c r="A9" s="41" t="s">
        <v>144</v>
      </c>
      <c r="B9" s="19" t="s">
        <v>306</v>
      </c>
      <c r="C9" s="571">
        <f>'Variante Vorgaben'!B24</f>
        <v>3000</v>
      </c>
      <c r="D9" s="553">
        <f>1.35*(1+D6)</f>
        <v>1.593</v>
      </c>
      <c r="E9" s="44">
        <f>C9*D9</f>
        <v>4779</v>
      </c>
      <c r="F9" s="469"/>
    </row>
    <row r="10" spans="1:8" ht="13" x14ac:dyDescent="0.3">
      <c r="A10" s="41"/>
      <c r="B10" s="19" t="s">
        <v>163</v>
      </c>
      <c r="C10" s="572">
        <v>2530</v>
      </c>
      <c r="D10" s="553">
        <f>0.16*(1+D6)</f>
        <v>0.1888</v>
      </c>
      <c r="E10" s="44">
        <f>C10*D10</f>
        <v>477.66399999999999</v>
      </c>
      <c r="F10" s="469"/>
    </row>
    <row r="11" spans="1:8" ht="13" x14ac:dyDescent="0.3">
      <c r="A11" s="41"/>
      <c r="B11" s="19" t="s">
        <v>164</v>
      </c>
      <c r="C11" s="573">
        <v>6</v>
      </c>
      <c r="D11" s="553">
        <f>5.5*(1+D6)</f>
        <v>6.4899999999999993</v>
      </c>
      <c r="E11" s="44">
        <f>C11*D11</f>
        <v>38.94</v>
      </c>
      <c r="F11" s="469"/>
    </row>
    <row r="12" spans="1:8" ht="13" x14ac:dyDescent="0.3">
      <c r="A12" s="41"/>
      <c r="B12" s="19" t="s">
        <v>165</v>
      </c>
      <c r="C12" s="571">
        <f>'Variante Vorgaben'!B24</f>
        <v>3000</v>
      </c>
      <c r="D12" s="553">
        <f>0.2*(1+D6)</f>
        <v>0.23599999999999999</v>
      </c>
      <c r="E12" s="44">
        <f>C12*D12</f>
        <v>708</v>
      </c>
      <c r="F12" s="469"/>
    </row>
    <row r="13" spans="1:8" ht="13" x14ac:dyDescent="0.3">
      <c r="A13" s="41"/>
      <c r="B13" s="19"/>
      <c r="C13" s="131"/>
      <c r="D13" s="45"/>
      <c r="E13" s="44"/>
      <c r="F13" s="469"/>
    </row>
    <row r="14" spans="1:8" ht="13" x14ac:dyDescent="0.3">
      <c r="A14" s="87" t="s">
        <v>339</v>
      </c>
      <c r="B14" s="71" t="s">
        <v>381</v>
      </c>
      <c r="C14" s="575">
        <v>9800</v>
      </c>
      <c r="D14" s="1406">
        <v>1</v>
      </c>
      <c r="E14" s="219">
        <f t="shared" ref="E14:E23" si="0">C14*D14</f>
        <v>9800</v>
      </c>
      <c r="F14" s="469"/>
    </row>
    <row r="15" spans="1:8" ht="13" x14ac:dyDescent="0.3">
      <c r="A15" s="87"/>
      <c r="B15" s="71" t="s">
        <v>353</v>
      </c>
      <c r="C15" s="575">
        <v>1200</v>
      </c>
      <c r="D15" s="1406">
        <v>0.4</v>
      </c>
      <c r="E15" s="219">
        <f t="shared" si="0"/>
        <v>480</v>
      </c>
      <c r="F15" s="469"/>
    </row>
    <row r="16" spans="1:8" ht="13" x14ac:dyDescent="0.3">
      <c r="A16" s="87"/>
      <c r="B16" s="71" t="s">
        <v>354</v>
      </c>
      <c r="C16" s="575">
        <v>1750</v>
      </c>
      <c r="D16" s="576">
        <f>0.83*(1+D6)</f>
        <v>0.97939999999999994</v>
      </c>
      <c r="E16" s="219">
        <f t="shared" si="0"/>
        <v>1713.9499999999998</v>
      </c>
      <c r="F16" s="469"/>
    </row>
    <row r="17" spans="1:7" ht="13" x14ac:dyDescent="0.3">
      <c r="A17" s="87"/>
      <c r="B17" s="71" t="s">
        <v>456</v>
      </c>
      <c r="C17" s="575">
        <v>100</v>
      </c>
      <c r="D17" s="576">
        <f>0.55*(1+D6)</f>
        <v>0.64900000000000002</v>
      </c>
      <c r="E17" s="219">
        <f t="shared" si="0"/>
        <v>64.900000000000006</v>
      </c>
      <c r="F17" s="469"/>
    </row>
    <row r="18" spans="1:7" ht="13" x14ac:dyDescent="0.3">
      <c r="A18" s="87"/>
      <c r="B18" s="71" t="s">
        <v>457</v>
      </c>
      <c r="C18" s="575">
        <v>165</v>
      </c>
      <c r="D18" s="576">
        <f>1.19*(1+D6)</f>
        <v>1.4041999999999999</v>
      </c>
      <c r="E18" s="219">
        <f t="shared" si="0"/>
        <v>231.69299999999998</v>
      </c>
      <c r="F18" s="469"/>
    </row>
    <row r="19" spans="1:7" ht="13" x14ac:dyDescent="0.3">
      <c r="A19" s="87"/>
      <c r="B19" s="71" t="s">
        <v>458</v>
      </c>
      <c r="C19" s="575">
        <v>310</v>
      </c>
      <c r="D19" s="576">
        <f>1.19*(1+D6)</f>
        <v>1.4041999999999999</v>
      </c>
      <c r="E19" s="219">
        <f t="shared" si="0"/>
        <v>435.30199999999996</v>
      </c>
      <c r="F19" s="469"/>
    </row>
    <row r="20" spans="1:7" ht="13" x14ac:dyDescent="0.3">
      <c r="A20" s="87"/>
      <c r="B20" s="71" t="s">
        <v>459</v>
      </c>
      <c r="C20" s="575">
        <v>810</v>
      </c>
      <c r="D20" s="576">
        <f>0.7*(1+D6)</f>
        <v>0.82599999999999996</v>
      </c>
      <c r="E20" s="219">
        <f t="shared" si="0"/>
        <v>669.06</v>
      </c>
      <c r="F20" s="469"/>
    </row>
    <row r="21" spans="1:7" ht="13" x14ac:dyDescent="0.3">
      <c r="A21" s="87"/>
      <c r="B21" s="71" t="s">
        <v>355</v>
      </c>
      <c r="C21" s="575">
        <v>3100</v>
      </c>
      <c r="D21" s="576">
        <f>0.3*(1+D6)</f>
        <v>0.35399999999999998</v>
      </c>
      <c r="E21" s="219">
        <f t="shared" si="0"/>
        <v>1097.3999999999999</v>
      </c>
      <c r="F21" s="469"/>
    </row>
    <row r="22" spans="1:7" ht="13" x14ac:dyDescent="0.3">
      <c r="A22" s="87"/>
      <c r="B22" s="71" t="s">
        <v>356</v>
      </c>
      <c r="C22" s="575">
        <v>3400</v>
      </c>
      <c r="D22" s="576">
        <f>0.1*(1+D6)</f>
        <v>0.11799999999999999</v>
      </c>
      <c r="E22" s="219">
        <f t="shared" si="0"/>
        <v>401.2</v>
      </c>
      <c r="F22" s="469"/>
    </row>
    <row r="23" spans="1:7" ht="13" x14ac:dyDescent="0.3">
      <c r="A23" s="87"/>
      <c r="B23" s="71" t="s">
        <v>357</v>
      </c>
      <c r="C23" s="575">
        <v>26</v>
      </c>
      <c r="D23" s="576">
        <f>9.15*(1+D6)</f>
        <v>10.797000000000001</v>
      </c>
      <c r="E23" s="219">
        <f t="shared" si="0"/>
        <v>280.72200000000004</v>
      </c>
      <c r="F23" s="469"/>
    </row>
    <row r="24" spans="1:7" ht="13" x14ac:dyDescent="0.3">
      <c r="A24" s="87"/>
      <c r="B24" s="71" t="s">
        <v>358</v>
      </c>
      <c r="C24" s="460"/>
      <c r="D24" s="729"/>
      <c r="E24" s="922">
        <v>550</v>
      </c>
      <c r="F24" s="469"/>
    </row>
    <row r="25" spans="1:7" ht="13" x14ac:dyDescent="0.3">
      <c r="A25" s="87"/>
      <c r="B25" s="145"/>
      <c r="C25" s="460"/>
      <c r="D25" s="729"/>
      <c r="E25" s="219"/>
      <c r="F25" s="35"/>
    </row>
    <row r="26" spans="1:7" ht="13" x14ac:dyDescent="0.3">
      <c r="A26" s="87" t="s">
        <v>371</v>
      </c>
      <c r="B26" s="71" t="s">
        <v>460</v>
      </c>
      <c r="C26" s="575">
        <v>350</v>
      </c>
      <c r="D26" s="1406">
        <v>45</v>
      </c>
      <c r="E26" s="219">
        <f>C26*D26</f>
        <v>15750</v>
      </c>
      <c r="F26" s="469"/>
    </row>
    <row r="27" spans="1:7" ht="13" x14ac:dyDescent="0.3">
      <c r="A27" s="87"/>
      <c r="B27" s="71" t="s">
        <v>461</v>
      </c>
      <c r="C27" s="575">
        <v>44</v>
      </c>
      <c r="D27" s="1406">
        <v>40</v>
      </c>
      <c r="E27" s="219">
        <f>C27*D27</f>
        <v>1760</v>
      </c>
      <c r="F27" s="469"/>
    </row>
    <row r="28" spans="1:7" ht="13" x14ac:dyDescent="0.3">
      <c r="A28" s="87"/>
      <c r="B28" s="71" t="s">
        <v>462</v>
      </c>
      <c r="C28" s="575">
        <v>4</v>
      </c>
      <c r="D28" s="1406">
        <v>90</v>
      </c>
      <c r="E28" s="219">
        <f>C28*D28</f>
        <v>360</v>
      </c>
      <c r="F28" s="469"/>
    </row>
    <row r="29" spans="1:7" ht="13" x14ac:dyDescent="0.3">
      <c r="A29" s="87"/>
      <c r="B29" s="71" t="s">
        <v>368</v>
      </c>
      <c r="C29" s="575">
        <v>72</v>
      </c>
      <c r="D29" s="576">
        <f>20.15*(1+D6)</f>
        <v>23.776999999999997</v>
      </c>
      <c r="E29" s="219">
        <f>C29*D29</f>
        <v>1711.9439999999997</v>
      </c>
      <c r="F29" s="469"/>
    </row>
    <row r="30" spans="1:7" ht="13.5" thickBot="1" x14ac:dyDescent="0.35">
      <c r="A30" s="87"/>
      <c r="B30" s="71" t="s">
        <v>369</v>
      </c>
      <c r="C30" s="575">
        <v>68</v>
      </c>
      <c r="D30" s="576">
        <f>1*(1+D6)</f>
        <v>1.18</v>
      </c>
      <c r="E30" s="684">
        <f>C30*D30</f>
        <v>80.239999999999995</v>
      </c>
      <c r="F30" s="469"/>
    </row>
    <row r="31" spans="1:7" ht="13" x14ac:dyDescent="0.3">
      <c r="A31" s="41"/>
      <c r="B31" s="13"/>
      <c r="C31" s="273"/>
      <c r="D31" s="45"/>
      <c r="E31" s="1392">
        <f>SUM(E14:E30)</f>
        <v>35386.411</v>
      </c>
      <c r="F31" s="469"/>
      <c r="G31">
        <v>23660.594999999998</v>
      </c>
    </row>
    <row r="32" spans="1:7" ht="13" x14ac:dyDescent="0.3">
      <c r="A32" s="87"/>
      <c r="B32" s="71"/>
      <c r="C32" s="463"/>
      <c r="D32" s="45"/>
      <c r="E32" s="221"/>
      <c r="F32" s="35"/>
    </row>
    <row r="33" spans="1:6" ht="13" x14ac:dyDescent="0.3">
      <c r="A33" s="41" t="s">
        <v>17</v>
      </c>
      <c r="B33" s="19" t="s">
        <v>34</v>
      </c>
      <c r="C33" s="573">
        <v>40</v>
      </c>
      <c r="D33" s="553">
        <f>7.2</f>
        <v>7.2</v>
      </c>
      <c r="E33" s="44"/>
      <c r="F33" s="469"/>
    </row>
    <row r="34" spans="1:6" ht="13" x14ac:dyDescent="0.3">
      <c r="A34" s="41"/>
      <c r="B34" s="19" t="s">
        <v>18</v>
      </c>
      <c r="C34" s="273"/>
      <c r="D34" s="44"/>
      <c r="E34" s="553">
        <f>125</f>
        <v>125</v>
      </c>
      <c r="F34" s="469"/>
    </row>
    <row r="35" spans="1:6" ht="13" x14ac:dyDescent="0.3">
      <c r="A35" s="19"/>
      <c r="B35" s="19" t="s">
        <v>145</v>
      </c>
      <c r="C35" s="273"/>
      <c r="D35" s="44"/>
      <c r="E35" s="553">
        <v>550</v>
      </c>
      <c r="F35" s="469"/>
    </row>
    <row r="36" spans="1:6" ht="13" x14ac:dyDescent="0.3">
      <c r="A36" s="19"/>
      <c r="B36" s="19"/>
      <c r="C36" s="273"/>
      <c r="D36" s="44"/>
      <c r="E36" s="45"/>
      <c r="F36" s="469"/>
    </row>
    <row r="37" spans="1:6" ht="40.5" customHeight="1" x14ac:dyDescent="0.3">
      <c r="A37" s="285" t="s">
        <v>385</v>
      </c>
      <c r="B37" s="71" t="s">
        <v>372</v>
      </c>
      <c r="C37" s="574">
        <v>55</v>
      </c>
      <c r="D37" s="219">
        <f>'Variante Vorgaben'!D176</f>
        <v>41</v>
      </c>
      <c r="E37" s="219">
        <f>C37*D37</f>
        <v>2255</v>
      </c>
      <c r="F37" s="469"/>
    </row>
    <row r="38" spans="1:6" ht="13" x14ac:dyDescent="0.3">
      <c r="A38" s="87"/>
      <c r="B38" s="71" t="s">
        <v>373</v>
      </c>
      <c r="C38" s="574">
        <v>15</v>
      </c>
      <c r="D38" s="219">
        <f>'Variante Vorgaben'!D199</f>
        <v>150</v>
      </c>
      <c r="E38" s="219">
        <f>C38*D38</f>
        <v>2250</v>
      </c>
      <c r="F38" s="469"/>
    </row>
    <row r="39" spans="1:6" ht="13" x14ac:dyDescent="0.3">
      <c r="A39" s="87"/>
      <c r="B39" s="145" t="s">
        <v>384</v>
      </c>
      <c r="C39" s="574">
        <v>20</v>
      </c>
      <c r="D39" s="219">
        <f>'Variante Vorgaben'!D198</f>
        <v>25</v>
      </c>
      <c r="E39" s="219">
        <f>C39*D39</f>
        <v>500</v>
      </c>
      <c r="F39" s="469"/>
    </row>
    <row r="40" spans="1:6" ht="13.5" thickBot="1" x14ac:dyDescent="0.35">
      <c r="A40" s="87"/>
      <c r="B40" s="71" t="s">
        <v>374</v>
      </c>
      <c r="C40" s="574">
        <v>20</v>
      </c>
      <c r="D40" s="219">
        <v>20</v>
      </c>
      <c r="E40" s="684">
        <f>C40*D40</f>
        <v>400</v>
      </c>
      <c r="F40" s="469"/>
    </row>
    <row r="41" spans="1:6" ht="13" x14ac:dyDescent="0.3">
      <c r="A41" s="19"/>
      <c r="B41" s="19"/>
      <c r="C41" s="273"/>
      <c r="D41" s="44"/>
      <c r="E41" s="294">
        <f>SUM(E37:E40)</f>
        <v>5405</v>
      </c>
      <c r="F41" s="469"/>
    </row>
    <row r="42" spans="1:6" ht="23" x14ac:dyDescent="0.5">
      <c r="A42" s="525" t="s">
        <v>28</v>
      </c>
      <c r="B42" s="526"/>
      <c r="C42" s="580"/>
      <c r="D42" s="527"/>
      <c r="E42" s="527"/>
      <c r="F42" s="469"/>
    </row>
    <row r="43" spans="1:6" ht="13" x14ac:dyDescent="0.3">
      <c r="A43" s="19"/>
      <c r="B43" s="13"/>
      <c r="C43" s="813" t="s">
        <v>27</v>
      </c>
      <c r="D43" s="289" t="s">
        <v>21</v>
      </c>
      <c r="E43" s="80" t="s">
        <v>82</v>
      </c>
      <c r="F43" s="469"/>
    </row>
    <row r="44" spans="1:6" ht="13" x14ac:dyDescent="0.3">
      <c r="A44" s="41" t="s">
        <v>380</v>
      </c>
      <c r="B44" s="19" t="s">
        <v>30</v>
      </c>
      <c r="C44" s="562">
        <v>1</v>
      </c>
      <c r="D44" s="44"/>
      <c r="E44" s="35"/>
      <c r="F44" s="469"/>
    </row>
    <row r="45" spans="1:6" ht="13" x14ac:dyDescent="0.3">
      <c r="A45" s="13"/>
      <c r="B45" s="19" t="s">
        <v>31</v>
      </c>
      <c r="C45" s="562">
        <v>7.5</v>
      </c>
      <c r="D45" s="44"/>
      <c r="E45" s="35"/>
      <c r="F45" s="469"/>
    </row>
    <row r="46" spans="1:6" ht="13" x14ac:dyDescent="0.3">
      <c r="A46" s="13"/>
      <c r="B46" s="19" t="s">
        <v>32</v>
      </c>
      <c r="C46" s="562">
        <v>75</v>
      </c>
      <c r="D46" s="44"/>
      <c r="E46" s="35"/>
      <c r="F46" s="469"/>
    </row>
    <row r="47" spans="1:6" ht="13" x14ac:dyDescent="0.3">
      <c r="A47" s="13"/>
      <c r="B47" s="19" t="s">
        <v>146</v>
      </c>
      <c r="C47" s="562">
        <v>10</v>
      </c>
      <c r="D47" s="44"/>
      <c r="E47" s="35"/>
      <c r="F47" s="469"/>
    </row>
    <row r="48" spans="1:6" ht="13" x14ac:dyDescent="0.3">
      <c r="A48" s="13"/>
      <c r="B48" s="19" t="s">
        <v>280</v>
      </c>
      <c r="C48" s="562">
        <v>70</v>
      </c>
      <c r="D48" s="44"/>
      <c r="E48" s="35"/>
      <c r="F48" s="469"/>
    </row>
    <row r="49" spans="1:6" x14ac:dyDescent="0.25">
      <c r="A49" s="13"/>
      <c r="B49" s="19"/>
      <c r="C49" s="40"/>
      <c r="D49" s="44"/>
      <c r="E49" s="35"/>
      <c r="F49" s="35"/>
    </row>
    <row r="50" spans="1:6" x14ac:dyDescent="0.25">
      <c r="A50" s="13"/>
      <c r="B50" s="19"/>
      <c r="C50" s="40"/>
      <c r="D50" s="44"/>
      <c r="E50" s="44"/>
      <c r="F50" s="35"/>
    </row>
    <row r="51" spans="1:6" ht="13" x14ac:dyDescent="0.3">
      <c r="A51" s="72" t="s">
        <v>379</v>
      </c>
      <c r="B51" s="145" t="s">
        <v>375</v>
      </c>
      <c r="C51" s="685">
        <v>15</v>
      </c>
      <c r="D51" s="219">
        <f>'Variante Vorgaben'!$C$36</f>
        <v>32.700000000000003</v>
      </c>
      <c r="E51" s="219">
        <f>C51*D51</f>
        <v>490.50000000000006</v>
      </c>
      <c r="F51" s="469"/>
    </row>
    <row r="52" spans="1:6" ht="13" x14ac:dyDescent="0.3">
      <c r="A52" s="71"/>
      <c r="B52" s="145" t="s">
        <v>376</v>
      </c>
      <c r="C52" s="685">
        <v>100</v>
      </c>
      <c r="D52" s="219">
        <f>'Variante Vorgaben'!$C$36</f>
        <v>32.700000000000003</v>
      </c>
      <c r="E52" s="219">
        <f>C52*D52</f>
        <v>3270.0000000000005</v>
      </c>
      <c r="F52" s="469"/>
    </row>
    <row r="53" spans="1:6" ht="13" x14ac:dyDescent="0.3">
      <c r="A53" s="71"/>
      <c r="B53" s="145" t="s">
        <v>377</v>
      </c>
      <c r="C53" s="685">
        <v>175</v>
      </c>
      <c r="D53" s="219">
        <f>'Variante Vorgaben'!$C$36</f>
        <v>32.700000000000003</v>
      </c>
      <c r="E53" s="219">
        <f>C53*D53</f>
        <v>5722.5000000000009</v>
      </c>
      <c r="F53" s="469"/>
    </row>
    <row r="54" spans="1:6" ht="13.5" thickBot="1" x14ac:dyDescent="0.35">
      <c r="A54" s="71"/>
      <c r="B54" s="145" t="s">
        <v>378</v>
      </c>
      <c r="C54" s="368">
        <f>SUM(C51:C53) * 0.1</f>
        <v>29</v>
      </c>
      <c r="D54" s="219">
        <f>'Variante Vorgaben'!$C$36</f>
        <v>32.700000000000003</v>
      </c>
      <c r="E54" s="684">
        <f>C54*D54</f>
        <v>948.30000000000007</v>
      </c>
      <c r="F54" s="469"/>
    </row>
    <row r="55" spans="1:6" ht="13" x14ac:dyDescent="0.3">
      <c r="A55" s="13"/>
      <c r="B55" s="19"/>
      <c r="C55" s="40"/>
      <c r="D55" s="44"/>
      <c r="E55" s="294">
        <f>SUM(E51:E54)</f>
        <v>10431.300000000001</v>
      </c>
      <c r="F55" s="469"/>
    </row>
    <row r="56" spans="1:6" ht="13" x14ac:dyDescent="0.3">
      <c r="A56" s="13"/>
      <c r="B56" s="13"/>
      <c r="C56" s="97"/>
      <c r="D56" s="44"/>
      <c r="E56" s="44"/>
      <c r="F56" s="469"/>
    </row>
    <row r="57" spans="1:6" ht="13" x14ac:dyDescent="0.3">
      <c r="A57" s="72" t="s">
        <v>410</v>
      </c>
      <c r="B57" s="13"/>
      <c r="C57" s="97"/>
      <c r="D57" s="44"/>
      <c r="E57" s="44"/>
      <c r="F57" s="469"/>
    </row>
    <row r="58" spans="1:6" ht="13" x14ac:dyDescent="0.3">
      <c r="A58" s="13"/>
      <c r="B58" s="13" t="s">
        <v>411</v>
      </c>
      <c r="C58" s="582">
        <v>45</v>
      </c>
      <c r="D58" s="553">
        <f>14*(1+$D$6)</f>
        <v>16.52</v>
      </c>
      <c r="E58" s="219">
        <f>C58*D58</f>
        <v>743.4</v>
      </c>
      <c r="F58" s="469"/>
    </row>
    <row r="59" spans="1:6" ht="13" x14ac:dyDescent="0.3">
      <c r="A59" s="13"/>
      <c r="B59" s="13" t="s">
        <v>412</v>
      </c>
      <c r="C59" s="582">
        <v>336</v>
      </c>
      <c r="D59" s="553">
        <f>10*(1+$D$6)</f>
        <v>11.799999999999999</v>
      </c>
      <c r="E59" s="219">
        <f>C59*D59</f>
        <v>3964.7999999999997</v>
      </c>
      <c r="F59" s="469"/>
    </row>
    <row r="60" spans="1:6" ht="13.5" thickBot="1" x14ac:dyDescent="0.35">
      <c r="A60" s="13"/>
      <c r="B60" s="13" t="s">
        <v>162</v>
      </c>
      <c r="C60" s="582">
        <v>45</v>
      </c>
      <c r="D60" s="553">
        <f>5.2*(1+$D$6)</f>
        <v>6.1360000000000001</v>
      </c>
      <c r="E60" s="684">
        <f>C60*D60</f>
        <v>276.12</v>
      </c>
      <c r="F60" s="469"/>
    </row>
    <row r="61" spans="1:6" ht="13" x14ac:dyDescent="0.3">
      <c r="A61" s="13"/>
      <c r="B61" s="13"/>
      <c r="C61" s="97"/>
      <c r="D61" s="44"/>
      <c r="E61" s="294">
        <f>SUM(E58:E60)</f>
        <v>4984.32</v>
      </c>
      <c r="F61" s="469"/>
    </row>
    <row r="62" spans="1:6" ht="13" x14ac:dyDescent="0.3">
      <c r="A62" s="72" t="s">
        <v>463</v>
      </c>
      <c r="B62" s="19"/>
      <c r="C62" s="97"/>
      <c r="D62" s="44"/>
      <c r="E62" s="618"/>
      <c r="F62" s="469"/>
    </row>
    <row r="63" spans="1:6" ht="13" x14ac:dyDescent="0.3">
      <c r="A63" s="13"/>
      <c r="B63" s="19" t="s">
        <v>375</v>
      </c>
      <c r="C63" s="685">
        <f>7.5</f>
        <v>7.5</v>
      </c>
      <c r="D63" s="219">
        <f>'Variante Vorgaben'!$C$36</f>
        <v>32.700000000000003</v>
      </c>
      <c r="E63" s="219">
        <f>C63*D63</f>
        <v>245.25000000000003</v>
      </c>
      <c r="F63" s="469"/>
    </row>
    <row r="64" spans="1:6" ht="13" x14ac:dyDescent="0.3">
      <c r="A64" s="13"/>
      <c r="B64" s="19" t="s">
        <v>464</v>
      </c>
      <c r="C64" s="685">
        <f>35</f>
        <v>35</v>
      </c>
      <c r="D64" s="219">
        <f>'Variante Vorgaben'!$C$36</f>
        <v>32.700000000000003</v>
      </c>
      <c r="E64" s="219">
        <f>C64*D64</f>
        <v>1144.5</v>
      </c>
      <c r="F64" s="469"/>
    </row>
    <row r="65" spans="1:6" ht="13" x14ac:dyDescent="0.3">
      <c r="A65" s="13"/>
      <c r="B65" s="13" t="s">
        <v>465</v>
      </c>
      <c r="C65" s="685">
        <f>10</f>
        <v>10</v>
      </c>
      <c r="D65" s="219">
        <f>'Variante Vorgaben'!D176</f>
        <v>41</v>
      </c>
      <c r="E65" s="219">
        <f>C65*D65</f>
        <v>410</v>
      </c>
      <c r="F65" s="469"/>
    </row>
    <row r="66" spans="1:6" ht="13.5" thickBot="1" x14ac:dyDescent="0.35">
      <c r="A66" s="13"/>
      <c r="B66" s="19" t="s">
        <v>466</v>
      </c>
      <c r="C66" s="685">
        <f>10</f>
        <v>10</v>
      </c>
      <c r="D66" s="219">
        <f>'Variante Vorgaben'!D197</f>
        <v>15</v>
      </c>
      <c r="E66" s="684">
        <f>C66*D66</f>
        <v>150</v>
      </c>
      <c r="F66" s="469"/>
    </row>
    <row r="67" spans="1:6" ht="13" x14ac:dyDescent="0.3">
      <c r="A67" s="13"/>
      <c r="B67" s="19"/>
      <c r="C67" s="368"/>
      <c r="D67" s="219"/>
      <c r="E67" s="294">
        <f>SUM(E63:E66)</f>
        <v>1949.75</v>
      </c>
      <c r="F67" s="469"/>
    </row>
    <row r="68" spans="1:6" ht="13" x14ac:dyDescent="0.3">
      <c r="A68" s="13"/>
      <c r="B68" s="13"/>
      <c r="C68" s="97"/>
      <c r="D68" s="44"/>
      <c r="E68" s="618"/>
      <c r="F68" s="469"/>
    </row>
    <row r="69" spans="1:6" ht="15.5" x14ac:dyDescent="0.35">
      <c r="A69" s="153"/>
      <c r="B69" s="145" t="s">
        <v>400</v>
      </c>
      <c r="C69" s="461"/>
      <c r="D69" s="221"/>
      <c r="E69" s="222">
        <f>E31</f>
        <v>35386.411</v>
      </c>
      <c r="F69" s="269"/>
    </row>
    <row r="70" spans="1:6" x14ac:dyDescent="0.25">
      <c r="A70" s="57"/>
      <c r="B70" s="145" t="s">
        <v>23</v>
      </c>
      <c r="C70" s="464"/>
      <c r="D70" s="269"/>
      <c r="E70" s="696">
        <f>E41</f>
        <v>5405</v>
      </c>
      <c r="F70" s="269"/>
    </row>
    <row r="71" spans="1:6" x14ac:dyDescent="0.25">
      <c r="A71" s="57"/>
      <c r="B71" s="145" t="s">
        <v>28</v>
      </c>
      <c r="C71" s="464"/>
      <c r="D71" s="269"/>
      <c r="E71" s="696">
        <f>E55</f>
        <v>10431.300000000001</v>
      </c>
      <c r="F71" s="269"/>
    </row>
    <row r="72" spans="1:6" ht="13" thickBot="1" x14ac:dyDescent="0.3">
      <c r="A72" s="57"/>
      <c r="B72" s="145" t="s">
        <v>413</v>
      </c>
      <c r="C72" s="464"/>
      <c r="D72" s="269"/>
      <c r="E72" s="1393">
        <f>E61+E67</f>
        <v>6934.07</v>
      </c>
      <c r="F72" s="269"/>
    </row>
    <row r="73" spans="1:6" ht="15.5" x14ac:dyDescent="0.35">
      <c r="A73" s="714" t="s">
        <v>399</v>
      </c>
      <c r="B73" s="69"/>
      <c r="C73" s="464"/>
      <c r="D73" s="269"/>
      <c r="E73" s="1392">
        <f>SUM(E69:E71)-E72</f>
        <v>44288.641000000003</v>
      </c>
      <c r="F73" s="269"/>
    </row>
    <row r="74" spans="1:6" x14ac:dyDescent="0.25">
      <c r="C74" s="95"/>
      <c r="D74" s="35"/>
      <c r="E74" s="35"/>
      <c r="F74" s="35"/>
    </row>
    <row r="75" spans="1:6" ht="13" x14ac:dyDescent="0.3">
      <c r="A75" s="1127" t="s">
        <v>552</v>
      </c>
      <c r="C75" s="10"/>
    </row>
    <row r="76" spans="1:6" ht="13" x14ac:dyDescent="0.3">
      <c r="A76" s="1128" t="s">
        <v>542</v>
      </c>
      <c r="B76" s="1128" t="s">
        <v>543</v>
      </c>
      <c r="C76" s="1129" t="s">
        <v>82</v>
      </c>
      <c r="D76" s="1128" t="s">
        <v>541</v>
      </c>
      <c r="E76" s="1128" t="s">
        <v>544</v>
      </c>
    </row>
    <row r="77" spans="1:6" x14ac:dyDescent="0.25">
      <c r="C77" s="10"/>
    </row>
    <row r="78" spans="1:6" x14ac:dyDescent="0.25">
      <c r="A78">
        <v>1</v>
      </c>
      <c r="B78" s="1130">
        <v>1</v>
      </c>
      <c r="C78" s="14">
        <f>'Variante Vorgaben'!B51*'Variante Vorgaben'!F51*'Variante Vorgaben'!B74*'Variante Hagel'!B78</f>
        <v>0</v>
      </c>
      <c r="D78" s="529">
        <v>0.112</v>
      </c>
      <c r="E78" s="1130">
        <v>0.8</v>
      </c>
    </row>
    <row r="79" spans="1:6" x14ac:dyDescent="0.25">
      <c r="A79">
        <v>2</v>
      </c>
      <c r="B79" s="1131">
        <f>B78</f>
        <v>1</v>
      </c>
      <c r="C79" s="14">
        <f>'Variante Vorgaben'!B52*'Variante Vorgaben'!F52*'Variante Vorgaben'!B75*B79</f>
        <v>4358.6341463414637</v>
      </c>
      <c r="D79" s="198">
        <f>D78</f>
        <v>0.112</v>
      </c>
      <c r="E79" s="1131">
        <f>E78</f>
        <v>0.8</v>
      </c>
    </row>
    <row r="80" spans="1:6" x14ac:dyDescent="0.25">
      <c r="A80">
        <v>3</v>
      </c>
      <c r="B80" s="1131">
        <f>B78</f>
        <v>1</v>
      </c>
      <c r="C80" s="14">
        <f>'Variante Vorgaben'!B53*'Variante Vorgaben'!F53*'Variante Vorgaben'!B76*B80</f>
        <v>15981.658536585364</v>
      </c>
      <c r="D80" s="198">
        <f>D78</f>
        <v>0.112</v>
      </c>
      <c r="E80" s="1131">
        <f>E78</f>
        <v>0.8</v>
      </c>
    </row>
    <row r="81" spans="1:6" ht="13" x14ac:dyDescent="0.3">
      <c r="A81">
        <v>4</v>
      </c>
      <c r="B81" s="1131">
        <f>B78</f>
        <v>1</v>
      </c>
      <c r="C81" s="14">
        <f>'Variante Vorgaben'!B54*'Variante Vorgaben'!F54*'Variante Vorgaben'!B77*B81</f>
        <v>21793.170731707312</v>
      </c>
      <c r="D81" s="198">
        <f>D78</f>
        <v>0.112</v>
      </c>
      <c r="E81" s="1131">
        <f>E78</f>
        <v>0.8</v>
      </c>
      <c r="F81" s="144">
        <f>C81*D81*E81</f>
        <v>1952.6680975609754</v>
      </c>
    </row>
    <row r="82" spans="1:6" ht="13" x14ac:dyDescent="0.3">
      <c r="A82">
        <v>5</v>
      </c>
      <c r="B82" s="1131">
        <f>B78</f>
        <v>1</v>
      </c>
      <c r="C82" s="14">
        <f>'Variante Vorgaben'!B55*'Variante Vorgaben'!F55*'Variante Vorgaben'!B78*B82</f>
        <v>47944.975609756089</v>
      </c>
      <c r="D82" s="198">
        <f>D78</f>
        <v>0.112</v>
      </c>
      <c r="E82" s="1131">
        <f>E78</f>
        <v>0.8</v>
      </c>
      <c r="F82" s="144">
        <f t="shared" ref="F82:F93" si="1">C82*D82</f>
        <v>5369.837268292682</v>
      </c>
    </row>
    <row r="83" spans="1:6" ht="13" x14ac:dyDescent="0.3">
      <c r="A83">
        <v>6</v>
      </c>
      <c r="B83" s="1131">
        <f>B78</f>
        <v>1</v>
      </c>
      <c r="C83" s="14">
        <f>'Variante Vorgaben'!B56*'Variante Vorgaben'!F56*'Variante Vorgaben'!B79*B83</f>
        <v>47944.975609756089</v>
      </c>
      <c r="D83" s="198">
        <f>D78</f>
        <v>0.112</v>
      </c>
      <c r="E83" s="1131">
        <f>E78</f>
        <v>0.8</v>
      </c>
      <c r="F83" s="144">
        <f t="shared" si="1"/>
        <v>5369.837268292682</v>
      </c>
    </row>
    <row r="84" spans="1:6" ht="13" x14ac:dyDescent="0.3">
      <c r="A84">
        <v>7</v>
      </c>
      <c r="B84" s="1131">
        <f>B78</f>
        <v>1</v>
      </c>
      <c r="C84" s="14">
        <f>'Variante Vorgaben'!B57*'Variante Vorgaben'!F57*'Variante Vorgaben'!B80*B84</f>
        <v>47944.975609756089</v>
      </c>
      <c r="D84" s="198">
        <f>D78</f>
        <v>0.112</v>
      </c>
      <c r="E84" s="1131">
        <f>E78</f>
        <v>0.8</v>
      </c>
      <c r="F84" s="144">
        <f t="shared" si="1"/>
        <v>5369.837268292682</v>
      </c>
    </row>
    <row r="85" spans="1:6" ht="13" x14ac:dyDescent="0.3">
      <c r="A85">
        <v>8</v>
      </c>
      <c r="B85" s="1131">
        <f>B78</f>
        <v>1</v>
      </c>
      <c r="C85" s="14">
        <f>'Variante Vorgaben'!B58*'Variante Vorgaben'!F58*'Variante Vorgaben'!B81*B85</f>
        <v>47944.975609756089</v>
      </c>
      <c r="D85" s="198">
        <f>D78</f>
        <v>0.112</v>
      </c>
      <c r="E85" s="1131">
        <f>E78</f>
        <v>0.8</v>
      </c>
      <c r="F85" s="144">
        <f t="shared" si="1"/>
        <v>5369.837268292682</v>
      </c>
    </row>
    <row r="86" spans="1:6" ht="13" x14ac:dyDescent="0.3">
      <c r="A86">
        <v>9</v>
      </c>
      <c r="B86" s="1131">
        <f>B78</f>
        <v>1</v>
      </c>
      <c r="C86" s="14">
        <f>'Variante Vorgaben'!B59*'Variante Vorgaben'!F59*'Variante Vorgaben'!B82*B86</f>
        <v>47944.975609756089</v>
      </c>
      <c r="D86" s="198">
        <f>D78</f>
        <v>0.112</v>
      </c>
      <c r="E86" s="1131">
        <f>E78</f>
        <v>0.8</v>
      </c>
      <c r="F86" s="144">
        <f t="shared" si="1"/>
        <v>5369.837268292682</v>
      </c>
    </row>
    <row r="87" spans="1:6" ht="13" x14ac:dyDescent="0.3">
      <c r="A87">
        <v>10</v>
      </c>
      <c r="B87" s="1131">
        <f>B78</f>
        <v>1</v>
      </c>
      <c r="C87" s="14">
        <f>'Variante Vorgaben'!B60*'Variante Vorgaben'!F60*'Variante Vorgaben'!B83*B87</f>
        <v>47944.975609756089</v>
      </c>
      <c r="D87" s="198">
        <f>D78</f>
        <v>0.112</v>
      </c>
      <c r="E87" s="1131">
        <f>E78</f>
        <v>0.8</v>
      </c>
      <c r="F87" s="144">
        <f t="shared" si="1"/>
        <v>5369.837268292682</v>
      </c>
    </row>
    <row r="88" spans="1:6" ht="13" x14ac:dyDescent="0.3">
      <c r="A88">
        <v>11</v>
      </c>
      <c r="B88" s="1131">
        <f>B78</f>
        <v>1</v>
      </c>
      <c r="C88" s="14">
        <f>'Variante Vorgaben'!B61*'Variante Vorgaben'!F61*'Variante Vorgaben'!B84*B88</f>
        <v>47944.975609756089</v>
      </c>
      <c r="D88" s="198">
        <f>D78</f>
        <v>0.112</v>
      </c>
      <c r="E88" s="1131">
        <f>E78</f>
        <v>0.8</v>
      </c>
      <c r="F88" s="144">
        <f t="shared" si="1"/>
        <v>5369.837268292682</v>
      </c>
    </row>
    <row r="89" spans="1:6" ht="13" x14ac:dyDescent="0.3">
      <c r="A89">
        <v>12</v>
      </c>
      <c r="B89" s="1131">
        <f>B78</f>
        <v>1</v>
      </c>
      <c r="C89" s="14">
        <f>'Variante Vorgaben'!B62*'Variante Vorgaben'!F62*'Variante Vorgaben'!B85*B89</f>
        <v>47944.975609756089</v>
      </c>
      <c r="D89" s="198">
        <f>D78</f>
        <v>0.112</v>
      </c>
      <c r="E89" s="1131">
        <f>E78</f>
        <v>0.8</v>
      </c>
      <c r="F89" s="144">
        <f t="shared" si="1"/>
        <v>5369.837268292682</v>
      </c>
    </row>
    <row r="90" spans="1:6" ht="13" x14ac:dyDescent="0.3">
      <c r="A90">
        <v>13</v>
      </c>
      <c r="B90" s="1131">
        <f>B78</f>
        <v>1</v>
      </c>
      <c r="C90" s="14">
        <f>'Variante Vorgaben'!B63*'Variante Vorgaben'!F63*'Variante Vorgaben'!B86*B90</f>
        <v>43586.341463414625</v>
      </c>
      <c r="D90" s="198">
        <f>D78</f>
        <v>0.112</v>
      </c>
      <c r="E90" s="1131">
        <f>E78</f>
        <v>0.8</v>
      </c>
      <c r="F90" s="144">
        <f t="shared" si="1"/>
        <v>4881.6702439024384</v>
      </c>
    </row>
    <row r="91" spans="1:6" ht="13" x14ac:dyDescent="0.3">
      <c r="A91">
        <v>14</v>
      </c>
      <c r="B91" s="1131">
        <f>B78</f>
        <v>1</v>
      </c>
      <c r="C91" s="14">
        <f>'Variante Vorgaben'!B64*'Variante Vorgaben'!F64*'Variante Vorgaben'!B87*B91</f>
        <v>43586.341463414625</v>
      </c>
      <c r="D91" s="198">
        <f>D78</f>
        <v>0.112</v>
      </c>
      <c r="E91" s="1131">
        <f>E78</f>
        <v>0.8</v>
      </c>
      <c r="F91" s="144">
        <f t="shared" si="1"/>
        <v>4881.6702439024384</v>
      </c>
    </row>
    <row r="92" spans="1:6" ht="13" x14ac:dyDescent="0.3">
      <c r="A92">
        <v>15</v>
      </c>
      <c r="B92" s="1131">
        <f>B78</f>
        <v>1</v>
      </c>
      <c r="C92" s="14">
        <f>'Variante Vorgaben'!B65*'Variante Vorgaben'!F65*'Variante Vorgaben'!B88*B92</f>
        <v>43586.341463414625</v>
      </c>
      <c r="D92" s="198">
        <f>D78</f>
        <v>0.112</v>
      </c>
      <c r="E92" s="1131">
        <f>E78</f>
        <v>0.8</v>
      </c>
      <c r="F92" s="144">
        <f t="shared" si="1"/>
        <v>4881.6702439024384</v>
      </c>
    </row>
    <row r="93" spans="1:6" ht="13" x14ac:dyDescent="0.3">
      <c r="A93" s="1132" t="s">
        <v>545</v>
      </c>
      <c r="C93" s="1133">
        <f>AVERAGE(C81:C92)</f>
        <v>44675.999999999978</v>
      </c>
      <c r="D93" s="1134">
        <f>AVERAGE(D81:D92)</f>
        <v>0.11200000000000003</v>
      </c>
      <c r="F93" s="1133">
        <f t="shared" si="1"/>
        <v>5003.7119999999986</v>
      </c>
    </row>
    <row r="94" spans="1:6" ht="13" x14ac:dyDescent="0.3">
      <c r="A94" s="1132" t="s">
        <v>546</v>
      </c>
      <c r="C94" s="1133">
        <f>SUM(C81:C92)</f>
        <v>536111.99999999977</v>
      </c>
    </row>
  </sheetData>
  <mergeCells count="3">
    <mergeCell ref="A5:H5"/>
    <mergeCell ref="B3:F3"/>
    <mergeCell ref="A4:H4"/>
  </mergeCells>
  <phoneticPr fontId="23" type="noConversion"/>
  <pageMargins left="0.78740157499999996" right="0.78740157499999996" top="0.984251969" bottom="0.984251969" header="0.4921259845" footer="0.4921259845"/>
  <pageSetup paperSize="9" scale="80" orientation="portrait" r:id="rId1"/>
  <headerFooter alignWithMargins="0">
    <oddHeader>&amp;LArbokost BIO 2008/09&amp;REsther Bravin, ACW</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tabColor indexed="8"/>
  </sheetPr>
  <dimension ref="A1:H113"/>
  <sheetViews>
    <sheetView workbookViewId="0">
      <selection activeCell="F84" sqref="F84"/>
    </sheetView>
  </sheetViews>
  <sheetFormatPr baseColWidth="10" defaultRowHeight="12.5" x14ac:dyDescent="0.25"/>
  <cols>
    <col min="1" max="1" width="34" customWidth="1"/>
    <col min="2" max="2" width="14.81640625" customWidth="1"/>
    <col min="8" max="8" width="25.54296875" customWidth="1"/>
  </cols>
  <sheetData>
    <row r="1" spans="1:8" ht="43.5" customHeight="1" x14ac:dyDescent="0.35">
      <c r="A1" s="1287" t="str">
        <f>Eingabeseite!A1</f>
        <v>Arbokost 2023</v>
      </c>
      <c r="B1" s="1284" t="str">
        <f>'Variante Hagel'!B1</f>
        <v>BIO- Tafelapfel, Gala auf M9, 3000 Bäume /ha</v>
      </c>
      <c r="C1" s="69"/>
      <c r="D1" s="75"/>
      <c r="E1" s="1285"/>
      <c r="F1" s="2"/>
    </row>
    <row r="2" spans="1:8" ht="30" x14ac:dyDescent="0.35">
      <c r="A2" s="993" t="s">
        <v>469</v>
      </c>
      <c r="B2" s="1012"/>
      <c r="C2" s="773"/>
      <c r="D2" s="774"/>
      <c r="E2" s="775"/>
      <c r="F2" s="776"/>
    </row>
    <row r="3" spans="1:8" ht="14.65" customHeight="1" x14ac:dyDescent="0.35">
      <c r="E3" s="775"/>
      <c r="F3" s="776"/>
    </row>
    <row r="4" spans="1:8" ht="23.25" customHeight="1" x14ac:dyDescent="0.5">
      <c r="A4" s="1418" t="s">
        <v>647</v>
      </c>
      <c r="B4" s="1418"/>
      <c r="C4" s="1418" t="s">
        <v>475</v>
      </c>
      <c r="D4" s="1418"/>
      <c r="E4" s="1418"/>
      <c r="F4" s="1418"/>
      <c r="G4" s="1418"/>
      <c r="H4" s="1418"/>
    </row>
    <row r="5" spans="1:8" ht="26.25" customHeight="1" x14ac:dyDescent="0.5">
      <c r="A5" s="1435" t="s">
        <v>614</v>
      </c>
      <c r="B5" s="1435"/>
      <c r="C5" s="1435"/>
      <c r="D5" s="1435"/>
      <c r="E5" s="1435"/>
      <c r="F5" s="1435"/>
      <c r="G5" s="1435"/>
      <c r="H5" s="1435"/>
    </row>
    <row r="6" spans="1:8" ht="14.25" customHeight="1" x14ac:dyDescent="0.3">
      <c r="A6" s="1073"/>
      <c r="B6" s="1075">
        <f>'Variante Vorgaben'!C23</f>
        <v>25</v>
      </c>
      <c r="C6" s="1074">
        <f>'Variante Vorgaben'!C18</f>
        <v>120</v>
      </c>
      <c r="D6" s="794" t="s">
        <v>11</v>
      </c>
      <c r="E6" s="38"/>
      <c r="F6" s="794" t="s">
        <v>12</v>
      </c>
      <c r="G6" s="1094"/>
      <c r="H6" s="794" t="s">
        <v>172</v>
      </c>
    </row>
    <row r="7" spans="1:8" ht="14.25" customHeight="1" x14ac:dyDescent="0.3">
      <c r="A7" s="1403" t="str">
        <f>'Variante Hagel'!A6</f>
        <v>Teuerung 2015-2023 (Baumaterialien gemäss Bundesamt für Statistik)</v>
      </c>
      <c r="B7" s="1404"/>
      <c r="C7" s="1404"/>
      <c r="D7" s="1389">
        <f>'Variante Hagel'!D6</f>
        <v>0.18</v>
      </c>
      <c r="E7" s="1390"/>
      <c r="F7" s="618"/>
      <c r="G7" s="1202"/>
      <c r="H7" s="618"/>
    </row>
    <row r="8" spans="1:8" ht="14.25" customHeight="1" x14ac:dyDescent="0.3">
      <c r="A8" s="72" t="s">
        <v>477</v>
      </c>
      <c r="B8" s="13" t="s">
        <v>487</v>
      </c>
      <c r="C8" s="13"/>
      <c r="D8" s="13"/>
      <c r="E8" s="1076"/>
      <c r="F8" s="1067"/>
      <c r="G8" s="1067"/>
      <c r="H8" s="1077"/>
    </row>
    <row r="9" spans="1:8" ht="14.25" customHeight="1" x14ac:dyDescent="0.25">
      <c r="A9" s="1078" t="s">
        <v>488</v>
      </c>
      <c r="B9" s="13" t="s">
        <v>489</v>
      </c>
      <c r="C9" s="13"/>
      <c r="D9" s="1079"/>
      <c r="E9" s="1076"/>
      <c r="F9" s="1067"/>
      <c r="G9" s="1067"/>
      <c r="H9" s="1080"/>
    </row>
    <row r="10" spans="1:8" ht="14.25" customHeight="1" x14ac:dyDescent="0.25">
      <c r="A10" s="13"/>
      <c r="B10" s="71" t="s">
        <v>490</v>
      </c>
      <c r="C10" s="13"/>
      <c r="D10" s="1079">
        <f>((B6*C6)+50)</f>
        <v>3050</v>
      </c>
      <c r="E10" s="1076"/>
      <c r="F10" s="1405">
        <f>1.35*(1+D7)</f>
        <v>1.593</v>
      </c>
      <c r="G10" s="1067"/>
      <c r="H10" s="1080">
        <f>F10*D10</f>
        <v>4858.6499999999996</v>
      </c>
    </row>
    <row r="11" spans="1:8" ht="14.25" customHeight="1" x14ac:dyDescent="0.25">
      <c r="A11" s="13"/>
      <c r="B11" s="145" t="s">
        <v>491</v>
      </c>
      <c r="C11" s="13"/>
      <c r="D11" s="1079"/>
      <c r="E11" s="1076"/>
      <c r="F11" s="1067"/>
      <c r="G11" s="1067"/>
      <c r="H11" s="1080"/>
    </row>
    <row r="12" spans="1:8" ht="14.25" customHeight="1" x14ac:dyDescent="0.25">
      <c r="A12" s="13"/>
      <c r="B12" s="1064" t="s">
        <v>492</v>
      </c>
      <c r="C12" s="1065"/>
      <c r="D12" s="1098">
        <f>B6</f>
        <v>25</v>
      </c>
      <c r="E12" s="1099"/>
      <c r="F12" s="1100">
        <f>7*(1+D7)</f>
        <v>8.26</v>
      </c>
      <c r="G12" s="1067"/>
      <c r="H12" s="1080">
        <f>F12*D12</f>
        <v>206.5</v>
      </c>
    </row>
    <row r="13" spans="1:8" ht="14.25" customHeight="1" x14ac:dyDescent="0.25">
      <c r="A13" s="13"/>
      <c r="B13" s="19" t="s">
        <v>493</v>
      </c>
      <c r="C13" s="13"/>
      <c r="D13" s="1098">
        <f>B6</f>
        <v>25</v>
      </c>
      <c r="E13" s="1099"/>
      <c r="F13" s="1100">
        <f>6.5*(1+D7)</f>
        <v>7.67</v>
      </c>
      <c r="G13" s="1067"/>
      <c r="H13" s="1080">
        <f>F13*D13</f>
        <v>191.75</v>
      </c>
    </row>
    <row r="14" spans="1:8" ht="14.25" customHeight="1" x14ac:dyDescent="0.25">
      <c r="A14" s="13"/>
      <c r="B14" s="19" t="s">
        <v>494</v>
      </c>
      <c r="C14" s="13"/>
      <c r="D14" s="1098">
        <v>5000</v>
      </c>
      <c r="E14" s="1099"/>
      <c r="F14" s="1100">
        <f>0.06*(1+D7)</f>
        <v>7.0799999999999988E-2</v>
      </c>
      <c r="G14" s="1067"/>
      <c r="H14" s="1080">
        <f>F14*D14</f>
        <v>353.99999999999994</v>
      </c>
    </row>
    <row r="15" spans="1:8" ht="14.25" customHeight="1" thickBot="1" x14ac:dyDescent="0.3">
      <c r="A15" s="13"/>
      <c r="B15" s="13" t="s">
        <v>358</v>
      </c>
      <c r="C15" s="13"/>
      <c r="D15" s="1098"/>
      <c r="E15" s="1099"/>
      <c r="F15" s="1100"/>
      <c r="G15" s="1067"/>
      <c r="H15" s="1080">
        <v>250</v>
      </c>
    </row>
    <row r="16" spans="1:8" ht="14.25" customHeight="1" x14ac:dyDescent="0.3">
      <c r="A16" s="72" t="s">
        <v>495</v>
      </c>
      <c r="B16" s="72"/>
      <c r="C16" s="72"/>
      <c r="D16" s="1121"/>
      <c r="E16" s="1122"/>
      <c r="F16" s="1105"/>
      <c r="G16" s="1088"/>
      <c r="H16" s="1093">
        <f>SUM(H10:H15)</f>
        <v>5860.9</v>
      </c>
    </row>
    <row r="17" spans="1:8" ht="14.25" customHeight="1" x14ac:dyDescent="0.25">
      <c r="A17" s="1068" t="s">
        <v>478</v>
      </c>
      <c r="B17" s="13" t="s">
        <v>496</v>
      </c>
      <c r="C17" s="13"/>
      <c r="D17" s="1098"/>
      <c r="E17" s="1099"/>
      <c r="F17" s="1100"/>
      <c r="G17" s="1067"/>
      <c r="H17" s="1080"/>
    </row>
    <row r="18" spans="1:8" ht="14.25" customHeight="1" x14ac:dyDescent="0.25">
      <c r="A18" s="13"/>
      <c r="B18" s="13" t="s">
        <v>497</v>
      </c>
      <c r="C18" s="13"/>
      <c r="D18" s="1101">
        <v>300</v>
      </c>
      <c r="E18" s="1099"/>
      <c r="F18" s="1100">
        <f>3.8*(1+D7)</f>
        <v>4.484</v>
      </c>
      <c r="G18" s="1067"/>
      <c r="H18" s="1080">
        <f>F18*D18</f>
        <v>1345.2</v>
      </c>
    </row>
    <row r="19" spans="1:8" ht="14.25" customHeight="1" x14ac:dyDescent="0.25">
      <c r="A19" s="13"/>
      <c r="B19" s="19" t="s">
        <v>498</v>
      </c>
      <c r="C19" s="13"/>
      <c r="D19" s="1098">
        <v>3</v>
      </c>
      <c r="E19" s="1102"/>
      <c r="F19" s="1100">
        <f>60*(1+D7)</f>
        <v>70.8</v>
      </c>
      <c r="G19" s="1067"/>
      <c r="H19" s="1080">
        <f>F19*D19</f>
        <v>212.39999999999998</v>
      </c>
    </row>
    <row r="20" spans="1:8" ht="24" customHeight="1" thickBot="1" x14ac:dyDescent="0.3">
      <c r="A20" s="13"/>
      <c r="B20" s="13" t="s">
        <v>499</v>
      </c>
      <c r="C20" s="13"/>
      <c r="D20" s="535"/>
      <c r="E20" s="535"/>
      <c r="F20" s="535"/>
      <c r="G20" s="13"/>
      <c r="H20" s="1092">
        <v>250</v>
      </c>
    </row>
    <row r="21" spans="1:8" ht="14.25" customHeight="1" x14ac:dyDescent="0.3">
      <c r="A21" s="72" t="s">
        <v>500</v>
      </c>
      <c r="B21" s="87"/>
      <c r="C21" s="72"/>
      <c r="D21" s="1103"/>
      <c r="E21" s="1104"/>
      <c r="F21" s="1105"/>
      <c r="G21" s="1088"/>
      <c r="H21" s="1089">
        <f>SUM(H18:H20)</f>
        <v>1807.6</v>
      </c>
    </row>
    <row r="22" spans="1:8" ht="14.25" customHeight="1" x14ac:dyDescent="0.25">
      <c r="A22" s="1068" t="s">
        <v>479</v>
      </c>
      <c r="B22" s="13" t="s">
        <v>501</v>
      </c>
      <c r="C22" s="13"/>
      <c r="D22" s="1098">
        <v>1</v>
      </c>
      <c r="E22" s="1102"/>
      <c r="F22" s="1100">
        <f>300*(1+D7)</f>
        <v>354</v>
      </c>
      <c r="G22" s="1067"/>
      <c r="H22" s="1080">
        <f t="shared" ref="H22:H27" si="0">F22*D22</f>
        <v>354</v>
      </c>
    </row>
    <row r="23" spans="1:8" ht="14.25" customHeight="1" x14ac:dyDescent="0.25">
      <c r="A23" s="13"/>
      <c r="B23" s="19" t="s">
        <v>502</v>
      </c>
      <c r="C23" s="13"/>
      <c r="D23" s="1098">
        <v>1</v>
      </c>
      <c r="E23" s="1102"/>
      <c r="F23" s="1100">
        <f>120*(1+D7)</f>
        <v>141.6</v>
      </c>
      <c r="G23" s="1067"/>
      <c r="H23" s="1080">
        <f t="shared" si="0"/>
        <v>141.6</v>
      </c>
    </row>
    <row r="24" spans="1:8" ht="14.25" customHeight="1" x14ac:dyDescent="0.25">
      <c r="A24" s="13"/>
      <c r="B24" s="13" t="s">
        <v>503</v>
      </c>
      <c r="C24" s="13"/>
      <c r="D24" s="1098">
        <v>1</v>
      </c>
      <c r="E24" s="1102"/>
      <c r="F24" s="1100">
        <f>75*(1+D7)</f>
        <v>88.5</v>
      </c>
      <c r="G24" s="1067"/>
      <c r="H24" s="1080">
        <f t="shared" si="0"/>
        <v>88.5</v>
      </c>
    </row>
    <row r="25" spans="1:8" x14ac:dyDescent="0.25">
      <c r="A25" s="13"/>
      <c r="B25" s="13" t="s">
        <v>504</v>
      </c>
      <c r="C25" s="13"/>
      <c r="D25" s="1098">
        <v>1</v>
      </c>
      <c r="E25" s="1102"/>
      <c r="F25" s="1100">
        <f>70*(1+D7)</f>
        <v>82.6</v>
      </c>
      <c r="G25" s="1067"/>
      <c r="H25" s="1080">
        <f t="shared" si="0"/>
        <v>82.6</v>
      </c>
    </row>
    <row r="26" spans="1:8" ht="15" customHeight="1" x14ac:dyDescent="0.25">
      <c r="A26" s="13"/>
      <c r="B26" s="13" t="s">
        <v>505</v>
      </c>
      <c r="C26" s="13"/>
      <c r="D26" s="1098">
        <v>2</v>
      </c>
      <c r="E26" s="1102"/>
      <c r="F26" s="1100">
        <f>130*(1+D7)</f>
        <v>153.4</v>
      </c>
      <c r="G26" s="1067"/>
      <c r="H26" s="1080">
        <f t="shared" si="0"/>
        <v>306.8</v>
      </c>
    </row>
    <row r="27" spans="1:8" x14ac:dyDescent="0.25">
      <c r="A27" s="13"/>
      <c r="B27" s="13" t="s">
        <v>506</v>
      </c>
      <c r="C27" s="13"/>
      <c r="D27" s="1098">
        <v>1</v>
      </c>
      <c r="E27" s="1102"/>
      <c r="F27" s="1100">
        <f>350*(1+D7)</f>
        <v>413</v>
      </c>
      <c r="G27" s="1067"/>
      <c r="H27" s="1080">
        <f t="shared" si="0"/>
        <v>413</v>
      </c>
    </row>
    <row r="28" spans="1:8" ht="13" thickBot="1" x14ac:dyDescent="0.3">
      <c r="A28" s="13"/>
      <c r="B28" s="19" t="s">
        <v>499</v>
      </c>
      <c r="C28" s="13"/>
      <c r="D28" s="535"/>
      <c r="E28" s="535"/>
      <c r="F28" s="535"/>
      <c r="G28" s="13"/>
      <c r="H28" s="1080">
        <v>100</v>
      </c>
    </row>
    <row r="29" spans="1:8" ht="13" x14ac:dyDescent="0.3">
      <c r="A29" s="72" t="s">
        <v>507</v>
      </c>
      <c r="B29" s="87"/>
      <c r="C29" s="72"/>
      <c r="D29" s="1103"/>
      <c r="E29" s="1104"/>
      <c r="F29" s="1105"/>
      <c r="G29" s="1088"/>
      <c r="H29" s="1093">
        <f>SUM(H22:H27)</f>
        <v>1386.5</v>
      </c>
    </row>
    <row r="30" spans="1:8" x14ac:dyDescent="0.25">
      <c r="A30" s="71" t="s">
        <v>508</v>
      </c>
      <c r="B30" s="71" t="s">
        <v>509</v>
      </c>
      <c r="C30" s="71"/>
      <c r="D30" s="1106">
        <v>1</v>
      </c>
      <c r="E30" s="1107"/>
      <c r="F30" s="1108">
        <f>1580*(1+D7)</f>
        <v>1864.3999999999999</v>
      </c>
      <c r="G30" s="1090"/>
      <c r="H30" s="1083">
        <f>F30</f>
        <v>1864.3999999999999</v>
      </c>
    </row>
    <row r="31" spans="1:8" ht="13" thickBot="1" x14ac:dyDescent="0.3">
      <c r="A31" s="71" t="s">
        <v>508</v>
      </c>
      <c r="B31" s="71" t="s">
        <v>510</v>
      </c>
      <c r="C31" s="71"/>
      <c r="D31" s="1106">
        <v>1</v>
      </c>
      <c r="E31" s="1107"/>
      <c r="F31" s="1108">
        <f>1250*(1+D7)</f>
        <v>1475</v>
      </c>
      <c r="G31" s="1090"/>
      <c r="H31" s="1083"/>
    </row>
    <row r="32" spans="1:8" ht="13" x14ac:dyDescent="0.3">
      <c r="A32" s="72" t="s">
        <v>538</v>
      </c>
      <c r="B32" s="87"/>
      <c r="C32" s="72"/>
      <c r="D32" s="1087"/>
      <c r="E32" s="1091"/>
      <c r="F32" s="1088"/>
      <c r="G32" s="1088"/>
      <c r="H32" s="1093">
        <f>H16+H21+H29+H30+H31</f>
        <v>10919.4</v>
      </c>
    </row>
    <row r="33" spans="1:8" x14ac:dyDescent="0.25">
      <c r="A33" s="13" t="s">
        <v>511</v>
      </c>
      <c r="B33" s="19"/>
      <c r="C33" s="13"/>
      <c r="D33" s="1066"/>
      <c r="E33" s="1081"/>
      <c r="F33" s="1067"/>
      <c r="G33" s="1067"/>
      <c r="H33" s="1080"/>
    </row>
    <row r="34" spans="1:8" ht="13" x14ac:dyDescent="0.3">
      <c r="A34" s="13"/>
      <c r="B34" s="19" t="s">
        <v>62</v>
      </c>
      <c r="C34" s="795"/>
      <c r="D34" s="794" t="s">
        <v>11</v>
      </c>
      <c r="E34" s="794" t="s">
        <v>512</v>
      </c>
      <c r="F34" s="794" t="s">
        <v>513</v>
      </c>
      <c r="G34" s="794"/>
      <c r="H34" s="794" t="s">
        <v>172</v>
      </c>
    </row>
    <row r="35" spans="1:8" x14ac:dyDescent="0.25">
      <c r="A35" s="13"/>
      <c r="B35" s="19"/>
      <c r="C35" s="13"/>
      <c r="D35" s="1066"/>
      <c r="E35" s="1081"/>
      <c r="F35" s="1067"/>
      <c r="G35" s="1095" t="s">
        <v>21</v>
      </c>
      <c r="H35" s="1096" t="s">
        <v>82</v>
      </c>
    </row>
    <row r="36" spans="1:8" x14ac:dyDescent="0.25">
      <c r="A36" s="13" t="s">
        <v>514</v>
      </c>
      <c r="B36" s="19" t="s">
        <v>515</v>
      </c>
      <c r="C36" s="13"/>
      <c r="D36" s="1066"/>
      <c r="E36" s="1081">
        <v>10</v>
      </c>
      <c r="F36" s="1067">
        <v>2</v>
      </c>
      <c r="G36" s="1067"/>
      <c r="H36" s="1080"/>
    </row>
    <row r="37" spans="1:8" ht="13" x14ac:dyDescent="0.3">
      <c r="A37" s="17"/>
      <c r="B37" s="13" t="s">
        <v>516</v>
      </c>
      <c r="C37" s="1114">
        <v>6.5</v>
      </c>
      <c r="D37" s="1109">
        <f>D18</f>
        <v>300</v>
      </c>
      <c r="E37" s="1110"/>
      <c r="F37" s="1110"/>
      <c r="G37" s="263">
        <f>C37</f>
        <v>6.5</v>
      </c>
      <c r="H37" s="1080">
        <f>G37*D37</f>
        <v>1950</v>
      </c>
    </row>
    <row r="38" spans="1:8" x14ac:dyDescent="0.25">
      <c r="A38" s="13"/>
      <c r="B38" s="13" t="s">
        <v>517</v>
      </c>
      <c r="C38" s="1115"/>
      <c r="D38" s="1111">
        <v>1</v>
      </c>
      <c r="E38" s="1110">
        <v>25</v>
      </c>
      <c r="F38" s="1110">
        <v>4</v>
      </c>
      <c r="G38" s="263">
        <v>13.6</v>
      </c>
      <c r="H38" s="1080">
        <f>G38*F38</f>
        <v>54.4</v>
      </c>
    </row>
    <row r="39" spans="1:8" x14ac:dyDescent="0.25">
      <c r="A39" s="13"/>
      <c r="B39" s="13" t="s">
        <v>518</v>
      </c>
      <c r="C39" s="1116"/>
      <c r="D39" s="1111"/>
      <c r="E39" s="1110">
        <v>35</v>
      </c>
      <c r="F39" s="1110"/>
      <c r="G39" s="263"/>
      <c r="H39" s="1080"/>
    </row>
    <row r="40" spans="1:8" x14ac:dyDescent="0.25">
      <c r="A40" s="13"/>
      <c r="B40" s="13" t="s">
        <v>480</v>
      </c>
      <c r="C40" s="1116"/>
      <c r="D40" s="1111"/>
      <c r="E40" s="1110">
        <v>18</v>
      </c>
      <c r="F40" s="1110"/>
      <c r="G40" s="263"/>
      <c r="H40" s="1080"/>
    </row>
    <row r="41" spans="1:8" x14ac:dyDescent="0.25">
      <c r="A41" s="13"/>
      <c r="B41" s="13" t="s">
        <v>519</v>
      </c>
      <c r="C41" s="1115"/>
      <c r="D41" s="1112"/>
      <c r="E41" s="1110">
        <v>3</v>
      </c>
      <c r="F41" s="1110"/>
      <c r="G41" s="263"/>
      <c r="H41" s="1080"/>
    </row>
    <row r="42" spans="1:8" x14ac:dyDescent="0.25">
      <c r="A42" s="13"/>
      <c r="B42" s="13" t="s">
        <v>373</v>
      </c>
      <c r="C42" s="1117">
        <v>125</v>
      </c>
      <c r="D42" s="1113">
        <v>3</v>
      </c>
      <c r="E42" s="1110">
        <v>3</v>
      </c>
      <c r="F42" s="535"/>
      <c r="G42" s="263">
        <v>3</v>
      </c>
      <c r="H42" s="1080">
        <f>G42*C42</f>
        <v>375</v>
      </c>
    </row>
    <row r="43" spans="1:8" ht="13.5" thickBot="1" x14ac:dyDescent="0.35">
      <c r="A43" s="17" t="s">
        <v>388</v>
      </c>
      <c r="B43" s="1085">
        <v>0.1</v>
      </c>
      <c r="C43" s="1086" t="s">
        <v>520</v>
      </c>
      <c r="D43" s="1054"/>
      <c r="E43" s="1110">
        <f>SUM(E36:E42)*B43</f>
        <v>9.4</v>
      </c>
      <c r="F43" s="1110">
        <f>SUM(F36:F42)*B43</f>
        <v>0.60000000000000009</v>
      </c>
      <c r="G43" s="1084"/>
      <c r="H43" s="1080"/>
    </row>
    <row r="44" spans="1:8" ht="13" x14ac:dyDescent="0.3">
      <c r="A44" s="72" t="s">
        <v>521</v>
      </c>
      <c r="B44" s="72"/>
      <c r="C44" s="72"/>
      <c r="D44" s="1087"/>
      <c r="E44" s="1097">
        <f>SUM(E36:E43)</f>
        <v>103.4</v>
      </c>
      <c r="F44" s="1088">
        <f>SUM(F36:F43)</f>
        <v>6.6</v>
      </c>
      <c r="G44" s="1088"/>
      <c r="H44" s="1093">
        <f>SUM(H36:H43)</f>
        <v>2379.4</v>
      </c>
    </row>
    <row r="45" spans="1:8" x14ac:dyDescent="0.25">
      <c r="A45" s="13" t="s">
        <v>522</v>
      </c>
      <c r="B45" s="13"/>
      <c r="C45" s="13"/>
      <c r="D45" s="1066"/>
      <c r="E45" s="1082"/>
      <c r="F45" s="1067"/>
      <c r="G45" s="1067"/>
      <c r="H45" s="1080"/>
    </row>
    <row r="46" spans="1:8" x14ac:dyDescent="0.25">
      <c r="A46" s="13" t="s">
        <v>476</v>
      </c>
      <c r="B46" s="13"/>
      <c r="C46" s="13"/>
      <c r="D46" s="1066"/>
      <c r="E46" s="1082"/>
      <c r="F46" s="1067"/>
      <c r="G46" s="1067"/>
      <c r="H46" s="1080">
        <f>H32</f>
        <v>10919.4</v>
      </c>
    </row>
    <row r="47" spans="1:8" x14ac:dyDescent="0.25">
      <c r="A47" s="13" t="s">
        <v>523</v>
      </c>
      <c r="B47" s="13" t="s">
        <v>524</v>
      </c>
      <c r="C47" s="13" t="s">
        <v>525</v>
      </c>
      <c r="D47" s="1098">
        <f>F44</f>
        <v>6.6</v>
      </c>
      <c r="E47" s="1102" t="s">
        <v>526</v>
      </c>
      <c r="F47" s="1100">
        <f>'Variante Vorgaben'!D176</f>
        <v>41</v>
      </c>
      <c r="G47" s="1067"/>
      <c r="H47" s="1080">
        <f>((D47*F47)+H44)</f>
        <v>2650</v>
      </c>
    </row>
    <row r="48" spans="1:8" ht="13" thickBot="1" x14ac:dyDescent="0.3">
      <c r="A48" s="13" t="s">
        <v>527</v>
      </c>
      <c r="B48" s="13"/>
      <c r="C48" s="13" t="s">
        <v>528</v>
      </c>
      <c r="D48" s="1098">
        <f>E44</f>
        <v>103.4</v>
      </c>
      <c r="E48" s="1102" t="s">
        <v>526</v>
      </c>
      <c r="F48" s="1100">
        <f>'Variante Vorgaben'!C32</f>
        <v>41.4</v>
      </c>
      <c r="G48" s="1067"/>
      <c r="H48" s="1092">
        <f>D48*F48</f>
        <v>4280.76</v>
      </c>
    </row>
    <row r="49" spans="1:8" ht="15.5" x14ac:dyDescent="0.35">
      <c r="A49" s="72" t="s">
        <v>529</v>
      </c>
      <c r="B49" s="13"/>
      <c r="C49" s="13"/>
      <c r="D49" s="1098"/>
      <c r="E49" s="1283"/>
      <c r="F49" s="1100"/>
      <c r="G49" s="1067"/>
      <c r="H49" s="1089">
        <f>SUM(H46:H48)</f>
        <v>17850.16</v>
      </c>
    </row>
    <row r="50" spans="1:8" x14ac:dyDescent="0.25">
      <c r="A50" s="13" t="s">
        <v>530</v>
      </c>
      <c r="B50" s="13"/>
      <c r="C50" s="13" t="s">
        <v>531</v>
      </c>
      <c r="D50" s="1098"/>
      <c r="E50" s="1283"/>
      <c r="F50" s="1100"/>
      <c r="G50" s="1067"/>
      <c r="H50" s="1080">
        <v>50</v>
      </c>
    </row>
    <row r="51" spans="1:8" x14ac:dyDescent="0.25">
      <c r="A51" s="13" t="s">
        <v>532</v>
      </c>
      <c r="B51" s="13"/>
      <c r="C51" s="1070" t="s">
        <v>533</v>
      </c>
      <c r="D51" s="1118"/>
      <c r="E51" s="1119">
        <v>4</v>
      </c>
      <c r="F51" s="1120">
        <f>'Variante Vorgaben'!C36</f>
        <v>32.700000000000003</v>
      </c>
      <c r="G51" s="1069"/>
      <c r="H51" s="1080">
        <f>E51*F51</f>
        <v>130.80000000000001</v>
      </c>
    </row>
    <row r="52" spans="1:8" x14ac:dyDescent="0.25">
      <c r="A52" s="13"/>
      <c r="B52" s="13"/>
      <c r="C52" s="1070" t="s">
        <v>534</v>
      </c>
      <c r="D52" s="1118"/>
      <c r="E52" s="1119"/>
      <c r="F52" s="1120"/>
      <c r="G52" s="1069"/>
      <c r="H52" s="1080">
        <v>300</v>
      </c>
    </row>
    <row r="53" spans="1:8" x14ac:dyDescent="0.25">
      <c r="A53" s="13"/>
      <c r="B53" s="13"/>
      <c r="C53" s="1070" t="s">
        <v>482</v>
      </c>
      <c r="D53" s="1118"/>
      <c r="E53" s="1119">
        <v>10</v>
      </c>
      <c r="F53" s="1120">
        <f>'Variante Vorgaben'!C36</f>
        <v>32.700000000000003</v>
      </c>
      <c r="G53" s="1069"/>
      <c r="H53" s="1080">
        <f>E53*F53</f>
        <v>327</v>
      </c>
    </row>
    <row r="54" spans="1:8" ht="13" thickBot="1" x14ac:dyDescent="0.3">
      <c r="A54" s="13"/>
      <c r="B54" s="13"/>
      <c r="C54" s="13" t="s">
        <v>486</v>
      </c>
      <c r="D54" s="1098"/>
      <c r="E54" s="1247">
        <v>500</v>
      </c>
      <c r="F54" s="1100">
        <f>'Variante Vorgaben'!C236</f>
        <v>2</v>
      </c>
      <c r="G54" s="1067"/>
      <c r="H54" s="1092">
        <f>E54*F54</f>
        <v>1000</v>
      </c>
    </row>
    <row r="55" spans="1:8" ht="14" x14ac:dyDescent="0.3">
      <c r="A55" s="72" t="s">
        <v>535</v>
      </c>
      <c r="B55" s="13"/>
      <c r="C55" s="1070"/>
      <c r="D55" s="1071"/>
      <c r="E55" s="1072"/>
      <c r="F55" s="1069"/>
      <c r="G55" s="1069"/>
      <c r="H55" s="1089">
        <f>SUM(H50:H54)</f>
        <v>1807.8</v>
      </c>
    </row>
    <row r="56" spans="1:8" x14ac:dyDescent="0.25">
      <c r="A56" s="13" t="s">
        <v>536</v>
      </c>
      <c r="B56" s="13"/>
      <c r="C56" s="1070"/>
      <c r="D56" s="1071"/>
      <c r="E56" s="1072"/>
      <c r="F56" s="1069"/>
      <c r="G56" s="1069"/>
      <c r="H56" s="1080"/>
    </row>
    <row r="57" spans="1:8" x14ac:dyDescent="0.25">
      <c r="A57" s="13" t="s">
        <v>537</v>
      </c>
      <c r="B57" s="13"/>
      <c r="C57" s="1070"/>
      <c r="D57" s="1071"/>
      <c r="E57" s="1072"/>
      <c r="F57" s="1069"/>
      <c r="G57" s="1069"/>
      <c r="H57" s="1080"/>
    </row>
    <row r="60" spans="1:8" ht="20" x14ac:dyDescent="0.4">
      <c r="A60" s="1434" t="s">
        <v>596</v>
      </c>
      <c r="B60" s="1434"/>
      <c r="C60" s="1434"/>
      <c r="D60" s="1434"/>
      <c r="E60" s="1434"/>
      <c r="F60" s="1434"/>
      <c r="G60" s="1434"/>
      <c r="H60" s="1434"/>
    </row>
    <row r="61" spans="1:8" ht="14" x14ac:dyDescent="0.3">
      <c r="A61" s="1198" t="s">
        <v>590</v>
      </c>
      <c r="B61" s="1198"/>
      <c r="C61" s="1199">
        <f>'Variante Vorgaben'!C19</f>
        <v>75</v>
      </c>
      <c r="D61" s="1200">
        <f>'Variante Vorgaben'!C18</f>
        <v>120</v>
      </c>
      <c r="E61" s="1201">
        <f>'Variante Vorgaben'!C23</f>
        <v>25</v>
      </c>
      <c r="F61" s="1202">
        <f>'Variante Vorgaben'!C21</f>
        <v>3</v>
      </c>
      <c r="G61" s="1202"/>
      <c r="H61" s="1203">
        <f>'Variante Vorgaben'!C22</f>
        <v>1</v>
      </c>
    </row>
    <row r="62" spans="1:8" x14ac:dyDescent="0.25">
      <c r="A62" s="1212" t="s">
        <v>477</v>
      </c>
      <c r="B62" s="19" t="s">
        <v>577</v>
      </c>
      <c r="C62" s="19"/>
      <c r="D62" s="1101">
        <f>((E61*D61)+50)</f>
        <v>3050</v>
      </c>
      <c r="E62" s="1253"/>
      <c r="F62" s="1100">
        <f>0.9*(1+D7)</f>
        <v>1.0620000000000001</v>
      </c>
      <c r="G62" s="1211"/>
      <c r="H62" s="1219">
        <f>F62*D62</f>
        <v>3239.1000000000004</v>
      </c>
    </row>
    <row r="63" spans="1:8" ht="13" x14ac:dyDescent="0.3">
      <c r="A63" s="1220"/>
      <c r="B63" s="19" t="s">
        <v>578</v>
      </c>
      <c r="C63" s="19"/>
      <c r="D63" s="1098">
        <f>ROUND(((D61/H61)+1)*E61,0)/2</f>
        <v>1512.5</v>
      </c>
      <c r="E63" s="1254" t="s">
        <v>579</v>
      </c>
      <c r="F63" s="1100">
        <f>2.6*(1+D7)</f>
        <v>3.0680000000000001</v>
      </c>
      <c r="G63" s="1211"/>
      <c r="H63" s="1219">
        <f>F63*D63</f>
        <v>4640.3500000000004</v>
      </c>
    </row>
    <row r="64" spans="1:8" x14ac:dyDescent="0.25">
      <c r="A64" s="19"/>
      <c r="B64" s="1204" t="s">
        <v>492</v>
      </c>
      <c r="C64" s="1205"/>
      <c r="D64" s="1098">
        <f>E61</f>
        <v>25</v>
      </c>
      <c r="E64" s="1099"/>
      <c r="F64" s="1100">
        <f>20.65*(1+D7)</f>
        <v>24.366999999999997</v>
      </c>
      <c r="G64" s="1211"/>
      <c r="H64" s="1219">
        <f>F64*D64</f>
        <v>609.17499999999995</v>
      </c>
    </row>
    <row r="65" spans="1:8" x14ac:dyDescent="0.25">
      <c r="A65" s="19"/>
      <c r="B65" s="19" t="s">
        <v>580</v>
      </c>
      <c r="C65" s="19"/>
      <c r="D65" s="1098">
        <f>E61</f>
        <v>25</v>
      </c>
      <c r="E65" s="1099"/>
      <c r="F65" s="1100">
        <f>8.5*(1+D7)</f>
        <v>10.029999999999999</v>
      </c>
      <c r="G65" s="1211"/>
      <c r="H65" s="1219">
        <f>F65*D65</f>
        <v>250.74999999999997</v>
      </c>
    </row>
    <row r="66" spans="1:8" x14ac:dyDescent="0.25">
      <c r="A66" s="19"/>
      <c r="B66" s="19" t="s">
        <v>581</v>
      </c>
      <c r="C66" s="19"/>
      <c r="D66" s="1098">
        <f>D62</f>
        <v>3050</v>
      </c>
      <c r="E66" s="1099"/>
      <c r="F66" s="1100">
        <f>0.078*(1+D7)</f>
        <v>9.2039999999999997E-2</v>
      </c>
      <c r="G66" s="1211"/>
      <c r="H66" s="1219">
        <f>F66*D66</f>
        <v>280.72199999999998</v>
      </c>
    </row>
    <row r="67" spans="1:8" ht="13" thickBot="1" x14ac:dyDescent="0.3">
      <c r="A67" s="19"/>
      <c r="B67" s="19" t="s">
        <v>358</v>
      </c>
      <c r="C67" s="19"/>
      <c r="D67" s="1098"/>
      <c r="E67" s="1099"/>
      <c r="F67" s="1100"/>
      <c r="G67" s="1211"/>
      <c r="H67" s="1246">
        <v>250</v>
      </c>
    </row>
    <row r="68" spans="1:8" ht="14" x14ac:dyDescent="0.3">
      <c r="A68" s="1221" t="s">
        <v>495</v>
      </c>
      <c r="B68" s="1221"/>
      <c r="C68" s="1221"/>
      <c r="D68" s="1255"/>
      <c r="E68" s="1256"/>
      <c r="F68" s="1256"/>
      <c r="G68" s="1222"/>
      <c r="H68" s="1223">
        <f>SUM(H62:H67)</f>
        <v>9270.0969999999998</v>
      </c>
    </row>
    <row r="69" spans="1:8" x14ac:dyDescent="0.25">
      <c r="A69" s="1212" t="s">
        <v>478</v>
      </c>
      <c r="B69" s="19" t="s">
        <v>496</v>
      </c>
      <c r="C69" s="19"/>
      <c r="D69" s="1098"/>
      <c r="E69" s="1099"/>
      <c r="F69" s="1100"/>
      <c r="G69" s="1211"/>
      <c r="H69" s="1219"/>
    </row>
    <row r="70" spans="1:8" x14ac:dyDescent="0.25">
      <c r="A70" s="19"/>
      <c r="B70" s="19" t="s">
        <v>497</v>
      </c>
      <c r="C70" s="19"/>
      <c r="D70" s="1101">
        <v>300</v>
      </c>
      <c r="E70" s="1099"/>
      <c r="F70" s="1100">
        <f>3.8*(1+D7)</f>
        <v>4.484</v>
      </c>
      <c r="G70" s="1211"/>
      <c r="H70" s="1219">
        <f>F70*D70</f>
        <v>1345.2</v>
      </c>
    </row>
    <row r="71" spans="1:8" x14ac:dyDescent="0.25">
      <c r="A71" s="19"/>
      <c r="B71" s="19" t="s">
        <v>498</v>
      </c>
      <c r="C71" s="19"/>
      <c r="D71" s="1098">
        <v>2</v>
      </c>
      <c r="E71" s="1102"/>
      <c r="F71" s="1100">
        <f>55*(1+D7)</f>
        <v>64.899999999999991</v>
      </c>
      <c r="G71" s="1211"/>
      <c r="H71" s="1219">
        <f>F71*D71</f>
        <v>129.79999999999998</v>
      </c>
    </row>
    <row r="72" spans="1:8" ht="13" thickBot="1" x14ac:dyDescent="0.3">
      <c r="A72" s="19"/>
      <c r="B72" s="19" t="s">
        <v>499</v>
      </c>
      <c r="C72" s="19"/>
      <c r="D72" s="535"/>
      <c r="E72" s="535"/>
      <c r="F72" s="535"/>
      <c r="G72" s="19"/>
      <c r="H72" s="1246">
        <v>250</v>
      </c>
    </row>
    <row r="73" spans="1:8" ht="14" x14ac:dyDescent="0.3">
      <c r="A73" s="1221" t="s">
        <v>500</v>
      </c>
      <c r="B73" s="1221"/>
      <c r="C73" s="1221"/>
      <c r="D73" s="1255"/>
      <c r="E73" s="1256"/>
      <c r="F73" s="1256"/>
      <c r="G73" s="1222"/>
      <c r="H73" s="1223">
        <f>SUM(H70:H72)</f>
        <v>1725</v>
      </c>
    </row>
    <row r="74" spans="1:8" x14ac:dyDescent="0.25">
      <c r="A74" s="1212" t="s">
        <v>479</v>
      </c>
      <c r="B74" s="19" t="s">
        <v>501</v>
      </c>
      <c r="C74" s="19"/>
      <c r="D74" s="1098">
        <v>1</v>
      </c>
      <c r="E74" s="1102"/>
      <c r="F74" s="1100">
        <f>300*(1+D7)</f>
        <v>354</v>
      </c>
      <c r="G74" s="1211"/>
      <c r="H74" s="1219">
        <f t="shared" ref="H74:H79" si="1">F74*D74</f>
        <v>354</v>
      </c>
    </row>
    <row r="75" spans="1:8" x14ac:dyDescent="0.25">
      <c r="A75" s="19"/>
      <c r="B75" s="19" t="s">
        <v>502</v>
      </c>
      <c r="C75" s="19"/>
      <c r="D75" s="1098">
        <v>1</v>
      </c>
      <c r="E75" s="1102"/>
      <c r="F75" s="1100">
        <f>120*(1+D7)</f>
        <v>141.6</v>
      </c>
      <c r="G75" s="1211"/>
      <c r="H75" s="1219">
        <f t="shared" si="1"/>
        <v>141.6</v>
      </c>
    </row>
    <row r="76" spans="1:8" x14ac:dyDescent="0.25">
      <c r="A76" s="19"/>
      <c r="B76" s="19" t="s">
        <v>591</v>
      </c>
      <c r="C76" s="19"/>
      <c r="D76" s="1098">
        <v>1</v>
      </c>
      <c r="E76" s="1102"/>
      <c r="F76" s="1100">
        <f>190*(1+D7)</f>
        <v>224.2</v>
      </c>
      <c r="G76" s="1211"/>
      <c r="H76" s="1219">
        <f t="shared" si="1"/>
        <v>224.2</v>
      </c>
    </row>
    <row r="77" spans="1:8" x14ac:dyDescent="0.25">
      <c r="A77" s="19"/>
      <c r="B77" s="19" t="s">
        <v>504</v>
      </c>
      <c r="C77" s="19"/>
      <c r="D77" s="1098">
        <v>1</v>
      </c>
      <c r="E77" s="1102"/>
      <c r="F77" s="1100">
        <f>70*(1+D7)</f>
        <v>82.6</v>
      </c>
      <c r="G77" s="1211"/>
      <c r="H77" s="1219">
        <f t="shared" si="1"/>
        <v>82.6</v>
      </c>
    </row>
    <row r="78" spans="1:8" x14ac:dyDescent="0.25">
      <c r="A78" s="19"/>
      <c r="B78" s="19" t="s">
        <v>505</v>
      </c>
      <c r="C78" s="19"/>
      <c r="D78" s="1098">
        <v>4</v>
      </c>
      <c r="E78" s="1102"/>
      <c r="F78" s="1100">
        <f>130*(1+D7)</f>
        <v>153.4</v>
      </c>
      <c r="G78" s="1211"/>
      <c r="H78" s="1219">
        <f t="shared" si="1"/>
        <v>613.6</v>
      </c>
    </row>
    <row r="79" spans="1:8" x14ac:dyDescent="0.25">
      <c r="A79" s="19"/>
      <c r="B79" s="19" t="s">
        <v>506</v>
      </c>
      <c r="C79" s="19"/>
      <c r="D79" s="1098">
        <v>1</v>
      </c>
      <c r="E79" s="1102"/>
      <c r="F79" s="1100">
        <f>350*(1+D7)</f>
        <v>413</v>
      </c>
      <c r="G79" s="1211"/>
      <c r="H79" s="1219">
        <f t="shared" si="1"/>
        <v>413</v>
      </c>
    </row>
    <row r="80" spans="1:8" ht="13" thickBot="1" x14ac:dyDescent="0.3">
      <c r="A80" s="19"/>
      <c r="B80" s="19" t="s">
        <v>499</v>
      </c>
      <c r="C80" s="19"/>
      <c r="D80" s="535"/>
      <c r="E80" s="535"/>
      <c r="F80" s="535"/>
      <c r="G80" s="19"/>
      <c r="H80" s="1246">
        <v>100</v>
      </c>
    </row>
    <row r="81" spans="1:8" ht="14" x14ac:dyDescent="0.3">
      <c r="A81" s="1221" t="s">
        <v>507</v>
      </c>
      <c r="B81" s="1221"/>
      <c r="C81" s="1221"/>
      <c r="D81" s="1255"/>
      <c r="E81" s="1256"/>
      <c r="F81" s="1256"/>
      <c r="G81" s="1222"/>
      <c r="H81" s="1223">
        <f>SUM(H74:H79)</f>
        <v>1829</v>
      </c>
    </row>
    <row r="82" spans="1:8" ht="13" x14ac:dyDescent="0.3">
      <c r="A82" s="1224" t="s">
        <v>508</v>
      </c>
      <c r="B82" s="1224" t="s">
        <v>509</v>
      </c>
      <c r="C82" s="1224"/>
      <c r="D82" s="1257">
        <v>1</v>
      </c>
      <c r="E82" s="1258"/>
      <c r="F82" s="1259">
        <f>1580*(1+D7)</f>
        <v>1864.3999999999999</v>
      </c>
      <c r="G82" s="1225"/>
      <c r="H82" s="1226"/>
    </row>
    <row r="83" spans="1:8" ht="13" x14ac:dyDescent="0.3">
      <c r="A83" s="1224" t="s">
        <v>508</v>
      </c>
      <c r="B83" s="1224" t="s">
        <v>510</v>
      </c>
      <c r="C83" s="1224"/>
      <c r="D83" s="1257">
        <v>1</v>
      </c>
      <c r="E83" s="1258"/>
      <c r="F83" s="1259">
        <f>2250*(1+D7)</f>
        <v>2655</v>
      </c>
      <c r="G83" s="1225"/>
      <c r="H83" s="1227"/>
    </row>
    <row r="84" spans="1:8" ht="18" x14ac:dyDescent="0.4">
      <c r="A84" s="153" t="s">
        <v>592</v>
      </c>
      <c r="B84" s="153"/>
      <c r="C84" s="153"/>
      <c r="D84" s="153"/>
      <c r="E84" s="1228"/>
      <c r="F84" s="1228"/>
      <c r="G84" s="1228"/>
      <c r="H84" s="1229">
        <f>H68+H73+H81+H82+H83</f>
        <v>12824.097</v>
      </c>
    </row>
    <row r="85" spans="1:8" ht="13" x14ac:dyDescent="0.3">
      <c r="A85" s="87" t="s">
        <v>511</v>
      </c>
      <c r="B85" s="145"/>
      <c r="C85" s="145"/>
      <c r="D85" s="145"/>
      <c r="E85" s="145"/>
      <c r="F85" s="145"/>
      <c r="G85" s="145"/>
      <c r="H85" s="1230"/>
    </row>
    <row r="86" spans="1:8" ht="13" x14ac:dyDescent="0.3">
      <c r="A86" s="41"/>
      <c r="B86" s="41" t="s">
        <v>62</v>
      </c>
      <c r="C86" s="1231"/>
      <c r="D86" s="823"/>
      <c r="E86" s="1232" t="s">
        <v>512</v>
      </c>
      <c r="F86" s="1232" t="s">
        <v>513</v>
      </c>
      <c r="G86" s="1233"/>
      <c r="H86" s="1234" t="s">
        <v>582</v>
      </c>
    </row>
    <row r="87" spans="1:8" ht="13" x14ac:dyDescent="0.3">
      <c r="A87" s="41"/>
      <c r="B87" s="41"/>
      <c r="C87" s="1231"/>
      <c r="D87" s="823"/>
      <c r="E87" s="1232"/>
      <c r="F87" s="1232"/>
      <c r="G87" s="1235" t="s">
        <v>21</v>
      </c>
      <c r="H87" s="1236" t="s">
        <v>82</v>
      </c>
    </row>
    <row r="88" spans="1:8" x14ac:dyDescent="0.25">
      <c r="A88" s="1237" t="s">
        <v>514</v>
      </c>
      <c r="B88" s="19" t="s">
        <v>515</v>
      </c>
      <c r="C88" s="1206"/>
      <c r="D88" s="1250"/>
      <c r="E88" s="1110">
        <v>10</v>
      </c>
      <c r="F88" s="1110">
        <v>2</v>
      </c>
      <c r="G88" s="562"/>
      <c r="H88" s="1219"/>
    </row>
    <row r="89" spans="1:8" ht="13" x14ac:dyDescent="0.3">
      <c r="A89" s="41"/>
      <c r="B89" s="19" t="s">
        <v>516</v>
      </c>
      <c r="C89" s="1207">
        <v>6.5</v>
      </c>
      <c r="D89" s="1109">
        <f>D70</f>
        <v>300</v>
      </c>
      <c r="E89" s="1110"/>
      <c r="F89" s="1110"/>
      <c r="G89" s="562">
        <f>C89</f>
        <v>6.5</v>
      </c>
      <c r="H89" s="1219">
        <f>G89*D89</f>
        <v>1950</v>
      </c>
    </row>
    <row r="90" spans="1:8" x14ac:dyDescent="0.25">
      <c r="A90" s="19"/>
      <c r="B90" s="19" t="s">
        <v>517</v>
      </c>
      <c r="C90" s="1208"/>
      <c r="D90" s="1111">
        <v>1</v>
      </c>
      <c r="E90" s="1110">
        <v>25</v>
      </c>
      <c r="F90" s="1110">
        <v>4</v>
      </c>
      <c r="G90" s="562">
        <v>13.6</v>
      </c>
      <c r="H90" s="1219">
        <f>G90*F90</f>
        <v>54.4</v>
      </c>
    </row>
    <row r="91" spans="1:8" x14ac:dyDescent="0.25">
      <c r="A91" s="19"/>
      <c r="B91" s="19" t="s">
        <v>518</v>
      </c>
      <c r="C91" s="1206"/>
      <c r="D91" s="1111"/>
      <c r="E91" s="1110">
        <v>35</v>
      </c>
      <c r="F91" s="1110"/>
      <c r="G91" s="562"/>
      <c r="H91" s="1219"/>
    </row>
    <row r="92" spans="1:8" x14ac:dyDescent="0.25">
      <c r="A92" s="19"/>
      <c r="B92" s="19" t="s">
        <v>583</v>
      </c>
      <c r="C92" s="1206"/>
      <c r="D92" s="1111"/>
      <c r="E92" s="1110">
        <v>10</v>
      </c>
      <c r="F92" s="1110"/>
      <c r="G92" s="562"/>
      <c r="H92" s="1219"/>
    </row>
    <row r="93" spans="1:8" x14ac:dyDescent="0.25">
      <c r="A93" s="19"/>
      <c r="B93" s="19" t="s">
        <v>480</v>
      </c>
      <c r="C93" s="1206"/>
      <c r="D93" s="1111"/>
      <c r="E93" s="1110">
        <v>18</v>
      </c>
      <c r="F93" s="1110"/>
      <c r="G93" s="562"/>
      <c r="H93" s="1219"/>
    </row>
    <row r="94" spans="1:8" x14ac:dyDescent="0.25">
      <c r="A94" s="19"/>
      <c r="B94" s="19" t="s">
        <v>519</v>
      </c>
      <c r="C94" s="1208"/>
      <c r="D94" s="1112"/>
      <c r="E94" s="1110">
        <v>3</v>
      </c>
      <c r="F94" s="1110"/>
      <c r="G94" s="562"/>
      <c r="H94" s="1219"/>
    </row>
    <row r="95" spans="1:8" x14ac:dyDescent="0.25">
      <c r="A95" s="19"/>
      <c r="B95" s="19" t="s">
        <v>373</v>
      </c>
      <c r="C95" s="1209">
        <v>125</v>
      </c>
      <c r="D95" s="1113">
        <v>3</v>
      </c>
      <c r="E95" s="1110">
        <v>3</v>
      </c>
      <c r="F95" s="535"/>
      <c r="G95" s="562">
        <v>3</v>
      </c>
      <c r="H95" s="1219">
        <f>G95*C95</f>
        <v>375</v>
      </c>
    </row>
    <row r="96" spans="1:8" ht="13" x14ac:dyDescent="0.3">
      <c r="A96" s="41" t="s">
        <v>388</v>
      </c>
      <c r="B96" s="1238">
        <v>0.1</v>
      </c>
      <c r="C96" s="1239" t="s">
        <v>520</v>
      </c>
      <c r="D96" s="1054"/>
      <c r="E96" s="1110">
        <f>SUM(E88:E95)*B96</f>
        <v>10.4</v>
      </c>
      <c r="F96" s="1110">
        <f>SUM(F88:F95)*B96</f>
        <v>0.60000000000000009</v>
      </c>
      <c r="G96" s="1110"/>
      <c r="H96" s="1219"/>
    </row>
    <row r="97" spans="1:8" ht="14" x14ac:dyDescent="0.3">
      <c r="A97" s="1221" t="s">
        <v>521</v>
      </c>
      <c r="B97" s="1240"/>
      <c r="C97" s="1241"/>
      <c r="D97" s="1251"/>
      <c r="E97" s="1252">
        <f>SUM(E88:E96)</f>
        <v>114.4</v>
      </c>
      <c r="F97" s="1252">
        <f>SUM(F88:F96)</f>
        <v>6.6</v>
      </c>
      <c r="G97" s="1252"/>
      <c r="H97" s="1226">
        <f>SUM(H88:H96)</f>
        <v>2379.4</v>
      </c>
    </row>
    <row r="98" spans="1:8" ht="14" x14ac:dyDescent="0.3">
      <c r="A98" s="1221" t="s">
        <v>522</v>
      </c>
      <c r="B98" s="1240"/>
      <c r="C98" s="1242"/>
      <c r="D98" s="1240"/>
      <c r="E98" s="1240"/>
      <c r="F98" s="1242"/>
      <c r="G98" s="1242"/>
      <c r="H98" s="1243"/>
    </row>
    <row r="99" spans="1:8" ht="13" x14ac:dyDescent="0.3">
      <c r="A99" s="41" t="s">
        <v>476</v>
      </c>
      <c r="B99" s="19"/>
      <c r="C99" s="19"/>
      <c r="D99" s="81"/>
      <c r="E99" s="44"/>
      <c r="F99" s="19"/>
      <c r="G99" s="19"/>
      <c r="H99" s="1219">
        <f>H84</f>
        <v>12824.097</v>
      </c>
    </row>
    <row r="100" spans="1:8" ht="13" x14ac:dyDescent="0.3">
      <c r="A100" s="41" t="s">
        <v>523</v>
      </c>
      <c r="B100" s="41" t="s">
        <v>524</v>
      </c>
      <c r="C100" s="1210" t="s">
        <v>525</v>
      </c>
      <c r="D100" s="1113">
        <f>F97</f>
        <v>6.6</v>
      </c>
      <c r="E100" s="564" t="s">
        <v>526</v>
      </c>
      <c r="F100" s="1100">
        <f>'Variante Vorgaben'!D176</f>
        <v>41</v>
      </c>
      <c r="G100" s="1211"/>
      <c r="H100" s="1219">
        <f>((D100*F100)+H97)</f>
        <v>2650</v>
      </c>
    </row>
    <row r="101" spans="1:8" ht="13.5" thickBot="1" x14ac:dyDescent="0.35">
      <c r="A101" s="41" t="s">
        <v>527</v>
      </c>
      <c r="B101" s="19"/>
      <c r="C101" s="1212" t="s">
        <v>528</v>
      </c>
      <c r="D101" s="1113">
        <f>E97</f>
        <v>114.4</v>
      </c>
      <c r="E101" s="564" t="s">
        <v>526</v>
      </c>
      <c r="F101" s="1100">
        <f>'Variante Vorgaben'!C32</f>
        <v>41.4</v>
      </c>
      <c r="G101" s="1211"/>
      <c r="H101" s="1246">
        <f>D101*F101</f>
        <v>4736.16</v>
      </c>
    </row>
    <row r="102" spans="1:8" ht="18" x14ac:dyDescent="0.4">
      <c r="A102" s="561" t="s">
        <v>593</v>
      </c>
      <c r="B102" s="561"/>
      <c r="C102" s="561"/>
      <c r="D102" s="561"/>
      <c r="E102" s="561"/>
      <c r="F102" s="561"/>
      <c r="G102" s="561"/>
      <c r="H102" s="1229">
        <f>SUM(H99:H101)</f>
        <v>20210.256999999998</v>
      </c>
    </row>
    <row r="103" spans="1:8" ht="14" x14ac:dyDescent="0.3">
      <c r="A103" s="1221" t="s">
        <v>594</v>
      </c>
      <c r="B103" s="1240"/>
      <c r="C103" s="1240"/>
      <c r="D103" s="1240"/>
      <c r="E103" s="1240"/>
      <c r="F103" s="1240"/>
      <c r="G103" s="1240"/>
      <c r="H103" s="1244"/>
    </row>
    <row r="104" spans="1:8" x14ac:dyDescent="0.25">
      <c r="A104" s="19" t="s">
        <v>584</v>
      </c>
      <c r="B104" s="19" t="s">
        <v>585</v>
      </c>
      <c r="C104" s="1347">
        <f>'Variante Vorgaben'!C40</f>
        <v>1.4999999999999999E-2</v>
      </c>
      <c r="D104" s="1120">
        <f>H99</f>
        <v>12824.097</v>
      </c>
      <c r="E104" s="564" t="s">
        <v>586</v>
      </c>
      <c r="F104" s="1346">
        <f>'Variante Vorgaben'!C41</f>
        <v>0.6</v>
      </c>
      <c r="G104" s="1214"/>
      <c r="H104" s="1219">
        <f>C104*D104*F104</f>
        <v>115.41687299999998</v>
      </c>
    </row>
    <row r="105" spans="1:8" x14ac:dyDescent="0.25">
      <c r="A105" s="42"/>
      <c r="B105" s="42" t="s">
        <v>587</v>
      </c>
      <c r="C105" s="1347">
        <f>'Variante Vorgaben'!C40</f>
        <v>1.4999999999999999E-2</v>
      </c>
      <c r="D105" s="1249">
        <f>H89+H95</f>
        <v>2325</v>
      </c>
      <c r="E105" s="1160" t="s">
        <v>586</v>
      </c>
      <c r="F105" s="1346">
        <f>'Variante Vorgaben'!C41</f>
        <v>0.6</v>
      </c>
      <c r="G105" s="1214"/>
      <c r="H105" s="1219">
        <f>C105*D105*F105</f>
        <v>20.925000000000001</v>
      </c>
    </row>
    <row r="106" spans="1:8" x14ac:dyDescent="0.25">
      <c r="A106" s="19" t="s">
        <v>588</v>
      </c>
      <c r="B106" s="19"/>
      <c r="C106" s="45">
        <f>D104</f>
        <v>12824.097</v>
      </c>
      <c r="D106" s="19" t="s">
        <v>589</v>
      </c>
      <c r="E106" s="19"/>
      <c r="F106" s="19"/>
      <c r="G106" s="19"/>
      <c r="H106" s="1219">
        <f>C106/15</f>
        <v>854.93979999999999</v>
      </c>
    </row>
    <row r="107" spans="1:8" x14ac:dyDescent="0.25">
      <c r="A107" s="19" t="s">
        <v>530</v>
      </c>
      <c r="B107" s="19"/>
      <c r="C107" s="1215" t="s">
        <v>531</v>
      </c>
      <c r="D107" s="1216"/>
      <c r="E107" s="1217"/>
      <c r="F107" s="1213"/>
      <c r="G107" s="1213"/>
      <c r="H107" s="1219">
        <v>50</v>
      </c>
    </row>
    <row r="108" spans="1:8" x14ac:dyDescent="0.25">
      <c r="A108" s="19" t="s">
        <v>532</v>
      </c>
      <c r="B108" s="19"/>
      <c r="C108" s="1218" t="s">
        <v>533</v>
      </c>
      <c r="D108" s="1118"/>
      <c r="E108" s="1281">
        <f>E51</f>
        <v>4</v>
      </c>
      <c r="F108" s="1120">
        <f>'Variante Vorgaben'!C36</f>
        <v>32.700000000000003</v>
      </c>
      <c r="G108" s="1213"/>
      <c r="H108" s="1219">
        <f>E108*F108</f>
        <v>130.80000000000001</v>
      </c>
    </row>
    <row r="109" spans="1:8" x14ac:dyDescent="0.25">
      <c r="A109" s="19"/>
      <c r="B109" s="19"/>
      <c r="C109" s="1218" t="s">
        <v>482</v>
      </c>
      <c r="D109" s="1118"/>
      <c r="E109" s="1281">
        <f>E53</f>
        <v>10</v>
      </c>
      <c r="F109" s="1120">
        <f>'Variante Vorgaben'!C36</f>
        <v>32.700000000000003</v>
      </c>
      <c r="G109" s="1213"/>
      <c r="H109" s="1219">
        <f>E109*F109</f>
        <v>327</v>
      </c>
    </row>
    <row r="110" spans="1:8" ht="13" thickBot="1" x14ac:dyDescent="0.3">
      <c r="A110" s="19"/>
      <c r="B110" s="19"/>
      <c r="C110" s="1218" t="s">
        <v>486</v>
      </c>
      <c r="D110" s="1118"/>
      <c r="E110" s="1282">
        <f>E54</f>
        <v>500</v>
      </c>
      <c r="F110" s="1248">
        <f>'Variante Vorgaben'!C236</f>
        <v>2</v>
      </c>
      <c r="G110" s="1245"/>
      <c r="H110" s="1246">
        <f>E110*F110</f>
        <v>1000</v>
      </c>
    </row>
    <row r="111" spans="1:8" ht="18" x14ac:dyDescent="0.4">
      <c r="A111" s="153" t="s">
        <v>595</v>
      </c>
      <c r="B111" s="153"/>
      <c r="C111" s="153"/>
      <c r="D111" s="153"/>
      <c r="E111" s="153"/>
      <c r="F111" s="153"/>
      <c r="G111" s="153"/>
      <c r="H111" s="1229">
        <f>SUM(H103:H110)</f>
        <v>2499.0816729999997</v>
      </c>
    </row>
    <row r="112" spans="1:8" x14ac:dyDescent="0.25">
      <c r="A112" s="19" t="s">
        <v>536</v>
      </c>
      <c r="B112" s="19"/>
      <c r="C112" s="19"/>
      <c r="D112" s="19"/>
      <c r="E112" s="19"/>
      <c r="F112" s="19"/>
      <c r="G112" s="19"/>
      <c r="H112" s="19"/>
    </row>
    <row r="113" spans="1:8" x14ac:dyDescent="0.25">
      <c r="A113" s="19" t="s">
        <v>537</v>
      </c>
      <c r="B113" s="19"/>
      <c r="C113" s="19"/>
      <c r="D113" s="19"/>
      <c r="E113" s="19"/>
      <c r="F113" s="19"/>
      <c r="G113" s="19"/>
      <c r="H113" s="19"/>
    </row>
  </sheetData>
  <mergeCells count="3">
    <mergeCell ref="A60:H60"/>
    <mergeCell ref="A4:H4"/>
    <mergeCell ref="A5:H5"/>
  </mergeCells>
  <phoneticPr fontId="23" type="noConversion"/>
  <pageMargins left="0.3" right="0.17" top="0.984251969" bottom="0.984251969" header="0.4921259845" footer="0.4921259845"/>
  <pageSetup paperSize="9" scale="70" orientation="portrait" r:id="rId1"/>
  <headerFooter alignWithMargins="0">
    <oddHeader>&amp;LArbokost BIO 2008/09&amp;REsther Bravin, ACW</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tandardErstellung1">
    <tabColor indexed="8"/>
  </sheetPr>
  <dimension ref="A1:AJ155"/>
  <sheetViews>
    <sheetView topLeftCell="A145" zoomScale="75" workbookViewId="0">
      <selection activeCell="E155" sqref="E155"/>
    </sheetView>
  </sheetViews>
  <sheetFormatPr baseColWidth="10" defaultRowHeight="12.5" x14ac:dyDescent="0.25"/>
  <cols>
    <col min="1" max="1" width="35" customWidth="1"/>
    <col min="2" max="2" width="66.7265625" customWidth="1"/>
    <col min="3" max="3" width="20.26953125" customWidth="1"/>
    <col min="4" max="4" width="20.36328125" customWidth="1"/>
    <col min="5" max="5" width="17.54296875" customWidth="1"/>
    <col min="6" max="6" width="18.36328125" customWidth="1"/>
    <col min="7" max="7" width="25.7265625" customWidth="1"/>
    <col min="8" max="36" width="11.36328125" style="13" customWidth="1"/>
  </cols>
  <sheetData>
    <row r="1" spans="1:36" ht="45.75" customHeight="1" x14ac:dyDescent="0.35">
      <c r="A1" s="1287" t="str">
        <f>Eingabeseite!$A$1</f>
        <v>Arbokost 2023</v>
      </c>
      <c r="B1" s="1286" t="str">
        <f>'Variante Bewässerung'!B1</f>
        <v>BIO- Tafelapfel, Gala auf M9, 3000 Bäume /ha</v>
      </c>
      <c r="C1" s="773"/>
      <c r="D1" s="774"/>
      <c r="E1" s="775"/>
      <c r="F1" s="776"/>
      <c r="G1" s="73"/>
      <c r="H1"/>
      <c r="I1"/>
      <c r="J1"/>
      <c r="K1"/>
      <c r="L1"/>
      <c r="M1"/>
      <c r="N1"/>
      <c r="O1"/>
      <c r="P1"/>
      <c r="Q1"/>
      <c r="R1"/>
      <c r="S1"/>
      <c r="T1"/>
      <c r="U1"/>
      <c r="V1"/>
      <c r="W1"/>
      <c r="X1"/>
      <c r="Y1"/>
      <c r="Z1"/>
      <c r="AA1"/>
      <c r="AB1"/>
      <c r="AC1"/>
      <c r="AD1"/>
      <c r="AE1"/>
      <c r="AF1"/>
      <c r="AG1"/>
      <c r="AH1"/>
      <c r="AI1"/>
      <c r="AJ1"/>
    </row>
    <row r="2" spans="1:36" ht="23.25" customHeight="1" x14ac:dyDescent="0.35">
      <c r="A2" s="993" t="s">
        <v>469</v>
      </c>
      <c r="B2" s="1012"/>
      <c r="C2" s="773"/>
      <c r="D2" s="774"/>
      <c r="E2" s="775"/>
      <c r="F2" s="776"/>
      <c r="G2" s="73"/>
      <c r="H2"/>
      <c r="I2"/>
      <c r="J2"/>
      <c r="K2"/>
      <c r="L2"/>
      <c r="M2"/>
      <c r="N2"/>
      <c r="O2"/>
      <c r="P2"/>
      <c r="Q2"/>
      <c r="R2"/>
      <c r="S2"/>
      <c r="T2"/>
      <c r="U2"/>
      <c r="V2"/>
      <c r="W2"/>
      <c r="X2"/>
      <c r="Y2"/>
      <c r="Z2"/>
      <c r="AA2"/>
      <c r="AB2"/>
      <c r="AC2"/>
      <c r="AD2"/>
      <c r="AE2"/>
      <c r="AF2"/>
      <c r="AG2"/>
      <c r="AH2"/>
      <c r="AI2"/>
      <c r="AJ2"/>
    </row>
    <row r="3" spans="1:36" ht="62.25" customHeight="1" x14ac:dyDescent="0.25">
      <c r="A3" s="820" t="str">
        <f>'Variante Vorgaben'!A3</f>
        <v>Definition Variante:</v>
      </c>
      <c r="B3" s="1424" t="str">
        <f>'Variante Vorgaben'!B3:H3</f>
        <v>Zeitgemässe Tafelapfelanlage auf schwachwachsender Unterlage. Werte sind ausgelegt auf gemischtwirtschaftliche Betriebe mit 2 - 5 ha Obstfläche, an geeigneten Standort in einem der Hauptproduktionsgebiete der Schweiz.</v>
      </c>
      <c r="C3" s="1433"/>
      <c r="D3" s="1433"/>
      <c r="E3" s="1433"/>
      <c r="F3" s="1433"/>
      <c r="G3" s="994"/>
      <c r="H3"/>
      <c r="I3"/>
      <c r="J3"/>
      <c r="K3"/>
      <c r="L3"/>
      <c r="M3"/>
      <c r="N3"/>
      <c r="O3"/>
      <c r="P3"/>
      <c r="Q3"/>
      <c r="R3"/>
      <c r="S3"/>
      <c r="T3"/>
      <c r="U3"/>
      <c r="V3"/>
      <c r="W3"/>
      <c r="X3"/>
      <c r="Y3"/>
      <c r="Z3"/>
      <c r="AA3"/>
      <c r="AB3"/>
      <c r="AC3"/>
      <c r="AD3"/>
      <c r="AE3"/>
      <c r="AF3"/>
      <c r="AG3"/>
      <c r="AH3"/>
      <c r="AI3"/>
      <c r="AJ3"/>
    </row>
    <row r="4" spans="1:36" s="1" customFormat="1" ht="21.65" customHeight="1" x14ac:dyDescent="0.35">
      <c r="A4" s="822"/>
      <c r="B4" s="822"/>
      <c r="C4" s="773"/>
      <c r="D4" s="774"/>
      <c r="E4" s="775"/>
      <c r="F4" s="776"/>
      <c r="G4" s="73"/>
    </row>
    <row r="5" spans="1:36" ht="30.65" customHeight="1" x14ac:dyDescent="0.5">
      <c r="A5" s="392" t="s">
        <v>430</v>
      </c>
      <c r="B5" s="393"/>
      <c r="C5" s="393"/>
      <c r="D5" s="393"/>
      <c r="E5" s="393"/>
      <c r="F5" s="393"/>
      <c r="G5" s="117"/>
    </row>
    <row r="6" spans="1:36" ht="15.5" x14ac:dyDescent="0.35">
      <c r="A6" s="19"/>
      <c r="B6" s="686"/>
      <c r="C6" s="247"/>
      <c r="F6" s="529" t="s">
        <v>451</v>
      </c>
      <c r="G6" s="1"/>
    </row>
    <row r="7" spans="1:36" s="12" customFormat="1" ht="20" customHeight="1" x14ac:dyDescent="0.3">
      <c r="A7" s="1"/>
      <c r="B7" s="3"/>
      <c r="C7" s="18" t="s">
        <v>11</v>
      </c>
      <c r="D7" s="18" t="s">
        <v>12</v>
      </c>
      <c r="E7" s="89" t="s">
        <v>13</v>
      </c>
      <c r="F7" s="284" t="s">
        <v>382</v>
      </c>
      <c r="G7" s="286"/>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row>
    <row r="8" spans="1:36" ht="13" x14ac:dyDescent="0.3">
      <c r="A8" s="823" t="s">
        <v>8</v>
      </c>
      <c r="B8" s="19"/>
      <c r="C8" s="131">
        <f>'Variante Vorgaben'!B24</f>
        <v>3000</v>
      </c>
      <c r="D8" s="45">
        <f>'Variante Vorgaben'!C31</f>
        <v>12</v>
      </c>
      <c r="E8" s="83">
        <f>C8*D8</f>
        <v>36000</v>
      </c>
      <c r="F8" s="735">
        <f>E8/$E$84</f>
        <v>0.38795446015967139</v>
      </c>
    </row>
    <row r="9" spans="1:36" ht="13" x14ac:dyDescent="0.3">
      <c r="A9" s="41"/>
      <c r="B9" s="19"/>
      <c r="C9" s="131"/>
      <c r="D9" s="45"/>
      <c r="E9" s="83"/>
      <c r="F9" s="730"/>
    </row>
    <row r="10" spans="1:36" x14ac:dyDescent="0.25">
      <c r="A10" s="1436" t="s">
        <v>144</v>
      </c>
      <c r="B10" s="19" t="str">
        <f>'Variante Hagel'!B9</f>
        <v>Stützpfahl je B.</v>
      </c>
      <c r="C10" s="131">
        <f>'Variante Hagel'!C9</f>
        <v>3000</v>
      </c>
      <c r="D10" s="45">
        <f>'Variante Hagel'!D9</f>
        <v>1.593</v>
      </c>
      <c r="E10" s="46">
        <f>C10*D10</f>
        <v>4779</v>
      </c>
      <c r="F10" s="730">
        <f>E10/$E$84</f>
        <v>5.1500954586196378E-2</v>
      </c>
      <c r="G10" s="81"/>
    </row>
    <row r="11" spans="1:36" x14ac:dyDescent="0.25">
      <c r="A11" s="1436"/>
      <c r="B11" s="19" t="str">
        <f>'Variante Hagel'!B10</f>
        <v xml:space="preserve">Spanndraht 3 mm </v>
      </c>
      <c r="C11" s="131">
        <f>'Variante Hagel'!C10</f>
        <v>2530</v>
      </c>
      <c r="D11" s="45">
        <f>'Variante Hagel'!D10</f>
        <v>0.1888</v>
      </c>
      <c r="E11" s="46">
        <f>C11*D11</f>
        <v>477.66399999999999</v>
      </c>
      <c r="F11" s="730">
        <f>E11/$E$84</f>
        <v>5.1475522016030352E-3</v>
      </c>
      <c r="G11" s="81"/>
    </row>
    <row r="12" spans="1:36" x14ac:dyDescent="0.25">
      <c r="A12" s="1436"/>
      <c r="B12" s="19" t="str">
        <f>'Variante Hagel'!B11</f>
        <v xml:space="preserve">Agraffen </v>
      </c>
      <c r="C12" s="131">
        <f>'Variante Hagel'!C11</f>
        <v>6</v>
      </c>
      <c r="D12" s="45">
        <f>'Variante Hagel'!D11</f>
        <v>6.4899999999999993</v>
      </c>
      <c r="E12" s="46">
        <f>C12*D12</f>
        <v>38.94</v>
      </c>
      <c r="F12" s="730">
        <f>E12/$E$84</f>
        <v>4.1963740773937785E-4</v>
      </c>
      <c r="G12" s="81"/>
    </row>
    <row r="13" spans="1:36" ht="13" thickBot="1" x14ac:dyDescent="0.3">
      <c r="A13" s="1436"/>
      <c r="B13" s="19" t="str">
        <f>'Variante Hagel'!B12</f>
        <v>Klemmfix</v>
      </c>
      <c r="C13" s="131">
        <f>'Variante Hagel'!C12</f>
        <v>3000</v>
      </c>
      <c r="D13" s="45">
        <f>'Variante Hagel'!D12</f>
        <v>0.23599999999999999</v>
      </c>
      <c r="E13" s="474">
        <f>C13*D13</f>
        <v>708</v>
      </c>
      <c r="F13" s="730">
        <f>E13/$E$84</f>
        <v>7.62977104980687E-3</v>
      </c>
      <c r="G13" s="81"/>
    </row>
    <row r="14" spans="1:36" ht="13" x14ac:dyDescent="0.3">
      <c r="A14" s="41"/>
      <c r="B14" s="19"/>
      <c r="C14" s="131"/>
      <c r="D14" s="45"/>
      <c r="E14" s="586">
        <f>SUM(E9:E13)</f>
        <v>6003.6039999999994</v>
      </c>
      <c r="F14" s="735">
        <f>E14/$E$84</f>
        <v>6.4697915245345655E-2</v>
      </c>
      <c r="G14" s="81"/>
    </row>
    <row r="15" spans="1:36" ht="13.75" customHeight="1" x14ac:dyDescent="0.3">
      <c r="A15" s="41"/>
      <c r="B15" s="19"/>
      <c r="C15" s="273"/>
      <c r="D15" s="107"/>
      <c r="E15" s="586"/>
      <c r="F15" s="730"/>
      <c r="G15" s="81"/>
    </row>
    <row r="16" spans="1:36" ht="13.75" customHeight="1" x14ac:dyDescent="0.25">
      <c r="A16" s="1436" t="s">
        <v>339</v>
      </c>
      <c r="B16" s="19" t="str">
        <f>'Variante Hagel'!B14</f>
        <v>3-fädige Standardbreite m2</v>
      </c>
      <c r="C16" s="47">
        <f>'Variante Hagel'!C14</f>
        <v>9800</v>
      </c>
      <c r="D16" s="45">
        <f>'Variante Hagel'!D14</f>
        <v>1</v>
      </c>
      <c r="E16" s="223">
        <f t="shared" ref="E16:E26" si="0">C16*D16</f>
        <v>9800</v>
      </c>
      <c r="F16" s="730">
        <f t="shared" ref="F16:F26" si="1">E16/$E$84</f>
        <v>0.10560982526568832</v>
      </c>
      <c r="G16" s="81"/>
    </row>
    <row r="17" spans="1:7" ht="13.75" customHeight="1" x14ac:dyDescent="0.25">
      <c r="A17" s="1436"/>
      <c r="B17" s="19" t="str">
        <f>'Variante Hagel'!B15</f>
        <v>Firstplaketten</v>
      </c>
      <c r="C17" s="47">
        <f>'Variante Hagel'!C15</f>
        <v>1200</v>
      </c>
      <c r="D17" s="45">
        <f>'Variante Hagel'!D15</f>
        <v>0.4</v>
      </c>
      <c r="E17" s="223">
        <f t="shared" si="0"/>
        <v>480</v>
      </c>
      <c r="F17" s="730">
        <f t="shared" si="1"/>
        <v>5.1727261354622854E-3</v>
      </c>
      <c r="G17" s="81"/>
    </row>
    <row r="18" spans="1:7" ht="13.75" customHeight="1" x14ac:dyDescent="0.25">
      <c r="A18" s="1436"/>
      <c r="B18" s="19" t="str">
        <f>'Variante Hagel'!B16</f>
        <v>Traufenplaketten FRUSTAR 1</v>
      </c>
      <c r="C18" s="47">
        <f>'Variante Hagel'!C16</f>
        <v>1750</v>
      </c>
      <c r="D18" s="45">
        <f>'Variante Hagel'!D16</f>
        <v>0.97939999999999994</v>
      </c>
      <c r="E18" s="223">
        <f t="shared" si="0"/>
        <v>1713.9499999999998</v>
      </c>
      <c r="F18" s="730">
        <f t="shared" si="1"/>
        <v>1.847040408307413E-2</v>
      </c>
      <c r="G18" s="81"/>
    </row>
    <row r="19" spans="1:7" ht="13.75" customHeight="1" x14ac:dyDescent="0.25">
      <c r="A19" s="1436"/>
      <c r="B19" s="19" t="str">
        <f>'Variante Hagel'!B17</f>
        <v>Plaketten Standart inkl. S-Hacken</v>
      </c>
      <c r="C19" s="47">
        <f>'Variante Hagel'!C17</f>
        <v>100</v>
      </c>
      <c r="D19" s="45">
        <f>'Variante Hagel'!D17</f>
        <v>0.64900000000000002</v>
      </c>
      <c r="E19" s="223">
        <f t="shared" si="0"/>
        <v>64.900000000000006</v>
      </c>
      <c r="F19" s="730">
        <f t="shared" si="1"/>
        <v>6.993956795656298E-4</v>
      </c>
      <c r="G19" s="81"/>
    </row>
    <row r="20" spans="1:7" ht="13.75" customHeight="1" x14ac:dyDescent="0.25">
      <c r="A20" s="1436"/>
      <c r="B20" s="19" t="str">
        <f>'Variante Hagel'!B18</f>
        <v xml:space="preserve">Stirnseil 9.5 mm </v>
      </c>
      <c r="C20" s="47">
        <f>'Variante Hagel'!C18</f>
        <v>165</v>
      </c>
      <c r="D20" s="45">
        <f>'Variante Hagel'!D18</f>
        <v>1.4041999999999999</v>
      </c>
      <c r="E20" s="223">
        <f t="shared" si="0"/>
        <v>231.69299999999998</v>
      </c>
      <c r="F20" s="730">
        <f t="shared" si="1"/>
        <v>2.4968425760492981E-3</v>
      </c>
      <c r="G20" s="81"/>
    </row>
    <row r="21" spans="1:7" ht="13.75" customHeight="1" x14ac:dyDescent="0.25">
      <c r="A21" s="1436"/>
      <c r="B21" s="19" t="str">
        <f>'Variante Hagel'!B19</f>
        <v>Ankerseil 9.5 mm</v>
      </c>
      <c r="C21" s="47">
        <f>'Variante Hagel'!C19</f>
        <v>310</v>
      </c>
      <c r="D21" s="45">
        <f>'Variante Hagel'!D19</f>
        <v>1.4041999999999999</v>
      </c>
      <c r="E21" s="223">
        <f t="shared" si="0"/>
        <v>435.30199999999996</v>
      </c>
      <c r="F21" s="730">
        <f t="shared" si="1"/>
        <v>4.6910375671229236E-3</v>
      </c>
      <c r="G21" s="81"/>
    </row>
    <row r="22" spans="1:7" ht="13.75" customHeight="1" x14ac:dyDescent="0.25">
      <c r="A22" s="1436"/>
      <c r="B22" s="19" t="str">
        <f>'Variante Hagel'!B20</f>
        <v>Querseil 9mm</v>
      </c>
      <c r="C22" s="47">
        <f>'Variante Hagel'!C20</f>
        <v>810</v>
      </c>
      <c r="D22" s="45">
        <f>'Variante Hagel'!D20</f>
        <v>0.82599999999999996</v>
      </c>
      <c r="E22" s="223">
        <f t="shared" si="0"/>
        <v>669.06</v>
      </c>
      <c r="F22" s="730">
        <f t="shared" si="1"/>
        <v>7.2101336420674917E-3</v>
      </c>
      <c r="G22" s="81"/>
    </row>
    <row r="23" spans="1:7" ht="13.75" customHeight="1" x14ac:dyDescent="0.25">
      <c r="A23" s="1436"/>
      <c r="B23" s="19" t="str">
        <f>'Variante Hagel'!B21</f>
        <v>Firstdraht</v>
      </c>
      <c r="C23" s="47">
        <f>'Variante Hagel'!C21</f>
        <v>3100</v>
      </c>
      <c r="D23" s="45">
        <f>'Variante Hagel'!D21</f>
        <v>0.35399999999999998</v>
      </c>
      <c r="E23" s="223">
        <f t="shared" si="0"/>
        <v>1097.3999999999999</v>
      </c>
      <c r="F23" s="730">
        <f t="shared" si="1"/>
        <v>1.1826145127200647E-2</v>
      </c>
      <c r="G23" s="81"/>
    </row>
    <row r="24" spans="1:7" ht="13.75" customHeight="1" x14ac:dyDescent="0.25">
      <c r="A24" s="1436"/>
      <c r="B24" s="19" t="str">
        <f>'Variante Hagel'!B22</f>
        <v>Netzschnur</v>
      </c>
      <c r="C24" s="47">
        <f>'Variante Hagel'!C22</f>
        <v>3400</v>
      </c>
      <c r="D24" s="45">
        <f>'Variante Hagel'!D22</f>
        <v>0.11799999999999999</v>
      </c>
      <c r="E24" s="223">
        <f t="shared" si="0"/>
        <v>401.2</v>
      </c>
      <c r="F24" s="730">
        <f t="shared" si="1"/>
        <v>4.3235369282238929E-3</v>
      </c>
      <c r="G24" s="81"/>
    </row>
    <row r="25" spans="1:7" ht="13.75" customHeight="1" x14ac:dyDescent="0.25">
      <c r="A25" s="1436"/>
      <c r="B25" s="19" t="str">
        <f>'Variante Hagel'!B23</f>
        <v>Drahtspanner</v>
      </c>
      <c r="C25" s="47">
        <f>'Variante Hagel'!C23</f>
        <v>26</v>
      </c>
      <c r="D25" s="45">
        <f>'Variante Hagel'!D23</f>
        <v>10.797000000000001</v>
      </c>
      <c r="E25" s="223">
        <f t="shared" si="0"/>
        <v>280.72200000000004</v>
      </c>
      <c r="F25" s="730">
        <f t="shared" si="1"/>
        <v>3.0252042212484246E-3</v>
      </c>
      <c r="G25" s="81"/>
    </row>
    <row r="26" spans="1:7" ht="13.5" customHeight="1" thickBot="1" x14ac:dyDescent="0.3">
      <c r="A26" s="1436"/>
      <c r="B26" s="19" t="str">
        <f>'Variante Hagel'!B24</f>
        <v>Kleinmaterial</v>
      </c>
      <c r="C26" s="47">
        <f>'Variante Hagel'!C24</f>
        <v>0</v>
      </c>
      <c r="D26" s="45">
        <f>'Variante Hagel'!D24</f>
        <v>0</v>
      </c>
      <c r="E26" s="585">
        <f t="shared" si="0"/>
        <v>0</v>
      </c>
      <c r="F26" s="730">
        <f t="shared" si="1"/>
        <v>0</v>
      </c>
      <c r="G26" s="81"/>
    </row>
    <row r="27" spans="1:7" ht="13.5" customHeight="1" x14ac:dyDescent="0.25">
      <c r="A27" s="1172"/>
      <c r="B27" s="19"/>
      <c r="C27" s="47"/>
      <c r="D27" s="45"/>
      <c r="E27" s="223"/>
      <c r="F27" s="730"/>
      <c r="G27" s="81"/>
    </row>
    <row r="28" spans="1:7" ht="13.75" customHeight="1" x14ac:dyDescent="0.3">
      <c r="A28" s="41"/>
      <c r="B28" s="19"/>
      <c r="C28" s="44"/>
      <c r="D28" s="45"/>
      <c r="E28" s="665">
        <f>SUM(E16:E26)</f>
        <v>15174.226999999999</v>
      </c>
      <c r="F28" s="735">
        <f>E28/$E$84</f>
        <v>0.16352525122570305</v>
      </c>
      <c r="G28" s="81"/>
    </row>
    <row r="29" spans="1:7" ht="13.75" customHeight="1" x14ac:dyDescent="0.3">
      <c r="A29" s="41"/>
      <c r="B29" s="19"/>
      <c r="C29" s="44"/>
      <c r="D29" s="45"/>
      <c r="E29" s="223"/>
      <c r="F29" s="730"/>
      <c r="G29" s="81"/>
    </row>
    <row r="30" spans="1:7" ht="13.75" customHeight="1" x14ac:dyDescent="0.25">
      <c r="A30" s="1436" t="s">
        <v>370</v>
      </c>
      <c r="B30" s="19" t="str">
        <f>'Variante Hagel'!B26</f>
        <v>Reihenpfähle 4 m 8/10 10m Abstand</v>
      </c>
      <c r="C30" s="47">
        <f>'Variante Hagel'!C26</f>
        <v>350</v>
      </c>
      <c r="D30" s="45">
        <f>'Variante Hagel'!D26</f>
        <v>45</v>
      </c>
      <c r="E30" s="223">
        <f>C30*D30</f>
        <v>15750</v>
      </c>
      <c r="F30" s="730">
        <f t="shared" ref="F30:F35" si="2">E30/$E$84</f>
        <v>0.16973007631985623</v>
      </c>
      <c r="G30" s="81"/>
    </row>
    <row r="31" spans="1:7" ht="13.75" customHeight="1" x14ac:dyDescent="0.25">
      <c r="A31" s="1436"/>
      <c r="B31" s="19" t="str">
        <f>'Variante Hagel'!B27</f>
        <v>Endpfähle 4.20 m 10/1210</v>
      </c>
      <c r="C31" s="47">
        <f>'Variante Hagel'!C27</f>
        <v>44</v>
      </c>
      <c r="D31" s="45">
        <f>'Variante Hagel'!D27</f>
        <v>40</v>
      </c>
      <c r="E31" s="223">
        <f>C31*D31</f>
        <v>1760</v>
      </c>
      <c r="F31" s="730">
        <f t="shared" si="2"/>
        <v>1.8966662496695045E-2</v>
      </c>
      <c r="G31" s="81"/>
    </row>
    <row r="32" spans="1:7" ht="13.75" customHeight="1" x14ac:dyDescent="0.25">
      <c r="A32" s="1436"/>
      <c r="B32" s="19" t="str">
        <f>'Variante Hagel'!B28</f>
        <v>Eckpfähle 4.50 m 13/15</v>
      </c>
      <c r="C32" s="47">
        <f>'Variante Hagel'!C28</f>
        <v>4</v>
      </c>
      <c r="D32" s="45">
        <f>'Variante Hagel'!D28</f>
        <v>90</v>
      </c>
      <c r="E32" s="223">
        <f>C32*D32</f>
        <v>360</v>
      </c>
      <c r="F32" s="730">
        <f t="shared" si="2"/>
        <v>3.8795446015967138E-3</v>
      </c>
      <c r="G32" s="81"/>
    </row>
    <row r="33" spans="1:36" ht="13.75" customHeight="1" x14ac:dyDescent="0.25">
      <c r="A33" s="1436"/>
      <c r="B33" s="19" t="str">
        <f>'Variante Hagel'!B29</f>
        <v>Anker</v>
      </c>
      <c r="C33" s="47">
        <f>'Variante Hagel'!C29</f>
        <v>72</v>
      </c>
      <c r="D33" s="45">
        <f>'Variante Hagel'!D29</f>
        <v>23.776999999999997</v>
      </c>
      <c r="E33" s="223">
        <f>C33*D33</f>
        <v>1711.9439999999997</v>
      </c>
      <c r="F33" s="730">
        <f t="shared" si="2"/>
        <v>1.8448786398433011E-2</v>
      </c>
      <c r="G33" s="81"/>
    </row>
    <row r="34" spans="1:36" ht="13.75" customHeight="1" thickBot="1" x14ac:dyDescent="0.3">
      <c r="A34" s="1436"/>
      <c r="B34" s="19" t="str">
        <f>'Variante Hagel'!B30</f>
        <v>Pfahlhüte</v>
      </c>
      <c r="C34" s="47">
        <f>'Variante Hagel'!C30</f>
        <v>68</v>
      </c>
      <c r="D34" s="45">
        <f>'Variante Hagel'!D30</f>
        <v>1.18</v>
      </c>
      <c r="E34" s="585">
        <f>C34*D34</f>
        <v>80.239999999999995</v>
      </c>
      <c r="F34" s="730">
        <f t="shared" si="2"/>
        <v>8.6470738564477863E-4</v>
      </c>
      <c r="G34" s="81"/>
    </row>
    <row r="35" spans="1:36" ht="13.75" customHeight="1" x14ac:dyDescent="0.3">
      <c r="A35" s="41"/>
      <c r="B35" s="19"/>
      <c r="C35" s="47"/>
      <c r="D35" s="45"/>
      <c r="E35" s="586">
        <f>SUM(E30:E34)</f>
        <v>19662.184000000001</v>
      </c>
      <c r="F35" s="735">
        <f t="shared" si="2"/>
        <v>0.21188977720222579</v>
      </c>
      <c r="G35" s="81"/>
    </row>
    <row r="36" spans="1:36" ht="13.75" customHeight="1" x14ac:dyDescent="0.3">
      <c r="A36" s="41"/>
      <c r="B36" s="19"/>
      <c r="C36" s="273"/>
      <c r="D36" s="107"/>
      <c r="E36" s="586"/>
      <c r="F36" s="730"/>
      <c r="G36" s="81"/>
    </row>
    <row r="37" spans="1:36" x14ac:dyDescent="0.25">
      <c r="A37" s="1436" t="s">
        <v>17</v>
      </c>
      <c r="B37" s="19" t="s">
        <v>34</v>
      </c>
      <c r="C37" s="272">
        <f>'Variante Hagel'!C33</f>
        <v>40</v>
      </c>
      <c r="D37" s="45">
        <f>'Variante Hagel'!D33</f>
        <v>7.2</v>
      </c>
      <c r="E37" s="46">
        <f>C37*D37</f>
        <v>288</v>
      </c>
      <c r="F37" s="730">
        <f>E37/E84</f>
        <v>3.1036356812773709E-3</v>
      </c>
      <c r="G37" s="5"/>
    </row>
    <row r="38" spans="1:36" x14ac:dyDescent="0.25">
      <c r="A38" s="1436"/>
      <c r="B38" s="19" t="s">
        <v>18</v>
      </c>
      <c r="C38" s="273"/>
      <c r="D38" s="44"/>
      <c r="E38" s="45">
        <f>'Variante Hagel'!E34</f>
        <v>125</v>
      </c>
      <c r="F38" s="730">
        <f>E38/E84</f>
        <v>1.3470640977766366E-3</v>
      </c>
      <c r="G38" s="5"/>
    </row>
    <row r="39" spans="1:36" ht="13" thickBot="1" x14ac:dyDescent="0.3">
      <c r="A39" s="1436"/>
      <c r="B39" s="19" t="s">
        <v>145</v>
      </c>
      <c r="C39" s="273"/>
      <c r="D39" s="44"/>
      <c r="E39" s="395">
        <f>'Variante Hagel'!E35</f>
        <v>550</v>
      </c>
      <c r="F39" s="730">
        <f>E39/E84</f>
        <v>5.9270820302172013E-3</v>
      </c>
      <c r="G39" s="5"/>
    </row>
    <row r="40" spans="1:36" ht="13" x14ac:dyDescent="0.3">
      <c r="A40" s="19"/>
      <c r="B40" s="19"/>
      <c r="C40" s="19"/>
      <c r="D40" s="45"/>
      <c r="E40" s="83">
        <f>SUM(E37:E39)</f>
        <v>963</v>
      </c>
      <c r="F40" s="735">
        <f>E40/E84</f>
        <v>1.037778180927121E-2</v>
      </c>
      <c r="G40" s="5"/>
    </row>
    <row r="41" spans="1:36" s="1" customFormat="1" ht="13" x14ac:dyDescent="0.3">
      <c r="A41" s="19"/>
      <c r="B41" s="19"/>
      <c r="C41" s="19"/>
      <c r="D41" s="45"/>
      <c r="E41" s="83"/>
      <c r="F41" s="220"/>
      <c r="G41" s="5"/>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row>
    <row r="42" spans="1:36" s="1" customFormat="1" ht="13" x14ac:dyDescent="0.3">
      <c r="A42" s="19" t="str">
        <f>'Variante Hagel'!A57</f>
        <v>Einsparung an Gerüstkosten durch Hagelnetzerstellung</v>
      </c>
      <c r="B42" s="19"/>
      <c r="C42" s="19"/>
      <c r="D42" s="45"/>
      <c r="E42" s="83"/>
      <c r="F42" s="220"/>
      <c r="G42" s="5"/>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row>
    <row r="43" spans="1:36" s="1" customFormat="1" x14ac:dyDescent="0.25">
      <c r="A43" s="19"/>
      <c r="B43" s="19" t="str">
        <f>'Variante Hagel'!B58</f>
        <v>Endpfähle</v>
      </c>
      <c r="C43" s="47">
        <f>'Variante Hagel'!C58</f>
        <v>45</v>
      </c>
      <c r="D43" s="45">
        <f>'Variante Hagel'!D58</f>
        <v>16.52</v>
      </c>
      <c r="E43" s="149">
        <f>C43*D43</f>
        <v>743.4</v>
      </c>
      <c r="F43" s="220"/>
      <c r="G43" s="5"/>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row>
    <row r="44" spans="1:36" s="1" customFormat="1" x14ac:dyDescent="0.25">
      <c r="A44" s="19"/>
      <c r="B44" s="19" t="str">
        <f>'Variante Hagel'!B59</f>
        <v>Zwischenpfähle</v>
      </c>
      <c r="C44" s="47">
        <f>'Variante Hagel'!C59</f>
        <v>336</v>
      </c>
      <c r="D44" s="45">
        <f>'Variante Hagel'!D59</f>
        <v>11.799999999999999</v>
      </c>
      <c r="E44" s="149">
        <f>C44*D44</f>
        <v>3964.7999999999997</v>
      </c>
      <c r="F44" s="220"/>
      <c r="G44" s="5"/>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row>
    <row r="45" spans="1:36" s="1" customFormat="1" ht="13" thickBot="1" x14ac:dyDescent="0.3">
      <c r="A45" s="19"/>
      <c r="B45" s="19" t="str">
        <f>'Variante Hagel'!B60</f>
        <v>Telleranker</v>
      </c>
      <c r="C45" s="47">
        <f>'Variante Hagel'!C60</f>
        <v>45</v>
      </c>
      <c r="D45" s="45">
        <f>'Variante Hagel'!D60</f>
        <v>6.1360000000000001</v>
      </c>
      <c r="E45" s="587">
        <f>C45*D45</f>
        <v>276.12</v>
      </c>
      <c r="F45" s="220"/>
      <c r="G45" s="5"/>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row>
    <row r="46" spans="1:36" s="1" customFormat="1" ht="13" x14ac:dyDescent="0.3">
      <c r="A46" s="19"/>
      <c r="B46" s="19"/>
      <c r="C46" s="19"/>
      <c r="D46" s="45"/>
      <c r="E46" s="85">
        <f>SUM(E43:E45)</f>
        <v>4984.32</v>
      </c>
      <c r="F46" s="220"/>
      <c r="G46" s="5"/>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row>
    <row r="47" spans="1:36" s="1" customFormat="1" ht="13" x14ac:dyDescent="0.3">
      <c r="D47" s="48"/>
      <c r="E47" s="55"/>
      <c r="F47" s="148"/>
      <c r="G47" s="5"/>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row>
    <row r="48" spans="1:36" ht="20" customHeight="1" x14ac:dyDescent="0.35">
      <c r="A48" s="600" t="s">
        <v>213</v>
      </c>
      <c r="B48" s="526"/>
      <c r="C48" s="687"/>
      <c r="D48" s="602"/>
      <c r="E48" s="688">
        <f>E40+E14+E8+E28+E35-E46</f>
        <v>72818.695000000007</v>
      </c>
      <c r="F48" s="689">
        <f>E48/E84</f>
        <v>0.78473159745157672</v>
      </c>
      <c r="G48" s="5"/>
    </row>
    <row r="49" spans="1:36" s="1" customFormat="1" ht="20" customHeight="1" x14ac:dyDescent="0.35">
      <c r="A49" s="2"/>
      <c r="C49" s="6"/>
      <c r="D49" s="48"/>
      <c r="E49" s="287"/>
      <c r="F49" s="90"/>
      <c r="G49" s="5"/>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row>
    <row r="50" spans="1:36" ht="13" x14ac:dyDescent="0.3">
      <c r="A50" s="41"/>
      <c r="B50" s="19"/>
      <c r="C50" s="288" t="s">
        <v>76</v>
      </c>
      <c r="D50" s="289" t="s">
        <v>21</v>
      </c>
      <c r="E50" s="290" t="s">
        <v>13</v>
      </c>
      <c r="F50" s="824"/>
      <c r="G50" s="5"/>
    </row>
    <row r="51" spans="1:36" ht="13" x14ac:dyDescent="0.3">
      <c r="A51" s="41"/>
      <c r="B51" s="19"/>
      <c r="C51" s="40"/>
      <c r="D51" s="45"/>
      <c r="E51" s="46"/>
      <c r="F51" s="135"/>
      <c r="G51" s="5"/>
    </row>
    <row r="52" spans="1:36" ht="13" x14ac:dyDescent="0.3">
      <c r="A52" s="41" t="s">
        <v>23</v>
      </c>
      <c r="B52" s="19" t="str">
        <f>'Variante Vorgaben'!B194</f>
        <v>Pflug 2scharig</v>
      </c>
      <c r="C52" s="40">
        <f>'Variante Vorgaben'!C194</f>
        <v>3.8</v>
      </c>
      <c r="D52" s="461">
        <f>'Variante Vorgaben'!D194*(1+Eingabeseite!$C$27)</f>
        <v>23</v>
      </c>
      <c r="E52" s="46">
        <f t="shared" ref="E52:E61" si="3">C52*D52</f>
        <v>87.399999999999991</v>
      </c>
      <c r="F52" s="738">
        <f>E52/E84</f>
        <v>9.418672171654243E-4</v>
      </c>
      <c r="G52" s="5"/>
    </row>
    <row r="53" spans="1:36" x14ac:dyDescent="0.25">
      <c r="A53" s="825"/>
      <c r="B53" s="19" t="str">
        <f>'Variante Vorgaben'!B195</f>
        <v>Kreiselegge mit Packerwalze 3m</v>
      </c>
      <c r="C53" s="40">
        <f>'Variante Vorgaben'!C195</f>
        <v>1.8</v>
      </c>
      <c r="D53" s="461">
        <f>'Variante Vorgaben'!D195*(1+Eingabeseite!$C$27)</f>
        <v>101</v>
      </c>
      <c r="E53" s="46">
        <f t="shared" si="3"/>
        <v>181.8</v>
      </c>
      <c r="F53" s="738">
        <f>E53/E84</f>
        <v>1.9591700238063407E-3</v>
      </c>
      <c r="G53" s="5"/>
    </row>
    <row r="54" spans="1:36" x14ac:dyDescent="0.25">
      <c r="A54" s="19"/>
      <c r="B54" s="19" t="str">
        <f>'Variante Vorgaben'!B196</f>
        <v>Sämaschine 3 m</v>
      </c>
      <c r="C54" s="40">
        <f>'Variante Vorgaben'!C196</f>
        <v>1.6</v>
      </c>
      <c r="D54" s="461">
        <f>'Variante Vorgaben'!D196*(1+Eingabeseite!$C$27)</f>
        <v>83</v>
      </c>
      <c r="E54" s="46">
        <f t="shared" si="3"/>
        <v>132.80000000000001</v>
      </c>
      <c r="F54" s="738">
        <f>E54/E84</f>
        <v>1.431120897477899E-3</v>
      </c>
      <c r="G54" s="5"/>
    </row>
    <row r="55" spans="1:36" x14ac:dyDescent="0.25">
      <c r="A55" s="19"/>
      <c r="B55" s="19" t="str">
        <f>'Variante Vorgaben'!B197</f>
        <v>Pneuwagen 2achsig, 3 t</v>
      </c>
      <c r="C55" s="562">
        <v>15</v>
      </c>
      <c r="D55" s="461">
        <f>'Variante Vorgaben'!D197*(1+Eingabeseite!$C$27)</f>
        <v>15</v>
      </c>
      <c r="E55" s="46">
        <f t="shared" si="3"/>
        <v>225</v>
      </c>
      <c r="F55" s="738">
        <f>E55/E84</f>
        <v>2.4247153759979459E-3</v>
      </c>
      <c r="G55" s="5"/>
    </row>
    <row r="56" spans="1:36" x14ac:dyDescent="0.25">
      <c r="A56" s="19"/>
      <c r="B56" s="145" t="s">
        <v>384</v>
      </c>
      <c r="C56" s="40">
        <f>'Variante Hagel'!C39</f>
        <v>20</v>
      </c>
      <c r="D56" s="461">
        <f>'Variante Vorgaben'!D198*(1+Eingabeseite!$C$27)</f>
        <v>25</v>
      </c>
      <c r="E56" s="46">
        <f>C56*D56</f>
        <v>500</v>
      </c>
      <c r="F56" s="738">
        <f>E56/E84</f>
        <v>5.3882563911065466E-3</v>
      </c>
      <c r="G56" s="5"/>
    </row>
    <row r="57" spans="1:36" x14ac:dyDescent="0.25">
      <c r="A57" s="19"/>
      <c r="B57" s="19" t="s">
        <v>387</v>
      </c>
      <c r="C57" s="562">
        <v>20</v>
      </c>
      <c r="D57" s="24"/>
      <c r="E57" s="46"/>
      <c r="F57" s="738">
        <f>E57/E84</f>
        <v>0</v>
      </c>
      <c r="G57" s="5"/>
    </row>
    <row r="58" spans="1:36" x14ac:dyDescent="0.25">
      <c r="A58" s="19"/>
      <c r="B58" s="19" t="s">
        <v>388</v>
      </c>
      <c r="C58" s="1193">
        <f>SUM(C52:C57)*0.1</f>
        <v>6.2200000000000006</v>
      </c>
      <c r="D58" s="461"/>
      <c r="E58" s="46"/>
      <c r="F58" s="738"/>
      <c r="G58" s="5"/>
    </row>
    <row r="59" spans="1:36" ht="13" thickBot="1" x14ac:dyDescent="0.3">
      <c r="A59" s="19"/>
      <c r="B59" s="19" t="s">
        <v>573</v>
      </c>
      <c r="C59" s="1192">
        <v>3</v>
      </c>
      <c r="D59" s="45"/>
      <c r="E59" s="46"/>
      <c r="F59" s="738">
        <f>E59/E84</f>
        <v>0</v>
      </c>
      <c r="G59" s="5"/>
    </row>
    <row r="60" spans="1:36" ht="13" x14ac:dyDescent="0.3">
      <c r="A60" s="41" t="s">
        <v>386</v>
      </c>
      <c r="B60" s="87" t="str">
        <f>'Variante Vorgaben'!B193</f>
        <v>Obstbautraktor 4-Rad (45-54 kW, 61-73 PS)</v>
      </c>
      <c r="C60" s="344">
        <f>SUM(C52:C59)</f>
        <v>71.42</v>
      </c>
      <c r="D60" s="97">
        <f>'Variante Vorgaben'!D193*(1+Eingabeseite!$C$27)</f>
        <v>41</v>
      </c>
      <c r="E60" s="85">
        <f>C60*D60</f>
        <v>2928.2200000000003</v>
      </c>
      <c r="F60" s="738">
        <f>E60/E84</f>
        <v>3.1556000259132029E-2</v>
      </c>
      <c r="G60" s="5"/>
    </row>
    <row r="61" spans="1:36" ht="13" x14ac:dyDescent="0.3">
      <c r="A61" s="41"/>
      <c r="B61" s="19" t="s">
        <v>373</v>
      </c>
      <c r="C61" s="40">
        <f>'Variante Hagel'!C38</f>
        <v>15</v>
      </c>
      <c r="D61" s="97">
        <f>'Variante Vorgaben'!D199*(1+Eingabeseite!$C$27)</f>
        <v>150</v>
      </c>
      <c r="E61" s="46">
        <f t="shared" si="3"/>
        <v>2250</v>
      </c>
      <c r="F61" s="738">
        <f>E61/E84</f>
        <v>2.4247153759979462E-2</v>
      </c>
      <c r="G61" s="5"/>
    </row>
    <row r="62" spans="1:36" ht="13" thickBot="1" x14ac:dyDescent="0.3">
      <c r="A62" s="19"/>
      <c r="B62" s="19" t="s">
        <v>25</v>
      </c>
      <c r="C62" s="40"/>
      <c r="D62" s="45"/>
      <c r="E62" s="474">
        <f>'Variante Vorgaben'!D200*(1+Eingabeseite!$C$27)</f>
        <v>500</v>
      </c>
      <c r="F62" s="738">
        <f>E62/E84</f>
        <v>5.3882563911065466E-3</v>
      </c>
      <c r="G62" s="5"/>
    </row>
    <row r="63" spans="1:36" ht="13" x14ac:dyDescent="0.3">
      <c r="A63" s="41" t="s">
        <v>26</v>
      </c>
      <c r="B63" s="19"/>
      <c r="C63" s="40"/>
      <c r="D63" s="45"/>
      <c r="E63" s="85">
        <f>SUM(E52:E62)</f>
        <v>6805.22</v>
      </c>
      <c r="F63" s="735">
        <f>E63/E84</f>
        <v>7.3336540315772192E-2</v>
      </c>
      <c r="G63" s="5"/>
    </row>
    <row r="64" spans="1:36" x14ac:dyDescent="0.25">
      <c r="A64" s="1"/>
      <c r="B64" s="1"/>
      <c r="C64" s="36"/>
      <c r="D64" s="48"/>
      <c r="E64" s="46"/>
      <c r="F64" s="731"/>
      <c r="G64" s="5"/>
    </row>
    <row r="65" spans="1:7" x14ac:dyDescent="0.25">
      <c r="A65" s="1"/>
      <c r="B65" s="1"/>
      <c r="C65" s="36"/>
      <c r="D65" s="48"/>
      <c r="E65" s="46"/>
      <c r="F65" s="731"/>
      <c r="G65" s="5"/>
    </row>
    <row r="66" spans="1:7" ht="13" x14ac:dyDescent="0.3">
      <c r="A66" s="19"/>
      <c r="B66" s="19"/>
      <c r="C66" s="288" t="s">
        <v>27</v>
      </c>
      <c r="D66" s="289" t="s">
        <v>21</v>
      </c>
      <c r="E66" s="290" t="s">
        <v>22</v>
      </c>
      <c r="F66" s="827"/>
      <c r="G66" s="5"/>
    </row>
    <row r="67" spans="1:7" ht="13" x14ac:dyDescent="0.3">
      <c r="A67" s="41" t="s">
        <v>28</v>
      </c>
      <c r="B67" s="19" t="s">
        <v>167</v>
      </c>
      <c r="C67" s="40">
        <f>C52</f>
        <v>3.8</v>
      </c>
      <c r="D67" s="45">
        <f>'Variante Vorgaben'!$C$35</f>
        <v>22.754999999999999</v>
      </c>
      <c r="E67" s="46">
        <f t="shared" ref="E67:E80" si="4">C67*D67</f>
        <v>86.468999999999994</v>
      </c>
      <c r="F67" s="738">
        <f>E67/E84</f>
        <v>9.3183428376518397E-4</v>
      </c>
      <c r="G67" s="5"/>
    </row>
    <row r="68" spans="1:7" x14ac:dyDescent="0.25">
      <c r="A68" s="19"/>
      <c r="B68" s="19" t="s">
        <v>168</v>
      </c>
      <c r="C68" s="40">
        <f>C53</f>
        <v>1.8</v>
      </c>
      <c r="D68" s="45">
        <f>'Variante Vorgaben'!$C$35</f>
        <v>22.754999999999999</v>
      </c>
      <c r="E68" s="46">
        <f t="shared" si="4"/>
        <v>40.958999999999996</v>
      </c>
      <c r="F68" s="738">
        <f>E68/E84</f>
        <v>4.4139518704666605E-4</v>
      </c>
      <c r="G68" s="5"/>
    </row>
    <row r="69" spans="1:7" x14ac:dyDescent="0.25">
      <c r="A69" s="19"/>
      <c r="B69" s="19" t="s">
        <v>29</v>
      </c>
      <c r="C69" s="562">
        <v>0</v>
      </c>
      <c r="D69" s="45">
        <f>'Variante Vorgaben'!$C$35</f>
        <v>22.754999999999999</v>
      </c>
      <c r="E69" s="46">
        <f t="shared" si="4"/>
        <v>0</v>
      </c>
      <c r="F69" s="738">
        <f>E69/E84</f>
        <v>0</v>
      </c>
      <c r="G69" s="5"/>
    </row>
    <row r="70" spans="1:7" x14ac:dyDescent="0.25">
      <c r="A70" s="19"/>
      <c r="B70" s="19" t="s">
        <v>30</v>
      </c>
      <c r="C70" s="40">
        <f>'Variante Hagel'!C44</f>
        <v>1</v>
      </c>
      <c r="D70" s="45">
        <f>'Variante Vorgaben'!$C$35</f>
        <v>22.754999999999999</v>
      </c>
      <c r="E70" s="46">
        <f t="shared" si="4"/>
        <v>22.754999999999999</v>
      </c>
      <c r="F70" s="738">
        <f>E70/E84</f>
        <v>2.4521954835925896E-4</v>
      </c>
      <c r="G70" s="5"/>
    </row>
    <row r="71" spans="1:7" x14ac:dyDescent="0.25">
      <c r="A71" s="19"/>
      <c r="B71" s="19" t="s">
        <v>31</v>
      </c>
      <c r="C71" s="40">
        <f>'Variante Hagel'!C45</f>
        <v>7.5</v>
      </c>
      <c r="D71" s="45">
        <f>'Variante Vorgaben'!$C$35</f>
        <v>22.754999999999999</v>
      </c>
      <c r="E71" s="46">
        <f t="shared" si="4"/>
        <v>170.66249999999999</v>
      </c>
      <c r="F71" s="738">
        <f>E71/E84</f>
        <v>1.8391466126944421E-3</v>
      </c>
      <c r="G71" s="5"/>
    </row>
    <row r="72" spans="1:7" x14ac:dyDescent="0.25">
      <c r="A72" s="828"/>
      <c r="B72" s="19" t="s">
        <v>32</v>
      </c>
      <c r="C72" s="40">
        <f>'Variante Hagel'!C46</f>
        <v>75</v>
      </c>
      <c r="D72" s="45">
        <f>'Variante Vorgaben'!$C$35</f>
        <v>22.754999999999999</v>
      </c>
      <c r="E72" s="46">
        <f t="shared" si="4"/>
        <v>1706.625</v>
      </c>
      <c r="F72" s="738">
        <f>E72/E84</f>
        <v>1.8391466126944422E-2</v>
      </c>
      <c r="G72" s="5"/>
    </row>
    <row r="73" spans="1:7" x14ac:dyDescent="0.25">
      <c r="A73" s="828"/>
      <c r="B73" s="19" t="s">
        <v>146</v>
      </c>
      <c r="C73" s="40">
        <f>'Variante Hagel'!C47</f>
        <v>10</v>
      </c>
      <c r="D73" s="45">
        <f>'Variante Vorgaben'!$C$35</f>
        <v>22.754999999999999</v>
      </c>
      <c r="E73" s="46">
        <f t="shared" si="4"/>
        <v>227.54999999999998</v>
      </c>
      <c r="F73" s="738">
        <f>E73/$E$84</f>
        <v>2.4521954835925895E-3</v>
      </c>
      <c r="G73" s="5"/>
    </row>
    <row r="74" spans="1:7" x14ac:dyDescent="0.25">
      <c r="A74" s="828"/>
      <c r="B74" s="19" t="s">
        <v>280</v>
      </c>
      <c r="C74" s="40">
        <f>'Variante Hagel'!C48</f>
        <v>70</v>
      </c>
      <c r="D74" s="45">
        <f>'Variante Vorgaben'!$C$35</f>
        <v>22.754999999999999</v>
      </c>
      <c r="E74" s="46">
        <f t="shared" si="4"/>
        <v>1592.85</v>
      </c>
      <c r="F74" s="738">
        <f>E74/$E$84</f>
        <v>1.7165368385148125E-2</v>
      </c>
      <c r="G74" s="5"/>
    </row>
    <row r="75" spans="1:7" ht="13" thickBot="1" x14ac:dyDescent="0.3">
      <c r="A75" s="19"/>
      <c r="B75" s="19" t="s">
        <v>34</v>
      </c>
      <c r="C75" s="40">
        <f>C54</f>
        <v>1.6</v>
      </c>
      <c r="D75" s="45">
        <f>'Variante Vorgaben'!$C$35</f>
        <v>22.754999999999999</v>
      </c>
      <c r="E75" s="46">
        <f t="shared" si="4"/>
        <v>36.408000000000001</v>
      </c>
      <c r="F75" s="738">
        <f>E75/E84</f>
        <v>3.9235127737481434E-4</v>
      </c>
      <c r="G75" s="5"/>
    </row>
    <row r="76" spans="1:7" x14ac:dyDescent="0.25">
      <c r="A76" s="19"/>
      <c r="B76" s="396" t="s">
        <v>389</v>
      </c>
      <c r="C76" s="1273">
        <f>'Variante Hagel'!C51</f>
        <v>15</v>
      </c>
      <c r="D76" s="45">
        <f>'Variante Vorgaben'!$C$35</f>
        <v>22.754999999999999</v>
      </c>
      <c r="E76" s="1274">
        <f t="shared" si="4"/>
        <v>341.32499999999999</v>
      </c>
      <c r="F76" s="738">
        <f>E76/E84</f>
        <v>3.6782932253888842E-3</v>
      </c>
      <c r="G76" s="5"/>
    </row>
    <row r="77" spans="1:7" x14ac:dyDescent="0.25">
      <c r="A77" s="19"/>
      <c r="B77" s="384" t="s">
        <v>390</v>
      </c>
      <c r="C77" s="40">
        <f>'Variante Hagel'!C52</f>
        <v>100</v>
      </c>
      <c r="D77" s="45">
        <f>'Variante Vorgaben'!$C$35</f>
        <v>22.754999999999999</v>
      </c>
      <c r="E77" s="1275">
        <f t="shared" si="4"/>
        <v>2275.5</v>
      </c>
      <c r="F77" s="738">
        <f>E77/E84</f>
        <v>2.4521954835925897E-2</v>
      </c>
      <c r="G77" s="5"/>
    </row>
    <row r="78" spans="1:7" ht="13" thickBot="1" x14ac:dyDescent="0.3">
      <c r="A78" s="19"/>
      <c r="B78" s="1276" t="s">
        <v>377</v>
      </c>
      <c r="C78" s="733">
        <f>'Variante Hagel'!C53</f>
        <v>175</v>
      </c>
      <c r="D78" s="45">
        <f>'Variante Vorgaben'!$C$35</f>
        <v>22.754999999999999</v>
      </c>
      <c r="E78" s="1277">
        <f t="shared" si="4"/>
        <v>3982.125</v>
      </c>
      <c r="F78" s="738">
        <f>E78/E84</f>
        <v>4.2913420962870319E-2</v>
      </c>
      <c r="G78" s="5"/>
    </row>
    <row r="79" spans="1:7" x14ac:dyDescent="0.25">
      <c r="A79" s="19"/>
      <c r="B79" s="19" t="s">
        <v>388</v>
      </c>
      <c r="C79" s="40">
        <f>'Variante Hagel'!C54</f>
        <v>29</v>
      </c>
      <c r="D79" s="45">
        <f>'Variante Vorgaben'!$C$35</f>
        <v>22.754999999999999</v>
      </c>
      <c r="E79" s="46">
        <f t="shared" si="4"/>
        <v>659.89499999999998</v>
      </c>
      <c r="F79" s="738">
        <f>E79/E84</f>
        <v>7.1113669024185098E-3</v>
      </c>
      <c r="G79" s="5"/>
    </row>
    <row r="80" spans="1:7" ht="13" thickBot="1" x14ac:dyDescent="0.3">
      <c r="A80" s="19"/>
      <c r="B80" s="19" t="s">
        <v>391</v>
      </c>
      <c r="C80" s="733">
        <f>SUM(C67:C79) * 0.1</f>
        <v>48.97</v>
      </c>
      <c r="D80" s="45">
        <f>'Variante Vorgaben'!$C$32</f>
        <v>41.4</v>
      </c>
      <c r="E80" s="474">
        <f t="shared" si="4"/>
        <v>2027.3579999999999</v>
      </c>
      <c r="F80" s="738">
        <f>E80/E84</f>
        <v>2.1847849401121971E-2</v>
      </c>
      <c r="G80" s="5"/>
    </row>
    <row r="81" spans="1:36" ht="13" x14ac:dyDescent="0.3">
      <c r="A81" s="19"/>
      <c r="B81" s="19"/>
      <c r="C81" s="829">
        <f>SUM(C67:C80)</f>
        <v>538.66999999999996</v>
      </c>
      <c r="D81" s="45"/>
      <c r="E81" s="83">
        <f>SUM(E67:E80)</f>
        <v>13170.481500000002</v>
      </c>
      <c r="F81" s="830">
        <f>E81/E84</f>
        <v>0.14193186223265111</v>
      </c>
      <c r="G81" s="5"/>
    </row>
    <row r="82" spans="1:36" s="16" customFormat="1" ht="18" customHeight="1" x14ac:dyDescent="0.35">
      <c r="A82" s="600" t="s">
        <v>35</v>
      </c>
      <c r="B82" s="606"/>
      <c r="C82" s="607"/>
      <c r="D82" s="608"/>
      <c r="E82" s="688">
        <f>E81+E63</f>
        <v>19975.701500000003</v>
      </c>
      <c r="F82" s="732">
        <f>E82/E84</f>
        <v>0.2152684025484233</v>
      </c>
      <c r="G82" s="21"/>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row>
    <row r="83" spans="1:36" s="20" customFormat="1" ht="20" x14ac:dyDescent="0.4">
      <c r="A83" s="594" t="s">
        <v>607</v>
      </c>
      <c r="B83" s="594"/>
      <c r="C83" s="594"/>
      <c r="D83" s="594"/>
      <c r="E83" s="598">
        <f>E8+E14+E40+E46+E63+SUM(E67:E75,E79:E80)</f>
        <v>61327.675499999998</v>
      </c>
      <c r="F83" s="1271">
        <f>E83/$E$84</f>
        <v>0.66089847892916675</v>
      </c>
      <c r="G83" s="21"/>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row>
    <row r="84" spans="1:36" s="23" customFormat="1" ht="20" x14ac:dyDescent="0.4">
      <c r="A84" s="594" t="s">
        <v>608</v>
      </c>
      <c r="B84" s="595"/>
      <c r="C84" s="596"/>
      <c r="D84" s="597"/>
      <c r="E84" s="598">
        <f>E82+E48</f>
        <v>92794.396500000003</v>
      </c>
      <c r="F84" s="1271">
        <f>E84/$E$84</f>
        <v>1</v>
      </c>
      <c r="G84" s="22"/>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row>
    <row r="85" spans="1:36" ht="20.25" customHeight="1" x14ac:dyDescent="0.4">
      <c r="A85" s="594" t="s">
        <v>398</v>
      </c>
      <c r="B85" s="743"/>
      <c r="C85" s="1034"/>
      <c r="D85" s="1034"/>
      <c r="E85" s="598">
        <f>E84-E83</f>
        <v>31466.721000000005</v>
      </c>
      <c r="F85" s="637"/>
    </row>
    <row r="86" spans="1:36" ht="20.5" customHeight="1" x14ac:dyDescent="0.25">
      <c r="E86" t="s">
        <v>289</v>
      </c>
    </row>
    <row r="87" spans="1:36" ht="19.5" customHeight="1" x14ac:dyDescent="0.4">
      <c r="A87" s="291" t="s">
        <v>14</v>
      </c>
      <c r="B87" s="13"/>
      <c r="C87" s="94" t="s">
        <v>11</v>
      </c>
      <c r="D87" s="94" t="s">
        <v>12</v>
      </c>
      <c r="E87" s="94" t="s">
        <v>13</v>
      </c>
      <c r="F87" s="38"/>
    </row>
    <row r="88" spans="1:36" ht="15" customHeight="1" x14ac:dyDescent="0.3">
      <c r="B88" s="1" t="s">
        <v>91</v>
      </c>
      <c r="C88" s="472">
        <f>('Variante Vorgaben'!B18+'Variante Vorgaben'!B19)*2-2*6</f>
        <v>398</v>
      </c>
      <c r="D88" s="48">
        <f>'Variante Vorgaben'!D214</f>
        <v>6.9</v>
      </c>
      <c r="E88" s="34">
        <f t="shared" ref="E88:E94" si="5">C88*D88</f>
        <v>2746.2000000000003</v>
      </c>
      <c r="F88" s="731">
        <f>E88/E114</f>
        <v>0.25391133043792358</v>
      </c>
      <c r="G88" s="473"/>
    </row>
    <row r="89" spans="1:36" ht="15" customHeight="1" x14ac:dyDescent="0.3">
      <c r="B89" s="1" t="s">
        <v>443</v>
      </c>
      <c r="C89" s="96">
        <f>(C88/4)-(C88/4/5)</f>
        <v>79.599999999999994</v>
      </c>
      <c r="D89" s="48">
        <f>'Variante Vorgaben'!D215</f>
        <v>9.6</v>
      </c>
      <c r="E89" s="34">
        <f t="shared" si="5"/>
        <v>764.16</v>
      </c>
      <c r="F89" s="731">
        <f>E89/E114</f>
        <v>7.0653587600117862E-2</v>
      </c>
      <c r="G89" s="473"/>
    </row>
    <row r="90" spans="1:36" ht="15" customHeight="1" x14ac:dyDescent="0.3">
      <c r="B90" s="1" t="s">
        <v>444</v>
      </c>
      <c r="C90" s="96">
        <f>(C88/4)/5</f>
        <v>19.899999999999999</v>
      </c>
      <c r="D90" s="48">
        <f>'Variante Vorgaben'!D216</f>
        <v>15.5</v>
      </c>
      <c r="E90" s="34">
        <f t="shared" si="5"/>
        <v>308.45</v>
      </c>
      <c r="F90" s="731">
        <f>E90/E114</f>
        <v>2.8519026244839239E-2</v>
      </c>
      <c r="G90" s="473"/>
    </row>
    <row r="91" spans="1:36" ht="15" customHeight="1" x14ac:dyDescent="0.3">
      <c r="B91" s="1" t="s">
        <v>444</v>
      </c>
      <c r="C91" s="96">
        <f>'Standard Vorgaben'!C215</f>
        <v>6</v>
      </c>
      <c r="D91" s="48">
        <f>'Variante Vorgaben'!D217</f>
        <v>19.8</v>
      </c>
      <c r="E91" s="34">
        <f t="shared" si="5"/>
        <v>118.80000000000001</v>
      </c>
      <c r="F91" s="731">
        <f>E91/E114</f>
        <v>1.0984147569741943E-2</v>
      </c>
      <c r="G91" s="473"/>
    </row>
    <row r="92" spans="1:36" ht="15" customHeight="1" x14ac:dyDescent="0.3">
      <c r="B92" s="1" t="s">
        <v>15</v>
      </c>
      <c r="C92" s="690">
        <f>'Standard Vorgaben'!C216</f>
        <v>2</v>
      </c>
      <c r="D92" s="48">
        <f>'Variante Vorgaben'!D218</f>
        <v>200</v>
      </c>
      <c r="E92" s="34">
        <f t="shared" si="5"/>
        <v>400</v>
      </c>
      <c r="F92" s="731">
        <f>E92/E114</f>
        <v>3.6983661850982966E-2</v>
      </c>
      <c r="G92" s="473"/>
    </row>
    <row r="93" spans="1:36" ht="15" customHeight="1" x14ac:dyDescent="0.3">
      <c r="B93" s="1" t="s">
        <v>92</v>
      </c>
      <c r="C93" s="232">
        <f>'Standard Vorgaben'!C218</f>
        <v>3</v>
      </c>
      <c r="D93" s="48">
        <f>'Variante Vorgaben'!D220</f>
        <v>11.95</v>
      </c>
      <c r="E93" s="46">
        <f t="shared" si="5"/>
        <v>35.849999999999994</v>
      </c>
      <c r="F93" s="731">
        <f>E93/E114</f>
        <v>3.3146606933943477E-3</v>
      </c>
      <c r="G93" s="473"/>
    </row>
    <row r="94" spans="1:36" ht="15" customHeight="1" thickBot="1" x14ac:dyDescent="0.35">
      <c r="B94" s="1" t="str">
        <f>'Standard Vorgaben'!B217</f>
        <v>Spanndraht 3mm</v>
      </c>
      <c r="C94" s="471">
        <f>C88/18</f>
        <v>22.111111111111111</v>
      </c>
      <c r="D94" s="48">
        <f>'Variante Vorgaben'!D219</f>
        <v>4.0999999999999996</v>
      </c>
      <c r="E94" s="474">
        <f t="shared" si="5"/>
        <v>90.655555555555551</v>
      </c>
      <c r="F94" s="731">
        <f>E94/E114</f>
        <v>8.3819360289491673E-3</v>
      </c>
      <c r="G94" s="473"/>
    </row>
    <row r="95" spans="1:36" ht="15" customHeight="1" x14ac:dyDescent="0.3">
      <c r="B95" s="1"/>
      <c r="C95" s="471"/>
      <c r="D95" s="48"/>
      <c r="E95" s="134">
        <f>SUM(E88:E94)</f>
        <v>4464.1155555555561</v>
      </c>
      <c r="F95" s="731">
        <f>E95/E114</f>
        <v>0.4127483504259491</v>
      </c>
      <c r="G95" s="473"/>
    </row>
    <row r="96" spans="1:36" ht="15" customHeight="1" thickBot="1" x14ac:dyDescent="0.3">
      <c r="B96" s="1" t="s">
        <v>396</v>
      </c>
      <c r="C96" s="96"/>
      <c r="D96" s="91">
        <f>'Variante Vorgaben'!D221</f>
        <v>0.25</v>
      </c>
      <c r="E96" s="736">
        <f>E95*D96*(-1)</f>
        <v>-1116.028888888889</v>
      </c>
      <c r="F96" s="731">
        <f>E96/$E$114</f>
        <v>-0.10318708760648727</v>
      </c>
    </row>
    <row r="97" spans="1:36" ht="15" customHeight="1" x14ac:dyDescent="0.3">
      <c r="B97" s="1"/>
      <c r="C97" s="96"/>
      <c r="D97" s="135"/>
      <c r="E97" s="85">
        <f>SUM(E95:E96)</f>
        <v>3348.086666666667</v>
      </c>
      <c r="F97" s="731">
        <f t="shared" ref="F97:F104" si="6">E97/$E$114</f>
        <v>0.30956126281946184</v>
      </c>
    </row>
    <row r="98" spans="1:36" s="1" customFormat="1" ht="15" customHeight="1" x14ac:dyDescent="0.3">
      <c r="B98" s="1" t="s">
        <v>94</v>
      </c>
      <c r="C98" s="96"/>
      <c r="D98" s="91"/>
      <c r="E98" s="85">
        <f>'Variante Vorgaben'!E223</f>
        <v>300</v>
      </c>
      <c r="F98" s="731">
        <f t="shared" si="6"/>
        <v>2.7737746388237224E-2</v>
      </c>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row>
    <row r="99" spans="1:36" s="1" customFormat="1" ht="15" customHeight="1" x14ac:dyDescent="0.4">
      <c r="A99" s="291" t="s">
        <v>573</v>
      </c>
      <c r="B99" s="1" t="str">
        <f>'Variante Vorgaben'!B224</f>
        <v>Dtrahtgitter (Mäuseprevention)</v>
      </c>
      <c r="C99" s="814">
        <f>'Variante Vorgaben'!C224</f>
        <v>410</v>
      </c>
      <c r="D99" s="1195">
        <f>'Variante Vorgaben'!D224</f>
        <v>4.2</v>
      </c>
      <c r="E99" s="149">
        <f>C99*D99</f>
        <v>1722</v>
      </c>
      <c r="F99" s="731">
        <f t="shared" si="6"/>
        <v>0.15921466426848166</v>
      </c>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row>
    <row r="100" spans="1:36" s="1" customFormat="1" ht="15" customHeight="1" x14ac:dyDescent="0.25">
      <c r="B100" s="1" t="str">
        <f>'Variante Vorgaben'!B225</f>
        <v>Pfostchen (Mäuseprevention)</v>
      </c>
      <c r="C100" s="1194">
        <f>'Variante Vorgaben'!C225</f>
        <v>135</v>
      </c>
      <c r="D100" s="48">
        <f>'Variante Vorgaben'!D225</f>
        <v>0.5</v>
      </c>
      <c r="E100" s="149">
        <f>C100*D100</f>
        <v>67.5</v>
      </c>
      <c r="F100" s="731">
        <f t="shared" si="6"/>
        <v>6.2409929373533754E-3</v>
      </c>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row>
    <row r="101" spans="1:36" s="1" customFormat="1" ht="15" customHeight="1" x14ac:dyDescent="0.25">
      <c r="B101" s="1" t="str">
        <f>'Variante Vorgaben'!B226</f>
        <v>Bindematerial</v>
      </c>
      <c r="C101" s="1194">
        <f>'Variante Vorgaben'!C226</f>
        <v>3</v>
      </c>
      <c r="D101" s="48">
        <f>'Variante Vorgaben'!D226</f>
        <v>15</v>
      </c>
      <c r="E101" s="149">
        <f>C101*D101</f>
        <v>45</v>
      </c>
      <c r="F101" s="731">
        <f t="shared" si="6"/>
        <v>4.1606619582355833E-3</v>
      </c>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row>
    <row r="102" spans="1:36" s="1" customFormat="1" ht="15" customHeight="1" x14ac:dyDescent="0.25">
      <c r="B102" s="1" t="str">
        <f>'Variante Vorgaben'!B227</f>
        <v>Verlege Gerät</v>
      </c>
      <c r="C102" s="1194">
        <f>'Variante Vorgaben'!C227</f>
        <v>400</v>
      </c>
      <c r="D102" s="48">
        <f>'Variante Vorgaben'!D227</f>
        <v>1</v>
      </c>
      <c r="E102" s="149">
        <f>C102*D102</f>
        <v>400</v>
      </c>
      <c r="F102" s="731">
        <f t="shared" si="6"/>
        <v>3.6983661850982966E-2</v>
      </c>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row>
    <row r="103" spans="1:36" s="1" customFormat="1" ht="15" customHeight="1" thickBot="1" x14ac:dyDescent="0.3">
      <c r="B103" s="1" t="str">
        <f>'Variante Vorgaben'!B228</f>
        <v>Fallen: Ankauf</v>
      </c>
      <c r="C103" s="1194">
        <f>'Variante Vorgaben'!C228</f>
        <v>34</v>
      </c>
      <c r="D103" s="48">
        <f>'Variante Vorgaben'!D228</f>
        <v>47</v>
      </c>
      <c r="E103" s="736">
        <f>C103*D103</f>
        <v>1598</v>
      </c>
      <c r="F103" s="731">
        <f t="shared" si="6"/>
        <v>0.14774972909467696</v>
      </c>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row>
    <row r="104" spans="1:36" s="1" customFormat="1" ht="15" customHeight="1" x14ac:dyDescent="0.3">
      <c r="C104" s="96"/>
      <c r="D104" s="91"/>
      <c r="E104" s="85">
        <f>SUM(E99:E103)</f>
        <v>3832.5</v>
      </c>
      <c r="F104" s="731">
        <f t="shared" si="6"/>
        <v>0.35434971010973054</v>
      </c>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row>
    <row r="105" spans="1:36" ht="15" customHeight="1" x14ac:dyDescent="0.35">
      <c r="A105" s="600" t="s">
        <v>19</v>
      </c>
      <c r="B105" s="526"/>
      <c r="C105" s="581"/>
      <c r="D105" s="602"/>
      <c r="E105" s="603">
        <f>E97+E98+E104</f>
        <v>7480.586666666667</v>
      </c>
      <c r="F105" s="604">
        <f>E105/E114</f>
        <v>0.69164871931742966</v>
      </c>
    </row>
    <row r="106" spans="1:36" ht="19.5" customHeight="1" x14ac:dyDescent="0.3">
      <c r="A106" s="3" t="s">
        <v>23</v>
      </c>
      <c r="C106" s="120" t="s">
        <v>76</v>
      </c>
      <c r="D106" s="307" t="s">
        <v>21</v>
      </c>
      <c r="E106" s="305" t="s">
        <v>13</v>
      </c>
      <c r="F106" s="593"/>
    </row>
    <row r="107" spans="1:36" ht="16.5" customHeight="1" x14ac:dyDescent="0.25">
      <c r="A107" s="13"/>
      <c r="B107" s="1" t="s">
        <v>89</v>
      </c>
      <c r="C107" s="40">
        <f>'Variante Vorgaben'!C197*C111</f>
        <v>7</v>
      </c>
      <c r="D107" s="97">
        <f>D55</f>
        <v>15</v>
      </c>
      <c r="E107" s="46">
        <f>C107*D107</f>
        <v>105</v>
      </c>
      <c r="F107" s="731">
        <f>E107/E114</f>
        <v>9.708211235883028E-3</v>
      </c>
      <c r="G107" s="5"/>
    </row>
    <row r="108" spans="1:36" ht="16.5" customHeight="1" thickBot="1" x14ac:dyDescent="0.3">
      <c r="A108" s="13"/>
      <c r="B108" s="1" t="s">
        <v>86</v>
      </c>
      <c r="C108" s="40">
        <f>C107</f>
        <v>7</v>
      </c>
      <c r="D108" s="97">
        <f>D60</f>
        <v>41</v>
      </c>
      <c r="E108" s="474">
        <f>C108*D108</f>
        <v>287</v>
      </c>
      <c r="F108" s="731">
        <f>E108/E114</f>
        <v>2.6535777378080279E-2</v>
      </c>
      <c r="G108" s="5"/>
    </row>
    <row r="109" spans="1:36" ht="16.5" customHeight="1" x14ac:dyDescent="0.3">
      <c r="A109" s="13"/>
      <c r="B109" s="1"/>
      <c r="C109" s="40"/>
      <c r="D109" s="97"/>
      <c r="E109" s="85">
        <f>SUM(E107:E108)</f>
        <v>392</v>
      </c>
      <c r="F109" s="734">
        <f>E109/E114</f>
        <v>3.6243988613963309E-2</v>
      </c>
      <c r="G109" s="5"/>
    </row>
    <row r="110" spans="1:36" ht="16.5" customHeight="1" x14ac:dyDescent="0.3">
      <c r="A110" s="3" t="s">
        <v>28</v>
      </c>
      <c r="C110" s="120" t="s">
        <v>27</v>
      </c>
      <c r="D110" s="307" t="s">
        <v>21</v>
      </c>
      <c r="E110" s="305" t="s">
        <v>22</v>
      </c>
      <c r="F110" s="826"/>
      <c r="G110" s="5"/>
    </row>
    <row r="111" spans="1:36" ht="16.5" customHeight="1" x14ac:dyDescent="0.3">
      <c r="B111" s="1" t="s">
        <v>33</v>
      </c>
      <c r="C111" s="344">
        <f>'Variante Vorgaben'!C230</f>
        <v>70</v>
      </c>
      <c r="D111" s="45">
        <f>'Standard Vorgaben'!$C$36</f>
        <v>32.700000000000003</v>
      </c>
      <c r="E111" s="85">
        <f>C111*D111</f>
        <v>2289</v>
      </c>
      <c r="F111" s="734">
        <f>E111/E114</f>
        <v>0.21163900494225002</v>
      </c>
      <c r="G111" s="5"/>
    </row>
    <row r="112" spans="1:36" ht="16.5" customHeight="1" x14ac:dyDescent="0.3">
      <c r="B112" s="1" t="str">
        <f>'Variante Vorgaben'!B231</f>
        <v>Mäusezaun erstellen</v>
      </c>
      <c r="C112" s="344">
        <f>'Variante Vorgaben'!C231</f>
        <v>20</v>
      </c>
      <c r="D112" s="45">
        <f>'Standard Vorgaben'!$C$36</f>
        <v>32.700000000000003</v>
      </c>
      <c r="E112" s="85">
        <f>C112*D112</f>
        <v>654</v>
      </c>
      <c r="F112" s="734"/>
      <c r="G112" s="5"/>
    </row>
    <row r="113" spans="1:36" s="16" customFormat="1" ht="15.5" x14ac:dyDescent="0.35">
      <c r="A113" s="600" t="s">
        <v>35</v>
      </c>
      <c r="B113" s="606"/>
      <c r="C113" s="607"/>
      <c r="D113" s="608"/>
      <c r="E113" s="688">
        <f>E109+E111+E112</f>
        <v>3335</v>
      </c>
      <c r="F113" s="604">
        <f>E113/E114</f>
        <v>0.30835128068257051</v>
      </c>
      <c r="G113" s="21"/>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row>
    <row r="114" spans="1:36" s="23" customFormat="1" ht="18" customHeight="1" x14ac:dyDescent="0.35">
      <c r="A114" s="609" t="s">
        <v>93</v>
      </c>
      <c r="B114" s="610"/>
      <c r="C114" s="611"/>
      <c r="D114" s="612"/>
      <c r="E114" s="613">
        <f>E105+E113</f>
        <v>10815.586666666666</v>
      </c>
      <c r="F114" s="604">
        <f>E114/E114</f>
        <v>1</v>
      </c>
      <c r="G114" s="22"/>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row>
    <row r="115" spans="1:36" s="104" customFormat="1" ht="13.5" customHeight="1" x14ac:dyDescent="0.4">
      <c r="A115" s="98"/>
      <c r="B115" s="99"/>
      <c r="C115" s="100"/>
      <c r="D115" s="101"/>
      <c r="E115" s="102"/>
      <c r="F115" s="91"/>
      <c r="G115" s="22"/>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row>
    <row r="116" spans="1:36" s="104" customFormat="1" ht="20.5" customHeight="1" x14ac:dyDescent="0.4">
      <c r="A116" s="291" t="s">
        <v>397</v>
      </c>
      <c r="B116" s="99"/>
      <c r="C116" s="100"/>
      <c r="D116" s="101"/>
      <c r="E116" s="292">
        <f>E114-E97</f>
        <v>7467.4999999999991</v>
      </c>
      <c r="F116" s="91"/>
      <c r="G116" s="22"/>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c r="AD116" s="103"/>
      <c r="AE116" s="103"/>
      <c r="AF116" s="103"/>
      <c r="AG116" s="103"/>
      <c r="AH116" s="103"/>
      <c r="AI116" s="103"/>
      <c r="AJ116" s="103"/>
    </row>
    <row r="117" spans="1:36" s="104" customFormat="1" ht="20.5" customHeight="1" x14ac:dyDescent="0.4">
      <c r="A117" s="98"/>
      <c r="B117" s="99"/>
      <c r="C117" s="100"/>
      <c r="D117" s="101"/>
      <c r="E117" s="102"/>
      <c r="F117" s="91"/>
      <c r="G117" s="22"/>
      <c r="H117" s="103"/>
      <c r="I117" s="103"/>
      <c r="J117" s="103"/>
      <c r="K117" s="103"/>
      <c r="L117" s="103"/>
      <c r="M117" s="103"/>
      <c r="N117" s="103"/>
      <c r="O117" s="103"/>
      <c r="P117" s="103"/>
      <c r="Q117" s="103"/>
      <c r="R117" s="103"/>
      <c r="S117" s="103"/>
      <c r="T117" s="103"/>
      <c r="U117" s="103"/>
      <c r="V117" s="103"/>
      <c r="W117" s="103"/>
      <c r="X117" s="103"/>
      <c r="Y117" s="103"/>
      <c r="Z117" s="103"/>
      <c r="AA117" s="103"/>
      <c r="AB117" s="103"/>
      <c r="AC117" s="103"/>
      <c r="AD117" s="103"/>
      <c r="AE117" s="103"/>
      <c r="AF117" s="103"/>
      <c r="AG117" s="103"/>
      <c r="AH117" s="103"/>
      <c r="AI117" s="103"/>
      <c r="AJ117" s="103"/>
    </row>
    <row r="119" spans="1:36" ht="18" x14ac:dyDescent="0.4">
      <c r="A119" s="291" t="s">
        <v>606</v>
      </c>
      <c r="C119" t="s">
        <v>475</v>
      </c>
    </row>
    <row r="120" spans="1:36" x14ac:dyDescent="0.25">
      <c r="C120" s="120" t="s">
        <v>11</v>
      </c>
      <c r="D120" s="307" t="s">
        <v>12</v>
      </c>
      <c r="E120" s="305" t="s">
        <v>13</v>
      </c>
      <c r="F120" s="305"/>
    </row>
    <row r="121" spans="1:36" x14ac:dyDescent="0.25">
      <c r="A121" t="s">
        <v>476</v>
      </c>
      <c r="B121" t="s">
        <v>477</v>
      </c>
      <c r="E121" s="46">
        <f>'Variante Bewässerung'!H16</f>
        <v>5860.9</v>
      </c>
      <c r="F121" s="91">
        <f t="shared" ref="F121:F127" si="7">E121/$E$128</f>
        <v>0.3666325529721452</v>
      </c>
    </row>
    <row r="122" spans="1:36" x14ac:dyDescent="0.25">
      <c r="B122" t="s">
        <v>478</v>
      </c>
      <c r="E122" s="46">
        <f>'Variante Bewässerung'!H21</f>
        <v>1807.6</v>
      </c>
      <c r="F122" s="91">
        <f t="shared" si="7"/>
        <v>0.11307563731721232</v>
      </c>
    </row>
    <row r="123" spans="1:36" x14ac:dyDescent="0.25">
      <c r="B123" t="s">
        <v>479</v>
      </c>
      <c r="E123" s="46">
        <f>'Variante Bewässerung'!H29</f>
        <v>1386.5</v>
      </c>
      <c r="F123" s="91">
        <f t="shared" si="7"/>
        <v>8.6733442764060018E-2</v>
      </c>
    </row>
    <row r="124" spans="1:36" ht="13" thickBot="1" x14ac:dyDescent="0.3">
      <c r="B124" t="s">
        <v>509</v>
      </c>
      <c r="E124" s="46"/>
      <c r="F124" s="91">
        <f t="shared" si="7"/>
        <v>0</v>
      </c>
    </row>
    <row r="125" spans="1:36" ht="13" x14ac:dyDescent="0.3">
      <c r="E125" s="1063">
        <f>SUM(E121:E123)</f>
        <v>9055</v>
      </c>
      <c r="F125" s="91">
        <f t="shared" si="7"/>
        <v>0.56644163305341755</v>
      </c>
    </row>
    <row r="126" spans="1:36" x14ac:dyDescent="0.25">
      <c r="A126" t="s">
        <v>539</v>
      </c>
      <c r="E126" s="1123">
        <f>'Standard Bewässerung'!H48</f>
        <v>2650</v>
      </c>
      <c r="F126" s="91">
        <f t="shared" si="7"/>
        <v>0.165772537558427</v>
      </c>
    </row>
    <row r="127" spans="1:36" x14ac:dyDescent="0.25">
      <c r="A127" t="s">
        <v>540</v>
      </c>
      <c r="B127" s="10"/>
      <c r="E127" s="1123">
        <f>'Standard Bewässerung'!H49</f>
        <v>4280.76</v>
      </c>
      <c r="F127" s="91">
        <f t="shared" si="7"/>
        <v>0.26778582938815548</v>
      </c>
    </row>
    <row r="128" spans="1:36" ht="18" x14ac:dyDescent="0.4">
      <c r="A128" s="601" t="s">
        <v>483</v>
      </c>
      <c r="B128" s="610"/>
      <c r="C128" s="612"/>
      <c r="D128" s="1278">
        <f>'Variante Vorgaben'!C237</f>
        <v>1</v>
      </c>
      <c r="E128" s="614">
        <f>E125+E126+E127</f>
        <v>15985.76</v>
      </c>
      <c r="F128" s="604">
        <f>E128/E128</f>
        <v>1</v>
      </c>
    </row>
    <row r="129" spans="1:6" ht="13" x14ac:dyDescent="0.3">
      <c r="A129" s="1124" t="s">
        <v>481</v>
      </c>
      <c r="B129" s="1124"/>
      <c r="C129" s="1124"/>
      <c r="D129" s="1124"/>
      <c r="E129" s="1124"/>
      <c r="F129" s="1124"/>
    </row>
    <row r="130" spans="1:6" x14ac:dyDescent="0.25">
      <c r="B130" s="57" t="s">
        <v>484</v>
      </c>
      <c r="C130" s="10">
        <f>'Variante Bewässerung'!E53</f>
        <v>10</v>
      </c>
      <c r="D130">
        <f>'Variante Vorgaben'!$C$36</f>
        <v>32.700000000000003</v>
      </c>
      <c r="E130" s="10">
        <f>C130*D130</f>
        <v>327</v>
      </c>
    </row>
    <row r="131" spans="1:6" x14ac:dyDescent="0.25">
      <c r="B131" t="s">
        <v>485</v>
      </c>
      <c r="C131" s="10">
        <f>'Variante Bewässerung'!E51</f>
        <v>4</v>
      </c>
      <c r="D131">
        <f>'Variante Vorgaben'!$C$36</f>
        <v>32.700000000000003</v>
      </c>
      <c r="E131" s="10">
        <f>C131*D131</f>
        <v>130.80000000000001</v>
      </c>
    </row>
    <row r="132" spans="1:6" x14ac:dyDescent="0.25">
      <c r="B132" t="s">
        <v>486</v>
      </c>
      <c r="C132" s="10">
        <f>'Variante Bewässerung'!E54</f>
        <v>500</v>
      </c>
      <c r="D132" s="1060">
        <f>'Variante Vorgaben'!$C$236</f>
        <v>2</v>
      </c>
      <c r="E132" s="10">
        <f>C132*D132</f>
        <v>1000</v>
      </c>
    </row>
    <row r="133" spans="1:6" ht="13.5" thickBot="1" x14ac:dyDescent="0.35">
      <c r="C133" s="1058">
        <f>SUM(C130:C131)</f>
        <v>14</v>
      </c>
      <c r="E133" s="1056">
        <f>E130+E131+E132</f>
        <v>1457.8</v>
      </c>
    </row>
    <row r="134" spans="1:6" ht="13" thickTop="1" x14ac:dyDescent="0.25"/>
    <row r="135" spans="1:6" ht="18" x14ac:dyDescent="0.4">
      <c r="A135" s="291" t="s">
        <v>606</v>
      </c>
      <c r="C135" t="s">
        <v>475</v>
      </c>
    </row>
    <row r="136" spans="1:6" x14ac:dyDescent="0.25">
      <c r="C136" s="120" t="s">
        <v>11</v>
      </c>
      <c r="D136" s="307" t="s">
        <v>12</v>
      </c>
      <c r="E136" s="305" t="s">
        <v>13</v>
      </c>
      <c r="F136" s="305"/>
    </row>
    <row r="137" spans="1:6" x14ac:dyDescent="0.25">
      <c r="A137" t="s">
        <v>476</v>
      </c>
      <c r="B137" t="s">
        <v>477</v>
      </c>
      <c r="E137" s="46">
        <f>'Variante Bewässerung'!H68</f>
        <v>9270.0969999999998</v>
      </c>
      <c r="F137" s="91">
        <f t="shared" ref="F137:F143" si="8">E137/$E$128</f>
        <v>0.57989717098217408</v>
      </c>
    </row>
    <row r="138" spans="1:6" x14ac:dyDescent="0.25">
      <c r="B138" t="s">
        <v>478</v>
      </c>
      <c r="E138" s="46">
        <f>'Variante Bewässerung'!H73</f>
        <v>1725</v>
      </c>
      <c r="F138" s="91">
        <f t="shared" si="8"/>
        <v>0.10790853859935343</v>
      </c>
    </row>
    <row r="139" spans="1:6" x14ac:dyDescent="0.25">
      <c r="B139" t="s">
        <v>479</v>
      </c>
      <c r="E139" s="46">
        <f>'Variante Bewässerung'!H81</f>
        <v>1829</v>
      </c>
      <c r="F139" s="91">
        <f t="shared" si="8"/>
        <v>0.11441432875258981</v>
      </c>
    </row>
    <row r="140" spans="1:6" ht="13" thickBot="1" x14ac:dyDescent="0.3">
      <c r="B140" t="s">
        <v>509</v>
      </c>
      <c r="E140" s="46">
        <f>'Variante Bewässerung'!H43</f>
        <v>0</v>
      </c>
      <c r="F140" s="91">
        <f t="shared" si="8"/>
        <v>0</v>
      </c>
    </row>
    <row r="141" spans="1:6" ht="13" x14ac:dyDescent="0.3">
      <c r="E141" s="1063">
        <f>SUM(E137:E139)</f>
        <v>12824.097</v>
      </c>
      <c r="F141" s="91">
        <f t="shared" si="8"/>
        <v>0.80222003833411737</v>
      </c>
    </row>
    <row r="142" spans="1:6" x14ac:dyDescent="0.25">
      <c r="A142" t="s">
        <v>539</v>
      </c>
      <c r="E142" s="1123">
        <f>'Variante Bewässerung'!H100</f>
        <v>2650</v>
      </c>
      <c r="F142" s="91">
        <f t="shared" si="8"/>
        <v>0.165772537558427</v>
      </c>
    </row>
    <row r="143" spans="1:6" x14ac:dyDescent="0.25">
      <c r="A143" t="s">
        <v>540</v>
      </c>
      <c r="B143" s="10"/>
      <c r="E143" s="1123">
        <f>'Variante Bewässerung'!H101</f>
        <v>4736.16</v>
      </c>
      <c r="F143" s="91">
        <f t="shared" si="8"/>
        <v>0.29627368357838474</v>
      </c>
    </row>
    <row r="144" spans="1:6" ht="18" x14ac:dyDescent="0.4">
      <c r="A144" s="601" t="s">
        <v>483</v>
      </c>
      <c r="B144" s="610"/>
      <c r="C144" s="612"/>
      <c r="D144" s="1278">
        <f>'Variante Vorgaben'!C238</f>
        <v>0</v>
      </c>
      <c r="E144" s="614">
        <f>E141+E142+E143</f>
        <v>20210.256999999998</v>
      </c>
      <c r="F144" s="604">
        <f>E144/E144</f>
        <v>1</v>
      </c>
    </row>
    <row r="145" spans="1:6" ht="13" x14ac:dyDescent="0.3">
      <c r="A145" s="1124" t="s">
        <v>481</v>
      </c>
      <c r="B145" s="1124"/>
      <c r="C145" s="1124"/>
      <c r="D145" s="1124"/>
      <c r="E145" s="1124"/>
      <c r="F145" s="1124"/>
    </row>
    <row r="146" spans="1:6" x14ac:dyDescent="0.25">
      <c r="B146" s="57" t="s">
        <v>484</v>
      </c>
      <c r="C146" s="10">
        <v>10</v>
      </c>
      <c r="D146">
        <f>'Variante Vorgaben'!$C$36</f>
        <v>32.700000000000003</v>
      </c>
      <c r="E146" s="10">
        <f>C146*D146</f>
        <v>327</v>
      </c>
    </row>
    <row r="147" spans="1:6" x14ac:dyDescent="0.25">
      <c r="B147" t="s">
        <v>485</v>
      </c>
      <c r="C147" s="10">
        <v>4</v>
      </c>
      <c r="D147">
        <f>'Standard Vorgaben'!$C$36</f>
        <v>32.700000000000003</v>
      </c>
      <c r="E147" s="10">
        <f>C147*D147</f>
        <v>130.80000000000001</v>
      </c>
    </row>
    <row r="148" spans="1:6" x14ac:dyDescent="0.25">
      <c r="B148" t="s">
        <v>486</v>
      </c>
      <c r="C148" s="10">
        <v>500</v>
      </c>
      <c r="D148" s="1060">
        <f>'Variante Vorgaben'!$C$236</f>
        <v>2</v>
      </c>
      <c r="E148" s="10">
        <f>C148*D148</f>
        <v>1000</v>
      </c>
    </row>
    <row r="149" spans="1:6" ht="13.5" thickBot="1" x14ac:dyDescent="0.35">
      <c r="C149" s="1058">
        <f>SUM(C146:C147)</f>
        <v>14</v>
      </c>
      <c r="E149" s="1056">
        <f>E146+E147+E148</f>
        <v>1457.8</v>
      </c>
    </row>
    <row r="150" spans="1:6" ht="23" thickTop="1" x14ac:dyDescent="0.45">
      <c r="A150" s="601" t="s">
        <v>615</v>
      </c>
      <c r="B150" s="610"/>
      <c r="C150" s="1279">
        <f>IF(C154=0,1,0)</f>
        <v>0</v>
      </c>
      <c r="D150" s="614">
        <f>E83+E114</f>
        <v>72143.262166666667</v>
      </c>
      <c r="E150" s="614">
        <f>C150*D150</f>
        <v>0</v>
      </c>
      <c r="F150" s="1272"/>
    </row>
    <row r="151" spans="1:6" ht="22.5" x14ac:dyDescent="0.45">
      <c r="A151" s="601" t="s">
        <v>616</v>
      </c>
      <c r="B151" s="610"/>
      <c r="C151" s="1279">
        <f>IF('Variante Vorgaben'!C239=1,0,'Variante Vorgaben'!C233)</f>
        <v>0</v>
      </c>
      <c r="D151" s="614">
        <f>E84+E114</f>
        <v>103609.98316666667</v>
      </c>
      <c r="E151" s="614">
        <f>C151*D151</f>
        <v>0</v>
      </c>
      <c r="F151" s="1272"/>
    </row>
    <row r="152" spans="1:6" ht="22.5" x14ac:dyDescent="0.45">
      <c r="A152" s="601" t="s">
        <v>609</v>
      </c>
      <c r="B152" s="610"/>
      <c r="C152" s="1279">
        <f>IF('Variante Vorgaben'!C246=2,1,0)</f>
        <v>1</v>
      </c>
      <c r="D152" s="614">
        <f>D128*E128+D144*E144</f>
        <v>15985.76</v>
      </c>
      <c r="E152" s="614">
        <f>(D152+E84)*C152</f>
        <v>108780.1565</v>
      </c>
      <c r="F152" s="1272"/>
    </row>
    <row r="153" spans="1:6" ht="22.5" x14ac:dyDescent="0.45">
      <c r="A153" s="601" t="s">
        <v>617</v>
      </c>
      <c r="B153" s="610"/>
      <c r="C153" s="1279">
        <f>IF(C152=1,0,'Variante Vorgaben'!C239)</f>
        <v>0</v>
      </c>
      <c r="D153" s="614">
        <f>D128*E128+D144*E144</f>
        <v>15985.76</v>
      </c>
      <c r="E153" s="614">
        <f>(E83+E114)*C153+D153</f>
        <v>15985.76</v>
      </c>
      <c r="F153" s="1272"/>
    </row>
    <row r="154" spans="1:6" x14ac:dyDescent="0.25">
      <c r="C154" s="1288">
        <f>SUM(C151:C153)</f>
        <v>1</v>
      </c>
    </row>
    <row r="155" spans="1:6" ht="18" x14ac:dyDescent="0.4">
      <c r="A155" s="601" t="s">
        <v>610</v>
      </c>
      <c r="B155" s="526"/>
      <c r="C155" s="526"/>
      <c r="D155" s="526"/>
      <c r="E155" s="614">
        <f>SUM(E150:E153)</f>
        <v>124765.91649999999</v>
      </c>
      <c r="F155" s="526"/>
    </row>
  </sheetData>
  <mergeCells count="5">
    <mergeCell ref="B3:F3"/>
    <mergeCell ref="A37:A39"/>
    <mergeCell ref="A10:A13"/>
    <mergeCell ref="A16:A26"/>
    <mergeCell ref="A30:A34"/>
  </mergeCells>
  <phoneticPr fontId="0" type="noConversion"/>
  <pageMargins left="0.78740157499999996" right="0.78740157499999996" top="0.984251969" bottom="0.984251969" header="0.4921259845" footer="0.4921259845"/>
  <pageSetup paperSize="9" orientation="portrait" r:id="rId1"/>
  <headerFooter alignWithMargins="0">
    <oddHeader>&amp;LArbokost BIO 2008/09&amp;REsther Bravin, ACW</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tandardStandjahre1">
    <tabColor indexed="8"/>
  </sheetPr>
  <dimension ref="A1:DK98"/>
  <sheetViews>
    <sheetView topLeftCell="H52" zoomScaleNormal="100" workbookViewId="0">
      <selection activeCell="J57" sqref="J57"/>
    </sheetView>
  </sheetViews>
  <sheetFormatPr baseColWidth="10" defaultRowHeight="14" x14ac:dyDescent="0.3"/>
  <cols>
    <col min="1" max="1" width="33.1796875" style="12" customWidth="1"/>
    <col min="2" max="2" width="30.7265625" style="15" customWidth="1"/>
    <col min="3" max="3" width="18.36328125" style="10" customWidth="1"/>
    <col min="4" max="4" width="12.81640625" style="10" customWidth="1"/>
    <col min="5" max="5" width="13.36328125" style="24" customWidth="1"/>
    <col min="6" max="6" width="22" style="25" customWidth="1"/>
    <col min="7" max="7" width="10.26953125" style="10" customWidth="1"/>
    <col min="8" max="8" width="37.36328125" style="332" customWidth="1"/>
    <col min="9" max="9" width="26.7265625" style="10" customWidth="1"/>
    <col min="10" max="10" width="18.36328125" customWidth="1"/>
    <col min="11" max="11" width="12.81640625" customWidth="1"/>
    <col min="12" max="12" width="13.36328125" customWidth="1"/>
    <col min="13" max="13" width="20.1796875" customWidth="1"/>
    <col min="14" max="14" width="10.7265625" style="1" customWidth="1"/>
    <col min="15" max="15" width="37.36328125" style="212" customWidth="1"/>
    <col min="16" max="16" width="25.54296875" customWidth="1"/>
    <col min="17" max="17" width="18.36328125" customWidth="1"/>
    <col min="18" max="18" width="12.81640625" style="26" customWidth="1"/>
    <col min="19" max="19" width="13.36328125" customWidth="1"/>
    <col min="20" max="20" width="20.26953125" customWidth="1"/>
    <col min="21" max="21" width="10.7265625" style="337" customWidth="1"/>
    <col min="22" max="22" width="37.36328125" style="212" customWidth="1"/>
    <col min="23" max="23" width="25.54296875" customWidth="1"/>
    <col min="24" max="24" width="18.36328125" customWidth="1"/>
    <col min="25" max="25" width="12.81640625" customWidth="1"/>
    <col min="26" max="26" width="13.36328125" customWidth="1"/>
    <col min="27" max="27" width="19.1796875" customWidth="1"/>
    <col min="28" max="28" width="10.7265625" style="1" customWidth="1"/>
    <col min="29" max="29" width="37.36328125" style="212" customWidth="1"/>
    <col min="30" max="30" width="25.54296875" customWidth="1"/>
    <col min="31" max="31" width="18.36328125" customWidth="1"/>
    <col min="32" max="32" width="12.81640625" customWidth="1"/>
    <col min="33" max="33" width="13.36328125" customWidth="1"/>
    <col min="34" max="34" width="19.26953125" customWidth="1"/>
    <col min="35" max="35" width="10.7265625" style="1" customWidth="1"/>
    <col min="36" max="36" width="37.36328125" style="212" customWidth="1"/>
    <col min="37" max="37" width="25.54296875" customWidth="1"/>
    <col min="38" max="38" width="18.36328125" customWidth="1"/>
    <col min="39" max="39" width="12.81640625" customWidth="1"/>
    <col min="40" max="40" width="13.36328125" customWidth="1"/>
    <col min="41" max="41" width="17.36328125" customWidth="1"/>
    <col min="42" max="42" width="10.7265625" style="1" customWidth="1"/>
    <col min="43" max="43" width="37.36328125" style="212" customWidth="1"/>
    <col min="44" max="44" width="25.54296875" customWidth="1"/>
    <col min="45" max="45" width="18.36328125" customWidth="1"/>
    <col min="46" max="46" width="12.81640625" customWidth="1"/>
    <col min="47" max="47" width="13.36328125" customWidth="1"/>
    <col min="48" max="48" width="17.36328125" customWidth="1"/>
    <col min="49" max="49" width="10.7265625" style="1" customWidth="1"/>
    <col min="50" max="50" width="37.36328125" style="212" customWidth="1"/>
    <col min="51" max="51" width="25.54296875" customWidth="1"/>
    <col min="52" max="52" width="18.36328125" customWidth="1"/>
    <col min="53" max="53" width="12.81640625" customWidth="1"/>
    <col min="54" max="54" width="13.36328125" customWidth="1"/>
    <col min="55" max="55" width="17.36328125" customWidth="1"/>
    <col min="56" max="56" width="10.7265625" style="1" customWidth="1"/>
    <col min="57" max="57" width="37.36328125" style="212" customWidth="1"/>
    <col min="58" max="58" width="25.54296875" customWidth="1"/>
    <col min="59" max="59" width="18.36328125" customWidth="1"/>
    <col min="60" max="60" width="12.81640625" customWidth="1"/>
    <col min="61" max="61" width="13.36328125" customWidth="1"/>
    <col min="62" max="62" width="17.36328125" customWidth="1"/>
    <col min="63" max="63" width="10.7265625" style="1" customWidth="1"/>
    <col min="64" max="64" width="37.36328125" style="212" customWidth="1"/>
    <col min="65" max="65" width="25.54296875" customWidth="1"/>
    <col min="66" max="66" width="18.36328125" customWidth="1"/>
    <col min="67" max="67" width="12.81640625" customWidth="1"/>
    <col min="68" max="68" width="13.36328125" customWidth="1"/>
    <col min="69" max="69" width="17.36328125" customWidth="1"/>
    <col min="70" max="70" width="10.7265625" style="1" customWidth="1"/>
    <col min="71" max="71" width="37.36328125" style="212" customWidth="1"/>
    <col min="72" max="72" width="25.54296875" customWidth="1"/>
    <col min="73" max="73" width="18.36328125" customWidth="1"/>
    <col min="74" max="74" width="12.81640625" customWidth="1"/>
    <col min="75" max="75" width="13.36328125" customWidth="1"/>
    <col min="76" max="76" width="17.36328125" customWidth="1"/>
    <col min="77" max="77" width="10.7265625" style="1" customWidth="1"/>
    <col min="78" max="78" width="37.36328125" style="212" customWidth="1"/>
    <col min="79" max="79" width="25.54296875" customWidth="1"/>
    <col min="80" max="80" width="18.36328125" customWidth="1"/>
    <col min="81" max="81" width="12.81640625" customWidth="1"/>
    <col min="82" max="82" width="13.36328125" customWidth="1"/>
    <col min="83" max="83" width="17.36328125" customWidth="1"/>
    <col min="84" max="84" width="10.7265625" style="1" customWidth="1"/>
    <col min="85" max="85" width="37.36328125" style="212" customWidth="1"/>
    <col min="86" max="86" width="25.54296875" customWidth="1"/>
    <col min="87" max="87" width="18.36328125" customWidth="1"/>
    <col min="88" max="88" width="12.81640625" customWidth="1"/>
    <col min="89" max="89" width="13.36328125" customWidth="1"/>
    <col min="90" max="90" width="17.36328125" customWidth="1"/>
    <col min="91" max="91" width="10.7265625" style="1" customWidth="1"/>
    <col min="92" max="92" width="37.36328125" style="212" customWidth="1"/>
    <col min="93" max="93" width="25.54296875" customWidth="1"/>
    <col min="94" max="94" width="18.36328125" customWidth="1"/>
    <col min="95" max="95" width="12.81640625" customWidth="1"/>
    <col min="96" max="96" width="13.36328125" customWidth="1"/>
    <col min="97" max="97" width="17.36328125" customWidth="1"/>
    <col min="98" max="98" width="10.7265625" style="1" customWidth="1"/>
    <col min="99" max="99" width="37.36328125" style="212" customWidth="1"/>
    <col min="100" max="100" width="25.54296875" customWidth="1"/>
    <col min="101" max="101" width="18.36328125" customWidth="1"/>
    <col min="102" max="102" width="12.81640625" customWidth="1"/>
    <col min="103" max="103" width="13.36328125" customWidth="1"/>
    <col min="104" max="104" width="17.36328125" customWidth="1"/>
    <col min="105" max="105" width="10.7265625" style="19" customWidth="1"/>
  </cols>
  <sheetData>
    <row r="1" spans="1:105" s="13" customFormat="1" ht="42" customHeight="1" x14ac:dyDescent="0.35">
      <c r="A1" s="1287" t="str">
        <f>Eingabeseite!$A$1</f>
        <v>Arbokost 2023</v>
      </c>
      <c r="B1" s="1284" t="str">
        <f>'Variante Erstellung'!B1</f>
        <v>BIO- Tafelapfel, Gala auf M9, 3000 Bäume /ha</v>
      </c>
      <c r="C1" s="999"/>
      <c r="D1" s="1000"/>
      <c r="E1" s="1001"/>
      <c r="F1" s="1002"/>
      <c r="G1" s="1003"/>
      <c r="H1" s="833"/>
      <c r="I1" s="833"/>
      <c r="J1" s="833"/>
      <c r="K1" s="833"/>
      <c r="L1" s="833"/>
      <c r="M1" s="833"/>
      <c r="N1" s="833"/>
      <c r="O1" s="833"/>
      <c r="P1" s="833"/>
      <c r="Q1" s="833"/>
      <c r="R1" s="833"/>
      <c r="S1" s="833"/>
      <c r="T1" s="833"/>
      <c r="U1" s="833"/>
      <c r="V1" s="833"/>
      <c r="W1" s="833"/>
      <c r="X1" s="833"/>
      <c r="Y1" s="833"/>
      <c r="Z1" s="833"/>
      <c r="AA1" s="833"/>
      <c r="AB1" s="833"/>
      <c r="AC1" s="833"/>
      <c r="AD1" s="833"/>
      <c r="AE1" s="833"/>
      <c r="AF1" s="833"/>
      <c r="AG1" s="833"/>
      <c r="AH1" s="833"/>
      <c r="AI1" s="833"/>
      <c r="AJ1" s="833"/>
      <c r="AK1" s="833"/>
      <c r="AL1" s="833"/>
      <c r="AM1" s="833"/>
      <c r="AN1" s="833"/>
      <c r="AO1" s="833"/>
      <c r="AP1" s="833"/>
      <c r="AQ1" s="833"/>
      <c r="AR1" s="833"/>
      <c r="AS1" s="833"/>
      <c r="AT1" s="833"/>
      <c r="AU1" s="833"/>
      <c r="AV1" s="833"/>
      <c r="AW1" s="833"/>
      <c r="AX1" s="833"/>
      <c r="AY1" s="833"/>
      <c r="AZ1" s="833"/>
      <c r="BA1" s="833"/>
      <c r="BB1" s="833"/>
      <c r="BC1" s="833"/>
      <c r="BD1" s="833"/>
      <c r="BE1" s="833"/>
      <c r="BF1" s="833"/>
      <c r="BG1" s="833"/>
      <c r="BH1" s="833"/>
      <c r="BI1" s="833"/>
      <c r="BJ1" s="833"/>
      <c r="BK1" s="833"/>
      <c r="BL1" s="833"/>
      <c r="BM1" s="833"/>
      <c r="BN1" s="833"/>
      <c r="BO1" s="833"/>
      <c r="BP1" s="833"/>
      <c r="BQ1" s="833"/>
      <c r="BR1" s="833"/>
      <c r="BS1" s="833"/>
      <c r="BT1" s="833"/>
      <c r="BU1" s="833"/>
      <c r="BV1" s="833"/>
      <c r="BW1" s="833"/>
      <c r="BX1" s="833"/>
      <c r="BY1" s="833"/>
      <c r="BZ1" s="833"/>
      <c r="CA1" s="833"/>
      <c r="CB1" s="833"/>
      <c r="CC1" s="833"/>
      <c r="CD1" s="833"/>
      <c r="CE1" s="833"/>
      <c r="CF1" s="833"/>
      <c r="CG1" s="833"/>
      <c r="CH1" s="833"/>
      <c r="CI1" s="833"/>
      <c r="CJ1" s="833"/>
      <c r="CK1" s="833"/>
      <c r="CL1" s="833"/>
      <c r="CM1" s="833"/>
      <c r="CN1" s="833"/>
      <c r="CO1" s="833"/>
      <c r="CP1" s="833"/>
      <c r="CQ1" s="833"/>
      <c r="CR1" s="833"/>
      <c r="CS1" s="833"/>
      <c r="CT1" s="833"/>
      <c r="CU1" s="833"/>
      <c r="CV1" s="833"/>
      <c r="CW1" s="833"/>
      <c r="CX1" s="833"/>
      <c r="CY1" s="833"/>
      <c r="CZ1" s="833"/>
      <c r="DA1" s="833"/>
    </row>
    <row r="2" spans="1:105" s="13" customFormat="1" ht="12.75" customHeight="1" x14ac:dyDescent="0.8">
      <c r="A2" s="818"/>
      <c r="B2" s="1014"/>
      <c r="C2" s="999"/>
      <c r="D2" s="1000"/>
      <c r="E2" s="1001"/>
      <c r="F2" s="1002"/>
      <c r="G2" s="1003"/>
      <c r="H2" s="833"/>
      <c r="I2" s="833"/>
      <c r="J2" s="833"/>
      <c r="K2" s="833"/>
      <c r="L2" s="833"/>
      <c r="M2" s="833"/>
      <c r="N2" s="833"/>
      <c r="O2" s="833"/>
      <c r="P2" s="833"/>
      <c r="Q2" s="833"/>
      <c r="R2" s="833"/>
      <c r="S2" s="833"/>
      <c r="T2" s="833"/>
      <c r="U2" s="833"/>
      <c r="V2" s="833"/>
      <c r="W2" s="833"/>
      <c r="X2" s="833"/>
      <c r="Y2" s="833"/>
      <c r="Z2" s="833"/>
      <c r="AA2" s="833"/>
      <c r="AB2" s="833"/>
      <c r="AC2" s="833"/>
      <c r="AD2" s="833"/>
      <c r="AE2" s="833"/>
      <c r="AF2" s="833"/>
      <c r="AG2" s="833"/>
      <c r="AH2" s="833"/>
      <c r="AI2" s="833"/>
      <c r="AJ2" s="833"/>
      <c r="AK2" s="833"/>
      <c r="AL2" s="833"/>
      <c r="AM2" s="833"/>
      <c r="AN2" s="833"/>
      <c r="AO2" s="833"/>
      <c r="AP2" s="833"/>
      <c r="AQ2" s="833"/>
      <c r="AR2" s="833"/>
      <c r="AS2" s="833"/>
      <c r="AT2" s="833"/>
      <c r="AU2" s="833"/>
      <c r="AV2" s="833"/>
      <c r="AW2" s="833"/>
      <c r="AX2" s="833"/>
      <c r="AY2" s="833"/>
      <c r="AZ2" s="833"/>
      <c r="BA2" s="833"/>
      <c r="BB2" s="833"/>
      <c r="BC2" s="833"/>
      <c r="BD2" s="833"/>
      <c r="BE2" s="833"/>
      <c r="BF2" s="833"/>
      <c r="BG2" s="833"/>
      <c r="BH2" s="833"/>
      <c r="BI2" s="833"/>
      <c r="BJ2" s="833"/>
      <c r="BK2" s="833"/>
      <c r="BL2" s="833"/>
      <c r="BM2" s="833"/>
      <c r="BN2" s="833"/>
      <c r="BO2" s="833"/>
      <c r="BP2" s="833"/>
      <c r="BQ2" s="833"/>
      <c r="BR2" s="833"/>
      <c r="BS2" s="833"/>
      <c r="BT2" s="833"/>
      <c r="BU2" s="833"/>
      <c r="BV2" s="833"/>
      <c r="BW2" s="833"/>
      <c r="BX2" s="833"/>
      <c r="BY2" s="833"/>
      <c r="BZ2" s="833"/>
      <c r="CA2" s="833"/>
      <c r="CB2" s="833"/>
      <c r="CC2" s="833"/>
      <c r="CD2" s="833"/>
      <c r="CE2" s="833"/>
      <c r="CF2" s="833"/>
      <c r="CG2" s="833"/>
      <c r="CH2" s="833"/>
      <c r="CI2" s="833"/>
      <c r="CJ2" s="833"/>
      <c r="CK2" s="833"/>
      <c r="CL2" s="833"/>
      <c r="CM2" s="833"/>
      <c r="CN2" s="833"/>
      <c r="CO2" s="833"/>
      <c r="CP2" s="833"/>
      <c r="CQ2" s="833"/>
      <c r="CR2" s="833"/>
      <c r="CS2" s="833"/>
      <c r="CT2" s="833"/>
      <c r="CU2" s="833"/>
      <c r="CV2" s="833"/>
      <c r="CW2" s="833"/>
      <c r="CX2" s="833"/>
      <c r="CY2" s="833"/>
      <c r="CZ2" s="833"/>
      <c r="DA2" s="833"/>
    </row>
    <row r="3" spans="1:105" s="13" customFormat="1" ht="18" customHeight="1" x14ac:dyDescent="0.8">
      <c r="A3" s="818"/>
      <c r="B3" s="1014"/>
      <c r="C3" s="999"/>
      <c r="D3" s="1000"/>
      <c r="E3" s="1001"/>
      <c r="F3" s="1002"/>
      <c r="G3" s="1003"/>
      <c r="H3" s="833"/>
      <c r="I3" s="833"/>
      <c r="J3" s="833"/>
      <c r="K3" s="833"/>
      <c r="L3" s="833"/>
      <c r="M3" s="833"/>
      <c r="N3" s="833"/>
      <c r="O3" s="833"/>
      <c r="P3" s="833"/>
      <c r="Q3" s="833"/>
      <c r="R3" s="833"/>
      <c r="S3" s="833"/>
      <c r="T3" s="833"/>
      <c r="U3" s="833"/>
      <c r="V3" s="833"/>
      <c r="W3" s="833"/>
      <c r="X3" s="833"/>
      <c r="Y3" s="833"/>
      <c r="Z3" s="833"/>
      <c r="AA3" s="833"/>
      <c r="AB3" s="833"/>
      <c r="AC3" s="833"/>
      <c r="AD3" s="833"/>
      <c r="AE3" s="833"/>
      <c r="AF3" s="833"/>
      <c r="AG3" s="833"/>
      <c r="AH3" s="833"/>
      <c r="AI3" s="833"/>
      <c r="AJ3" s="833"/>
      <c r="AK3" s="833"/>
      <c r="AL3" s="833"/>
      <c r="AM3" s="833"/>
      <c r="AN3" s="833"/>
      <c r="AO3" s="833"/>
      <c r="AP3" s="833"/>
      <c r="AQ3" s="833"/>
      <c r="AR3" s="833"/>
      <c r="AS3" s="833"/>
      <c r="AT3" s="833"/>
      <c r="AU3" s="833"/>
      <c r="AV3" s="833"/>
      <c r="AW3" s="833"/>
      <c r="AX3" s="833"/>
      <c r="AY3" s="833"/>
      <c r="AZ3" s="833"/>
      <c r="BA3" s="833"/>
      <c r="BB3" s="833"/>
      <c r="BC3" s="833"/>
      <c r="BD3" s="833"/>
      <c r="BE3" s="833"/>
      <c r="BF3" s="833"/>
      <c r="BG3" s="833"/>
      <c r="BH3" s="833"/>
      <c r="BI3" s="833"/>
      <c r="BJ3" s="833"/>
      <c r="BK3" s="833"/>
      <c r="BL3" s="833"/>
      <c r="BM3" s="833"/>
      <c r="BN3" s="833"/>
      <c r="BO3" s="833"/>
      <c r="BP3" s="833"/>
      <c r="BQ3" s="833"/>
      <c r="BR3" s="833"/>
      <c r="BS3" s="833"/>
      <c r="BT3" s="833"/>
      <c r="BU3" s="833"/>
      <c r="BV3" s="833"/>
      <c r="BW3" s="833"/>
      <c r="BX3" s="833"/>
      <c r="BY3" s="833"/>
      <c r="BZ3" s="833"/>
      <c r="CA3" s="833"/>
      <c r="CB3" s="833"/>
      <c r="CC3" s="833"/>
      <c r="CD3" s="833"/>
      <c r="CE3" s="833"/>
      <c r="CF3" s="833"/>
      <c r="CG3" s="833"/>
      <c r="CH3" s="833"/>
      <c r="CI3" s="833"/>
      <c r="CJ3" s="833"/>
      <c r="CK3" s="833"/>
      <c r="CL3" s="833"/>
      <c r="CM3" s="833"/>
      <c r="CN3" s="833"/>
      <c r="CO3" s="833"/>
      <c r="CP3" s="833"/>
      <c r="CQ3" s="833"/>
      <c r="CR3" s="833"/>
      <c r="CS3" s="833"/>
      <c r="CT3" s="833"/>
      <c r="CU3" s="833"/>
      <c r="CV3" s="833"/>
      <c r="CW3" s="833"/>
      <c r="CX3" s="833"/>
      <c r="CY3" s="833"/>
      <c r="CZ3" s="833"/>
      <c r="DA3" s="833"/>
    </row>
    <row r="4" spans="1:105" s="13" customFormat="1" ht="13" x14ac:dyDescent="0.3">
      <c r="A4" s="906"/>
      <c r="B4" s="1004"/>
      <c r="C4" s="834"/>
      <c r="D4" s="834"/>
      <c r="E4" s="1005"/>
      <c r="F4" s="1006"/>
      <c r="G4" s="834"/>
      <c r="H4" s="834"/>
      <c r="I4" s="834"/>
      <c r="J4" s="833"/>
      <c r="K4" s="833"/>
      <c r="L4" s="833"/>
      <c r="M4" s="833"/>
      <c r="N4" s="833"/>
      <c r="O4" s="834"/>
      <c r="P4" s="834"/>
      <c r="Q4" s="833"/>
      <c r="R4" s="833"/>
      <c r="S4" s="833"/>
      <c r="T4" s="833"/>
      <c r="U4" s="833"/>
      <c r="V4" s="834"/>
      <c r="W4" s="834"/>
      <c r="X4" s="833"/>
      <c r="Y4" s="833"/>
      <c r="Z4" s="833"/>
      <c r="AA4" s="833"/>
      <c r="AB4" s="833"/>
      <c r="AC4" s="834"/>
      <c r="AD4" s="834"/>
      <c r="AE4" s="833"/>
      <c r="AF4" s="833"/>
      <c r="AG4" s="833"/>
      <c r="AH4" s="833"/>
      <c r="AI4" s="833"/>
      <c r="AJ4" s="834"/>
      <c r="AK4" s="834"/>
      <c r="AL4" s="833"/>
      <c r="AM4" s="833"/>
      <c r="AN4" s="833"/>
      <c r="AO4" s="833"/>
      <c r="AP4" s="833"/>
      <c r="AQ4" s="834"/>
      <c r="AR4" s="834"/>
      <c r="AS4" s="833"/>
      <c r="AT4" s="833"/>
      <c r="AU4" s="833"/>
      <c r="AV4" s="833"/>
      <c r="AW4" s="833"/>
      <c r="AX4" s="834"/>
      <c r="AY4" s="834"/>
      <c r="AZ4" s="833"/>
      <c r="BA4" s="833"/>
      <c r="BB4" s="833"/>
      <c r="BC4" s="833"/>
      <c r="BD4" s="833"/>
      <c r="BE4" s="834"/>
      <c r="BF4" s="834"/>
      <c r="BG4" s="833"/>
      <c r="BH4" s="833"/>
      <c r="BI4" s="833"/>
      <c r="BJ4" s="833"/>
      <c r="BK4" s="833"/>
      <c r="BL4" s="834"/>
      <c r="BM4" s="834"/>
      <c r="BN4" s="833"/>
      <c r="BO4" s="833"/>
      <c r="BP4" s="833"/>
      <c r="BQ4" s="833"/>
      <c r="BR4" s="833"/>
      <c r="BS4" s="834"/>
      <c r="BT4" s="834"/>
      <c r="BU4" s="833"/>
      <c r="BV4" s="833"/>
      <c r="BW4" s="833"/>
      <c r="BX4" s="833"/>
      <c r="BY4" s="833"/>
      <c r="BZ4" s="834"/>
      <c r="CA4" s="834"/>
      <c r="CB4" s="833"/>
      <c r="CC4" s="833"/>
      <c r="CD4" s="833"/>
      <c r="CE4" s="833"/>
      <c r="CF4" s="833"/>
      <c r="CG4" s="834"/>
      <c r="CH4" s="834"/>
      <c r="CI4" s="833"/>
      <c r="CJ4" s="833"/>
      <c r="CK4" s="833"/>
      <c r="CL4" s="833"/>
      <c r="CM4" s="833"/>
      <c r="CN4" s="834"/>
      <c r="CO4" s="834"/>
      <c r="CP4" s="833"/>
      <c r="CQ4" s="833"/>
      <c r="CR4" s="833"/>
      <c r="CS4" s="833"/>
      <c r="CT4" s="833"/>
      <c r="CU4" s="834"/>
      <c r="CV4" s="834"/>
      <c r="CW4" s="833"/>
      <c r="CX4" s="833"/>
      <c r="CY4" s="833"/>
      <c r="CZ4" s="833"/>
      <c r="DA4" s="833"/>
    </row>
    <row r="5" spans="1:105" s="778" customFormat="1" ht="20" x14ac:dyDescent="0.4">
      <c r="A5" s="749" t="s">
        <v>302</v>
      </c>
      <c r="B5" s="751"/>
      <c r="C5" s="748"/>
      <c r="D5" s="749"/>
      <c r="E5" s="1015" t="s">
        <v>451</v>
      </c>
      <c r="F5" s="1016"/>
      <c r="G5" s="751"/>
      <c r="H5" s="749" t="s">
        <v>302</v>
      </c>
      <c r="I5" s="751"/>
      <c r="J5" s="748"/>
      <c r="K5" s="749"/>
      <c r="L5" s="750"/>
      <c r="M5" s="749"/>
      <c r="N5" s="751"/>
      <c r="O5" s="749" t="s">
        <v>302</v>
      </c>
      <c r="P5" s="751"/>
      <c r="Q5" s="748"/>
      <c r="R5" s="749"/>
      <c r="S5" s="750"/>
      <c r="T5" s="749"/>
      <c r="U5" s="751"/>
      <c r="V5" s="749" t="s">
        <v>302</v>
      </c>
      <c r="W5" s="751"/>
      <c r="X5" s="748"/>
      <c r="Y5" s="749"/>
      <c r="Z5" s="750"/>
      <c r="AA5" s="749"/>
      <c r="AB5" s="751"/>
      <c r="AC5" s="749" t="s">
        <v>302</v>
      </c>
      <c r="AD5" s="751"/>
      <c r="AE5" s="748"/>
      <c r="AF5" s="749"/>
      <c r="AG5" s="750"/>
      <c r="AH5" s="749"/>
      <c r="AI5" s="751"/>
      <c r="AJ5" s="749" t="s">
        <v>302</v>
      </c>
      <c r="AK5" s="751"/>
      <c r="AL5" s="748"/>
      <c r="AM5" s="749"/>
      <c r="AN5" s="750"/>
      <c r="AO5" s="749"/>
      <c r="AP5" s="751"/>
      <c r="AQ5" s="749" t="s">
        <v>302</v>
      </c>
      <c r="AR5" s="751"/>
      <c r="AS5" s="748"/>
      <c r="AT5" s="749"/>
      <c r="AU5" s="750"/>
      <c r="AV5" s="749"/>
      <c r="AW5" s="751"/>
      <c r="AX5" s="749" t="s">
        <v>302</v>
      </c>
      <c r="AY5" s="751"/>
      <c r="AZ5" s="748"/>
      <c r="BA5" s="749"/>
      <c r="BB5" s="750"/>
      <c r="BC5" s="749"/>
      <c r="BD5" s="751"/>
      <c r="BE5" s="749" t="s">
        <v>302</v>
      </c>
      <c r="BF5" s="751"/>
      <c r="BG5" s="748"/>
      <c r="BH5" s="749"/>
      <c r="BI5" s="750"/>
      <c r="BJ5" s="749"/>
      <c r="BK5" s="751"/>
      <c r="BL5" s="749" t="s">
        <v>302</v>
      </c>
      <c r="BM5" s="751"/>
      <c r="BN5" s="748"/>
      <c r="BO5" s="749"/>
      <c r="BP5" s="750"/>
      <c r="BQ5" s="749"/>
      <c r="BR5" s="751"/>
      <c r="BS5" s="749" t="s">
        <v>302</v>
      </c>
      <c r="BT5" s="751"/>
      <c r="BU5" s="748"/>
      <c r="BV5" s="749"/>
      <c r="BW5" s="750"/>
      <c r="BX5" s="749"/>
      <c r="BY5" s="751"/>
      <c r="BZ5" s="749" t="s">
        <v>302</v>
      </c>
      <c r="CA5" s="751"/>
      <c r="CB5" s="748"/>
      <c r="CC5" s="749"/>
      <c r="CD5" s="750"/>
      <c r="CE5" s="749"/>
      <c r="CF5" s="751"/>
      <c r="CG5" s="749" t="s">
        <v>302</v>
      </c>
      <c r="CH5" s="751"/>
      <c r="CI5" s="748"/>
      <c r="CJ5" s="749"/>
      <c r="CK5" s="750"/>
      <c r="CL5" s="749"/>
      <c r="CM5" s="751"/>
      <c r="CN5" s="749" t="s">
        <v>302</v>
      </c>
      <c r="CO5" s="751"/>
      <c r="CP5" s="748"/>
      <c r="CQ5" s="749"/>
      <c r="CR5" s="750"/>
      <c r="CS5" s="749"/>
      <c r="CT5" s="751"/>
      <c r="CU5" s="749" t="s">
        <v>302</v>
      </c>
      <c r="CV5" s="751"/>
      <c r="CW5" s="748"/>
      <c r="CX5" s="749"/>
      <c r="CY5" s="750"/>
      <c r="CZ5" s="749"/>
      <c r="DA5" s="751"/>
    </row>
    <row r="6" spans="1:105" s="17" customFormat="1" ht="29.25" customHeight="1" x14ac:dyDescent="0.4">
      <c r="A6" s="1007" t="s">
        <v>39</v>
      </c>
      <c r="B6" s="1008">
        <f>'Variante Vorgaben'!B24</f>
        <v>3000</v>
      </c>
      <c r="C6" s="1438"/>
      <c r="D6" s="1438"/>
      <c r="E6" s="1438"/>
      <c r="F6" s="1438"/>
      <c r="G6" s="1438"/>
      <c r="H6" s="1007" t="s">
        <v>40</v>
      </c>
      <c r="I6" s="1008">
        <f>'Variante Vorgaben'!B24</f>
        <v>3000</v>
      </c>
      <c r="J6" s="1438"/>
      <c r="K6" s="1439"/>
      <c r="L6" s="1439"/>
      <c r="M6" s="1439"/>
      <c r="N6" s="1439"/>
      <c r="O6" s="1007" t="s">
        <v>41</v>
      </c>
      <c r="P6" s="1008">
        <f>'Variante Vorgaben'!B24</f>
        <v>3000</v>
      </c>
      <c r="Q6" s="1438"/>
      <c r="R6" s="1438"/>
      <c r="S6" s="1438"/>
      <c r="T6" s="1438"/>
      <c r="U6" s="1438"/>
      <c r="V6" s="1007" t="s">
        <v>42</v>
      </c>
      <c r="W6" s="1008">
        <f>'Variante Vorgaben'!B24</f>
        <v>3000</v>
      </c>
      <c r="X6" s="1438"/>
      <c r="Y6" s="1438"/>
      <c r="Z6" s="1438"/>
      <c r="AA6" s="1438"/>
      <c r="AB6" s="1438"/>
      <c r="AC6" s="1007" t="s">
        <v>43</v>
      </c>
      <c r="AD6" s="1008">
        <f>'Variante Vorgaben'!B24</f>
        <v>3000</v>
      </c>
      <c r="AE6" s="1438"/>
      <c r="AF6" s="1438"/>
      <c r="AG6" s="1438"/>
      <c r="AH6" s="1438"/>
      <c r="AI6" s="1438"/>
      <c r="AJ6" s="1007" t="s">
        <v>44</v>
      </c>
      <c r="AK6" s="1008">
        <f>'Variante Vorgaben'!B24</f>
        <v>3000</v>
      </c>
      <c r="AL6" s="1438"/>
      <c r="AM6" s="1438"/>
      <c r="AN6" s="1438"/>
      <c r="AO6" s="1438"/>
      <c r="AP6" s="1438"/>
      <c r="AQ6" s="1007" t="s">
        <v>45</v>
      </c>
      <c r="AR6" s="1008">
        <f>'Variante Vorgaben'!B24</f>
        <v>3000</v>
      </c>
      <c r="AS6" s="1438"/>
      <c r="AT6" s="1438"/>
      <c r="AU6" s="1438"/>
      <c r="AV6" s="1438"/>
      <c r="AW6" s="1438"/>
      <c r="AX6" s="1007" t="s">
        <v>46</v>
      </c>
      <c r="AY6" s="1008">
        <f>'Variante Vorgaben'!B24</f>
        <v>3000</v>
      </c>
      <c r="AZ6" s="1438"/>
      <c r="BA6" s="1438"/>
      <c r="BB6" s="1438"/>
      <c r="BC6" s="1438"/>
      <c r="BD6" s="1438"/>
      <c r="BE6" s="1007" t="s">
        <v>47</v>
      </c>
      <c r="BF6" s="1008">
        <f>'Variante Vorgaben'!B24</f>
        <v>3000</v>
      </c>
      <c r="BG6" s="1438"/>
      <c r="BH6" s="1438"/>
      <c r="BI6" s="1438"/>
      <c r="BJ6" s="1438"/>
      <c r="BK6" s="1438"/>
      <c r="BL6" s="1007" t="s">
        <v>48</v>
      </c>
      <c r="BM6" s="1008">
        <f>'Variante Vorgaben'!B24</f>
        <v>3000</v>
      </c>
      <c r="BN6" s="1438"/>
      <c r="BO6" s="1438"/>
      <c r="BP6" s="1438"/>
      <c r="BQ6" s="1438"/>
      <c r="BR6" s="1438"/>
      <c r="BS6" s="1007" t="s">
        <v>49</v>
      </c>
      <c r="BT6" s="1008">
        <f>'Variante Vorgaben'!B24</f>
        <v>3000</v>
      </c>
      <c r="BU6" s="1438"/>
      <c r="BV6" s="1438"/>
      <c r="BW6" s="1438"/>
      <c r="BX6" s="1438"/>
      <c r="BY6" s="1438"/>
      <c r="BZ6" s="1007" t="s">
        <v>50</v>
      </c>
      <c r="CA6" s="1008">
        <f>'Variante Vorgaben'!B24</f>
        <v>3000</v>
      </c>
      <c r="CB6" s="1438"/>
      <c r="CC6" s="1438"/>
      <c r="CD6" s="1438"/>
      <c r="CE6" s="1438"/>
      <c r="CF6" s="1438"/>
      <c r="CG6" s="1007" t="s">
        <v>51</v>
      </c>
      <c r="CH6" s="1008">
        <f>'Variante Vorgaben'!B24</f>
        <v>3000</v>
      </c>
      <c r="CI6" s="1438"/>
      <c r="CJ6" s="1438"/>
      <c r="CK6" s="1438"/>
      <c r="CL6" s="1438"/>
      <c r="CM6" s="1438"/>
      <c r="CN6" s="1007" t="s">
        <v>52</v>
      </c>
      <c r="CO6" s="1008">
        <f>'Variante Vorgaben'!B24</f>
        <v>3000</v>
      </c>
      <c r="CP6" s="1438"/>
      <c r="CQ6" s="1438"/>
      <c r="CR6" s="1438"/>
      <c r="CS6" s="1438"/>
      <c r="CT6" s="1438"/>
      <c r="CU6" s="1007" t="s">
        <v>53</v>
      </c>
      <c r="CV6" s="1008">
        <f>'Variante Vorgaben'!B24</f>
        <v>3000</v>
      </c>
      <c r="CW6" s="1438"/>
      <c r="CX6" s="1438"/>
      <c r="CY6" s="1438"/>
      <c r="CZ6" s="1438"/>
      <c r="DA6" s="1438"/>
    </row>
    <row r="7" spans="1:105" s="3" customFormat="1" ht="21.25" customHeight="1" x14ac:dyDescent="0.35">
      <c r="A7" s="394" t="s">
        <v>206</v>
      </c>
      <c r="B7" s="752"/>
      <c r="C7" s="1440" t="s">
        <v>361</v>
      </c>
      <c r="D7" s="1440"/>
      <c r="E7" s="86" t="s">
        <v>401</v>
      </c>
      <c r="F7" s="821" t="s">
        <v>363</v>
      </c>
      <c r="G7" s="1441" t="s">
        <v>409</v>
      </c>
      <c r="H7" s="394" t="s">
        <v>206</v>
      </c>
      <c r="I7" s="752"/>
      <c r="J7" s="1440" t="s">
        <v>361</v>
      </c>
      <c r="K7" s="1440"/>
      <c r="L7" s="86" t="s">
        <v>401</v>
      </c>
      <c r="M7" s="821" t="s">
        <v>363</v>
      </c>
      <c r="N7" s="1441" t="s">
        <v>409</v>
      </c>
      <c r="O7" s="394" t="s">
        <v>206</v>
      </c>
      <c r="P7" s="752"/>
      <c r="Q7" s="1440" t="s">
        <v>361</v>
      </c>
      <c r="R7" s="1440"/>
      <c r="S7" s="86" t="s">
        <v>401</v>
      </c>
      <c r="T7" s="821" t="s">
        <v>363</v>
      </c>
      <c r="U7" s="1441" t="s">
        <v>409</v>
      </c>
      <c r="V7" s="394" t="s">
        <v>206</v>
      </c>
      <c r="W7" s="752"/>
      <c r="X7" s="1440" t="s">
        <v>361</v>
      </c>
      <c r="Y7" s="1440"/>
      <c r="Z7" s="86" t="s">
        <v>401</v>
      </c>
      <c r="AA7" s="821" t="s">
        <v>363</v>
      </c>
      <c r="AB7" s="1441" t="s">
        <v>409</v>
      </c>
      <c r="AC7" s="394" t="s">
        <v>206</v>
      </c>
      <c r="AD7" s="752"/>
      <c r="AE7" s="1440" t="s">
        <v>361</v>
      </c>
      <c r="AF7" s="1440"/>
      <c r="AG7" s="86" t="s">
        <v>401</v>
      </c>
      <c r="AH7" s="821" t="s">
        <v>363</v>
      </c>
      <c r="AI7" s="1441" t="s">
        <v>409</v>
      </c>
      <c r="AJ7" s="394" t="s">
        <v>206</v>
      </c>
      <c r="AK7" s="752"/>
      <c r="AL7" s="1440" t="s">
        <v>361</v>
      </c>
      <c r="AM7" s="1440"/>
      <c r="AN7" s="86" t="s">
        <v>401</v>
      </c>
      <c r="AO7" s="821" t="s">
        <v>363</v>
      </c>
      <c r="AP7" s="1441" t="s">
        <v>409</v>
      </c>
      <c r="AQ7" s="394" t="s">
        <v>206</v>
      </c>
      <c r="AR7" s="752"/>
      <c r="AS7" s="1440" t="s">
        <v>361</v>
      </c>
      <c r="AT7" s="1440"/>
      <c r="AU7" s="86" t="s">
        <v>401</v>
      </c>
      <c r="AV7" s="821" t="s">
        <v>363</v>
      </c>
      <c r="AW7" s="1441" t="s">
        <v>409</v>
      </c>
      <c r="AX7" s="394" t="s">
        <v>206</v>
      </c>
      <c r="AY7" s="752"/>
      <c r="AZ7" s="1440" t="s">
        <v>361</v>
      </c>
      <c r="BA7" s="1440"/>
      <c r="BB7" s="86" t="s">
        <v>401</v>
      </c>
      <c r="BC7" s="821" t="s">
        <v>363</v>
      </c>
      <c r="BD7" s="1441" t="s">
        <v>409</v>
      </c>
      <c r="BE7" s="394" t="s">
        <v>206</v>
      </c>
      <c r="BF7" s="752"/>
      <c r="BG7" s="1440" t="s">
        <v>361</v>
      </c>
      <c r="BH7" s="1440"/>
      <c r="BI7" s="86" t="s">
        <v>401</v>
      </c>
      <c r="BJ7" s="821" t="s">
        <v>363</v>
      </c>
      <c r="BK7" s="1441" t="s">
        <v>409</v>
      </c>
      <c r="BL7" s="394" t="s">
        <v>206</v>
      </c>
      <c r="BM7" s="752"/>
      <c r="BN7" s="1440" t="s">
        <v>361</v>
      </c>
      <c r="BO7" s="1440"/>
      <c r="BP7" s="86" t="s">
        <v>401</v>
      </c>
      <c r="BQ7" s="821" t="s">
        <v>363</v>
      </c>
      <c r="BR7" s="1441" t="s">
        <v>409</v>
      </c>
      <c r="BS7" s="394" t="s">
        <v>206</v>
      </c>
      <c r="BT7" s="752"/>
      <c r="BU7" s="1440" t="s">
        <v>361</v>
      </c>
      <c r="BV7" s="1440"/>
      <c r="BW7" s="86" t="s">
        <v>401</v>
      </c>
      <c r="BX7" s="821" t="s">
        <v>363</v>
      </c>
      <c r="BY7" s="1441" t="s">
        <v>409</v>
      </c>
      <c r="BZ7" s="394" t="s">
        <v>206</v>
      </c>
      <c r="CA7" s="752"/>
      <c r="CB7" s="1440" t="s">
        <v>361</v>
      </c>
      <c r="CC7" s="1440"/>
      <c r="CD7" s="86" t="s">
        <v>401</v>
      </c>
      <c r="CE7" s="821" t="s">
        <v>363</v>
      </c>
      <c r="CF7" s="1441" t="s">
        <v>409</v>
      </c>
      <c r="CG7" s="394" t="s">
        <v>206</v>
      </c>
      <c r="CH7" s="752"/>
      <c r="CI7" s="1440" t="s">
        <v>361</v>
      </c>
      <c r="CJ7" s="1440"/>
      <c r="CK7" s="86" t="s">
        <v>401</v>
      </c>
      <c r="CL7" s="821" t="s">
        <v>363</v>
      </c>
      <c r="CM7" s="1441" t="s">
        <v>409</v>
      </c>
      <c r="CN7" s="394" t="s">
        <v>206</v>
      </c>
      <c r="CO7" s="752"/>
      <c r="CP7" s="1440" t="s">
        <v>361</v>
      </c>
      <c r="CQ7" s="1440"/>
      <c r="CR7" s="86" t="s">
        <v>401</v>
      </c>
      <c r="CS7" s="821" t="s">
        <v>363</v>
      </c>
      <c r="CT7" s="1441" t="s">
        <v>409</v>
      </c>
      <c r="CU7" s="394" t="s">
        <v>206</v>
      </c>
      <c r="CV7" s="752"/>
      <c r="CW7" s="1440" t="s">
        <v>361</v>
      </c>
      <c r="CX7" s="1440"/>
      <c r="CY7" s="86" t="s">
        <v>401</v>
      </c>
      <c r="CZ7" s="821" t="s">
        <v>363</v>
      </c>
      <c r="DA7" s="1441" t="s">
        <v>409</v>
      </c>
    </row>
    <row r="8" spans="1:105" s="12" customFormat="1" ht="12.75" customHeight="1" x14ac:dyDescent="0.3">
      <c r="B8" s="42"/>
      <c r="C8" s="185" t="s">
        <v>54</v>
      </c>
      <c r="D8" s="185" t="s">
        <v>55</v>
      </c>
      <c r="E8" s="225" t="s">
        <v>156</v>
      </c>
      <c r="F8" s="745" t="s">
        <v>22</v>
      </c>
      <c r="G8" s="1441"/>
      <c r="I8" s="42"/>
      <c r="J8" s="185" t="s">
        <v>54</v>
      </c>
      <c r="K8" s="185" t="s">
        <v>55</v>
      </c>
      <c r="L8" s="225" t="s">
        <v>156</v>
      </c>
      <c r="M8" s="745" t="s">
        <v>22</v>
      </c>
      <c r="N8" s="1443"/>
      <c r="P8" s="42"/>
      <c r="Q8" s="185" t="s">
        <v>54</v>
      </c>
      <c r="R8" s="185" t="s">
        <v>55</v>
      </c>
      <c r="S8" s="225" t="s">
        <v>156</v>
      </c>
      <c r="T8" s="745" t="s">
        <v>22</v>
      </c>
      <c r="U8" s="1441"/>
      <c r="W8" s="42"/>
      <c r="X8" s="185" t="s">
        <v>54</v>
      </c>
      <c r="Y8" s="185" t="s">
        <v>55</v>
      </c>
      <c r="Z8" s="225" t="s">
        <v>156</v>
      </c>
      <c r="AA8" s="745" t="s">
        <v>22</v>
      </c>
      <c r="AB8" s="1441"/>
      <c r="AD8" s="42"/>
      <c r="AE8" s="185" t="s">
        <v>54</v>
      </c>
      <c r="AF8" s="185" t="s">
        <v>55</v>
      </c>
      <c r="AG8" s="225" t="s">
        <v>156</v>
      </c>
      <c r="AH8" s="745" t="s">
        <v>22</v>
      </c>
      <c r="AI8" s="1441"/>
      <c r="AK8" s="42"/>
      <c r="AL8" s="185" t="s">
        <v>54</v>
      </c>
      <c r="AM8" s="185" t="s">
        <v>55</v>
      </c>
      <c r="AN8" s="225" t="s">
        <v>156</v>
      </c>
      <c r="AO8" s="745" t="s">
        <v>22</v>
      </c>
      <c r="AP8" s="1441"/>
      <c r="AR8" s="42"/>
      <c r="AS8" s="185" t="s">
        <v>54</v>
      </c>
      <c r="AT8" s="185" t="s">
        <v>55</v>
      </c>
      <c r="AU8" s="225" t="s">
        <v>156</v>
      </c>
      <c r="AV8" s="745" t="s">
        <v>22</v>
      </c>
      <c r="AW8" s="1441"/>
      <c r="AY8" s="42"/>
      <c r="AZ8" s="185" t="s">
        <v>54</v>
      </c>
      <c r="BA8" s="185" t="s">
        <v>55</v>
      </c>
      <c r="BB8" s="225" t="s">
        <v>156</v>
      </c>
      <c r="BC8" s="745" t="s">
        <v>22</v>
      </c>
      <c r="BD8" s="1441"/>
      <c r="BF8" s="42"/>
      <c r="BG8" s="185" t="s">
        <v>54</v>
      </c>
      <c r="BH8" s="185" t="s">
        <v>55</v>
      </c>
      <c r="BI8" s="225" t="s">
        <v>156</v>
      </c>
      <c r="BJ8" s="745" t="s">
        <v>22</v>
      </c>
      <c r="BK8" s="1441"/>
      <c r="BM8" s="42"/>
      <c r="BN8" s="185" t="s">
        <v>54</v>
      </c>
      <c r="BO8" s="185" t="s">
        <v>55</v>
      </c>
      <c r="BP8" s="225" t="s">
        <v>156</v>
      </c>
      <c r="BQ8" s="745" t="s">
        <v>22</v>
      </c>
      <c r="BR8" s="1441"/>
      <c r="BT8" s="42"/>
      <c r="BU8" s="185" t="s">
        <v>54</v>
      </c>
      <c r="BV8" s="185" t="s">
        <v>55</v>
      </c>
      <c r="BW8" s="225" t="s">
        <v>156</v>
      </c>
      <c r="BX8" s="745" t="s">
        <v>22</v>
      </c>
      <c r="BY8" s="1441"/>
      <c r="CA8" s="42"/>
      <c r="CB8" s="185" t="s">
        <v>54</v>
      </c>
      <c r="CC8" s="185" t="s">
        <v>55</v>
      </c>
      <c r="CD8" s="225" t="s">
        <v>156</v>
      </c>
      <c r="CE8" s="745" t="s">
        <v>22</v>
      </c>
      <c r="CF8" s="1441"/>
      <c r="CH8" s="42"/>
      <c r="CI8" s="185" t="s">
        <v>54</v>
      </c>
      <c r="CJ8" s="185" t="s">
        <v>55</v>
      </c>
      <c r="CK8" s="225" t="s">
        <v>156</v>
      </c>
      <c r="CL8" s="745" t="s">
        <v>22</v>
      </c>
      <c r="CM8" s="1441"/>
      <c r="CO8" s="42"/>
      <c r="CP8" s="185" t="s">
        <v>54</v>
      </c>
      <c r="CQ8" s="185" t="s">
        <v>55</v>
      </c>
      <c r="CR8" s="225" t="s">
        <v>156</v>
      </c>
      <c r="CS8" s="745" t="s">
        <v>22</v>
      </c>
      <c r="CT8" s="1441"/>
      <c r="CV8" s="42"/>
      <c r="CW8" s="185" t="s">
        <v>54</v>
      </c>
      <c r="CX8" s="185" t="s">
        <v>55</v>
      </c>
      <c r="CY8" s="225" t="s">
        <v>156</v>
      </c>
      <c r="CZ8" s="745" t="s">
        <v>22</v>
      </c>
      <c r="DA8" s="1441"/>
    </row>
    <row r="9" spans="1:105" s="87" customFormat="1" ht="15.75" customHeight="1" x14ac:dyDescent="0.3">
      <c r="A9" s="75"/>
      <c r="B9" s="87" t="str">
        <f>'Variante Vorgaben'!$B$50</f>
        <v>Tafeläpfel BIO</v>
      </c>
      <c r="C9" s="744">
        <f>D9/B6</f>
        <v>0</v>
      </c>
      <c r="D9" s="222">
        <f>G9*D13</f>
        <v>0</v>
      </c>
      <c r="E9" s="219">
        <f>'Variante Vorgaben'!B51</f>
        <v>2.4</v>
      </c>
      <c r="F9" s="149">
        <f>D9*E9</f>
        <v>0</v>
      </c>
      <c r="G9" s="730">
        <f>'Variante Vorgaben'!B74</f>
        <v>0.73</v>
      </c>
      <c r="H9" s="75"/>
      <c r="I9" s="87" t="str">
        <f>'Variante Vorgaben'!$B$50</f>
        <v>Tafeläpfel BIO</v>
      </c>
      <c r="J9" s="744">
        <f>K9/I6</f>
        <v>0.60536585365853668</v>
      </c>
      <c r="K9" s="222">
        <f>N9*K13</f>
        <v>1816.0975609756099</v>
      </c>
      <c r="L9" s="219">
        <f>'Variante Vorgaben'!B52</f>
        <v>2.4</v>
      </c>
      <c r="M9" s="149">
        <f>K9*L9</f>
        <v>4358.6341463414637</v>
      </c>
      <c r="N9" s="730">
        <f>'Variante Vorgaben'!B75</f>
        <v>0.73</v>
      </c>
      <c r="O9" s="75"/>
      <c r="P9" s="87" t="str">
        <f>'Variante Vorgaben'!$B$50</f>
        <v>Tafeläpfel BIO</v>
      </c>
      <c r="Q9" s="744">
        <f>R9/P6</f>
        <v>2.2196747967479675</v>
      </c>
      <c r="R9" s="222">
        <f>U9*R13</f>
        <v>6659.0243902439024</v>
      </c>
      <c r="S9" s="219">
        <f>'Variante Vorgaben'!B53</f>
        <v>2.4</v>
      </c>
      <c r="T9" s="149">
        <f>R9*S9</f>
        <v>15981.658536585364</v>
      </c>
      <c r="U9" s="730">
        <f>'Variante Vorgaben'!B76</f>
        <v>0.73</v>
      </c>
      <c r="V9" s="75"/>
      <c r="W9" s="87" t="str">
        <f>'Variante Vorgaben'!$B$50</f>
        <v>Tafeläpfel BIO</v>
      </c>
      <c r="X9" s="744">
        <f>Y9/W6</f>
        <v>3.026829268292683</v>
      </c>
      <c r="Y9" s="222">
        <f>AB9*Y13</f>
        <v>9080.4878048780483</v>
      </c>
      <c r="Z9" s="219">
        <f>'Variante Vorgaben'!B54</f>
        <v>2.4</v>
      </c>
      <c r="AA9" s="149">
        <f>Y9*Z9</f>
        <v>21793.170731707316</v>
      </c>
      <c r="AB9" s="730">
        <f>'Variante Vorgaben'!B77</f>
        <v>0.73</v>
      </c>
      <c r="AC9" s="75"/>
      <c r="AD9" s="87" t="str">
        <f>'Variante Vorgaben'!$B$50</f>
        <v>Tafeläpfel BIO</v>
      </c>
      <c r="AE9" s="744">
        <f>AF9/AD6</f>
        <v>6.6590243902439017</v>
      </c>
      <c r="AF9" s="222">
        <f>AI9*AF13</f>
        <v>19977.073170731706</v>
      </c>
      <c r="AG9" s="219">
        <f>'Variante Vorgaben'!B55</f>
        <v>2.4</v>
      </c>
      <c r="AH9" s="149">
        <f>AF9*AG9</f>
        <v>47944.975609756097</v>
      </c>
      <c r="AI9" s="730">
        <f>'Variante Vorgaben'!B78</f>
        <v>0.73</v>
      </c>
      <c r="AJ9" s="75"/>
      <c r="AK9" s="87" t="str">
        <f>'Variante Vorgaben'!$B$50</f>
        <v>Tafeläpfel BIO</v>
      </c>
      <c r="AL9" s="744">
        <f>AM9/AK6</f>
        <v>6.6590243902439017</v>
      </c>
      <c r="AM9" s="222">
        <f>AP9*AM13</f>
        <v>19977.073170731706</v>
      </c>
      <c r="AN9" s="219">
        <f>'Variante Vorgaben'!B56</f>
        <v>2.4</v>
      </c>
      <c r="AO9" s="149">
        <f>AM9*AN9</f>
        <v>47944.975609756097</v>
      </c>
      <c r="AP9" s="730">
        <f>'Variante Vorgaben'!B79</f>
        <v>0.73</v>
      </c>
      <c r="AQ9" s="75"/>
      <c r="AR9" s="87" t="str">
        <f>'Variante Vorgaben'!$B$50</f>
        <v>Tafeläpfel BIO</v>
      </c>
      <c r="AS9" s="744">
        <f>AT9/AR6</f>
        <v>6.6590243902439017</v>
      </c>
      <c r="AT9" s="222">
        <f>AW9*AT13</f>
        <v>19977.073170731706</v>
      </c>
      <c r="AU9" s="219">
        <f>'Variante Vorgaben'!B57</f>
        <v>2.4</v>
      </c>
      <c r="AV9" s="149">
        <f>AT9*AU9</f>
        <v>47944.975609756097</v>
      </c>
      <c r="AW9" s="730">
        <f>'Variante Vorgaben'!B80</f>
        <v>0.73</v>
      </c>
      <c r="AX9" s="75"/>
      <c r="AY9" s="87" t="str">
        <f>'Variante Vorgaben'!$B$50</f>
        <v>Tafeläpfel BIO</v>
      </c>
      <c r="AZ9" s="744">
        <f>BA9/AY6</f>
        <v>6.6590243902439017</v>
      </c>
      <c r="BA9" s="222">
        <f>BD9*BA13</f>
        <v>19977.073170731706</v>
      </c>
      <c r="BB9" s="219">
        <f>'Variante Vorgaben'!B58</f>
        <v>2.4</v>
      </c>
      <c r="BC9" s="149">
        <f>BA9*BB9</f>
        <v>47944.975609756097</v>
      </c>
      <c r="BD9" s="730">
        <f>'Variante Vorgaben'!B81</f>
        <v>0.73</v>
      </c>
      <c r="BE9" s="75"/>
      <c r="BF9" s="87" t="str">
        <f>'Variante Vorgaben'!$B$50</f>
        <v>Tafeläpfel BIO</v>
      </c>
      <c r="BG9" s="744">
        <f>BH9/B6</f>
        <v>6.6590243902439017</v>
      </c>
      <c r="BH9" s="222">
        <f>BK9*BH13</f>
        <v>19977.073170731706</v>
      </c>
      <c r="BI9" s="219">
        <f>'Variante Vorgaben'!B59</f>
        <v>2.4</v>
      </c>
      <c r="BJ9" s="149">
        <f>BH9*BI9</f>
        <v>47944.975609756097</v>
      </c>
      <c r="BK9" s="730">
        <f>'Variante Vorgaben'!B81</f>
        <v>0.73</v>
      </c>
      <c r="BL9" s="75"/>
      <c r="BM9" s="87" t="str">
        <f>'Variante Vorgaben'!$B$50</f>
        <v>Tafeläpfel BIO</v>
      </c>
      <c r="BN9" s="744">
        <f>BO9/B6</f>
        <v>6.6590243902439017</v>
      </c>
      <c r="BO9" s="222">
        <f>BR9*BO13</f>
        <v>19977.073170731706</v>
      </c>
      <c r="BP9" s="219">
        <f>'Variante Vorgaben'!B60</f>
        <v>2.4</v>
      </c>
      <c r="BQ9" s="149">
        <f>BO9*BP9</f>
        <v>47944.975609756097</v>
      </c>
      <c r="BR9" s="730">
        <f>'Variante Vorgaben'!B83</f>
        <v>0.73</v>
      </c>
      <c r="BS9" s="75"/>
      <c r="BT9" s="87" t="str">
        <f>'Variante Vorgaben'!$B$50</f>
        <v>Tafeläpfel BIO</v>
      </c>
      <c r="BU9" s="744">
        <f>BV9/B6</f>
        <v>6.6590243902439017</v>
      </c>
      <c r="BV9" s="222">
        <f>BY9*BV13</f>
        <v>19977.073170731706</v>
      </c>
      <c r="BW9" s="219">
        <f>'Variante Vorgaben'!B61</f>
        <v>2.4</v>
      </c>
      <c r="BX9" s="149">
        <f>BV9*BW9</f>
        <v>47944.975609756097</v>
      </c>
      <c r="BY9" s="730">
        <f>'Variante Vorgaben'!B84</f>
        <v>0.73</v>
      </c>
      <c r="BZ9" s="75"/>
      <c r="CA9" s="87" t="str">
        <f>'Variante Vorgaben'!$B$50</f>
        <v>Tafeläpfel BIO</v>
      </c>
      <c r="CB9" s="744">
        <f>CC9/B6</f>
        <v>6.6590243902439017</v>
      </c>
      <c r="CC9" s="222">
        <f>CF9*CC13</f>
        <v>19977.073170731706</v>
      </c>
      <c r="CD9" s="219">
        <f>'Variante Vorgaben'!B62</f>
        <v>2.4</v>
      </c>
      <c r="CE9" s="149">
        <f>CC9*CD9</f>
        <v>47944.975609756097</v>
      </c>
      <c r="CF9" s="730">
        <f>'Variante Vorgaben'!B85</f>
        <v>0.73</v>
      </c>
      <c r="CG9" s="75"/>
      <c r="CH9" s="87" t="str">
        <f>'Variante Vorgaben'!$B$50</f>
        <v>Tafeläpfel BIO</v>
      </c>
      <c r="CI9" s="744">
        <f>CJ9/B6</f>
        <v>6.0536585365853659</v>
      </c>
      <c r="CJ9" s="222">
        <f>CM9*CJ13</f>
        <v>18160.975609756097</v>
      </c>
      <c r="CK9" s="219">
        <f>'Variante Vorgaben'!B63</f>
        <v>2.4</v>
      </c>
      <c r="CL9" s="149">
        <f>CJ9*CK9</f>
        <v>43586.341463414632</v>
      </c>
      <c r="CM9" s="730">
        <f>'Variante Vorgaben'!B86</f>
        <v>0.73</v>
      </c>
      <c r="CN9" s="75"/>
      <c r="CO9" s="87" t="str">
        <f>'Variante Vorgaben'!$B$50</f>
        <v>Tafeläpfel BIO</v>
      </c>
      <c r="CP9" s="744">
        <f>CQ9/B6</f>
        <v>6.0536585365853659</v>
      </c>
      <c r="CQ9" s="222">
        <f>CT9*CQ13</f>
        <v>18160.975609756097</v>
      </c>
      <c r="CR9" s="219">
        <f>'Variante Vorgaben'!B64</f>
        <v>2.4</v>
      </c>
      <c r="CS9" s="149">
        <f>CQ9*CR9</f>
        <v>43586.341463414632</v>
      </c>
      <c r="CT9" s="730">
        <f>'Variante Vorgaben'!B87</f>
        <v>0.73</v>
      </c>
      <c r="CU9" s="75"/>
      <c r="CV9" s="87" t="str">
        <f>'Variante Vorgaben'!$B$50</f>
        <v>Tafeläpfel BIO</v>
      </c>
      <c r="CW9" s="744">
        <f>CX9/B6</f>
        <v>6.0536585365853659</v>
      </c>
      <c r="CX9" s="222">
        <f>DA9*CX13</f>
        <v>18160.975609756097</v>
      </c>
      <c r="CY9" s="219">
        <f>'Variante Vorgaben'!B65</f>
        <v>2.4</v>
      </c>
      <c r="CZ9" s="149">
        <f>CX9*CY9</f>
        <v>43586.341463414632</v>
      </c>
      <c r="DA9" s="730">
        <f>'Variante Vorgaben'!B88</f>
        <v>0.73</v>
      </c>
    </row>
    <row r="10" spans="1:105" s="87" customFormat="1" ht="13.75" customHeight="1" x14ac:dyDescent="0.3">
      <c r="B10" s="87" t="str">
        <f>'Variante Vorgaben'!$C$50</f>
        <v>Kochobst BIO</v>
      </c>
      <c r="C10" s="744">
        <f>D10/B6</f>
        <v>0</v>
      </c>
      <c r="D10" s="222">
        <f>G10*D13</f>
        <v>0</v>
      </c>
      <c r="E10" s="219">
        <f>'Variante Vorgaben'!C51</f>
        <v>0.6</v>
      </c>
      <c r="F10" s="149">
        <f>D10*E10</f>
        <v>0</v>
      </c>
      <c r="G10" s="730">
        <f>'Variante Vorgaben'!C74</f>
        <v>0.05</v>
      </c>
      <c r="I10" s="87" t="str">
        <f>'Variante Vorgaben'!$C$50</f>
        <v>Kochobst BIO</v>
      </c>
      <c r="J10" s="744">
        <f>K10/I6</f>
        <v>4.1463414634146344E-2</v>
      </c>
      <c r="K10" s="222">
        <f>N10*K13</f>
        <v>124.39024390243904</v>
      </c>
      <c r="L10" s="219">
        <f>'Variante Vorgaben'!C52</f>
        <v>0.6</v>
      </c>
      <c r="M10" s="149">
        <f>K10*L10</f>
        <v>74.634146341463421</v>
      </c>
      <c r="N10" s="730">
        <f>'Variante Vorgaben'!C75</f>
        <v>0.05</v>
      </c>
      <c r="P10" s="87" t="str">
        <f>'Variante Vorgaben'!$C$50</f>
        <v>Kochobst BIO</v>
      </c>
      <c r="Q10" s="744">
        <f>R10/P6</f>
        <v>0.15203252032520326</v>
      </c>
      <c r="R10" s="222">
        <f>U10*R13</f>
        <v>456.09756097560978</v>
      </c>
      <c r="S10" s="219">
        <f>'Variante Vorgaben'!C53</f>
        <v>0.6</v>
      </c>
      <c r="T10" s="149">
        <f>R10*S10</f>
        <v>273.65853658536588</v>
      </c>
      <c r="U10" s="730">
        <f>'Variante Vorgaben'!C76</f>
        <v>0.05</v>
      </c>
      <c r="W10" s="87" t="str">
        <f>'Variante Vorgaben'!$C$50</f>
        <v>Kochobst BIO</v>
      </c>
      <c r="X10" s="744">
        <f>Y10/W6</f>
        <v>0.20731707317073172</v>
      </c>
      <c r="Y10" s="222">
        <f>AB10*Y13</f>
        <v>621.95121951219517</v>
      </c>
      <c r="Z10" s="219">
        <f>'Variante Vorgaben'!C54</f>
        <v>0.6</v>
      </c>
      <c r="AA10" s="149">
        <f>Y10*Z10</f>
        <v>373.17073170731709</v>
      </c>
      <c r="AB10" s="730">
        <f>'Variante Vorgaben'!C77</f>
        <v>0.05</v>
      </c>
      <c r="AD10" s="87" t="str">
        <f>'Variante Vorgaben'!$C$50</f>
        <v>Kochobst BIO</v>
      </c>
      <c r="AE10" s="744">
        <f>AF10/AD6</f>
        <v>0.45609756097560972</v>
      </c>
      <c r="AF10" s="222">
        <f>AI10*AF13</f>
        <v>1368.2926829268292</v>
      </c>
      <c r="AG10" s="219">
        <f>'Variante Vorgaben'!C55</f>
        <v>0.6</v>
      </c>
      <c r="AH10" s="149">
        <f>AF10*AG10</f>
        <v>820.97560975609747</v>
      </c>
      <c r="AI10" s="730">
        <f>'Variante Vorgaben'!C78</f>
        <v>0.05</v>
      </c>
      <c r="AK10" s="87" t="str">
        <f>'Variante Vorgaben'!$C$50</f>
        <v>Kochobst BIO</v>
      </c>
      <c r="AL10" s="744">
        <f>AM10/AK6</f>
        <v>0.45609756097560972</v>
      </c>
      <c r="AM10" s="222">
        <f>AP10*AM13</f>
        <v>1368.2926829268292</v>
      </c>
      <c r="AN10" s="219">
        <f>'Variante Vorgaben'!C56</f>
        <v>0.6</v>
      </c>
      <c r="AO10" s="149">
        <f>AM10*AN10</f>
        <v>820.97560975609747</v>
      </c>
      <c r="AP10" s="730">
        <f>'Variante Vorgaben'!C79</f>
        <v>0.05</v>
      </c>
      <c r="AR10" s="87" t="str">
        <f>'Variante Vorgaben'!$C$50</f>
        <v>Kochobst BIO</v>
      </c>
      <c r="AS10" s="744">
        <f>AT10/AR6</f>
        <v>0.45609756097560972</v>
      </c>
      <c r="AT10" s="222">
        <f>AW10*AT13</f>
        <v>1368.2926829268292</v>
      </c>
      <c r="AU10" s="219">
        <f>'Variante Vorgaben'!C57</f>
        <v>0.6</v>
      </c>
      <c r="AV10" s="149">
        <f>AT10*AU10</f>
        <v>820.97560975609747</v>
      </c>
      <c r="AW10" s="730">
        <f>'Variante Vorgaben'!C80</f>
        <v>0.05</v>
      </c>
      <c r="AY10" s="87" t="str">
        <f>'Variante Vorgaben'!$C$50</f>
        <v>Kochobst BIO</v>
      </c>
      <c r="AZ10" s="744">
        <f>BA10/AY6</f>
        <v>0.45609756097560972</v>
      </c>
      <c r="BA10" s="222">
        <f>BD10*BA13</f>
        <v>1368.2926829268292</v>
      </c>
      <c r="BB10" s="219">
        <f>'Variante Vorgaben'!C58</f>
        <v>0.6</v>
      </c>
      <c r="BC10" s="149">
        <f>BA10*BB10</f>
        <v>820.97560975609747</v>
      </c>
      <c r="BD10" s="730">
        <f>'Variante Vorgaben'!C81</f>
        <v>0.05</v>
      </c>
      <c r="BF10" s="87" t="str">
        <f>'Variante Vorgaben'!$C$50</f>
        <v>Kochobst BIO</v>
      </c>
      <c r="BG10" s="744">
        <f>BH10/B6</f>
        <v>0.45609756097560972</v>
      </c>
      <c r="BH10" s="222">
        <f>BK10*BH13</f>
        <v>1368.2926829268292</v>
      </c>
      <c r="BI10" s="219">
        <f>'Variante Vorgaben'!C59</f>
        <v>0.6</v>
      </c>
      <c r="BJ10" s="149">
        <f>BH10*BI10</f>
        <v>820.97560975609747</v>
      </c>
      <c r="BK10" s="730">
        <f>'Variante Vorgaben'!C82</f>
        <v>0.05</v>
      </c>
      <c r="BM10" s="87" t="str">
        <f>'Variante Vorgaben'!$C$50</f>
        <v>Kochobst BIO</v>
      </c>
      <c r="BN10" s="744">
        <f>BO10/B6</f>
        <v>0.45609756097560972</v>
      </c>
      <c r="BO10" s="222">
        <f>BR10*BO13</f>
        <v>1368.2926829268292</v>
      </c>
      <c r="BP10" s="219">
        <f>'Variante Vorgaben'!C60</f>
        <v>0.6</v>
      </c>
      <c r="BQ10" s="149">
        <f>BO10*BP10</f>
        <v>820.97560975609747</v>
      </c>
      <c r="BR10" s="730">
        <f>'Variante Vorgaben'!C83</f>
        <v>0.05</v>
      </c>
      <c r="BT10" s="87" t="str">
        <f>'Variante Vorgaben'!$C$50</f>
        <v>Kochobst BIO</v>
      </c>
      <c r="BU10" s="744">
        <f>BV10/B6</f>
        <v>0.45609756097560972</v>
      </c>
      <c r="BV10" s="222">
        <f>BY10*BV13</f>
        <v>1368.2926829268292</v>
      </c>
      <c r="BW10" s="219">
        <f>'Variante Vorgaben'!C60</f>
        <v>0.6</v>
      </c>
      <c r="BX10" s="149">
        <f>BV10*BW10</f>
        <v>820.97560975609747</v>
      </c>
      <c r="BY10" s="730">
        <f>'Variante Vorgaben'!C84</f>
        <v>0.05</v>
      </c>
      <c r="CA10" s="87" t="str">
        <f>'Variante Vorgaben'!$C$50</f>
        <v>Kochobst BIO</v>
      </c>
      <c r="CB10" s="744">
        <f>CC10/B6</f>
        <v>0.45609756097560972</v>
      </c>
      <c r="CC10" s="222">
        <f>CF10*CC13</f>
        <v>1368.2926829268292</v>
      </c>
      <c r="CD10" s="219">
        <f>'Variante Vorgaben'!C62</f>
        <v>0.6</v>
      </c>
      <c r="CE10" s="149">
        <f>CC10*CD10</f>
        <v>820.97560975609747</v>
      </c>
      <c r="CF10" s="730">
        <f>'Variante Vorgaben'!C85</f>
        <v>0.05</v>
      </c>
      <c r="CH10" s="87" t="str">
        <f>'Variante Vorgaben'!$C$50</f>
        <v>Kochobst BIO</v>
      </c>
      <c r="CI10" s="744">
        <f>CJ10/B6</f>
        <v>0.41463414634146345</v>
      </c>
      <c r="CJ10" s="222">
        <f>CM10*CJ13</f>
        <v>1243.9024390243903</v>
      </c>
      <c r="CK10" s="219">
        <f>'Variante Vorgaben'!C63</f>
        <v>0.6</v>
      </c>
      <c r="CL10" s="149">
        <f>CJ10*CK10</f>
        <v>746.34146341463418</v>
      </c>
      <c r="CM10" s="730">
        <f>'Variante Vorgaben'!C86</f>
        <v>0.05</v>
      </c>
      <c r="CO10" s="87" t="str">
        <f>'Variante Vorgaben'!$C$50</f>
        <v>Kochobst BIO</v>
      </c>
      <c r="CP10" s="744">
        <f>CQ10/B6</f>
        <v>0.41463414634146345</v>
      </c>
      <c r="CQ10" s="222">
        <f>CT10*CQ13</f>
        <v>1243.9024390243903</v>
      </c>
      <c r="CR10" s="219">
        <f>'Variante Vorgaben'!C64</f>
        <v>0.6</v>
      </c>
      <c r="CS10" s="149">
        <f>CQ10*CR10</f>
        <v>746.34146341463418</v>
      </c>
      <c r="CT10" s="730">
        <f>'Variante Vorgaben'!C87</f>
        <v>0.05</v>
      </c>
      <c r="CV10" s="87" t="str">
        <f>'Variante Vorgaben'!$C$50</f>
        <v>Kochobst BIO</v>
      </c>
      <c r="CW10" s="744">
        <f>CX10/B6</f>
        <v>0.41463414634146345</v>
      </c>
      <c r="CX10" s="222">
        <f>DA10*CX13</f>
        <v>1243.9024390243903</v>
      </c>
      <c r="CY10" s="219">
        <f>'Variante Vorgaben'!C65</f>
        <v>0.6</v>
      </c>
      <c r="CZ10" s="149">
        <f>CX10*CY10</f>
        <v>746.34146341463418</v>
      </c>
      <c r="DA10" s="730">
        <f>'Variante Vorgaben'!C88</f>
        <v>0.05</v>
      </c>
    </row>
    <row r="11" spans="1:105" s="87" customFormat="1" ht="13.5" customHeight="1" x14ac:dyDescent="0.3">
      <c r="B11" s="87" t="str">
        <f>'Variante Vorgaben'!$D$50</f>
        <v>Mostobst BIO</v>
      </c>
      <c r="C11" s="744">
        <f>D11/B6</f>
        <v>0</v>
      </c>
      <c r="D11" s="460">
        <f>D13*G11</f>
        <v>0</v>
      </c>
      <c r="E11" s="219">
        <f>'Variante Vorgaben'!D51</f>
        <v>0.33</v>
      </c>
      <c r="F11" s="149">
        <f>D11*E11</f>
        <v>0</v>
      </c>
      <c r="G11" s="730">
        <f>'Variante Vorgaben'!G74</f>
        <v>0.18</v>
      </c>
      <c r="I11" s="87" t="str">
        <f>'Variante Vorgaben'!$D$50</f>
        <v>Mostobst BIO</v>
      </c>
      <c r="J11" s="744">
        <f>K11/$B$6</f>
        <v>0.14926829268292682</v>
      </c>
      <c r="K11" s="460">
        <f>K13*N11</f>
        <v>447.80487804878049</v>
      </c>
      <c r="L11" s="219">
        <f>'Variante Vorgaben'!D52</f>
        <v>0.33</v>
      </c>
      <c r="M11" s="149">
        <f>K11*L11</f>
        <v>147.77560975609757</v>
      </c>
      <c r="N11" s="730">
        <f>'Variante Vorgaben'!G75</f>
        <v>0.18</v>
      </c>
      <c r="P11" s="87" t="str">
        <f>'Variante Vorgaben'!$D$50</f>
        <v>Mostobst BIO</v>
      </c>
      <c r="Q11" s="744">
        <f>R11/$B$6</f>
        <v>0.54731707317073175</v>
      </c>
      <c r="R11" s="460">
        <f>R13*U11</f>
        <v>1641.9512195121952</v>
      </c>
      <c r="S11" s="219">
        <f>'Variante Vorgaben'!D53</f>
        <v>0.33</v>
      </c>
      <c r="T11" s="149">
        <f>R11*S11</f>
        <v>541.84390243902442</v>
      </c>
      <c r="U11" s="730">
        <f>'Variante Vorgaben'!G76</f>
        <v>0.18</v>
      </c>
      <c r="W11" s="87" t="str">
        <f>'Variante Vorgaben'!$D$50</f>
        <v>Mostobst BIO</v>
      </c>
      <c r="X11" s="744">
        <f>Y11/$B$6</f>
        <v>0.74634146341463403</v>
      </c>
      <c r="Y11" s="460">
        <f>Y13*AB11</f>
        <v>2239.024390243902</v>
      </c>
      <c r="Z11" s="219">
        <f>'Variante Vorgaben'!D54</f>
        <v>0.33</v>
      </c>
      <c r="AA11" s="149">
        <f>Y11*Z11</f>
        <v>738.87804878048769</v>
      </c>
      <c r="AB11" s="730">
        <f>'Variante Vorgaben'!G77</f>
        <v>0.18</v>
      </c>
      <c r="AD11" s="87" t="str">
        <f>'Variante Vorgaben'!$D$50</f>
        <v>Mostobst BIO</v>
      </c>
      <c r="AE11" s="744">
        <f>AF11/$B$6</f>
        <v>1.6419512195121948</v>
      </c>
      <c r="AF11" s="460">
        <f>AF13*AI11</f>
        <v>4925.8536585365846</v>
      </c>
      <c r="AG11" s="219">
        <f>'Variante Vorgaben'!D55</f>
        <v>0.33</v>
      </c>
      <c r="AH11" s="149">
        <f>AF11*AG11</f>
        <v>1625.5317073170729</v>
      </c>
      <c r="AI11" s="730">
        <f>'Variante Vorgaben'!G78</f>
        <v>0.18</v>
      </c>
      <c r="AK11" s="87" t="str">
        <f>'Variante Vorgaben'!$D$50</f>
        <v>Mostobst BIO</v>
      </c>
      <c r="AL11" s="744">
        <f>AM11/$B$6</f>
        <v>1.6419512195121948</v>
      </c>
      <c r="AM11" s="460">
        <f>AM13*AP11</f>
        <v>4925.8536585365846</v>
      </c>
      <c r="AN11" s="219">
        <f>'Variante Vorgaben'!D56</f>
        <v>0.33</v>
      </c>
      <c r="AO11" s="149">
        <f>AM11*AN11</f>
        <v>1625.5317073170729</v>
      </c>
      <c r="AP11" s="730">
        <f>'Variante Vorgaben'!G79</f>
        <v>0.18</v>
      </c>
      <c r="AR11" s="87" t="str">
        <f>'Variante Vorgaben'!$D$50</f>
        <v>Mostobst BIO</v>
      </c>
      <c r="AS11" s="744">
        <f>AT11/$B$6</f>
        <v>1.6419512195121948</v>
      </c>
      <c r="AT11" s="460">
        <f>AT13*AW11</f>
        <v>4925.8536585365846</v>
      </c>
      <c r="AU11" s="219">
        <f>'Variante Vorgaben'!D57</f>
        <v>0.33</v>
      </c>
      <c r="AV11" s="149">
        <f>AT11*AU11</f>
        <v>1625.5317073170729</v>
      </c>
      <c r="AW11" s="730">
        <f>'Variante Vorgaben'!G80</f>
        <v>0.18</v>
      </c>
      <c r="AY11" s="87" t="str">
        <f>'Variante Vorgaben'!$D$50</f>
        <v>Mostobst BIO</v>
      </c>
      <c r="AZ11" s="744">
        <f>BA11/$B$6</f>
        <v>1.6419512195121948</v>
      </c>
      <c r="BA11" s="460">
        <f>BA13*BD11</f>
        <v>4925.8536585365846</v>
      </c>
      <c r="BB11" s="219">
        <f>'Variante Vorgaben'!D58</f>
        <v>0.33</v>
      </c>
      <c r="BC11" s="149">
        <f>BA11*BB11</f>
        <v>1625.5317073170729</v>
      </c>
      <c r="BD11" s="730">
        <f>'Variante Vorgaben'!G81</f>
        <v>0.18</v>
      </c>
      <c r="BF11" s="87" t="str">
        <f>'Variante Vorgaben'!$D$50</f>
        <v>Mostobst BIO</v>
      </c>
      <c r="BG11" s="744">
        <f>BH11/$B$6</f>
        <v>1.6419512195121948</v>
      </c>
      <c r="BH11" s="460">
        <f>BH13*BK11</f>
        <v>4925.8536585365846</v>
      </c>
      <c r="BI11" s="219">
        <f>'Variante Vorgaben'!D59</f>
        <v>0.33</v>
      </c>
      <c r="BJ11" s="149">
        <f>BH11*BI11</f>
        <v>1625.5317073170729</v>
      </c>
      <c r="BK11" s="730">
        <f>'Variante Vorgaben'!G82</f>
        <v>0.18</v>
      </c>
      <c r="BM11" s="87" t="str">
        <f>'Variante Vorgaben'!$D$50</f>
        <v>Mostobst BIO</v>
      </c>
      <c r="BN11" s="744">
        <f>BO11/$B$6</f>
        <v>1.6419512195121948</v>
      </c>
      <c r="BO11" s="460">
        <f>BO13*BR11</f>
        <v>4925.8536585365846</v>
      </c>
      <c r="BP11" s="219">
        <f>'Variante Vorgaben'!D60</f>
        <v>0.33</v>
      </c>
      <c r="BQ11" s="149">
        <f>BO11*BP11</f>
        <v>1625.5317073170729</v>
      </c>
      <c r="BR11" s="730">
        <f>'Variante Vorgaben'!G83</f>
        <v>0.18</v>
      </c>
      <c r="BT11" s="87" t="str">
        <f>'Variante Vorgaben'!$D$50</f>
        <v>Mostobst BIO</v>
      </c>
      <c r="BU11" s="744">
        <f>BV11/$B$6</f>
        <v>1.6419512195121948</v>
      </c>
      <c r="BV11" s="460">
        <f>BV13*BY11</f>
        <v>4925.8536585365846</v>
      </c>
      <c r="BW11" s="219">
        <f>'Variante Vorgaben'!D61</f>
        <v>0.33</v>
      </c>
      <c r="BX11" s="149">
        <f>BV11*BW11</f>
        <v>1625.5317073170729</v>
      </c>
      <c r="BY11" s="730">
        <f>'Variante Vorgaben'!G84</f>
        <v>0.18</v>
      </c>
      <c r="CA11" s="87" t="str">
        <f>'Variante Vorgaben'!$D$50</f>
        <v>Mostobst BIO</v>
      </c>
      <c r="CB11" s="744">
        <f>CC11/$B$6</f>
        <v>1.6419512195121948</v>
      </c>
      <c r="CC11" s="460">
        <f>CC13*CF11</f>
        <v>4925.8536585365846</v>
      </c>
      <c r="CD11" s="219">
        <f>'Variante Vorgaben'!D62</f>
        <v>0.33</v>
      </c>
      <c r="CE11" s="149">
        <f>CC11*CD11</f>
        <v>1625.5317073170729</v>
      </c>
      <c r="CF11" s="730">
        <f>'Variante Vorgaben'!G85</f>
        <v>0.18</v>
      </c>
      <c r="CH11" s="87" t="str">
        <f>'Variante Vorgaben'!$D$50</f>
        <v>Mostobst BIO</v>
      </c>
      <c r="CI11" s="744">
        <f>CJ11/$B$6</f>
        <v>1.4926829268292681</v>
      </c>
      <c r="CJ11" s="460">
        <f>CJ13*CM11</f>
        <v>4478.0487804878039</v>
      </c>
      <c r="CK11" s="219">
        <f>'Variante Vorgaben'!D63</f>
        <v>0.33</v>
      </c>
      <c r="CL11" s="149">
        <f>CJ11*CK11</f>
        <v>1477.7560975609754</v>
      </c>
      <c r="CM11" s="730">
        <f>'Variante Vorgaben'!G86</f>
        <v>0.18</v>
      </c>
      <c r="CO11" s="87" t="str">
        <f>'Variante Vorgaben'!$D$50</f>
        <v>Mostobst BIO</v>
      </c>
      <c r="CP11" s="744">
        <f>CQ11/$B$6</f>
        <v>1.4926829268292681</v>
      </c>
      <c r="CQ11" s="460">
        <f>CQ13*CT11</f>
        <v>4478.0487804878039</v>
      </c>
      <c r="CR11" s="219">
        <f>'Variante Vorgaben'!D64</f>
        <v>0.33</v>
      </c>
      <c r="CS11" s="149">
        <f>CQ11*CR11</f>
        <v>1477.7560975609754</v>
      </c>
      <c r="CT11" s="730">
        <f>'Variante Vorgaben'!G87</f>
        <v>0.18</v>
      </c>
      <c r="CV11" s="87" t="str">
        <f>'Variante Vorgaben'!$D$50</f>
        <v>Mostobst BIO</v>
      </c>
      <c r="CW11" s="744">
        <f>CX11/$B$6</f>
        <v>1.4926829268292681</v>
      </c>
      <c r="CX11" s="460">
        <f>CX13*DA11</f>
        <v>4478.0487804878039</v>
      </c>
      <c r="CY11" s="219">
        <f>'Variante Vorgaben'!D65</f>
        <v>0.33</v>
      </c>
      <c r="CZ11" s="149">
        <f>CX11*CY11</f>
        <v>1477.7560975609754</v>
      </c>
      <c r="DA11" s="730">
        <f>'Variante Vorgaben'!G88</f>
        <v>0.18</v>
      </c>
    </row>
    <row r="12" spans="1:105" s="87" customFormat="1" ht="13.5" customHeight="1" thickBot="1" x14ac:dyDescent="0.35">
      <c r="B12" s="87" t="str">
        <f>Eingabeseite!A9</f>
        <v>Sortierabgang faul</v>
      </c>
      <c r="C12" s="746">
        <f>D12/B6</f>
        <v>0</v>
      </c>
      <c r="D12" s="747">
        <f>D13*G12</f>
        <v>0</v>
      </c>
      <c r="E12" s="684">
        <f>'Variante Vorgaben'!E51</f>
        <v>0</v>
      </c>
      <c r="F12" s="684">
        <f>D12*E12</f>
        <v>0</v>
      </c>
      <c r="G12" s="730">
        <f>'Variante Vorgaben'!F74</f>
        <v>0.04</v>
      </c>
      <c r="I12" s="87" t="str">
        <f>B12</f>
        <v>Sortierabgang faul</v>
      </c>
      <c r="J12" s="746">
        <f>K12/I6</f>
        <v>3.3170731707317075E-2</v>
      </c>
      <c r="K12" s="747">
        <f>K13*N12</f>
        <v>99.512195121951223</v>
      </c>
      <c r="L12" s="684">
        <f>'Variante Vorgaben'!E52</f>
        <v>0</v>
      </c>
      <c r="M12" s="684">
        <f>K12*L12</f>
        <v>0</v>
      </c>
      <c r="N12" s="730">
        <f>'Variante Vorgaben'!F75</f>
        <v>0.04</v>
      </c>
      <c r="P12" s="87" t="str">
        <f>I12</f>
        <v>Sortierabgang faul</v>
      </c>
      <c r="Q12" s="746">
        <f>R12/P6</f>
        <v>0.1216260162601626</v>
      </c>
      <c r="R12" s="747">
        <f>R13*U12</f>
        <v>364.8780487804878</v>
      </c>
      <c r="S12" s="684">
        <f>'Variante Vorgaben'!E53</f>
        <v>0</v>
      </c>
      <c r="T12" s="684">
        <f>R12*S12</f>
        <v>0</v>
      </c>
      <c r="U12" s="730">
        <f>'Variante Vorgaben'!F76</f>
        <v>0.04</v>
      </c>
      <c r="W12" s="87" t="str">
        <f>P12</f>
        <v>Sortierabgang faul</v>
      </c>
      <c r="X12" s="746">
        <f>Y12/W6</f>
        <v>0.16585365853658537</v>
      </c>
      <c r="Y12" s="747">
        <f>Y13*AB12</f>
        <v>497.5609756097561</v>
      </c>
      <c r="Z12" s="684">
        <f>'Variante Vorgaben'!E54</f>
        <v>0</v>
      </c>
      <c r="AA12" s="684">
        <f>Y12*Z12</f>
        <v>0</v>
      </c>
      <c r="AB12" s="730">
        <f>'Variante Vorgaben'!F77</f>
        <v>0.04</v>
      </c>
      <c r="AD12" s="87" t="str">
        <f>W12</f>
        <v>Sortierabgang faul</v>
      </c>
      <c r="AE12" s="746">
        <f>AF12/AD6</f>
        <v>0.36487804878048774</v>
      </c>
      <c r="AF12" s="747">
        <f>AF13*AI12</f>
        <v>1094.6341463414633</v>
      </c>
      <c r="AG12" s="684">
        <f>'Variante Vorgaben'!E55</f>
        <v>0</v>
      </c>
      <c r="AH12" s="684">
        <f>AF12*AG12</f>
        <v>0</v>
      </c>
      <c r="AI12" s="730">
        <f>'Variante Vorgaben'!F78</f>
        <v>0.04</v>
      </c>
      <c r="AK12" s="87" t="str">
        <f>AD12</f>
        <v>Sortierabgang faul</v>
      </c>
      <c r="AL12" s="746">
        <f>AM12/AK6</f>
        <v>0.36487804878048774</v>
      </c>
      <c r="AM12" s="747">
        <f>AM13*AP12</f>
        <v>1094.6341463414633</v>
      </c>
      <c r="AN12" s="684">
        <f>'Variante Vorgaben'!E56</f>
        <v>0</v>
      </c>
      <c r="AO12" s="684">
        <f>AM12*AN12</f>
        <v>0</v>
      </c>
      <c r="AP12" s="730">
        <f>'Variante Vorgaben'!F79</f>
        <v>0.04</v>
      </c>
      <c r="AR12" s="87" t="str">
        <f>AK12</f>
        <v>Sortierabgang faul</v>
      </c>
      <c r="AS12" s="746">
        <f>AT12/AR6</f>
        <v>0.36487804878048774</v>
      </c>
      <c r="AT12" s="747">
        <f>AT13*AW12</f>
        <v>1094.6341463414633</v>
      </c>
      <c r="AU12" s="684">
        <f>'Variante Vorgaben'!E57</f>
        <v>0</v>
      </c>
      <c r="AV12" s="684">
        <f>AT12*AU12</f>
        <v>0</v>
      </c>
      <c r="AW12" s="730">
        <f>'Variante Vorgaben'!F80</f>
        <v>0.04</v>
      </c>
      <c r="AY12" s="87" t="str">
        <f>AR12</f>
        <v>Sortierabgang faul</v>
      </c>
      <c r="AZ12" s="746">
        <f>BA12/AY6</f>
        <v>0.36487804878048774</v>
      </c>
      <c r="BA12" s="747">
        <f>BA13*BD12</f>
        <v>1094.6341463414633</v>
      </c>
      <c r="BB12" s="684">
        <f>'Variante Vorgaben'!E58</f>
        <v>0</v>
      </c>
      <c r="BC12" s="684">
        <f>BA12*BB12</f>
        <v>0</v>
      </c>
      <c r="BD12" s="730">
        <f>'Variante Vorgaben'!F81</f>
        <v>0.04</v>
      </c>
      <c r="BF12" s="87" t="str">
        <f>AY12</f>
        <v>Sortierabgang faul</v>
      </c>
      <c r="BG12" s="746">
        <f>BH12/BF6</f>
        <v>0.36487804878048774</v>
      </c>
      <c r="BH12" s="747">
        <f>BH13*BK12</f>
        <v>1094.6341463414633</v>
      </c>
      <c r="BI12" s="684">
        <f>'Variante Vorgaben'!E59</f>
        <v>0</v>
      </c>
      <c r="BJ12" s="684">
        <f>BH12*BI12</f>
        <v>0</v>
      </c>
      <c r="BK12" s="730">
        <f>'Variante Vorgaben'!F82</f>
        <v>0.04</v>
      </c>
      <c r="BM12" s="87" t="str">
        <f>BF12</f>
        <v>Sortierabgang faul</v>
      </c>
      <c r="BN12" s="746">
        <f>BO12/BM6</f>
        <v>0.36487804878048774</v>
      </c>
      <c r="BO12" s="747">
        <f>BO13*BR12</f>
        <v>1094.6341463414633</v>
      </c>
      <c r="BP12" s="684">
        <f>'Variante Vorgaben'!E60</f>
        <v>0</v>
      </c>
      <c r="BQ12" s="684">
        <f>BO12*BP12</f>
        <v>0</v>
      </c>
      <c r="BR12" s="730">
        <f>'Variante Vorgaben'!F83</f>
        <v>0.04</v>
      </c>
      <c r="BT12" s="87" t="str">
        <f>BM12</f>
        <v>Sortierabgang faul</v>
      </c>
      <c r="BU12" s="746">
        <f>BV12/BT6</f>
        <v>0.36487804878048774</v>
      </c>
      <c r="BV12" s="747">
        <f>BV13*BY12</f>
        <v>1094.6341463414633</v>
      </c>
      <c r="BW12" s="684">
        <f>'Variante Vorgaben'!E61</f>
        <v>0</v>
      </c>
      <c r="BX12" s="684">
        <f>BV12*BW12</f>
        <v>0</v>
      </c>
      <c r="BY12" s="730">
        <f>'Variante Vorgaben'!F84</f>
        <v>0.04</v>
      </c>
      <c r="CA12" s="87" t="str">
        <f>BT12</f>
        <v>Sortierabgang faul</v>
      </c>
      <c r="CB12" s="746">
        <f>CC12/CA6</f>
        <v>0.36487804878048774</v>
      </c>
      <c r="CC12" s="747">
        <f>CC13*CF12</f>
        <v>1094.6341463414633</v>
      </c>
      <c r="CD12" s="684">
        <f>'Variante Vorgaben'!E62</f>
        <v>0</v>
      </c>
      <c r="CE12" s="684">
        <f>CC12*CD12</f>
        <v>0</v>
      </c>
      <c r="CF12" s="730">
        <f>'Variante Vorgaben'!F85</f>
        <v>0.04</v>
      </c>
      <c r="CH12" s="87" t="str">
        <f>CA12</f>
        <v>Sortierabgang faul</v>
      </c>
      <c r="CI12" s="746">
        <f>CJ12/CH6</f>
        <v>0.33170731707317075</v>
      </c>
      <c r="CJ12" s="747">
        <f>CJ13*CM12</f>
        <v>995.1219512195122</v>
      </c>
      <c r="CK12" s="684">
        <f>'Variante Vorgaben'!E63</f>
        <v>0</v>
      </c>
      <c r="CL12" s="684">
        <f>CJ12*CK12</f>
        <v>0</v>
      </c>
      <c r="CM12" s="730">
        <f>'Variante Vorgaben'!F86</f>
        <v>0.04</v>
      </c>
      <c r="CO12" s="87" t="str">
        <f>CH12</f>
        <v>Sortierabgang faul</v>
      </c>
      <c r="CP12" s="746">
        <f>CQ12/CO6</f>
        <v>0.33170731707317075</v>
      </c>
      <c r="CQ12" s="747">
        <f>CQ13*CT12</f>
        <v>995.1219512195122</v>
      </c>
      <c r="CR12" s="684">
        <f>'Variante Vorgaben'!E64</f>
        <v>0</v>
      </c>
      <c r="CS12" s="684">
        <f>CQ12*CR12</f>
        <v>0</v>
      </c>
      <c r="CT12" s="730">
        <f>'Variante Vorgaben'!F87</f>
        <v>0.04</v>
      </c>
      <c r="CV12" s="87" t="str">
        <f>CO12</f>
        <v>Sortierabgang faul</v>
      </c>
      <c r="CW12" s="746">
        <f>CX12/CV6</f>
        <v>0.33170731707317075</v>
      </c>
      <c r="CX12" s="747">
        <f>CX13*DA12</f>
        <v>995.1219512195122</v>
      </c>
      <c r="CY12" s="684">
        <f>'Variante Vorgaben'!E65</f>
        <v>0</v>
      </c>
      <c r="CZ12" s="684">
        <f>CX12*CY12</f>
        <v>0</v>
      </c>
      <c r="DA12" s="730">
        <f>'Variante Vorgaben'!F88</f>
        <v>0.04</v>
      </c>
    </row>
    <row r="13" spans="1:105" s="87" customFormat="1" ht="13" x14ac:dyDescent="0.3">
      <c r="B13" s="145"/>
      <c r="C13" s="312">
        <f>SUM(C9:C12)</f>
        <v>0</v>
      </c>
      <c r="D13" s="313">
        <f>'Variante Vorgaben'!F51</f>
        <v>0</v>
      </c>
      <c r="E13" s="294">
        <v>0</v>
      </c>
      <c r="F13" s="85">
        <f>SUM(F9:F12)</f>
        <v>0</v>
      </c>
      <c r="G13" s="730">
        <f>SUM(G9:G12)</f>
        <v>1</v>
      </c>
      <c r="I13" s="145"/>
      <c r="J13" s="312">
        <f>SUM(J9:J12)</f>
        <v>0.82926829268292701</v>
      </c>
      <c r="K13" s="313">
        <f>'Variante Vorgaben'!F52</f>
        <v>2487.8048780487807</v>
      </c>
      <c r="L13" s="294">
        <f>M13/K13</f>
        <v>1.8414000000000001</v>
      </c>
      <c r="M13" s="85">
        <f>SUM(M9:M11)</f>
        <v>4581.0439024390253</v>
      </c>
      <c r="N13" s="730">
        <f>SUM(N9:N12)</f>
        <v>1</v>
      </c>
      <c r="P13" s="145"/>
      <c r="Q13" s="312">
        <f>SUM(Q9:Q12)</f>
        <v>3.0406504065040649</v>
      </c>
      <c r="R13" s="313">
        <f>'Variante Vorgaben'!F53</f>
        <v>9121.9512195121952</v>
      </c>
      <c r="S13" s="294">
        <f>T13/R13</f>
        <v>1.8413999999999997</v>
      </c>
      <c r="T13" s="85">
        <f>SUM(T9:T11)</f>
        <v>16797.160975609753</v>
      </c>
      <c r="U13" s="730">
        <f>SUM(U9:U12)</f>
        <v>1</v>
      </c>
      <c r="W13" s="145"/>
      <c r="X13" s="312">
        <f>SUM(X9:X12)</f>
        <v>4.1463414634146343</v>
      </c>
      <c r="Y13" s="313">
        <f>'Variante Vorgaben'!F54</f>
        <v>12439.024390243902</v>
      </c>
      <c r="Z13" s="294">
        <f>AA13/Y13</f>
        <v>1.8413999999999999</v>
      </c>
      <c r="AA13" s="85">
        <f>SUM(AA9:AA11)</f>
        <v>22905.219512195119</v>
      </c>
      <c r="AB13" s="730">
        <f>SUM(AB9:AB12)</f>
        <v>1</v>
      </c>
      <c r="AD13" s="145"/>
      <c r="AE13" s="312">
        <f>SUM(AE9:AE12)</f>
        <v>9.1219512195121943</v>
      </c>
      <c r="AF13" s="313">
        <f>'Variante Vorgaben'!F55</f>
        <v>27365.853658536584</v>
      </c>
      <c r="AG13" s="294">
        <f>AH13/AF13</f>
        <v>1.8414000000000001</v>
      </c>
      <c r="AH13" s="85">
        <f>SUM(AH9:AH11)</f>
        <v>50391.482926829267</v>
      </c>
      <c r="AI13" s="730">
        <f>SUM(AI9:AI12)</f>
        <v>1</v>
      </c>
      <c r="AK13" s="145"/>
      <c r="AL13" s="312">
        <f>SUM(AL9:AL12)</f>
        <v>9.1219512195121943</v>
      </c>
      <c r="AM13" s="313">
        <f>'Variante Vorgaben'!F56</f>
        <v>27365.853658536584</v>
      </c>
      <c r="AN13" s="294">
        <f>AO13/AM13</f>
        <v>1.8414000000000001</v>
      </c>
      <c r="AO13" s="85">
        <f>SUM(AO9:AO11)</f>
        <v>50391.482926829267</v>
      </c>
      <c r="AP13" s="730">
        <f>SUM(AP9:AP12)</f>
        <v>1</v>
      </c>
      <c r="AR13" s="145"/>
      <c r="AS13" s="312">
        <f>SUM(AS9:AS12)</f>
        <v>9.1219512195121943</v>
      </c>
      <c r="AT13" s="313">
        <f>'Variante Vorgaben'!F57</f>
        <v>27365.853658536584</v>
      </c>
      <c r="AU13" s="294">
        <f>AV13/AT13</f>
        <v>1.8414000000000001</v>
      </c>
      <c r="AV13" s="85">
        <f>SUM(AV9:AV11)</f>
        <v>50391.482926829267</v>
      </c>
      <c r="AW13" s="730">
        <f>SUM(AW9:AW12)</f>
        <v>1</v>
      </c>
      <c r="AY13" s="145"/>
      <c r="AZ13" s="312">
        <f>SUM(AZ9:AZ12)</f>
        <v>9.1219512195121943</v>
      </c>
      <c r="BA13" s="313">
        <f>'Variante Vorgaben'!F58</f>
        <v>27365.853658536584</v>
      </c>
      <c r="BB13" s="294">
        <f>BC13/BA13</f>
        <v>1.8414000000000001</v>
      </c>
      <c r="BC13" s="85">
        <f>SUM(BC9:BC11)</f>
        <v>50391.482926829267</v>
      </c>
      <c r="BD13" s="730">
        <f>SUM(BD9:BD12)</f>
        <v>1</v>
      </c>
      <c r="BF13" s="145"/>
      <c r="BG13" s="312">
        <f>SUM(BG9:BG12)</f>
        <v>9.1219512195121943</v>
      </c>
      <c r="BH13" s="313">
        <f>'Variante Vorgaben'!F59</f>
        <v>27365.853658536584</v>
      </c>
      <c r="BI13" s="294">
        <f>BJ13/BH13</f>
        <v>1.8414000000000001</v>
      </c>
      <c r="BJ13" s="85">
        <f>SUM(BJ9:BJ11)</f>
        <v>50391.482926829267</v>
      </c>
      <c r="BK13" s="730">
        <f>SUM(BK9:BK12)</f>
        <v>1</v>
      </c>
      <c r="BM13" s="145"/>
      <c r="BN13" s="312">
        <f>SUM(BN9:BN12)</f>
        <v>9.1219512195121943</v>
      </c>
      <c r="BO13" s="313">
        <f>'Variante Vorgaben'!F60</f>
        <v>27365.853658536584</v>
      </c>
      <c r="BP13" s="294">
        <f>BQ13/BO13</f>
        <v>1.8414000000000001</v>
      </c>
      <c r="BQ13" s="85">
        <f>SUM(BQ9:BQ11)</f>
        <v>50391.482926829267</v>
      </c>
      <c r="BR13" s="730">
        <f>SUM(BR9:BR12)</f>
        <v>1</v>
      </c>
      <c r="BT13" s="145"/>
      <c r="BU13" s="312">
        <f>SUM(BU9:BU12)</f>
        <v>9.1219512195121943</v>
      </c>
      <c r="BV13" s="313">
        <f>'Variante Vorgaben'!F61</f>
        <v>27365.853658536584</v>
      </c>
      <c r="BW13" s="294">
        <f>BX13/BV13</f>
        <v>1.8414000000000001</v>
      </c>
      <c r="BX13" s="85">
        <f>SUM(BX9:BX11)</f>
        <v>50391.482926829267</v>
      </c>
      <c r="BY13" s="730">
        <f>SUM(BY9:BY12)</f>
        <v>1</v>
      </c>
      <c r="CA13" s="145"/>
      <c r="CB13" s="312">
        <f>SUM(CB9:CB12)</f>
        <v>9.1219512195121943</v>
      </c>
      <c r="CC13" s="313">
        <f>'Variante Vorgaben'!F62</f>
        <v>27365.853658536584</v>
      </c>
      <c r="CD13" s="294">
        <f>CE13/CC13</f>
        <v>1.8414000000000001</v>
      </c>
      <c r="CE13" s="85">
        <f>SUM(CE9:CE11)</f>
        <v>50391.482926829267</v>
      </c>
      <c r="CF13" s="730">
        <f>SUM(CF9:CF12)</f>
        <v>1</v>
      </c>
      <c r="CH13" s="145"/>
      <c r="CI13" s="312">
        <f>SUM(CI9:CI12)</f>
        <v>8.2926829268292686</v>
      </c>
      <c r="CJ13" s="313">
        <f>'Variante Vorgaben'!F63</f>
        <v>24878.048780487803</v>
      </c>
      <c r="CK13" s="294">
        <f>CL13/CJ13</f>
        <v>1.8413999999999999</v>
      </c>
      <c r="CL13" s="85">
        <f>SUM(CL9:CL11)</f>
        <v>45810.439024390238</v>
      </c>
      <c r="CM13" s="730">
        <f>SUM(CM9:CM12)</f>
        <v>1</v>
      </c>
      <c r="CO13" s="145"/>
      <c r="CP13" s="312">
        <f>SUM(CP9:CP12)</f>
        <v>8.2926829268292686</v>
      </c>
      <c r="CQ13" s="313">
        <f>'Variante Vorgaben'!F64</f>
        <v>24878.048780487803</v>
      </c>
      <c r="CR13" s="294">
        <f>CS13/CQ13</f>
        <v>1.8413999999999999</v>
      </c>
      <c r="CS13" s="85">
        <f>SUM(CS9:CS11)</f>
        <v>45810.439024390238</v>
      </c>
      <c r="CT13" s="730">
        <f>SUM(CT9:CT12)</f>
        <v>1</v>
      </c>
      <c r="CV13" s="145"/>
      <c r="CW13" s="312">
        <f>SUM(CW9:CW12)</f>
        <v>8.2926829268292686</v>
      </c>
      <c r="CX13" s="313">
        <f>'Variante Vorgaben'!F65</f>
        <v>24878.048780487803</v>
      </c>
      <c r="CY13" s="294">
        <f>CZ13/CX13</f>
        <v>1.8413999999999999</v>
      </c>
      <c r="CZ13" s="85">
        <f>SUM(CZ9:CZ11)</f>
        <v>45810.439024390238</v>
      </c>
      <c r="DA13" s="730">
        <f>SUM(DA9:DA12)</f>
        <v>1</v>
      </c>
    </row>
    <row r="14" spans="1:105" s="87" customFormat="1" ht="13" x14ac:dyDescent="0.3">
      <c r="B14" s="145"/>
      <c r="C14" s="312"/>
      <c r="D14" s="313"/>
      <c r="E14" s="294"/>
      <c r="F14" s="85"/>
      <c r="G14" s="220"/>
      <c r="I14" s="145"/>
      <c r="J14" s="312"/>
      <c r="K14" s="313"/>
      <c r="L14" s="294"/>
      <c r="M14" s="85"/>
      <c r="N14" s="220"/>
      <c r="P14" s="145"/>
      <c r="Q14" s="312"/>
      <c r="R14" s="313"/>
      <c r="S14" s="294"/>
      <c r="T14" s="85"/>
      <c r="U14" s="220"/>
      <c r="W14" s="145"/>
      <c r="X14" s="312"/>
      <c r="Y14" s="313"/>
      <c r="Z14" s="294"/>
      <c r="AA14" s="85"/>
      <c r="AB14" s="220"/>
      <c r="AD14" s="145"/>
      <c r="AE14" s="312"/>
      <c r="AF14" s="313"/>
      <c r="AG14" s="294"/>
      <c r="AH14" s="85"/>
      <c r="AI14" s="220"/>
      <c r="AK14" s="145"/>
      <c r="AL14" s="312"/>
      <c r="AM14" s="313"/>
      <c r="AN14" s="294"/>
      <c r="AO14" s="85"/>
      <c r="AP14" s="220"/>
      <c r="AR14" s="145"/>
      <c r="AS14" s="312"/>
      <c r="AT14" s="313"/>
      <c r="AU14" s="294"/>
      <c r="AV14" s="85"/>
      <c r="AW14" s="220"/>
      <c r="AY14" s="145"/>
      <c r="AZ14" s="312"/>
      <c r="BA14" s="313"/>
      <c r="BB14" s="294"/>
      <c r="BC14" s="85"/>
      <c r="BD14" s="220"/>
      <c r="BF14" s="145"/>
      <c r="BG14" s="312"/>
      <c r="BH14" s="313"/>
      <c r="BI14" s="294"/>
      <c r="BJ14" s="85"/>
      <c r="BK14" s="220"/>
      <c r="BM14" s="145"/>
      <c r="BN14" s="312"/>
      <c r="BO14" s="313"/>
      <c r="BP14" s="294"/>
      <c r="BQ14" s="85"/>
      <c r="BR14" s="220"/>
      <c r="BT14" s="145"/>
      <c r="BU14" s="312"/>
      <c r="BV14" s="313"/>
      <c r="BW14" s="294"/>
      <c r="BX14" s="85"/>
      <c r="BY14" s="220"/>
      <c r="CA14" s="145"/>
      <c r="CB14" s="312"/>
      <c r="CC14" s="313"/>
      <c r="CD14" s="294"/>
      <c r="CE14" s="85"/>
      <c r="CF14" s="220"/>
      <c r="CH14" s="145"/>
      <c r="CI14" s="312"/>
      <c r="CJ14" s="313"/>
      <c r="CK14" s="294"/>
      <c r="CL14" s="85"/>
      <c r="CM14" s="220"/>
      <c r="CO14" s="145"/>
      <c r="CP14" s="312"/>
      <c r="CQ14" s="313"/>
      <c r="CR14" s="294"/>
      <c r="CS14" s="85"/>
      <c r="CT14" s="220"/>
      <c r="CV14" s="145"/>
      <c r="CW14" s="312"/>
      <c r="CX14" s="313"/>
      <c r="CY14" s="294"/>
      <c r="CZ14" s="85"/>
      <c r="DA14" s="220"/>
    </row>
    <row r="15" spans="1:105" s="87" customFormat="1" ht="13" x14ac:dyDescent="0.3">
      <c r="B15" s="87" t="str">
        <f>'Variante Vorgaben'!$A$39</f>
        <v>Direktzahlungen ÖLN + BIO</v>
      </c>
      <c r="C15" s="312"/>
      <c r="D15" s="313"/>
      <c r="E15" s="294"/>
      <c r="F15" s="149">
        <f>'Variante Vorgaben'!$C$39</f>
        <v>2700</v>
      </c>
      <c r="G15" s="220"/>
      <c r="I15" s="87" t="str">
        <f>'Variante Vorgaben'!$A$39</f>
        <v>Direktzahlungen ÖLN + BIO</v>
      </c>
      <c r="J15" s="312"/>
      <c r="K15" s="313"/>
      <c r="L15" s="294"/>
      <c r="M15" s="149">
        <f>'Variante Vorgaben'!$C$39</f>
        <v>2700</v>
      </c>
      <c r="N15" s="220"/>
      <c r="P15" s="87" t="str">
        <f>'Variante Vorgaben'!$A$39</f>
        <v>Direktzahlungen ÖLN + BIO</v>
      </c>
      <c r="Q15" s="312"/>
      <c r="R15" s="313"/>
      <c r="S15" s="294"/>
      <c r="T15" s="149">
        <f>'Variante Vorgaben'!$C$39</f>
        <v>2700</v>
      </c>
      <c r="U15" s="220"/>
      <c r="W15" s="87" t="str">
        <f>'Variante Vorgaben'!$A$39</f>
        <v>Direktzahlungen ÖLN + BIO</v>
      </c>
      <c r="X15" s="312"/>
      <c r="Y15" s="313"/>
      <c r="Z15" s="294"/>
      <c r="AA15" s="149">
        <f>'Variante Vorgaben'!$C$39</f>
        <v>2700</v>
      </c>
      <c r="AB15" s="220"/>
      <c r="AD15" s="87" t="str">
        <f>'Variante Vorgaben'!$A$39</f>
        <v>Direktzahlungen ÖLN + BIO</v>
      </c>
      <c r="AE15" s="312"/>
      <c r="AF15" s="313"/>
      <c r="AG15" s="294"/>
      <c r="AH15" s="149">
        <f>'Variante Vorgaben'!$C$39</f>
        <v>2700</v>
      </c>
      <c r="AI15" s="220"/>
      <c r="AK15" s="87" t="str">
        <f>'Variante Vorgaben'!$A$39</f>
        <v>Direktzahlungen ÖLN + BIO</v>
      </c>
      <c r="AL15" s="312"/>
      <c r="AM15" s="313"/>
      <c r="AN15" s="294"/>
      <c r="AO15" s="149">
        <f>'Variante Vorgaben'!$C$39</f>
        <v>2700</v>
      </c>
      <c r="AP15" s="220"/>
      <c r="AR15" s="87" t="str">
        <f>'Variante Vorgaben'!$A$39</f>
        <v>Direktzahlungen ÖLN + BIO</v>
      </c>
      <c r="AS15" s="312"/>
      <c r="AT15" s="313"/>
      <c r="AU15" s="294"/>
      <c r="AV15" s="149">
        <f>'Variante Vorgaben'!$C$39</f>
        <v>2700</v>
      </c>
      <c r="AW15" s="220"/>
      <c r="AY15" s="87" t="str">
        <f>'Variante Vorgaben'!$A$39</f>
        <v>Direktzahlungen ÖLN + BIO</v>
      </c>
      <c r="AZ15" s="312"/>
      <c r="BA15" s="313"/>
      <c r="BB15" s="294"/>
      <c r="BC15" s="149">
        <f>'Variante Vorgaben'!$C$39</f>
        <v>2700</v>
      </c>
      <c r="BD15" s="220"/>
      <c r="BF15" s="87" t="str">
        <f>'Variante Vorgaben'!$A$39</f>
        <v>Direktzahlungen ÖLN + BIO</v>
      </c>
      <c r="BG15" s="312"/>
      <c r="BH15" s="313"/>
      <c r="BI15" s="294"/>
      <c r="BJ15" s="149">
        <f>'Variante Vorgaben'!$C$39</f>
        <v>2700</v>
      </c>
      <c r="BK15" s="220"/>
      <c r="BM15" s="87" t="str">
        <f>'Variante Vorgaben'!$A$39</f>
        <v>Direktzahlungen ÖLN + BIO</v>
      </c>
      <c r="BN15" s="312"/>
      <c r="BO15" s="313"/>
      <c r="BP15" s="294"/>
      <c r="BQ15" s="149">
        <f>'Variante Vorgaben'!$C$39</f>
        <v>2700</v>
      </c>
      <c r="BR15" s="220"/>
      <c r="BT15" s="87" t="str">
        <f>'Variante Vorgaben'!$A$39</f>
        <v>Direktzahlungen ÖLN + BIO</v>
      </c>
      <c r="BU15" s="312"/>
      <c r="BV15" s="313"/>
      <c r="BW15" s="294"/>
      <c r="BX15" s="149">
        <f>'Variante Vorgaben'!$C$39</f>
        <v>2700</v>
      </c>
      <c r="BY15" s="220"/>
      <c r="CA15" s="87" t="str">
        <f>'Variante Vorgaben'!$A$39</f>
        <v>Direktzahlungen ÖLN + BIO</v>
      </c>
      <c r="CB15" s="312"/>
      <c r="CC15" s="313"/>
      <c r="CD15" s="294"/>
      <c r="CE15" s="149">
        <f>'Variante Vorgaben'!$C$39</f>
        <v>2700</v>
      </c>
      <c r="CF15" s="220"/>
      <c r="CH15" s="87" t="str">
        <f>'Variante Vorgaben'!$A$39</f>
        <v>Direktzahlungen ÖLN + BIO</v>
      </c>
      <c r="CI15" s="312"/>
      <c r="CJ15" s="313"/>
      <c r="CK15" s="294"/>
      <c r="CL15" s="149">
        <f>'Variante Vorgaben'!$C$39</f>
        <v>2700</v>
      </c>
      <c r="CM15" s="220"/>
      <c r="CO15" s="87" t="str">
        <f>'Variante Vorgaben'!$A$39</f>
        <v>Direktzahlungen ÖLN + BIO</v>
      </c>
      <c r="CP15" s="312"/>
      <c r="CQ15" s="313"/>
      <c r="CR15" s="294"/>
      <c r="CS15" s="149">
        <f>'Variante Vorgaben'!$C$39</f>
        <v>2700</v>
      </c>
      <c r="CT15" s="220"/>
      <c r="CV15" s="87" t="str">
        <f>'Variante Vorgaben'!$A$39</f>
        <v>Direktzahlungen ÖLN + BIO</v>
      </c>
      <c r="CW15" s="312"/>
      <c r="CX15" s="313"/>
      <c r="CY15" s="294"/>
      <c r="CZ15" s="149">
        <f>'Variante Vorgaben'!$C$39</f>
        <v>2700</v>
      </c>
      <c r="DA15" s="220"/>
    </row>
    <row r="16" spans="1:105" s="778" customFormat="1" ht="23.25" customHeight="1" x14ac:dyDescent="0.4">
      <c r="A16" s="742" t="s">
        <v>215</v>
      </c>
      <c r="B16" s="743"/>
      <c r="C16" s="743"/>
      <c r="D16" s="743"/>
      <c r="E16" s="743"/>
      <c r="F16" s="598">
        <f>SUM(F13:F15)</f>
        <v>2700</v>
      </c>
      <c r="G16" s="695"/>
      <c r="H16" s="742" t="s">
        <v>215</v>
      </c>
      <c r="I16" s="743"/>
      <c r="J16" s="743"/>
      <c r="K16" s="743"/>
      <c r="L16" s="743"/>
      <c r="M16" s="598">
        <f>SUM(M13:M15)</f>
        <v>7281.0439024390253</v>
      </c>
      <c r="N16" s="695"/>
      <c r="O16" s="742" t="s">
        <v>215</v>
      </c>
      <c r="P16" s="743"/>
      <c r="Q16" s="743"/>
      <c r="R16" s="743"/>
      <c r="S16" s="743"/>
      <c r="T16" s="598">
        <f>SUM(T13:T15)</f>
        <v>19497.160975609753</v>
      </c>
      <c r="U16" s="695"/>
      <c r="V16" s="742" t="s">
        <v>215</v>
      </c>
      <c r="W16" s="743"/>
      <c r="X16" s="743"/>
      <c r="Y16" s="743"/>
      <c r="Z16" s="743"/>
      <c r="AA16" s="598">
        <f>SUM(AA13:AA15)</f>
        <v>25605.219512195119</v>
      </c>
      <c r="AB16" s="695"/>
      <c r="AC16" s="742" t="s">
        <v>215</v>
      </c>
      <c r="AD16" s="743"/>
      <c r="AE16" s="743"/>
      <c r="AF16" s="743"/>
      <c r="AG16" s="743"/>
      <c r="AH16" s="598">
        <f>SUM(AH13:AH15)</f>
        <v>53091.482926829267</v>
      </c>
      <c r="AI16" s="695"/>
      <c r="AJ16" s="742" t="s">
        <v>215</v>
      </c>
      <c r="AK16" s="743"/>
      <c r="AL16" s="743"/>
      <c r="AM16" s="743"/>
      <c r="AN16" s="743"/>
      <c r="AO16" s="598">
        <f>SUM(AO13:AO15)</f>
        <v>53091.482926829267</v>
      </c>
      <c r="AP16" s="695"/>
      <c r="AQ16" s="742" t="s">
        <v>215</v>
      </c>
      <c r="AR16" s="743"/>
      <c r="AS16" s="743"/>
      <c r="AT16" s="743"/>
      <c r="AU16" s="743"/>
      <c r="AV16" s="598">
        <f>SUM(AV13:AV15)</f>
        <v>53091.482926829267</v>
      </c>
      <c r="AW16" s="695"/>
      <c r="AX16" s="742" t="s">
        <v>215</v>
      </c>
      <c r="AY16" s="743"/>
      <c r="AZ16" s="743"/>
      <c r="BA16" s="743"/>
      <c r="BB16" s="743"/>
      <c r="BC16" s="598">
        <f>SUM(BC13:BC15)</f>
        <v>53091.482926829267</v>
      </c>
      <c r="BD16" s="695"/>
      <c r="BE16" s="742" t="s">
        <v>215</v>
      </c>
      <c r="BF16" s="743"/>
      <c r="BG16" s="743"/>
      <c r="BH16" s="743"/>
      <c r="BI16" s="743"/>
      <c r="BJ16" s="598">
        <f>SUM(BJ13:BJ15)</f>
        <v>53091.482926829267</v>
      </c>
      <c r="BK16" s="695"/>
      <c r="BL16" s="742" t="s">
        <v>215</v>
      </c>
      <c r="BM16" s="743"/>
      <c r="BN16" s="743"/>
      <c r="BO16" s="743"/>
      <c r="BP16" s="743"/>
      <c r="BQ16" s="598">
        <f>SUM(BQ13:BQ15)</f>
        <v>53091.482926829267</v>
      </c>
      <c r="BR16" s="695"/>
      <c r="BS16" s="742" t="s">
        <v>215</v>
      </c>
      <c r="BT16" s="743"/>
      <c r="BU16" s="743"/>
      <c r="BV16" s="743"/>
      <c r="BW16" s="743"/>
      <c r="BX16" s="598">
        <f>SUM(BX13:BX15)</f>
        <v>53091.482926829267</v>
      </c>
      <c r="BY16" s="695"/>
      <c r="BZ16" s="742" t="s">
        <v>215</v>
      </c>
      <c r="CA16" s="743"/>
      <c r="CB16" s="743"/>
      <c r="CC16" s="743"/>
      <c r="CD16" s="743"/>
      <c r="CE16" s="598">
        <f>SUM(CE13:CE15)</f>
        <v>53091.482926829267</v>
      </c>
      <c r="CF16" s="695"/>
      <c r="CG16" s="742" t="s">
        <v>215</v>
      </c>
      <c r="CH16" s="743"/>
      <c r="CI16" s="743"/>
      <c r="CJ16" s="743"/>
      <c r="CK16" s="743"/>
      <c r="CL16" s="598">
        <f>SUM(CL13:CL15)</f>
        <v>48510.439024390238</v>
      </c>
      <c r="CM16" s="695"/>
      <c r="CN16" s="742" t="s">
        <v>215</v>
      </c>
      <c r="CO16" s="743"/>
      <c r="CP16" s="743"/>
      <c r="CQ16" s="743"/>
      <c r="CR16" s="743"/>
      <c r="CS16" s="598">
        <f>SUM(CS13:CS15)</f>
        <v>48510.439024390238</v>
      </c>
      <c r="CT16" s="695"/>
      <c r="CU16" s="742" t="s">
        <v>215</v>
      </c>
      <c r="CV16" s="743"/>
      <c r="CW16" s="743"/>
      <c r="CX16" s="743"/>
      <c r="CY16" s="743"/>
      <c r="CZ16" s="598">
        <f>SUM(CZ13:CZ15)</f>
        <v>48510.439024390238</v>
      </c>
      <c r="DA16" s="695"/>
    </row>
    <row r="17" spans="1:109" s="15" customFormat="1" ht="12.5" x14ac:dyDescent="0.25">
      <c r="A17" s="42"/>
      <c r="B17" s="4"/>
      <c r="C17" s="27" t="s">
        <v>11</v>
      </c>
      <c r="D17" s="27" t="s">
        <v>55</v>
      </c>
      <c r="E17" s="28" t="s">
        <v>56</v>
      </c>
      <c r="F17" s="33" t="s">
        <v>13</v>
      </c>
      <c r="G17" s="737" t="s">
        <v>57</v>
      </c>
      <c r="H17" s="42"/>
      <c r="I17" s="4"/>
      <c r="J17" s="27" t="s">
        <v>11</v>
      </c>
      <c r="K17" s="27" t="s">
        <v>55</v>
      </c>
      <c r="L17" s="28" t="s">
        <v>56</v>
      </c>
      <c r="M17" s="33" t="s">
        <v>13</v>
      </c>
      <c r="N17" s="737" t="s">
        <v>57</v>
      </c>
      <c r="O17" s="42"/>
      <c r="P17" s="4"/>
      <c r="Q17" s="27" t="s">
        <v>11</v>
      </c>
      <c r="R17" s="27" t="s">
        <v>55</v>
      </c>
      <c r="S17" s="28" t="s">
        <v>56</v>
      </c>
      <c r="T17" s="33" t="s">
        <v>13</v>
      </c>
      <c r="U17" s="737" t="s">
        <v>57</v>
      </c>
      <c r="V17" s="42"/>
      <c r="W17" s="4"/>
      <c r="X17" s="27" t="s">
        <v>11</v>
      </c>
      <c r="Y17" s="27" t="s">
        <v>55</v>
      </c>
      <c r="Z17" s="28" t="s">
        <v>56</v>
      </c>
      <c r="AA17" s="33" t="s">
        <v>13</v>
      </c>
      <c r="AB17" s="737" t="s">
        <v>57</v>
      </c>
      <c r="AC17" s="42"/>
      <c r="AD17" s="4"/>
      <c r="AE17" s="27" t="s">
        <v>11</v>
      </c>
      <c r="AF17" s="27" t="s">
        <v>55</v>
      </c>
      <c r="AG17" s="28" t="s">
        <v>56</v>
      </c>
      <c r="AH17" s="33" t="s">
        <v>13</v>
      </c>
      <c r="AI17" s="737" t="s">
        <v>57</v>
      </c>
      <c r="AJ17" s="42"/>
      <c r="AK17" s="4"/>
      <c r="AL17" s="27" t="s">
        <v>11</v>
      </c>
      <c r="AM17" s="27" t="s">
        <v>55</v>
      </c>
      <c r="AN17" s="28" t="s">
        <v>56</v>
      </c>
      <c r="AO17" s="33" t="s">
        <v>13</v>
      </c>
      <c r="AP17" s="737" t="s">
        <v>57</v>
      </c>
      <c r="AQ17" s="42"/>
      <c r="AR17" s="4"/>
      <c r="AS17" s="27" t="s">
        <v>11</v>
      </c>
      <c r="AT17" s="27" t="s">
        <v>55</v>
      </c>
      <c r="AU17" s="28" t="s">
        <v>56</v>
      </c>
      <c r="AV17" s="33" t="s">
        <v>13</v>
      </c>
      <c r="AW17" s="737" t="s">
        <v>57</v>
      </c>
      <c r="AX17" s="42"/>
      <c r="AY17" s="4"/>
      <c r="AZ17" s="27" t="s">
        <v>11</v>
      </c>
      <c r="BA17" s="27" t="s">
        <v>55</v>
      </c>
      <c r="BB17" s="28" t="s">
        <v>56</v>
      </c>
      <c r="BC17" s="33" t="s">
        <v>13</v>
      </c>
      <c r="BD17" s="737" t="s">
        <v>57</v>
      </c>
      <c r="BE17" s="42"/>
      <c r="BF17" s="4"/>
      <c r="BG17" s="27" t="s">
        <v>11</v>
      </c>
      <c r="BH17" s="27" t="s">
        <v>55</v>
      </c>
      <c r="BI17" s="28" t="s">
        <v>56</v>
      </c>
      <c r="BJ17" s="33" t="s">
        <v>13</v>
      </c>
      <c r="BK17" s="737" t="s">
        <v>57</v>
      </c>
      <c r="BL17" s="42"/>
      <c r="BM17" s="4"/>
      <c r="BN17" s="27" t="s">
        <v>11</v>
      </c>
      <c r="BO17" s="27" t="s">
        <v>55</v>
      </c>
      <c r="BP17" s="28" t="s">
        <v>56</v>
      </c>
      <c r="BQ17" s="33" t="s">
        <v>13</v>
      </c>
      <c r="BR17" s="737" t="s">
        <v>57</v>
      </c>
      <c r="BS17" s="42"/>
      <c r="BT17" s="4"/>
      <c r="BU17" s="27" t="s">
        <v>11</v>
      </c>
      <c r="BV17" s="27" t="s">
        <v>55</v>
      </c>
      <c r="BW17" s="28" t="s">
        <v>56</v>
      </c>
      <c r="BX17" s="33" t="s">
        <v>13</v>
      </c>
      <c r="BY17" s="737" t="s">
        <v>57</v>
      </c>
      <c r="BZ17" s="42"/>
      <c r="CA17" s="4"/>
      <c r="CB17" s="27" t="s">
        <v>11</v>
      </c>
      <c r="CC17" s="27" t="s">
        <v>55</v>
      </c>
      <c r="CD17" s="28" t="s">
        <v>56</v>
      </c>
      <c r="CE17" s="33" t="s">
        <v>13</v>
      </c>
      <c r="CF17" s="737" t="s">
        <v>57</v>
      </c>
      <c r="CG17" s="42"/>
      <c r="CH17" s="4"/>
      <c r="CI17" s="27" t="s">
        <v>11</v>
      </c>
      <c r="CJ17" s="27" t="s">
        <v>55</v>
      </c>
      <c r="CK17" s="28" t="s">
        <v>56</v>
      </c>
      <c r="CL17" s="33" t="s">
        <v>13</v>
      </c>
      <c r="CM17" s="737" t="s">
        <v>57</v>
      </c>
      <c r="CN17" s="42"/>
      <c r="CO17" s="4"/>
      <c r="CP17" s="27" t="s">
        <v>11</v>
      </c>
      <c r="CQ17" s="27" t="s">
        <v>55</v>
      </c>
      <c r="CR17" s="28" t="s">
        <v>56</v>
      </c>
      <c r="CS17" s="33" t="s">
        <v>13</v>
      </c>
      <c r="CT17" s="737" t="s">
        <v>57</v>
      </c>
      <c r="CU17" s="42"/>
      <c r="CV17" s="4"/>
      <c r="CW17" s="27" t="s">
        <v>11</v>
      </c>
      <c r="CX17" s="27" t="s">
        <v>55</v>
      </c>
      <c r="CY17" s="28" t="s">
        <v>56</v>
      </c>
      <c r="CZ17" s="33" t="s">
        <v>13</v>
      </c>
      <c r="DA17" s="737" t="s">
        <v>57</v>
      </c>
    </row>
    <row r="18" spans="1:109" s="4" customFormat="1" ht="13" x14ac:dyDescent="0.3">
      <c r="A18" s="41" t="s">
        <v>29</v>
      </c>
      <c r="B18" s="42"/>
      <c r="C18" s="43"/>
      <c r="D18" s="43"/>
      <c r="E18" s="631"/>
      <c r="F18" s="475"/>
      <c r="G18" s="737"/>
      <c r="H18" s="41" t="s">
        <v>29</v>
      </c>
      <c r="I18" s="42"/>
      <c r="J18" s="43"/>
      <c r="K18" s="43"/>
      <c r="L18" s="631"/>
      <c r="M18" s="475"/>
      <c r="N18" s="737"/>
      <c r="O18" s="41" t="s">
        <v>29</v>
      </c>
      <c r="P18" s="42"/>
      <c r="Q18" s="43"/>
      <c r="R18" s="43"/>
      <c r="S18" s="631"/>
      <c r="T18" s="475"/>
      <c r="U18" s="737"/>
      <c r="V18" s="41" t="s">
        <v>29</v>
      </c>
      <c r="W18" s="42"/>
      <c r="X18" s="43"/>
      <c r="Y18" s="43"/>
      <c r="Z18" s="631"/>
      <c r="AA18" s="475"/>
      <c r="AB18" s="737"/>
      <c r="AC18" s="41" t="s">
        <v>29</v>
      </c>
      <c r="AD18" s="42"/>
      <c r="AE18" s="43"/>
      <c r="AF18" s="43"/>
      <c r="AG18" s="631"/>
      <c r="AH18" s="475"/>
      <c r="AI18" s="737"/>
      <c r="AJ18" s="41" t="s">
        <v>29</v>
      </c>
      <c r="AK18" s="42"/>
      <c r="AL18" s="43"/>
      <c r="AM18" s="43"/>
      <c r="AN18" s="631"/>
      <c r="AO18" s="475"/>
      <c r="AP18" s="737"/>
      <c r="AQ18" s="41" t="s">
        <v>29</v>
      </c>
      <c r="AR18" s="42"/>
      <c r="AS18" s="43"/>
      <c r="AT18" s="43"/>
      <c r="AU18" s="631"/>
      <c r="AV18" s="475"/>
      <c r="AW18" s="737"/>
      <c r="AX18" s="41" t="s">
        <v>29</v>
      </c>
      <c r="AY18" s="42"/>
      <c r="AZ18" s="43"/>
      <c r="BA18" s="43"/>
      <c r="BB18" s="631"/>
      <c r="BC18" s="475"/>
      <c r="BD18" s="737"/>
      <c r="BE18" s="41" t="s">
        <v>29</v>
      </c>
      <c r="BF18" s="42"/>
      <c r="BG18" s="43"/>
      <c r="BH18" s="43"/>
      <c r="BI18" s="631"/>
      <c r="BJ18" s="475"/>
      <c r="BK18" s="737"/>
      <c r="BL18" s="41" t="s">
        <v>29</v>
      </c>
      <c r="BM18" s="42"/>
      <c r="BN18" s="43"/>
      <c r="BO18" s="43"/>
      <c r="BP18" s="631"/>
      <c r="BQ18" s="475"/>
      <c r="BR18" s="737"/>
      <c r="BS18" s="41" t="s">
        <v>29</v>
      </c>
      <c r="BT18" s="42"/>
      <c r="BU18" s="43"/>
      <c r="BV18" s="43"/>
      <c r="BW18" s="631"/>
      <c r="BX18" s="475"/>
      <c r="BY18" s="737"/>
      <c r="BZ18" s="41" t="s">
        <v>29</v>
      </c>
      <c r="CA18" s="42"/>
      <c r="CB18" s="43"/>
      <c r="CC18" s="43"/>
      <c r="CD18" s="631"/>
      <c r="CE18" s="475"/>
      <c r="CF18" s="737"/>
      <c r="CG18" s="41" t="s">
        <v>29</v>
      </c>
      <c r="CH18" s="42"/>
      <c r="CI18" s="43"/>
      <c r="CJ18" s="43"/>
      <c r="CK18" s="631"/>
      <c r="CL18" s="475"/>
      <c r="CM18" s="737"/>
      <c r="CN18" s="41" t="s">
        <v>29</v>
      </c>
      <c r="CO18" s="42"/>
      <c r="CP18" s="43"/>
      <c r="CQ18" s="43"/>
      <c r="CR18" s="631"/>
      <c r="CS18" s="475"/>
      <c r="CT18" s="737"/>
      <c r="CU18" s="41" t="s">
        <v>29</v>
      </c>
      <c r="CV18" s="42"/>
      <c r="CW18" s="43"/>
      <c r="CX18" s="43"/>
      <c r="CY18" s="631"/>
      <c r="CZ18" s="475"/>
      <c r="DA18" s="737"/>
    </row>
    <row r="19" spans="1:109" s="1" customFormat="1" ht="13" x14ac:dyDescent="0.3">
      <c r="A19" s="41"/>
      <c r="B19" s="1171" t="str">
        <f>'Variante Vorgaben'!$B$103</f>
        <v>BIORGA N (12%)</v>
      </c>
      <c r="C19" s="35">
        <f>'Variante Vorgaben'!B109</f>
        <v>1</v>
      </c>
      <c r="D19" s="753">
        <f>'Variante Vorgaben'!B108</f>
        <v>125</v>
      </c>
      <c r="E19" s="1176">
        <f>'Variante Vorgaben'!$B$104</f>
        <v>1.22</v>
      </c>
      <c r="F19" s="30">
        <f>(C19*D19*E19)</f>
        <v>152.5</v>
      </c>
      <c r="G19" s="739">
        <f t="shared" ref="G19:G22" si="0">F19/$F$92</f>
        <v>6.3461395277225512E-3</v>
      </c>
      <c r="H19" s="41"/>
      <c r="I19" s="1171" t="str">
        <f>'Variante Vorgaben'!$B$103</f>
        <v>BIORGA N (12%)</v>
      </c>
      <c r="J19" s="753">
        <f>'Variante Vorgaben'!B111</f>
        <v>1</v>
      </c>
      <c r="K19" s="106">
        <f>'Variante Vorgaben'!B110</f>
        <v>250</v>
      </c>
      <c r="L19" s="1176">
        <f>'Variante Vorgaben'!$B$104*(1+Eingabeseite!$C$29)</f>
        <v>1.2204961366409111</v>
      </c>
      <c r="M19" s="30">
        <f>J19*K19*L19</f>
        <v>305.12403416022778</v>
      </c>
      <c r="N19" s="738">
        <f>M19/$M$92</f>
        <v>1.2467637466235941E-2</v>
      </c>
      <c r="O19" s="41"/>
      <c r="P19" s="1171" t="str">
        <f>'Variante Vorgaben'!$B$103</f>
        <v>BIORGA N (12%)</v>
      </c>
      <c r="Q19" s="753">
        <f>'Variante Vorgaben'!$B$113</f>
        <v>1</v>
      </c>
      <c r="R19" s="106">
        <f>'Variante Vorgaben'!$B$112</f>
        <v>375</v>
      </c>
      <c r="S19" s="1176">
        <f>'Variante Vorgaben'!$B$104*(1+Eingabeseite!$C$29)</f>
        <v>1.2204961366409111</v>
      </c>
      <c r="T19" s="30">
        <f>Q19*R19*S19</f>
        <v>457.68605124034167</v>
      </c>
      <c r="U19" s="738"/>
      <c r="V19" s="41"/>
      <c r="W19" s="1171" t="str">
        <f>'Variante Vorgaben'!$B$103</f>
        <v>BIORGA N (12%)</v>
      </c>
      <c r="X19" s="753">
        <f>'Variante Vorgaben'!$B$115</f>
        <v>1</v>
      </c>
      <c r="Y19" s="106">
        <f>'Variante Vorgaben'!$B$114</f>
        <v>500</v>
      </c>
      <c r="Z19" s="1176">
        <f>'Variante Vorgaben'!$B$104*(1+Eingabeseite!$C$29)</f>
        <v>1.2204961366409111</v>
      </c>
      <c r="AA19" s="30">
        <f>X19*Y19*Z19</f>
        <v>610.24806832045556</v>
      </c>
      <c r="AB19" s="738">
        <f>AA19/$AA$92</f>
        <v>1.6636067163447798E-2</v>
      </c>
      <c r="AC19" s="41"/>
      <c r="AD19" s="1171" t="str">
        <f>'Variante Vorgaben'!$B$103</f>
        <v>BIORGA N (12%)</v>
      </c>
      <c r="AE19" s="753">
        <f>'Variante Vorgaben'!$B$115</f>
        <v>1</v>
      </c>
      <c r="AF19" s="106">
        <f>'Variante Vorgaben'!$B$114</f>
        <v>500</v>
      </c>
      <c r="AG19" s="1176">
        <f>'Variante Vorgaben'!$B$104*(1+Eingabeseite!$C$29)</f>
        <v>1.2204961366409111</v>
      </c>
      <c r="AH19" s="30">
        <f>AE19*AF19*AG19</f>
        <v>610.24806832045556</v>
      </c>
      <c r="AI19" s="738">
        <f>AH19/$AH$92</f>
        <v>1.6092318695012601E-2</v>
      </c>
      <c r="AJ19" s="41"/>
      <c r="AK19" s="1171" t="str">
        <f>'Variante Vorgaben'!$B$103</f>
        <v>BIORGA N (12%)</v>
      </c>
      <c r="AL19" s="753">
        <f>'Variante Vorgaben'!$B$115</f>
        <v>1</v>
      </c>
      <c r="AM19" s="106">
        <f>'Variante Vorgaben'!$B$114</f>
        <v>500</v>
      </c>
      <c r="AN19" s="1176">
        <f>'Variante Vorgaben'!$B$104*(1+Eingabeseite!$C$29)</f>
        <v>1.2204961366409111</v>
      </c>
      <c r="AO19" s="30">
        <f>AL19*AM19*AN19</f>
        <v>610.24806832045556</v>
      </c>
      <c r="AP19" s="738">
        <f>AO19/$AO$92</f>
        <v>1.6150464599612554E-2</v>
      </c>
      <c r="AQ19" s="41"/>
      <c r="AR19" s="1171" t="str">
        <f>'Variante Vorgaben'!$B$103</f>
        <v>BIORGA N (12%)</v>
      </c>
      <c r="AS19" s="753">
        <f>'Variante Vorgaben'!$B$115</f>
        <v>1</v>
      </c>
      <c r="AT19" s="106">
        <f>'Variante Vorgaben'!$B$114</f>
        <v>500</v>
      </c>
      <c r="AU19" s="1176">
        <f>'Variante Vorgaben'!$B$104*(1+Eingabeseite!$C$29)</f>
        <v>1.2204961366409111</v>
      </c>
      <c r="AV19" s="30">
        <f>AS19*AT19*AU19</f>
        <v>610.24806832045556</v>
      </c>
      <c r="AW19" s="738">
        <f>AV19/$AV$92</f>
        <v>1.5083638237249253E-2</v>
      </c>
      <c r="AX19" s="41"/>
      <c r="AY19" s="1171" t="str">
        <f>'Variante Vorgaben'!$B$103</f>
        <v>BIORGA N (12%)</v>
      </c>
      <c r="AZ19" s="753">
        <f>'Variante Vorgaben'!$B$115</f>
        <v>1</v>
      </c>
      <c r="BA19" s="106">
        <f>'Variante Vorgaben'!$B$114</f>
        <v>500</v>
      </c>
      <c r="BB19" s="1176">
        <f>'Variante Vorgaben'!$B$104*(1+Eingabeseite!$C$29)</f>
        <v>1.2204961366409111</v>
      </c>
      <c r="BC19" s="30">
        <f>AZ19*BA19*BB19</f>
        <v>610.24806832045556</v>
      </c>
      <c r="BD19" s="738">
        <f>BC19/$BC$92</f>
        <v>1.6258666576598607E-2</v>
      </c>
      <c r="BE19" s="41"/>
      <c r="BF19" s="1171" t="str">
        <f>'Variante Vorgaben'!$B$103</f>
        <v>BIORGA N (12%)</v>
      </c>
      <c r="BG19" s="753">
        <f>'Variante Vorgaben'!$B$115</f>
        <v>1</v>
      </c>
      <c r="BH19" s="106">
        <f>'Variante Vorgaben'!$B$114</f>
        <v>500</v>
      </c>
      <c r="BI19" s="1176">
        <f>'Variante Vorgaben'!$B$104*(1+Eingabeseite!$C$29)</f>
        <v>1.2204961366409111</v>
      </c>
      <c r="BJ19" s="30">
        <f>BG19*BH19*BI19</f>
        <v>610.24806832045556</v>
      </c>
      <c r="BK19" s="738">
        <f>BJ19/$BJ$92</f>
        <v>1.6319546844985697E-2</v>
      </c>
      <c r="BL19" s="41"/>
      <c r="BM19" s="1171" t="str">
        <f>'Variante Vorgaben'!$B$103</f>
        <v>BIORGA N (12%)</v>
      </c>
      <c r="BN19" s="753">
        <f>'Variante Vorgaben'!$B$115</f>
        <v>1</v>
      </c>
      <c r="BO19" s="106">
        <f>'Variante Vorgaben'!$B$114</f>
        <v>500</v>
      </c>
      <c r="BP19" s="1176">
        <f>'Variante Vorgaben'!$B$104*(1+Eingabeseite!$C$29)</f>
        <v>1.2204961366409111</v>
      </c>
      <c r="BQ19" s="30">
        <f>BN19*BO19*BP19</f>
        <v>610.24806832045556</v>
      </c>
      <c r="BR19" s="738">
        <f>BQ19/$BQ$92</f>
        <v>1.5232358214207563E-2</v>
      </c>
      <c r="BS19" s="41"/>
      <c r="BT19" s="1171" t="str">
        <f>'Variante Vorgaben'!$B$103</f>
        <v>BIORGA N (12%)</v>
      </c>
      <c r="BU19" s="753">
        <f>'Variante Vorgaben'!$B$115</f>
        <v>1</v>
      </c>
      <c r="BV19" s="106">
        <f>'Variante Vorgaben'!$B$114</f>
        <v>500</v>
      </c>
      <c r="BW19" s="1176">
        <f>'Variante Vorgaben'!$B$104*(1+Eingabeseite!$C$29)</f>
        <v>1.2204961366409111</v>
      </c>
      <c r="BX19" s="30">
        <f>BU19*BV19*BW19</f>
        <v>610.24806832045556</v>
      </c>
      <c r="BY19" s="738">
        <f>BX19/$BX$92</f>
        <v>1.6433165754100254E-2</v>
      </c>
      <c r="BZ19" s="41"/>
      <c r="CA19" s="1171" t="str">
        <f>'Variante Vorgaben'!$B$103</f>
        <v>BIORGA N (12%)</v>
      </c>
      <c r="CB19" s="753">
        <f>'Variante Vorgaben'!$B$115</f>
        <v>1</v>
      </c>
      <c r="CC19" s="106">
        <f>'Variante Vorgaben'!$B$114</f>
        <v>500</v>
      </c>
      <c r="CD19" s="1176">
        <f>'Variante Vorgaben'!$B$104*(1+Eingabeseite!$C$29)</f>
        <v>1.2204961366409111</v>
      </c>
      <c r="CE19" s="30">
        <f>CB19*CC19*CD19</f>
        <v>610.24806832045556</v>
      </c>
      <c r="CF19" s="738">
        <f>CE19/$CE$92</f>
        <v>1.6496961894305801E-2</v>
      </c>
      <c r="CG19" s="41"/>
      <c r="CH19" s="1171" t="str">
        <f>'Variante Vorgaben'!$B$103</f>
        <v>BIORGA N (12%)</v>
      </c>
      <c r="CI19" s="753">
        <f>'Variante Vorgaben'!$B$115</f>
        <v>1</v>
      </c>
      <c r="CJ19" s="106">
        <f>'Variante Vorgaben'!$B$114</f>
        <v>500</v>
      </c>
      <c r="CK19" s="1176">
        <f>'Variante Vorgaben'!$B$104*(1+Eingabeseite!$C$29)</f>
        <v>1.2204961366409111</v>
      </c>
      <c r="CL19" s="30">
        <f>CI19*CJ19*CK19</f>
        <v>610.24806832045556</v>
      </c>
      <c r="CM19" s="738">
        <f>CL19/$CL$92</f>
        <v>1.5647981465591092E-2</v>
      </c>
      <c r="CN19" s="41"/>
      <c r="CO19" s="1171" t="str">
        <f>'Variante Vorgaben'!$B$103</f>
        <v>BIORGA N (12%)</v>
      </c>
      <c r="CP19" s="753">
        <f>'Variante Vorgaben'!$B$115</f>
        <v>1</v>
      </c>
      <c r="CQ19" s="106">
        <f>'Variante Vorgaben'!$B$114</f>
        <v>500</v>
      </c>
      <c r="CR19" s="1176">
        <f>'Variante Vorgaben'!$B$104*(1+Eingabeseite!$C$29)</f>
        <v>1.2204961366409111</v>
      </c>
      <c r="CS19" s="30">
        <f>CP19*CQ19*CR19</f>
        <v>610.24806832045556</v>
      </c>
      <c r="CT19" s="738">
        <f>CS19/$CS$92</f>
        <v>1.6903111507919968E-2</v>
      </c>
      <c r="CU19" s="41"/>
      <c r="CV19" s="1171" t="str">
        <f>'Variante Vorgaben'!$B$103</f>
        <v>BIORGA N (12%)</v>
      </c>
      <c r="CW19" s="753">
        <f>'Variante Vorgaben'!$B$115</f>
        <v>1</v>
      </c>
      <c r="CX19" s="106">
        <f>'Variante Vorgaben'!$B$114</f>
        <v>500</v>
      </c>
      <c r="CY19" s="1176">
        <f>'Variante Vorgaben'!$B$104*(1+Eingabeseite!$C$29)</f>
        <v>1.2204961366409111</v>
      </c>
      <c r="CZ19" s="30">
        <f>CW19*CX19*CY19</f>
        <v>610.24806832045556</v>
      </c>
      <c r="DA19" s="738">
        <f>CZ19/$CZ$92</f>
        <v>1.4532817428180935E-2</v>
      </c>
      <c r="DE19" s="1176"/>
    </row>
    <row r="20" spans="1:109" s="1" customFormat="1" ht="13" x14ac:dyDescent="0.3">
      <c r="A20" s="17"/>
      <c r="B20" s="1171" t="str">
        <f>'Variante Vorgaben'!$C$103</f>
        <v>Organisches Dünger (Kompost) Trockensubstanz</v>
      </c>
      <c r="C20" s="753">
        <f>'Variante Vorgaben'!C109</f>
        <v>15</v>
      </c>
      <c r="D20" s="106">
        <f>'Variante Vorgaben'!C108</f>
        <v>25000</v>
      </c>
      <c r="E20" s="1176">
        <f>'Variante Vorgaben'!$C$104</f>
        <v>0.02</v>
      </c>
      <c r="F20" s="30">
        <f>(D20*E20)</f>
        <v>500</v>
      </c>
      <c r="G20" s="739">
        <f t="shared" si="0"/>
        <v>2.0807014844991971E-2</v>
      </c>
      <c r="H20" s="17"/>
      <c r="I20" s="1171" t="str">
        <f>'Variante Vorgaben'!$C$103</f>
        <v>Organisches Dünger (Kompost) Trockensubstanz</v>
      </c>
      <c r="J20" s="753">
        <f>'Variante Vorgaben'!C111</f>
        <v>0</v>
      </c>
      <c r="K20" s="106">
        <f>'Variante Vorgaben'!C110</f>
        <v>0</v>
      </c>
      <c r="L20" s="1176">
        <f>'Variante Vorgaben'!$C$104*(1+Eingabeseite!$C$29)</f>
        <v>2.0008133387555919E-2</v>
      </c>
      <c r="M20" s="30">
        <f>J20*K20*L20</f>
        <v>0</v>
      </c>
      <c r="N20" s="738">
        <f>M20/$M$92</f>
        <v>0</v>
      </c>
      <c r="O20" s="17"/>
      <c r="P20" s="1171" t="str">
        <f>'Variante Vorgaben'!$C$103</f>
        <v>Organisches Dünger (Kompost) Trockensubstanz</v>
      </c>
      <c r="Q20" s="753">
        <f>'Variante Vorgaben'!$C$113</f>
        <v>0</v>
      </c>
      <c r="R20" s="106">
        <f>'Variante Vorgaben'!$C$112</f>
        <v>0</v>
      </c>
      <c r="S20" s="1176">
        <f>'Variante Vorgaben'!$C$104*(1+Eingabeseite!$C$29)</f>
        <v>2.0008133387555919E-2</v>
      </c>
      <c r="T20" s="30">
        <f>Q20*R20*S20</f>
        <v>0</v>
      </c>
      <c r="U20" s="738"/>
      <c r="V20" s="17"/>
      <c r="W20" s="1171" t="str">
        <f>'Variante Vorgaben'!$C$103</f>
        <v>Organisches Dünger (Kompost) Trockensubstanz</v>
      </c>
      <c r="X20" s="753">
        <f>'Variante Vorgaben'!$C$115</f>
        <v>15</v>
      </c>
      <c r="Y20" s="106">
        <f>'Variante Vorgaben'!$C$114</f>
        <v>25000</v>
      </c>
      <c r="Z20" s="1176">
        <f>'Variante Vorgaben'!$C$104*(1+Eingabeseite!$C$29)</f>
        <v>2.0008133387555919E-2</v>
      </c>
      <c r="AA20" s="30">
        <f>(Y20*Z20)</f>
        <v>500.203334688898</v>
      </c>
      <c r="AB20" s="738">
        <f>AA20/$AA$92</f>
        <v>1.3636120625776882E-2</v>
      </c>
      <c r="AC20" s="17"/>
      <c r="AD20" s="1171" t="str">
        <f>'Variante Vorgaben'!$C$103</f>
        <v>Organisches Dünger (Kompost) Trockensubstanz</v>
      </c>
      <c r="AE20" s="753">
        <f>'Variante Vorgaben'!$C$113</f>
        <v>0</v>
      </c>
      <c r="AF20" s="106">
        <f>'Variante Vorgaben'!$C$114</f>
        <v>25000</v>
      </c>
      <c r="AG20" s="1176">
        <f>'Variante Vorgaben'!$C$104*(1+Eingabeseite!$C$29)</f>
        <v>2.0008133387555919E-2</v>
      </c>
      <c r="AH20" s="30">
        <f>AE20*AF20*AG20</f>
        <v>0</v>
      </c>
      <c r="AI20" s="738">
        <f>AH20/$AH$92</f>
        <v>0</v>
      </c>
      <c r="AJ20" s="17"/>
      <c r="AK20" s="1171" t="str">
        <f>'Variante Vorgaben'!$C$103</f>
        <v>Organisches Dünger (Kompost) Trockensubstanz</v>
      </c>
      <c r="AL20" s="753">
        <f>'Variante Vorgaben'!$C$113</f>
        <v>0</v>
      </c>
      <c r="AM20" s="106">
        <f>'Variante Vorgaben'!$C$114</f>
        <v>25000</v>
      </c>
      <c r="AN20" s="1176">
        <f>'Variante Vorgaben'!$C$104*(1+Eingabeseite!$C$29)</f>
        <v>2.0008133387555919E-2</v>
      </c>
      <c r="AO20" s="30">
        <f>AL20*AM20*AN20</f>
        <v>0</v>
      </c>
      <c r="AP20" s="738">
        <f>AO20/$AO$92</f>
        <v>0</v>
      </c>
      <c r="AQ20" s="17"/>
      <c r="AR20" s="1171" t="str">
        <f>'Variante Vorgaben'!$C$103</f>
        <v>Organisches Dünger (Kompost) Trockensubstanz</v>
      </c>
      <c r="AS20" s="753">
        <f>'Variante Vorgaben'!$C$115</f>
        <v>15</v>
      </c>
      <c r="AT20" s="106">
        <f>'Variante Vorgaben'!$C$114</f>
        <v>25000</v>
      </c>
      <c r="AU20" s="1176">
        <f>'Variante Vorgaben'!$C$104*(1+Eingabeseite!$C$29)</f>
        <v>2.0008133387555919E-2</v>
      </c>
      <c r="AV20" s="30">
        <f>(AT20*AU20)</f>
        <v>500.203334688898</v>
      </c>
      <c r="AW20" s="738">
        <f>AV20/$AV$92</f>
        <v>1.2363637899384633E-2</v>
      </c>
      <c r="AX20" s="17"/>
      <c r="AY20" s="1171" t="str">
        <f>'Variante Vorgaben'!$C$103</f>
        <v>Organisches Dünger (Kompost) Trockensubstanz</v>
      </c>
      <c r="AZ20" s="753">
        <f>'Variante Vorgaben'!$C$113</f>
        <v>0</v>
      </c>
      <c r="BA20" s="106">
        <f>'Variante Vorgaben'!$C$114</f>
        <v>25000</v>
      </c>
      <c r="BB20" s="1176">
        <f>'Variante Vorgaben'!$C$104*(1+Eingabeseite!$C$29)</f>
        <v>2.0008133387555919E-2</v>
      </c>
      <c r="BC20" s="30">
        <f>AZ20*BA20*BB20</f>
        <v>0</v>
      </c>
      <c r="BD20" s="738">
        <f>BC20/$BC$92</f>
        <v>0</v>
      </c>
      <c r="BE20" s="17"/>
      <c r="BF20" s="1171" t="str">
        <f>'Variante Vorgaben'!$C$103</f>
        <v>Organisches Dünger (Kompost) Trockensubstanz</v>
      </c>
      <c r="BG20" s="753">
        <f>'Variante Vorgaben'!$C$113</f>
        <v>0</v>
      </c>
      <c r="BH20" s="106">
        <f>'Variante Vorgaben'!$C$114</f>
        <v>25000</v>
      </c>
      <c r="BI20" s="1176">
        <f>'Variante Vorgaben'!$C$104*(1+Eingabeseite!$C$29)</f>
        <v>2.0008133387555919E-2</v>
      </c>
      <c r="BJ20" s="30">
        <f>BG20*BH20*BI20</f>
        <v>0</v>
      </c>
      <c r="BK20" s="738">
        <f>BJ20/$BJ$92</f>
        <v>0</v>
      </c>
      <c r="BL20" s="17"/>
      <c r="BM20" s="1171" t="str">
        <f>'Variante Vorgaben'!$C$103</f>
        <v>Organisches Dünger (Kompost) Trockensubstanz</v>
      </c>
      <c r="BN20" s="753">
        <f>'Variante Vorgaben'!$C$115</f>
        <v>15</v>
      </c>
      <c r="BO20" s="106">
        <f>'Variante Vorgaben'!$C$114</f>
        <v>25000</v>
      </c>
      <c r="BP20" s="1176">
        <f>'Variante Vorgaben'!$C$104*(1+Eingabeseite!$C$29)</f>
        <v>2.0008133387555919E-2</v>
      </c>
      <c r="BQ20" s="30">
        <f>(BO20*BP20)</f>
        <v>500.203334688898</v>
      </c>
      <c r="BR20" s="738">
        <f>BQ20/$BQ$92</f>
        <v>1.2485539519842265E-2</v>
      </c>
      <c r="BS20" s="17"/>
      <c r="BT20" s="1171" t="str">
        <f>'Variante Vorgaben'!$C$103</f>
        <v>Organisches Dünger (Kompost) Trockensubstanz</v>
      </c>
      <c r="BU20" s="753">
        <f>'Variante Vorgaben'!$C$113</f>
        <v>0</v>
      </c>
      <c r="BV20" s="106">
        <f>'Variante Vorgaben'!$C$114</f>
        <v>25000</v>
      </c>
      <c r="BW20" s="1176">
        <f>'Variante Vorgaben'!$C$104*(1+Eingabeseite!$C$29)</f>
        <v>2.0008133387555919E-2</v>
      </c>
      <c r="BX20" s="30">
        <f>BU20*BV20*BW20</f>
        <v>0</v>
      </c>
      <c r="BY20" s="738">
        <f>BX20/$BX$92</f>
        <v>0</v>
      </c>
      <c r="BZ20" s="17"/>
      <c r="CA20" s="1171" t="str">
        <f>'Variante Vorgaben'!$C$103</f>
        <v>Organisches Dünger (Kompost) Trockensubstanz</v>
      </c>
      <c r="CB20" s="753">
        <f>'Variante Vorgaben'!$C$113</f>
        <v>0</v>
      </c>
      <c r="CC20" s="106">
        <f>'Variante Vorgaben'!$C$114</f>
        <v>25000</v>
      </c>
      <c r="CD20" s="1176">
        <f>'Variante Vorgaben'!$C$104*(1+Eingabeseite!$C$29)</f>
        <v>2.0008133387555919E-2</v>
      </c>
      <c r="CE20" s="30">
        <f>CB20*CC20*CD20</f>
        <v>0</v>
      </c>
      <c r="CF20" s="738">
        <f>CE20/$CE$92</f>
        <v>0</v>
      </c>
      <c r="CG20" s="17"/>
      <c r="CH20" s="1171" t="str">
        <f>'Variante Vorgaben'!$C$103</f>
        <v>Organisches Dünger (Kompost) Trockensubstanz</v>
      </c>
      <c r="CI20" s="753">
        <f>'Variante Vorgaben'!$C$115</f>
        <v>15</v>
      </c>
      <c r="CJ20" s="106">
        <f>'Variante Vorgaben'!$C$114</f>
        <v>25000</v>
      </c>
      <c r="CK20" s="1176">
        <f>'Variante Vorgaben'!$C$104*(1+Eingabeseite!$C$29)</f>
        <v>2.0008133387555919E-2</v>
      </c>
      <c r="CL20" s="30">
        <f>(CJ20*CK20)</f>
        <v>500.203334688898</v>
      </c>
      <c r="CM20" s="738">
        <f>CL20/$CL$92</f>
        <v>1.2826214316058272E-2</v>
      </c>
      <c r="CN20" s="17"/>
      <c r="CO20" s="1171" t="str">
        <f>'Variante Vorgaben'!$C$103</f>
        <v>Organisches Dünger (Kompost) Trockensubstanz</v>
      </c>
      <c r="CP20" s="753">
        <f>'Variante Vorgaben'!$C$113</f>
        <v>0</v>
      </c>
      <c r="CQ20" s="106">
        <f>'Variante Vorgaben'!$C$114</f>
        <v>25000</v>
      </c>
      <c r="CR20" s="1176">
        <f>'Variante Vorgaben'!$C$104*(1+Eingabeseite!$C$29)</f>
        <v>2.0008133387555919E-2</v>
      </c>
      <c r="CS20" s="30">
        <f>CP20*CQ20*CR20</f>
        <v>0</v>
      </c>
      <c r="CT20" s="738">
        <f>CS20/$CS$92</f>
        <v>0</v>
      </c>
      <c r="CU20" s="17"/>
      <c r="CV20" s="1171" t="str">
        <f>'Variante Vorgaben'!$C$103</f>
        <v>Organisches Dünger (Kompost) Trockensubstanz</v>
      </c>
      <c r="CW20" s="753">
        <f>'Variante Vorgaben'!$C$113</f>
        <v>0</v>
      </c>
      <c r="CX20" s="106">
        <f>'Variante Vorgaben'!$C$114</f>
        <v>25000</v>
      </c>
      <c r="CY20" s="1176">
        <f>'Variante Vorgaben'!$C$104*(1+Eingabeseite!$C$29)</f>
        <v>2.0008133387555919E-2</v>
      </c>
      <c r="CZ20" s="30">
        <f>CW20*CX20*CY20</f>
        <v>0</v>
      </c>
      <c r="DA20" s="738">
        <f>CZ20/$CZ$92</f>
        <v>0</v>
      </c>
      <c r="DE20" s="1176"/>
    </row>
    <row r="21" spans="1:109" ht="13.5" thickBot="1" x14ac:dyDescent="0.35">
      <c r="A21" s="17"/>
      <c r="B21" s="1171" t="str">
        <f>'Variante Vorgaben'!$E$103</f>
        <v>Magnesiumkalk Dolomit (18%)</v>
      </c>
      <c r="C21" s="772">
        <f>'Variante Vorgaben'!E109</f>
        <v>0</v>
      </c>
      <c r="D21" s="772">
        <f>'Variante Vorgaben'!E108</f>
        <v>100</v>
      </c>
      <c r="E21" s="1177">
        <f>'Variante Vorgaben'!$E$104*(1+Eingabeseite!$C$29)</f>
        <v>0.43017486783245229</v>
      </c>
      <c r="F21" s="763">
        <f>D21*E21*C21</f>
        <v>0</v>
      </c>
      <c r="G21" s="739">
        <f t="shared" si="0"/>
        <v>0</v>
      </c>
      <c r="H21" s="17"/>
      <c r="I21" s="1171" t="str">
        <f>'Variante Vorgaben'!$E$103</f>
        <v>Magnesiumkalk Dolomit (18%)</v>
      </c>
      <c r="J21" s="772">
        <f>'Variante Vorgaben'!E111</f>
        <v>0</v>
      </c>
      <c r="K21" s="772">
        <f>'Variante Vorgaben'!E110</f>
        <v>100</v>
      </c>
      <c r="L21" s="1177">
        <f>'Variante Vorgaben'!$E$104*(1+Eingabeseite!$C$29)</f>
        <v>0.43017486783245229</v>
      </c>
      <c r="M21" s="763">
        <f>J21*K21*L21</f>
        <v>0</v>
      </c>
      <c r="N21" s="738"/>
      <c r="O21" s="17"/>
      <c r="P21" s="1171" t="str">
        <f>'Variante Vorgaben'!$E$103</f>
        <v>Magnesiumkalk Dolomit (18%)</v>
      </c>
      <c r="Q21" s="741">
        <f>'Variante Vorgaben'!$E$113</f>
        <v>0</v>
      </c>
      <c r="R21" s="772">
        <f>'Variante Vorgaben'!$E$112</f>
        <v>100</v>
      </c>
      <c r="S21" s="1177">
        <f>'Variante Vorgaben'!$E$104*(1+Eingabeseite!$C$29)</f>
        <v>0.43017486783245229</v>
      </c>
      <c r="T21" s="763">
        <f>Q21*R21*S21</f>
        <v>0</v>
      </c>
      <c r="U21" s="738"/>
      <c r="V21" s="17"/>
      <c r="W21" s="1171" t="str">
        <f>'Variante Vorgaben'!$E$103</f>
        <v>Magnesiumkalk Dolomit (18%)</v>
      </c>
      <c r="X21" s="741">
        <f>'Variante Vorgaben'!$E$115</f>
        <v>1</v>
      </c>
      <c r="Y21" s="1175">
        <f>'Variante Vorgaben'!$E$114</f>
        <v>100</v>
      </c>
      <c r="Z21" s="1177">
        <f>'Variante Vorgaben'!$E$104*(1+Eingabeseite!$C$29)</f>
        <v>0.43017486783245229</v>
      </c>
      <c r="AA21" s="763">
        <f>X21*Y21*Z21</f>
        <v>43.017486783245232</v>
      </c>
      <c r="AB21" s="738"/>
      <c r="AC21" s="17"/>
      <c r="AD21" s="1171" t="str">
        <f>'Variante Vorgaben'!$E$103</f>
        <v>Magnesiumkalk Dolomit (18%)</v>
      </c>
      <c r="AE21" s="741">
        <f>'Variante Vorgaben'!$E$115</f>
        <v>1</v>
      </c>
      <c r="AF21" s="1175">
        <f>'Variante Vorgaben'!$E$114</f>
        <v>100</v>
      </c>
      <c r="AG21" s="1177">
        <f>'Variante Vorgaben'!$E$104*(1+Eingabeseite!$C$29)</f>
        <v>0.43017486783245229</v>
      </c>
      <c r="AH21" s="763">
        <f>AE21*AF21*AG21</f>
        <v>43.017486783245232</v>
      </c>
      <c r="AI21" s="738"/>
      <c r="AJ21" s="17"/>
      <c r="AK21" s="1171" t="str">
        <f>'Variante Vorgaben'!$E$103</f>
        <v>Magnesiumkalk Dolomit (18%)</v>
      </c>
      <c r="AL21" s="741">
        <f>'Variante Vorgaben'!$E$115</f>
        <v>1</v>
      </c>
      <c r="AM21" s="1175">
        <f>'Variante Vorgaben'!$E$114</f>
        <v>100</v>
      </c>
      <c r="AN21" s="1177">
        <f>'Variante Vorgaben'!$E$104*(1+Eingabeseite!$C$29)</f>
        <v>0.43017486783245229</v>
      </c>
      <c r="AO21" s="763">
        <f>AL21*AM21*AN21</f>
        <v>43.017486783245232</v>
      </c>
      <c r="AP21" s="738"/>
      <c r="AQ21" s="17"/>
      <c r="AR21" s="1171" t="str">
        <f>'Variante Vorgaben'!$E$103</f>
        <v>Magnesiumkalk Dolomit (18%)</v>
      </c>
      <c r="AS21" s="741">
        <f>'Variante Vorgaben'!$E$115</f>
        <v>1</v>
      </c>
      <c r="AT21" s="1175">
        <f>'Variante Vorgaben'!$E$114</f>
        <v>100</v>
      </c>
      <c r="AU21" s="1177">
        <f>'Variante Vorgaben'!$E$104*(1+Eingabeseite!$C$29)</f>
        <v>0.43017486783245229</v>
      </c>
      <c r="AV21" s="763">
        <f>AS21*AT21*AU21</f>
        <v>43.017486783245232</v>
      </c>
      <c r="AW21" s="738"/>
      <c r="AX21" s="17"/>
      <c r="AY21" s="1171" t="str">
        <f>'Variante Vorgaben'!$E$103</f>
        <v>Magnesiumkalk Dolomit (18%)</v>
      </c>
      <c r="AZ21" s="741">
        <f>'Variante Vorgaben'!$E$115</f>
        <v>1</v>
      </c>
      <c r="BA21" s="1175">
        <f>'Variante Vorgaben'!$E$114</f>
        <v>100</v>
      </c>
      <c r="BB21" s="1177">
        <f>'Variante Vorgaben'!$E$104*(1+Eingabeseite!$C$29)</f>
        <v>0.43017486783245229</v>
      </c>
      <c r="BC21" s="763">
        <f>AZ21*BA21*BB21</f>
        <v>43.017486783245232</v>
      </c>
      <c r="BD21" s="738"/>
      <c r="BE21" s="17"/>
      <c r="BF21" s="1171" t="str">
        <f>'Variante Vorgaben'!$E$103</f>
        <v>Magnesiumkalk Dolomit (18%)</v>
      </c>
      <c r="BG21" s="741">
        <f>'Variante Vorgaben'!$E$115</f>
        <v>1</v>
      </c>
      <c r="BH21" s="1175">
        <f>'Variante Vorgaben'!$E$114</f>
        <v>100</v>
      </c>
      <c r="BI21" s="1177">
        <f>'Variante Vorgaben'!$E$104*(1+Eingabeseite!$C$29)</f>
        <v>0.43017486783245229</v>
      </c>
      <c r="BJ21" s="763">
        <f>BG21*BH21*BI21</f>
        <v>43.017486783245232</v>
      </c>
      <c r="BK21" s="738"/>
      <c r="BL21" s="17"/>
      <c r="BM21" s="1171" t="str">
        <f>'Variante Vorgaben'!$E$103</f>
        <v>Magnesiumkalk Dolomit (18%)</v>
      </c>
      <c r="BN21" s="741">
        <f>'Variante Vorgaben'!$E$115</f>
        <v>1</v>
      </c>
      <c r="BO21" s="1175">
        <f>'Variante Vorgaben'!$E$114</f>
        <v>100</v>
      </c>
      <c r="BP21" s="1177">
        <f>'Variante Vorgaben'!$E$104*(1+Eingabeseite!$C$29)</f>
        <v>0.43017486783245229</v>
      </c>
      <c r="BQ21" s="763">
        <f>BN21*BO21*BP21</f>
        <v>43.017486783245232</v>
      </c>
      <c r="BR21" s="738"/>
      <c r="BS21" s="17"/>
      <c r="BT21" s="1171" t="str">
        <f>'Variante Vorgaben'!$E$103</f>
        <v>Magnesiumkalk Dolomit (18%)</v>
      </c>
      <c r="BU21" s="741">
        <f>'Variante Vorgaben'!$E$115</f>
        <v>1</v>
      </c>
      <c r="BV21" s="1175">
        <f>'Variante Vorgaben'!$E$114</f>
        <v>100</v>
      </c>
      <c r="BW21" s="1177">
        <f>'Variante Vorgaben'!$E$104*(1+Eingabeseite!$C$29)</f>
        <v>0.43017486783245229</v>
      </c>
      <c r="BX21" s="763">
        <f>BU21*BV21*BW21</f>
        <v>43.017486783245232</v>
      </c>
      <c r="BY21" s="738"/>
      <c r="BZ21" s="17"/>
      <c r="CA21" s="1171" t="str">
        <f>'Variante Vorgaben'!$E$103</f>
        <v>Magnesiumkalk Dolomit (18%)</v>
      </c>
      <c r="CB21" s="741">
        <f>'Variante Vorgaben'!$E$115</f>
        <v>1</v>
      </c>
      <c r="CC21" s="1175">
        <f>'Variante Vorgaben'!$E$114</f>
        <v>100</v>
      </c>
      <c r="CD21" s="1177">
        <f>'Variante Vorgaben'!$E$104*(1+Eingabeseite!$C$29)</f>
        <v>0.43017486783245229</v>
      </c>
      <c r="CE21" s="763">
        <f>CB21*CC21*CD21</f>
        <v>43.017486783245232</v>
      </c>
      <c r="CF21" s="738"/>
      <c r="CG21" s="17"/>
      <c r="CH21" s="1171" t="str">
        <f>'Variante Vorgaben'!$E$103</f>
        <v>Magnesiumkalk Dolomit (18%)</v>
      </c>
      <c r="CI21" s="741">
        <f>'Variante Vorgaben'!$E$115</f>
        <v>1</v>
      </c>
      <c r="CJ21" s="1175">
        <f>'Variante Vorgaben'!$E$114</f>
        <v>100</v>
      </c>
      <c r="CK21" s="1177">
        <f>'Variante Vorgaben'!$E$104*(1+Eingabeseite!$C$29)</f>
        <v>0.43017486783245229</v>
      </c>
      <c r="CL21" s="763">
        <f>CI21*CJ21*CK21</f>
        <v>43.017486783245232</v>
      </c>
      <c r="CM21" s="738"/>
      <c r="CN21" s="17"/>
      <c r="CO21" s="1171" t="str">
        <f>'Variante Vorgaben'!$E$103</f>
        <v>Magnesiumkalk Dolomit (18%)</v>
      </c>
      <c r="CP21" s="741">
        <f>'Variante Vorgaben'!$E$115</f>
        <v>1</v>
      </c>
      <c r="CQ21" s="1175">
        <f>'Variante Vorgaben'!$E$114</f>
        <v>100</v>
      </c>
      <c r="CR21" s="1177">
        <f>'Variante Vorgaben'!$E$104*(1+Eingabeseite!$C$29)</f>
        <v>0.43017486783245229</v>
      </c>
      <c r="CS21" s="763">
        <f>CP21*CQ21*CR21</f>
        <v>43.017486783245232</v>
      </c>
      <c r="CT21" s="738"/>
      <c r="CU21" s="17"/>
      <c r="CV21" s="1171" t="str">
        <f>'Variante Vorgaben'!$E$103</f>
        <v>Magnesiumkalk Dolomit (18%)</v>
      </c>
      <c r="CW21" s="741">
        <f>'Variante Vorgaben'!$E$115</f>
        <v>1</v>
      </c>
      <c r="CX21" s="1175">
        <f>'Variante Vorgaben'!$E$114</f>
        <v>100</v>
      </c>
      <c r="CY21" s="1177">
        <f>'Variante Vorgaben'!$E$104*(1+Eingabeseite!$C$29)</f>
        <v>0.43017486783245229</v>
      </c>
      <c r="CZ21" s="763">
        <f>CW21*CX21*CY21</f>
        <v>43.017486783245232</v>
      </c>
      <c r="DA21" s="738"/>
      <c r="DE21" s="1176"/>
    </row>
    <row r="22" spans="1:109" ht="13" x14ac:dyDescent="0.3">
      <c r="B22" s="29"/>
      <c r="C22" s="11">
        <f>SUM(C19:C21)</f>
        <v>16</v>
      </c>
      <c r="D22" s="11"/>
      <c r="E22" s="107"/>
      <c r="F22" s="112">
        <f>SUM(F19:F21)</f>
        <v>652.5</v>
      </c>
      <c r="G22" s="739">
        <f t="shared" si="0"/>
        <v>2.7153154372714521E-2</v>
      </c>
      <c r="H22" s="11"/>
      <c r="I22" s="29"/>
      <c r="J22" s="11">
        <f>SUM(J19:J21)</f>
        <v>1</v>
      </c>
      <c r="K22" s="11"/>
      <c r="L22" s="107"/>
      <c r="M22" s="112">
        <f>SUM(M19:M21)</f>
        <v>305.12403416022778</v>
      </c>
      <c r="N22" s="739"/>
      <c r="P22" s="29"/>
      <c r="Q22" s="11">
        <f>SUM(Q19:Q21)</f>
        <v>1</v>
      </c>
      <c r="R22" s="11"/>
      <c r="S22" s="107"/>
      <c r="T22" s="112">
        <f>SUM(T19:T21)</f>
        <v>457.68605124034167</v>
      </c>
      <c r="U22" s="739"/>
      <c r="W22" s="29"/>
      <c r="X22" s="114">
        <f>SUM(X19:X21)</f>
        <v>17</v>
      </c>
      <c r="Y22" s="11"/>
      <c r="Z22" s="107"/>
      <c r="AA22" s="112">
        <f>SUM(AA19:AA21)</f>
        <v>1153.4688897925987</v>
      </c>
      <c r="AB22" s="739"/>
      <c r="AD22" s="29"/>
      <c r="AE22" s="114">
        <f>SUM(AE19:AE21)</f>
        <v>2</v>
      </c>
      <c r="AF22" s="11"/>
      <c r="AG22" s="107"/>
      <c r="AH22" s="112">
        <f>SUM(AH19:AH21)</f>
        <v>653.26555510370076</v>
      </c>
      <c r="AI22" s="739"/>
      <c r="AK22" s="29"/>
      <c r="AL22" s="114">
        <f>SUM(AL19:AL21)</f>
        <v>2</v>
      </c>
      <c r="AM22" s="11"/>
      <c r="AN22" s="107"/>
      <c r="AO22" s="112">
        <f>SUM(AO19:AO21)</f>
        <v>653.26555510370076</v>
      </c>
      <c r="AP22" s="739"/>
      <c r="AR22" s="29"/>
      <c r="AS22" s="114">
        <f>SUM(AS19:AS21)</f>
        <v>17</v>
      </c>
      <c r="AT22" s="11"/>
      <c r="AU22" s="107"/>
      <c r="AV22" s="112">
        <f>SUM(AV19:AV21)</f>
        <v>1153.4688897925987</v>
      </c>
      <c r="AW22" s="739"/>
      <c r="AY22" s="29"/>
      <c r="AZ22" s="114">
        <f>SUM(AZ19:AZ21)</f>
        <v>2</v>
      </c>
      <c r="BA22" s="11"/>
      <c r="BB22" s="107"/>
      <c r="BC22" s="112">
        <f>SUM(BC19:BC21)</f>
        <v>653.26555510370076</v>
      </c>
      <c r="BD22" s="739"/>
      <c r="BF22" s="29"/>
      <c r="BG22" s="114">
        <f>SUM(BG19:BG21)</f>
        <v>2</v>
      </c>
      <c r="BH22" s="11"/>
      <c r="BI22" s="107"/>
      <c r="BJ22" s="112">
        <f>SUM(BJ19:BJ21)</f>
        <v>653.26555510370076</v>
      </c>
      <c r="BK22" s="739"/>
      <c r="BM22" s="29"/>
      <c r="BN22" s="114">
        <f>SUM(BN19:BN21)</f>
        <v>17</v>
      </c>
      <c r="BO22" s="11"/>
      <c r="BP22" s="107"/>
      <c r="BQ22" s="112">
        <f>SUM(BQ19:BQ21)</f>
        <v>1153.4688897925987</v>
      </c>
      <c r="BR22" s="739"/>
      <c r="BT22" s="29"/>
      <c r="BU22" s="114">
        <f>SUM(BU19:BU21)</f>
        <v>2</v>
      </c>
      <c r="BV22" s="11"/>
      <c r="BW22" s="107"/>
      <c r="BX22" s="112">
        <f>SUM(BX19:BX21)</f>
        <v>653.26555510370076</v>
      </c>
      <c r="BY22" s="739"/>
      <c r="CA22" s="29"/>
      <c r="CB22" s="114">
        <f>SUM(CB19:CB21)</f>
        <v>2</v>
      </c>
      <c r="CC22" s="11"/>
      <c r="CD22" s="107"/>
      <c r="CE22" s="112">
        <f>SUM(CE19:CE21)</f>
        <v>653.26555510370076</v>
      </c>
      <c r="CF22" s="739"/>
      <c r="CH22" s="29"/>
      <c r="CI22" s="114">
        <f>SUM(CI19:CI21)</f>
        <v>17</v>
      </c>
      <c r="CJ22" s="11"/>
      <c r="CK22" s="107"/>
      <c r="CL22" s="112">
        <f>SUM(CL19:CL21)</f>
        <v>1153.4688897925987</v>
      </c>
      <c r="CM22" s="739"/>
      <c r="CO22" s="29"/>
      <c r="CP22" s="114">
        <f>SUM(CP19:CP21)</f>
        <v>2</v>
      </c>
      <c r="CQ22" s="11"/>
      <c r="CR22" s="107"/>
      <c r="CS22" s="112">
        <f>SUM(CS19:CS21)</f>
        <v>653.26555510370076</v>
      </c>
      <c r="CT22" s="739"/>
      <c r="CV22" s="29"/>
      <c r="CW22" s="114">
        <f>SUM(CW19:CW21)</f>
        <v>2</v>
      </c>
      <c r="CX22" s="11"/>
      <c r="CY22" s="107"/>
      <c r="CZ22" s="112">
        <f>SUM(CZ19:CZ21)</f>
        <v>653.26555510370076</v>
      </c>
      <c r="DA22" s="739"/>
      <c r="DE22" s="13"/>
    </row>
    <row r="23" spans="1:109" ht="13" x14ac:dyDescent="0.3">
      <c r="A23" s="17" t="s">
        <v>347</v>
      </c>
      <c r="B23" s="29"/>
      <c r="C23" s="11"/>
      <c r="D23" s="11"/>
      <c r="E23" s="107"/>
      <c r="F23" s="112"/>
      <c r="G23" s="739"/>
      <c r="H23" s="17" t="s">
        <v>347</v>
      </c>
      <c r="I23" s="29"/>
      <c r="J23" s="11"/>
      <c r="K23" s="11"/>
      <c r="L23" s="107"/>
      <c r="M23" s="112"/>
      <c r="N23" s="739"/>
      <c r="O23" s="17" t="s">
        <v>347</v>
      </c>
      <c r="P23" s="29"/>
      <c r="Q23" s="11"/>
      <c r="R23" s="11"/>
      <c r="S23" s="107"/>
      <c r="T23" s="112"/>
      <c r="U23" s="739"/>
      <c r="V23" s="17" t="s">
        <v>347</v>
      </c>
      <c r="W23" s="29"/>
      <c r="X23" s="11"/>
      <c r="Y23" s="11"/>
      <c r="Z23" s="107"/>
      <c r="AA23" s="112"/>
      <c r="AB23" s="739"/>
      <c r="AC23" s="17" t="s">
        <v>347</v>
      </c>
      <c r="AD23" s="29"/>
      <c r="AE23" s="11"/>
      <c r="AF23" s="11"/>
      <c r="AG23" s="107"/>
      <c r="AH23" s="112"/>
      <c r="AI23" s="739"/>
      <c r="AJ23" s="17" t="s">
        <v>347</v>
      </c>
      <c r="AK23" s="29"/>
      <c r="AL23" s="11"/>
      <c r="AM23" s="11"/>
      <c r="AN23" s="107"/>
      <c r="AO23" s="112"/>
      <c r="AP23" s="739"/>
      <c r="AQ23" s="17" t="s">
        <v>347</v>
      </c>
      <c r="AR23" s="29"/>
      <c r="AS23" s="11"/>
      <c r="AT23" s="11"/>
      <c r="AU23" s="107"/>
      <c r="AV23" s="112"/>
      <c r="AW23" s="739"/>
      <c r="AX23" s="17" t="s">
        <v>347</v>
      </c>
      <c r="AY23" s="29"/>
      <c r="AZ23" s="11"/>
      <c r="BA23" s="11"/>
      <c r="BB23" s="107"/>
      <c r="BC23" s="112"/>
      <c r="BD23" s="739"/>
      <c r="BE23" s="17" t="s">
        <v>347</v>
      </c>
      <c r="BF23" s="29"/>
      <c r="BG23" s="11"/>
      <c r="BH23" s="11"/>
      <c r="BI23" s="107"/>
      <c r="BJ23" s="112"/>
      <c r="BK23" s="739"/>
      <c r="BL23" s="17" t="s">
        <v>347</v>
      </c>
      <c r="BM23" s="29"/>
      <c r="BN23" s="11"/>
      <c r="BO23" s="11"/>
      <c r="BP23" s="107"/>
      <c r="BQ23" s="112"/>
      <c r="BR23" s="739"/>
      <c r="BS23" s="17" t="s">
        <v>347</v>
      </c>
      <c r="BT23" s="29"/>
      <c r="BU23" s="11"/>
      <c r="BV23" s="11"/>
      <c r="BW23" s="107"/>
      <c r="BX23" s="112"/>
      <c r="BY23" s="739"/>
      <c r="BZ23" s="17" t="s">
        <v>347</v>
      </c>
      <c r="CA23" s="29"/>
      <c r="CB23" s="11"/>
      <c r="CC23" s="11"/>
      <c r="CD23" s="107"/>
      <c r="CE23" s="112"/>
      <c r="CF23" s="739"/>
      <c r="CG23" s="17" t="s">
        <v>347</v>
      </c>
      <c r="CH23" s="29"/>
      <c r="CI23" s="11"/>
      <c r="CJ23" s="11"/>
      <c r="CK23" s="107"/>
      <c r="CL23" s="112"/>
      <c r="CM23" s="739"/>
      <c r="CN23" s="17" t="s">
        <v>347</v>
      </c>
      <c r="CO23" s="29"/>
      <c r="CP23" s="11"/>
      <c r="CQ23" s="11"/>
      <c r="CR23" s="107"/>
      <c r="CS23" s="112"/>
      <c r="CT23" s="739"/>
      <c r="CU23" s="17" t="s">
        <v>347</v>
      </c>
      <c r="CV23" s="29"/>
      <c r="CW23" s="11"/>
      <c r="CX23" s="11"/>
      <c r="CY23" s="107"/>
      <c r="CZ23" s="112"/>
      <c r="DA23" s="739"/>
    </row>
    <row r="24" spans="1:109" ht="12.5" x14ac:dyDescent="0.25">
      <c r="A24" s="1442" t="s">
        <v>298</v>
      </c>
      <c r="B24" s="13" t="str">
        <f>'Variante Vorgaben'!B119</f>
        <v>Tonerde (Myko Sin)</v>
      </c>
      <c r="C24" s="11">
        <f>'Variante Vorgaben'!C136</f>
        <v>6</v>
      </c>
      <c r="D24" s="296">
        <f>'Variante Vorgaben'!D136</f>
        <v>8</v>
      </c>
      <c r="E24" s="1176">
        <f>'Variante Vorgaben'!E136*(1+Eingabeseite!$C$28)</f>
        <v>9.7279999999999998</v>
      </c>
      <c r="F24" s="30">
        <f>C24*D24*E24</f>
        <v>466.94399999999996</v>
      </c>
      <c r="G24" s="739">
        <f>F24/$F$92</f>
        <v>1.9431421479559861E-2</v>
      </c>
      <c r="H24" s="1442" t="s">
        <v>298</v>
      </c>
      <c r="I24" s="13" t="str">
        <f>'Variante Vorgaben'!B153</f>
        <v>Tonerde (Myko Sin)</v>
      </c>
      <c r="J24" s="11">
        <f>'Variante Vorgaben'!C153</f>
        <v>6</v>
      </c>
      <c r="K24" s="296">
        <f>'Variante Vorgaben'!D153</f>
        <v>8</v>
      </c>
      <c r="L24" s="1176">
        <f>'Variante Vorgaben'!E153*(1+Eingabeseite!$C$28)</f>
        <v>9.7279999999999998</v>
      </c>
      <c r="M24" s="30">
        <f>J24*K24*L24</f>
        <v>466.94399999999996</v>
      </c>
      <c r="N24" s="739">
        <f>M24/$M$92</f>
        <v>1.9079744160622133E-2</v>
      </c>
      <c r="O24" s="1417" t="s">
        <v>298</v>
      </c>
      <c r="P24" s="13" t="str">
        <f>'Variante Vorgaben'!$B$119</f>
        <v>Tonerde (Myko Sin)</v>
      </c>
      <c r="Q24" s="11">
        <f>'Variante Vorgaben'!$C$119</f>
        <v>6</v>
      </c>
      <c r="R24" s="296">
        <f>'Variante Vorgaben'!$D$119</f>
        <v>8</v>
      </c>
      <c r="S24" s="1299">
        <f>'Variante Vorgaben'!$E$119*(1+Eingabeseite!$C$28)</f>
        <v>9.7279999999999998</v>
      </c>
      <c r="T24" s="30">
        <f>Q24*R24*S24</f>
        <v>466.94399999999996</v>
      </c>
      <c r="U24" s="739">
        <f>T24/$T$92</f>
        <v>1.4422814971647546E-2</v>
      </c>
      <c r="V24" s="1417" t="s">
        <v>298</v>
      </c>
      <c r="W24" s="13" t="str">
        <f>'Variante Vorgaben'!$B$119</f>
        <v>Tonerde (Myko Sin)</v>
      </c>
      <c r="X24" s="11">
        <f>'Variante Vorgaben'!$C$119</f>
        <v>6</v>
      </c>
      <c r="Y24" s="296">
        <f>'Variante Vorgaben'!$D$119</f>
        <v>8</v>
      </c>
      <c r="Z24" s="1299">
        <f>'Variante Vorgaben'!$E$119*(1+Eingabeseite!$C$28)</f>
        <v>9.7279999999999998</v>
      </c>
      <c r="AA24" s="30">
        <f>X24*Y24*Z24</f>
        <v>466.94399999999996</v>
      </c>
      <c r="AB24" s="739">
        <f>AA24/$AA$92</f>
        <v>1.2729432748470004E-2</v>
      </c>
      <c r="AC24" s="1417" t="s">
        <v>298</v>
      </c>
      <c r="AD24" s="13" t="str">
        <f>'Variante Vorgaben'!$B$119</f>
        <v>Tonerde (Myko Sin)</v>
      </c>
      <c r="AE24" s="11">
        <f>'Variante Vorgaben'!$C$119</f>
        <v>6</v>
      </c>
      <c r="AF24" s="296">
        <f>'Variante Vorgaben'!$D$119</f>
        <v>8</v>
      </c>
      <c r="AG24" s="1299">
        <f>'Variante Vorgaben'!$E$119*(1+Eingabeseite!$C$28)</f>
        <v>9.7279999999999998</v>
      </c>
      <c r="AH24" s="30">
        <f>AE24*AF24*AG24</f>
        <v>466.94399999999996</v>
      </c>
      <c r="AI24" s="739">
        <f>AH24/$AH$92</f>
        <v>1.2313372300226725E-2</v>
      </c>
      <c r="AJ24" s="1417" t="s">
        <v>298</v>
      </c>
      <c r="AK24" s="13" t="str">
        <f>'Variante Vorgaben'!$B$119</f>
        <v>Tonerde (Myko Sin)</v>
      </c>
      <c r="AL24" s="11">
        <f>'Variante Vorgaben'!$C$119</f>
        <v>6</v>
      </c>
      <c r="AM24" s="296">
        <f>'Variante Vorgaben'!$D$119</f>
        <v>8</v>
      </c>
      <c r="AN24" s="1299">
        <f>'Variante Vorgaben'!$E$119*(1+Eingabeseite!$C$28)</f>
        <v>9.7279999999999998</v>
      </c>
      <c r="AO24" s="30">
        <f>AL24*AM24*AN24</f>
        <v>466.94399999999996</v>
      </c>
      <c r="AP24" s="739">
        <f>AO24/$AO$92</f>
        <v>1.2357863848315106E-2</v>
      </c>
      <c r="AQ24" s="1417" t="s">
        <v>298</v>
      </c>
      <c r="AR24" s="13" t="str">
        <f>'Variante Vorgaben'!$B$119</f>
        <v>Tonerde (Myko Sin)</v>
      </c>
      <c r="AS24" s="11">
        <f>'Variante Vorgaben'!$C$119</f>
        <v>6</v>
      </c>
      <c r="AT24" s="296">
        <f>'Variante Vorgaben'!$D$119</f>
        <v>8</v>
      </c>
      <c r="AU24" s="1299">
        <f>'Variante Vorgaben'!$E$119*(1+Eingabeseite!$C$28)</f>
        <v>9.7279999999999998</v>
      </c>
      <c r="AV24" s="30">
        <f>AS24*AT24*AU24</f>
        <v>466.94399999999996</v>
      </c>
      <c r="AW24" s="739">
        <f>AV24/$AV$92</f>
        <v>1.1541559471771335E-2</v>
      </c>
      <c r="AX24" s="1417" t="s">
        <v>298</v>
      </c>
      <c r="AY24" s="13" t="str">
        <f>'Variante Vorgaben'!$B$119</f>
        <v>Tonerde (Myko Sin)</v>
      </c>
      <c r="AZ24" s="11">
        <f>'Variante Vorgaben'!$C$119</f>
        <v>6</v>
      </c>
      <c r="BA24" s="296">
        <f>'Variante Vorgaben'!$D$119</f>
        <v>8</v>
      </c>
      <c r="BB24" s="1299">
        <f>'Variante Vorgaben'!$E$119*(1+Eingabeseite!$C$28)</f>
        <v>9.7279999999999998</v>
      </c>
      <c r="BC24" s="30">
        <f>AZ24*BA24*BB24</f>
        <v>466.94399999999996</v>
      </c>
      <c r="BD24" s="739">
        <f>BC24/$BC$92</f>
        <v>1.2440656841139859E-2</v>
      </c>
      <c r="BE24" s="1417" t="s">
        <v>298</v>
      </c>
      <c r="BF24" s="13" t="str">
        <f>'Variante Vorgaben'!$B$119</f>
        <v>Tonerde (Myko Sin)</v>
      </c>
      <c r="BG24" s="11">
        <f>'Variante Vorgaben'!$C$119</f>
        <v>6</v>
      </c>
      <c r="BH24" s="296">
        <f>'Variante Vorgaben'!$D$119</f>
        <v>8</v>
      </c>
      <c r="BI24" s="1299">
        <f>'Variante Vorgaben'!$E$119*(1+Eingabeseite!$C$28)</f>
        <v>9.7279999999999998</v>
      </c>
      <c r="BJ24" s="30">
        <f>BG24*BH24*BI24</f>
        <v>466.94399999999996</v>
      </c>
      <c r="BK24" s="739">
        <f>BJ24/$BJ$92</f>
        <v>1.2487240644542926E-2</v>
      </c>
      <c r="BL24" s="1417" t="s">
        <v>298</v>
      </c>
      <c r="BM24" s="13" t="str">
        <f>'Variante Vorgaben'!$B$119</f>
        <v>Tonerde (Myko Sin)</v>
      </c>
      <c r="BN24" s="11">
        <f>'Variante Vorgaben'!$C$119</f>
        <v>6</v>
      </c>
      <c r="BO24" s="296">
        <f>'Variante Vorgaben'!$D$119</f>
        <v>8</v>
      </c>
      <c r="BP24" s="1299">
        <f>'Variante Vorgaben'!$E$119*(1+Eingabeseite!$C$28)</f>
        <v>9.7279999999999998</v>
      </c>
      <c r="BQ24" s="30">
        <f>BN24*BO24*BP24</f>
        <v>466.94399999999996</v>
      </c>
      <c r="BR24" s="739">
        <f>BQ24/$BQ$92</f>
        <v>1.1655355654874293E-2</v>
      </c>
      <c r="BS24" s="1417" t="s">
        <v>298</v>
      </c>
      <c r="BT24" s="13" t="str">
        <f>'Variante Vorgaben'!$B$119</f>
        <v>Tonerde (Myko Sin)</v>
      </c>
      <c r="BU24" s="11">
        <f>'Variante Vorgaben'!$C$119</f>
        <v>6</v>
      </c>
      <c r="BV24" s="296">
        <f>'Variante Vorgaben'!$D$119</f>
        <v>8</v>
      </c>
      <c r="BW24" s="1299">
        <f>'Variante Vorgaben'!$E$119*(1+Eingabeseite!$C$28)</f>
        <v>9.7279999999999998</v>
      </c>
      <c r="BX24" s="30">
        <f>BU24*BV24*BW24</f>
        <v>466.94399999999996</v>
      </c>
      <c r="BY24" s="739">
        <f>BX24/$BX$92</f>
        <v>1.2574178515634601E-2</v>
      </c>
      <c r="BZ24" s="1417" t="s">
        <v>298</v>
      </c>
      <c r="CA24" s="13" t="str">
        <f>'Variante Vorgaben'!$B$119</f>
        <v>Tonerde (Myko Sin)</v>
      </c>
      <c r="CB24" s="11">
        <f>'Variante Vorgaben'!$C$119</f>
        <v>6</v>
      </c>
      <c r="CC24" s="296">
        <f>'Variante Vorgaben'!$D$119</f>
        <v>8</v>
      </c>
      <c r="CD24" s="1299">
        <f>'Variante Vorgaben'!$E$119*(1+Eingabeseite!$C$28)</f>
        <v>9.7279999999999998</v>
      </c>
      <c r="CE24" s="30">
        <f>CB24*CC24*CD24</f>
        <v>466.94399999999996</v>
      </c>
      <c r="CF24" s="739">
        <f>CE24/$CE$92</f>
        <v>1.2622993458997101E-2</v>
      </c>
      <c r="CG24" s="1417" t="s">
        <v>298</v>
      </c>
      <c r="CH24" s="13" t="str">
        <f>'Variante Vorgaben'!$B$119</f>
        <v>Tonerde (Myko Sin)</v>
      </c>
      <c r="CI24" s="11">
        <f>'Variante Vorgaben'!$C$119</f>
        <v>6</v>
      </c>
      <c r="CJ24" s="296">
        <f>'Variante Vorgaben'!$D$119</f>
        <v>8</v>
      </c>
      <c r="CK24" s="1299">
        <f>'Variante Vorgaben'!$E$119*(1+Eingabeseite!$C$28)</f>
        <v>9.7279999999999998</v>
      </c>
      <c r="CL24" s="30">
        <f>CI24*CJ24*CK24</f>
        <v>466.94399999999996</v>
      </c>
      <c r="CM24" s="739">
        <f>CL24/$CL$92</f>
        <v>1.1973378428839256E-2</v>
      </c>
      <c r="CN24" s="1417" t="s">
        <v>298</v>
      </c>
      <c r="CO24" s="13" t="str">
        <f>'Variante Vorgaben'!$B$119</f>
        <v>Tonerde (Myko Sin)</v>
      </c>
      <c r="CP24" s="11">
        <f>'Variante Vorgaben'!$C$119</f>
        <v>6</v>
      </c>
      <c r="CQ24" s="296">
        <f>'Variante Vorgaben'!$D$119</f>
        <v>8</v>
      </c>
      <c r="CR24" s="1299">
        <f>'Variante Vorgaben'!$E$119*(1+Eingabeseite!$C$28)</f>
        <v>9.7279999999999998</v>
      </c>
      <c r="CS24" s="30">
        <f>CP24*CQ24*CR24</f>
        <v>466.94399999999996</v>
      </c>
      <c r="CT24" s="739">
        <f>CS24/$CS$92</f>
        <v>1.2933767282012081E-2</v>
      </c>
      <c r="CU24" s="1417" t="s">
        <v>298</v>
      </c>
      <c r="CV24" s="13" t="str">
        <f>'Variante Vorgaben'!$B$119</f>
        <v>Tonerde (Myko Sin)</v>
      </c>
      <c r="CW24" s="11">
        <f>'Variante Vorgaben'!$C$119</f>
        <v>6</v>
      </c>
      <c r="CX24" s="296">
        <f>'Variante Vorgaben'!$D$119</f>
        <v>8</v>
      </c>
      <c r="CY24" s="1299">
        <f>'Variante Vorgaben'!$E$119*(1+Eingabeseite!$C$28)</f>
        <v>9.7279999999999998</v>
      </c>
      <c r="CZ24" s="30">
        <f>CW24*CX24*CY24</f>
        <v>466.94399999999996</v>
      </c>
      <c r="DA24" s="739">
        <f>CZ24/$CZ$92</f>
        <v>1.1120087475018478E-2</v>
      </c>
    </row>
    <row r="25" spans="1:109" ht="12.5" x14ac:dyDescent="0.25">
      <c r="A25" s="1442"/>
      <c r="B25" s="13" t="str">
        <f>'Variante Vorgaben'!B120</f>
        <v xml:space="preserve">Netzschwefel (Stullin) </v>
      </c>
      <c r="C25" s="11">
        <f>'Variante Vorgaben'!C137</f>
        <v>10</v>
      </c>
      <c r="D25" s="296">
        <f>'Variante Vorgaben'!D137</f>
        <v>12</v>
      </c>
      <c r="E25" s="1176">
        <f>'Variante Vorgaben'!E137*(1+Eingabeseite!$C$28)</f>
        <v>2.98</v>
      </c>
      <c r="F25" s="30">
        <f>C25*D25*E25</f>
        <v>357.6</v>
      </c>
      <c r="G25" s="739">
        <f t="shared" ref="G25:G36" si="1">F25/$F$92</f>
        <v>1.4881177017138258E-2</v>
      </c>
      <c r="H25" s="1442"/>
      <c r="I25" s="13" t="str">
        <f>'Variante Vorgaben'!B154</f>
        <v xml:space="preserve">Netzschwefel (Stullin) </v>
      </c>
      <c r="J25" s="11">
        <f>'Variante Vorgaben'!C154</f>
        <v>10</v>
      </c>
      <c r="K25" s="296">
        <f>'Variante Vorgaben'!D154</f>
        <v>12</v>
      </c>
      <c r="L25" s="1176">
        <f>'Variante Vorgaben'!E154*(1+Eingabeseite!$C$28)</f>
        <v>2.98</v>
      </c>
      <c r="M25" s="30">
        <f t="shared" ref="M25:M36" si="2">J25*K25*L25</f>
        <v>357.6</v>
      </c>
      <c r="N25" s="739">
        <f>M25/$M$92</f>
        <v>1.4611851767746188E-2</v>
      </c>
      <c r="O25" s="1417"/>
      <c r="P25" s="13" t="str">
        <f>'Variante Vorgaben'!$B$120</f>
        <v xml:space="preserve">Netzschwefel (Stullin) </v>
      </c>
      <c r="Q25" s="11">
        <f>'Variante Vorgaben'!$C$120</f>
        <v>10</v>
      </c>
      <c r="R25" s="1184">
        <f>'Variante Vorgaben'!$D$120</f>
        <v>12</v>
      </c>
      <c r="S25" s="1301">
        <f>'Variante Vorgaben'!$E$120*(1+Eingabeseite!$C$28)</f>
        <v>2.98</v>
      </c>
      <c r="T25" s="30">
        <f>Q25*R25*S25</f>
        <v>357.6</v>
      </c>
      <c r="U25" s="739">
        <f>T25/$T$92</f>
        <v>1.1045432929561496E-2</v>
      </c>
      <c r="V25" s="1417"/>
      <c r="W25" s="13" t="str">
        <f>'Variante Vorgaben'!$B$120</f>
        <v xml:space="preserve">Netzschwefel (Stullin) </v>
      </c>
      <c r="X25" s="11">
        <f>'Variante Vorgaben'!$C$120</f>
        <v>10</v>
      </c>
      <c r="Y25" s="1184">
        <f>'Variante Vorgaben'!$D$120</f>
        <v>12</v>
      </c>
      <c r="Z25" s="1301">
        <f>'Variante Vorgaben'!$E$120*(1+Eingabeseite!$C$28)</f>
        <v>2.98</v>
      </c>
      <c r="AA25" s="30">
        <f>X25*Y25*Z25</f>
        <v>357.6</v>
      </c>
      <c r="AB25" s="739">
        <f>AA25/$AA$92</f>
        <v>9.7485890189249122E-3</v>
      </c>
      <c r="AC25" s="1417"/>
      <c r="AD25" s="13" t="str">
        <f>'Variante Vorgaben'!$B$120</f>
        <v xml:space="preserve">Netzschwefel (Stullin) </v>
      </c>
      <c r="AE25" s="11">
        <f>'Variante Vorgaben'!$C$120</f>
        <v>10</v>
      </c>
      <c r="AF25" s="1184">
        <f>'Variante Vorgaben'!$D$120</f>
        <v>12</v>
      </c>
      <c r="AG25" s="1301">
        <f>'Variante Vorgaben'!$E$120*(1+Eingabeseite!$C$28)</f>
        <v>2.98</v>
      </c>
      <c r="AH25" s="30">
        <f>AE25*AF25*AG25</f>
        <v>357.6</v>
      </c>
      <c r="AI25" s="739">
        <f>AH25/$AH$92</f>
        <v>9.42995719949518E-3</v>
      </c>
      <c r="AJ25" s="1417"/>
      <c r="AK25" s="13" t="str">
        <f>'Variante Vorgaben'!$B$120</f>
        <v xml:space="preserve">Netzschwefel (Stullin) </v>
      </c>
      <c r="AL25" s="11">
        <f>'Variante Vorgaben'!$C$120</f>
        <v>10</v>
      </c>
      <c r="AM25" s="1184">
        <f>'Variante Vorgaben'!$D$120</f>
        <v>12</v>
      </c>
      <c r="AN25" s="1301">
        <f>'Variante Vorgaben'!$E$120*(1+Eingabeseite!$C$28)</f>
        <v>2.98</v>
      </c>
      <c r="AO25" s="30">
        <f>AL25*AM25*AN25</f>
        <v>357.6</v>
      </c>
      <c r="AP25" s="739">
        <f>AO25/$AO$92</f>
        <v>9.4640301881113841E-3</v>
      </c>
      <c r="AQ25" s="1417"/>
      <c r="AR25" s="13" t="str">
        <f>'Variante Vorgaben'!$B$120</f>
        <v xml:space="preserve">Netzschwefel (Stullin) </v>
      </c>
      <c r="AS25" s="11">
        <f>'Variante Vorgaben'!$C$120</f>
        <v>10</v>
      </c>
      <c r="AT25" s="1184">
        <f>'Variante Vorgaben'!$D$120</f>
        <v>12</v>
      </c>
      <c r="AU25" s="1301">
        <f>'Variante Vorgaben'!$E$120*(1+Eingabeseite!$C$28)</f>
        <v>2.98</v>
      </c>
      <c r="AV25" s="30">
        <f>AS25*AT25*AU25</f>
        <v>357.6</v>
      </c>
      <c r="AW25" s="739">
        <f>AV25/$AV$92</f>
        <v>8.8388793240847512E-3</v>
      </c>
      <c r="AX25" s="1417"/>
      <c r="AY25" s="13" t="str">
        <f>'Variante Vorgaben'!$B$120</f>
        <v xml:space="preserve">Netzschwefel (Stullin) </v>
      </c>
      <c r="AZ25" s="11">
        <f>'Variante Vorgaben'!$C$120</f>
        <v>10</v>
      </c>
      <c r="BA25" s="1184">
        <f>'Variante Vorgaben'!$D$120</f>
        <v>12</v>
      </c>
      <c r="BB25" s="1301">
        <f>'Variante Vorgaben'!$E$120*(1+Eingabeseite!$C$28)</f>
        <v>2.98</v>
      </c>
      <c r="BC25" s="30">
        <f>AZ25*BA25*BB25</f>
        <v>357.6</v>
      </c>
      <c r="BD25" s="739">
        <f>BC25/$BC$92</f>
        <v>9.5274355948285327E-3</v>
      </c>
      <c r="BE25" s="1417"/>
      <c r="BF25" s="13" t="str">
        <f>'Variante Vorgaben'!$B$120</f>
        <v xml:space="preserve">Netzschwefel (Stullin) </v>
      </c>
      <c r="BG25" s="11">
        <f>'Variante Vorgaben'!$C$120</f>
        <v>10</v>
      </c>
      <c r="BH25" s="1184">
        <f>'Variante Vorgaben'!$D$120</f>
        <v>12</v>
      </c>
      <c r="BI25" s="1301">
        <f>'Variante Vorgaben'!$E$120*(1+Eingabeseite!$C$28)</f>
        <v>2.98</v>
      </c>
      <c r="BJ25" s="30">
        <f>BG25*BH25*BI25</f>
        <v>357.6</v>
      </c>
      <c r="BK25" s="739">
        <f>BJ25/$BJ$92</f>
        <v>9.563110896571218E-3</v>
      </c>
      <c r="BL25" s="1417"/>
      <c r="BM25" s="13" t="str">
        <f>'Variante Vorgaben'!$B$120</f>
        <v xml:space="preserve">Netzschwefel (Stullin) </v>
      </c>
      <c r="BN25" s="11">
        <f>'Variante Vorgaben'!$C$120</f>
        <v>10</v>
      </c>
      <c r="BO25" s="1184">
        <f>'Variante Vorgaben'!$D$120</f>
        <v>12</v>
      </c>
      <c r="BP25" s="1301">
        <f>'Variante Vorgaben'!$E$120*(1+Eingabeseite!$C$28)</f>
        <v>2.98</v>
      </c>
      <c r="BQ25" s="30">
        <f>BN25*BO25*BP25</f>
        <v>357.6</v>
      </c>
      <c r="BR25" s="739">
        <f>BQ25/$BQ$92</f>
        <v>8.9260279223698086E-3</v>
      </c>
      <c r="BS25" s="1417"/>
      <c r="BT25" s="13" t="str">
        <f>'Variante Vorgaben'!$B$120</f>
        <v xml:space="preserve">Netzschwefel (Stullin) </v>
      </c>
      <c r="BU25" s="11">
        <f>'Variante Vorgaben'!$C$120</f>
        <v>10</v>
      </c>
      <c r="BV25" s="1184">
        <f>'Variante Vorgaben'!$D$120</f>
        <v>12</v>
      </c>
      <c r="BW25" s="1301">
        <f>'Variante Vorgaben'!$E$120*(1+Eingabeseite!$C$28)</f>
        <v>2.98</v>
      </c>
      <c r="BX25" s="30">
        <f>BU25*BV25*BW25</f>
        <v>357.6</v>
      </c>
      <c r="BY25" s="739">
        <f>BX25/$BX$92</f>
        <v>9.6296905778657273E-3</v>
      </c>
      <c r="BZ25" s="1417"/>
      <c r="CA25" s="13" t="str">
        <f>'Variante Vorgaben'!$B$120</f>
        <v xml:space="preserve">Netzschwefel (Stullin) </v>
      </c>
      <c r="CB25" s="11">
        <f>'Variante Vorgaben'!$C$120</f>
        <v>10</v>
      </c>
      <c r="CC25" s="1184">
        <f>'Variante Vorgaben'!$D$120</f>
        <v>12</v>
      </c>
      <c r="CD25" s="1301">
        <f>'Variante Vorgaben'!$E$120*(1+Eingabeseite!$C$28)</f>
        <v>2.98</v>
      </c>
      <c r="CE25" s="30">
        <f>CB25*CC25*CD25</f>
        <v>357.6</v>
      </c>
      <c r="CF25" s="739">
        <f>CE25/$CE$92</f>
        <v>9.6670745548446159E-3</v>
      </c>
      <c r="CG25" s="1417"/>
      <c r="CH25" s="13" t="str">
        <f>'Variante Vorgaben'!$B$120</f>
        <v xml:space="preserve">Netzschwefel (Stullin) </v>
      </c>
      <c r="CI25" s="11">
        <f>'Variante Vorgaben'!$C$120</f>
        <v>10</v>
      </c>
      <c r="CJ25" s="1184">
        <f>'Variante Vorgaben'!$D$120</f>
        <v>12</v>
      </c>
      <c r="CK25" s="1301">
        <f>'Variante Vorgaben'!$E$120*(1+Eingabeseite!$C$28)</f>
        <v>2.98</v>
      </c>
      <c r="CL25" s="30">
        <f>CI25*CJ25*CK25</f>
        <v>357.6</v>
      </c>
      <c r="CM25" s="739">
        <f>CL25/$CL$92</f>
        <v>9.1695794916583535E-3</v>
      </c>
      <c r="CN25" s="1417"/>
      <c r="CO25" s="13" t="str">
        <f>'Variante Vorgaben'!$B$120</f>
        <v xml:space="preserve">Netzschwefel (Stullin) </v>
      </c>
      <c r="CP25" s="11">
        <f>'Variante Vorgaben'!$C$120</f>
        <v>10</v>
      </c>
      <c r="CQ25" s="1184">
        <f>'Variante Vorgaben'!$D$120</f>
        <v>12</v>
      </c>
      <c r="CR25" s="1301">
        <f>'Variante Vorgaben'!$E$120*(1+Eingabeseite!$C$28)</f>
        <v>2.98</v>
      </c>
      <c r="CS25" s="30">
        <f>CP25*CQ25*CR25</f>
        <v>357.6</v>
      </c>
      <c r="CT25" s="739">
        <f>CS25/$CS$92</f>
        <v>9.9050746557349939E-3</v>
      </c>
      <c r="CU25" s="1417"/>
      <c r="CV25" s="13" t="str">
        <f>'Variante Vorgaben'!$B$120</f>
        <v xml:space="preserve">Netzschwefel (Stullin) </v>
      </c>
      <c r="CW25" s="11">
        <f>'Variante Vorgaben'!$C$120</f>
        <v>10</v>
      </c>
      <c r="CX25" s="1184">
        <f>'Variante Vorgaben'!$D$120</f>
        <v>12</v>
      </c>
      <c r="CY25" s="1301">
        <f>'Variante Vorgaben'!$E$120*(1+Eingabeseite!$C$28)</f>
        <v>2.98</v>
      </c>
      <c r="CZ25" s="30">
        <f>CW25*CX25*CY25</f>
        <v>357.6</v>
      </c>
      <c r="DA25" s="739">
        <f>CZ25/$CZ$92</f>
        <v>8.516103175255722E-3</v>
      </c>
    </row>
    <row r="26" spans="1:109" ht="12.5" x14ac:dyDescent="0.25">
      <c r="A26" s="1442"/>
      <c r="B26" s="13" t="str">
        <f>'Variante Vorgaben'!B121</f>
        <v>Kaliumbicarbonat (Armicarb)</v>
      </c>
      <c r="C26" s="11">
        <f>'Variante Vorgaben'!C138</f>
        <v>2</v>
      </c>
      <c r="D26" s="296">
        <f>'Variante Vorgaben'!D138</f>
        <v>4.8</v>
      </c>
      <c r="E26" s="1176">
        <f>'Variante Vorgaben'!E138*(1+Eingabeseite!$C$28)</f>
        <v>17</v>
      </c>
      <c r="F26" s="30">
        <f t="shared" ref="F26:F36" si="3">C26*D26*E26</f>
        <v>163.19999999999999</v>
      </c>
      <c r="G26" s="739">
        <f t="shared" si="1"/>
        <v>6.7914096454053793E-3</v>
      </c>
      <c r="H26" s="1442"/>
      <c r="I26" s="13" t="str">
        <f>'Variante Vorgaben'!B155</f>
        <v>Kaliumbicarbonat (Armicarb)</v>
      </c>
      <c r="J26" s="11">
        <f>'Variante Vorgaben'!C155</f>
        <v>2</v>
      </c>
      <c r="K26" s="296">
        <f>'Variante Vorgaben'!D155</f>
        <v>4.8</v>
      </c>
      <c r="L26" s="1176">
        <f>'Variante Vorgaben'!E155*(1+Eingabeseite!$C$28)</f>
        <v>17</v>
      </c>
      <c r="M26" s="30">
        <f t="shared" si="2"/>
        <v>163.19999999999999</v>
      </c>
      <c r="N26" s="739"/>
      <c r="O26" s="1417"/>
      <c r="P26" s="13" t="str">
        <f>'Variante Vorgaben'!$B$121</f>
        <v>Kaliumbicarbonat (Armicarb)</v>
      </c>
      <c r="Q26" s="11">
        <f>'Variante Vorgaben'!$C$121</f>
        <v>6</v>
      </c>
      <c r="R26" s="1184">
        <f>'Variante Vorgaben'!$D$121</f>
        <v>4.8</v>
      </c>
      <c r="S26" s="1299">
        <f>'Variante Vorgaben'!$E$121*(1+Eingabeseite!$C$28)</f>
        <v>17</v>
      </c>
      <c r="T26" s="30">
        <f>Q26*R26*S26</f>
        <v>489.59999999999997</v>
      </c>
      <c r="U26" s="739">
        <f>T26/$T$92</f>
        <v>1.5122606158594261E-2</v>
      </c>
      <c r="V26" s="1417"/>
      <c r="W26" s="13" t="str">
        <f>'Variante Vorgaben'!$B$121</f>
        <v>Kaliumbicarbonat (Armicarb)</v>
      </c>
      <c r="X26" s="11">
        <f>'Variante Vorgaben'!$C$121</f>
        <v>6</v>
      </c>
      <c r="Y26" s="1184">
        <f>'Variante Vorgaben'!$D$121</f>
        <v>4.8</v>
      </c>
      <c r="Z26" s="1299">
        <f>'Variante Vorgaben'!$E$121*(1+Eingabeseite!$C$28)</f>
        <v>17</v>
      </c>
      <c r="AA26" s="30">
        <f>X26*Y26*Z26</f>
        <v>489.59999999999997</v>
      </c>
      <c r="AB26" s="739">
        <f>AA26/$AA$92</f>
        <v>1.3347061475575045E-2</v>
      </c>
      <c r="AC26" s="1417"/>
      <c r="AD26" s="13" t="str">
        <f>'Variante Vorgaben'!$B$121</f>
        <v>Kaliumbicarbonat (Armicarb)</v>
      </c>
      <c r="AE26" s="11">
        <f>'Variante Vorgaben'!$C$121</f>
        <v>6</v>
      </c>
      <c r="AF26" s="1184">
        <f>'Variante Vorgaben'!$D$121</f>
        <v>4.8</v>
      </c>
      <c r="AG26" s="1299">
        <f>'Variante Vorgaben'!$E$121*(1+Eingabeseite!$C$28)</f>
        <v>17</v>
      </c>
      <c r="AH26" s="30">
        <f>AE26*AF26*AG26</f>
        <v>489.59999999999997</v>
      </c>
      <c r="AI26" s="739">
        <f>AH26/$AH$92</f>
        <v>1.2910813883872595E-2</v>
      </c>
      <c r="AJ26" s="1417"/>
      <c r="AK26" s="13" t="str">
        <f>'Variante Vorgaben'!$B$121</f>
        <v>Kaliumbicarbonat (Armicarb)</v>
      </c>
      <c r="AL26" s="11">
        <f>'Variante Vorgaben'!$C$121</f>
        <v>6</v>
      </c>
      <c r="AM26" s="1184">
        <f>'Variante Vorgaben'!$D$121</f>
        <v>4.8</v>
      </c>
      <c r="AN26" s="1299">
        <f>'Variante Vorgaben'!$E$121*(1+Eingabeseite!$C$28)</f>
        <v>17</v>
      </c>
      <c r="AO26" s="30">
        <f>AL26*AM26*AN26</f>
        <v>489.59999999999997</v>
      </c>
      <c r="AP26" s="739">
        <f>AO26/$AO$92</f>
        <v>1.2957464150165921E-2</v>
      </c>
      <c r="AQ26" s="1417"/>
      <c r="AR26" s="13" t="str">
        <f>'Variante Vorgaben'!$B$121</f>
        <v>Kaliumbicarbonat (Armicarb)</v>
      </c>
      <c r="AS26" s="11">
        <f>'Variante Vorgaben'!$C$121</f>
        <v>6</v>
      </c>
      <c r="AT26" s="1184">
        <f>'Variante Vorgaben'!$D$121</f>
        <v>4.8</v>
      </c>
      <c r="AU26" s="1299">
        <f>'Variante Vorgaben'!$E$121*(1+Eingabeseite!$C$28)</f>
        <v>17</v>
      </c>
      <c r="AV26" s="30">
        <f>AS26*AT26*AU26</f>
        <v>489.59999999999997</v>
      </c>
      <c r="AW26" s="739">
        <f>AV26/$AV$92</f>
        <v>1.2101552900089187E-2</v>
      </c>
      <c r="AX26" s="1417"/>
      <c r="AY26" s="13" t="str">
        <f>'Variante Vorgaben'!$B$121</f>
        <v>Kaliumbicarbonat (Armicarb)</v>
      </c>
      <c r="AZ26" s="11">
        <f>'Variante Vorgaben'!$C$121</f>
        <v>6</v>
      </c>
      <c r="BA26" s="1184">
        <f>'Variante Vorgaben'!$D$121</f>
        <v>4.8</v>
      </c>
      <c r="BB26" s="1299">
        <f>'Variante Vorgaben'!$E$121*(1+Eingabeseite!$C$28)</f>
        <v>17</v>
      </c>
      <c r="BC26" s="30">
        <f>AZ26*BA26*BB26</f>
        <v>489.59999999999997</v>
      </c>
      <c r="BD26" s="739">
        <f>BC26/$BC$92</f>
        <v>1.3044274237214902E-2</v>
      </c>
      <c r="BE26" s="1417"/>
      <c r="BF26" s="13" t="str">
        <f>'Variante Vorgaben'!$B$121</f>
        <v>Kaliumbicarbonat (Armicarb)</v>
      </c>
      <c r="BG26" s="11">
        <f>'Variante Vorgaben'!$C$121</f>
        <v>6</v>
      </c>
      <c r="BH26" s="1184">
        <f>'Variante Vorgaben'!$D$121</f>
        <v>4.8</v>
      </c>
      <c r="BI26" s="1299">
        <f>'Variante Vorgaben'!$E$121*(1+Eingabeseite!$C$28)</f>
        <v>17</v>
      </c>
      <c r="BJ26" s="30">
        <f>BG26*BH26*BI26</f>
        <v>489.59999999999997</v>
      </c>
      <c r="BK26" s="739">
        <f>BJ26/$BJ$92</f>
        <v>1.3093118274500189E-2</v>
      </c>
      <c r="BL26" s="1417"/>
      <c r="BM26" s="13" t="str">
        <f>'Variante Vorgaben'!$B$121</f>
        <v>Kaliumbicarbonat (Armicarb)</v>
      </c>
      <c r="BN26" s="11">
        <f>'Variante Vorgaben'!$C$121</f>
        <v>6</v>
      </c>
      <c r="BO26" s="1184">
        <f>'Variante Vorgaben'!$D$121</f>
        <v>4.8</v>
      </c>
      <c r="BP26" s="1299">
        <f>'Variante Vorgaben'!$E$121*(1+Eingabeseite!$C$28)</f>
        <v>17</v>
      </c>
      <c r="BQ26" s="30">
        <f>BN26*BO26*BP26</f>
        <v>489.59999999999997</v>
      </c>
      <c r="BR26" s="739">
        <f>BQ26/$BQ$92</f>
        <v>1.2220870444049937E-2</v>
      </c>
      <c r="BS26" s="1417"/>
      <c r="BT26" s="13" t="str">
        <f>'Variante Vorgaben'!$B$121</f>
        <v>Kaliumbicarbonat (Armicarb)</v>
      </c>
      <c r="BU26" s="11">
        <f>'Variante Vorgaben'!$C$121</f>
        <v>6</v>
      </c>
      <c r="BV26" s="1184">
        <f>'Variante Vorgaben'!$D$121</f>
        <v>4.8</v>
      </c>
      <c r="BW26" s="1299">
        <f>'Variante Vorgaben'!$E$121*(1+Eingabeseite!$C$28)</f>
        <v>17</v>
      </c>
      <c r="BX26" s="30">
        <f>BU26*BV26*BW26</f>
        <v>489.59999999999997</v>
      </c>
      <c r="BY26" s="739">
        <f>BX26/$BX$92</f>
        <v>1.3184274348218845E-2</v>
      </c>
      <c r="BZ26" s="1417"/>
      <c r="CA26" s="13" t="str">
        <f>'Variante Vorgaben'!$B$121</f>
        <v>Kaliumbicarbonat (Armicarb)</v>
      </c>
      <c r="CB26" s="11">
        <f>'Variante Vorgaben'!$C$121</f>
        <v>6</v>
      </c>
      <c r="CC26" s="1184">
        <f>'Variante Vorgaben'!$D$121</f>
        <v>4.8</v>
      </c>
      <c r="CD26" s="1299">
        <f>'Variante Vorgaben'!$E$121*(1+Eingabeseite!$C$28)</f>
        <v>17</v>
      </c>
      <c r="CE26" s="30">
        <f>CB26*CC26*CD26</f>
        <v>489.59999999999997</v>
      </c>
      <c r="CF26" s="739">
        <f>CE26/$CE$92</f>
        <v>1.3235457779787258E-2</v>
      </c>
      <c r="CG26" s="1417"/>
      <c r="CH26" s="13" t="str">
        <f>'Variante Vorgaben'!$B$121</f>
        <v>Kaliumbicarbonat (Armicarb)</v>
      </c>
      <c r="CI26" s="11">
        <f>'Variante Vorgaben'!$C$121</f>
        <v>6</v>
      </c>
      <c r="CJ26" s="1184">
        <f>'Variante Vorgaben'!$D$121</f>
        <v>4.8</v>
      </c>
      <c r="CK26" s="1299">
        <f>'Variante Vorgaben'!$E$121*(1+Eingabeseite!$C$28)</f>
        <v>17</v>
      </c>
      <c r="CL26" s="30">
        <f>CI26*CJ26*CK26</f>
        <v>489.59999999999997</v>
      </c>
      <c r="CM26" s="739">
        <f>CL26/$CL$92</f>
        <v>1.2554323599317475E-2</v>
      </c>
      <c r="CN26" s="1417"/>
      <c r="CO26" s="13" t="str">
        <f>'Variante Vorgaben'!$B$121</f>
        <v>Kaliumbicarbonat (Armicarb)</v>
      </c>
      <c r="CP26" s="11">
        <f>'Variante Vorgaben'!$C$121</f>
        <v>6</v>
      </c>
      <c r="CQ26" s="1184">
        <f>'Variante Vorgaben'!$D$121</f>
        <v>4.8</v>
      </c>
      <c r="CR26" s="1299">
        <f>'Variante Vorgaben'!$E$121*(1+Eingabeseite!$C$28)</f>
        <v>17</v>
      </c>
      <c r="CS26" s="30">
        <f>CP26*CQ26*CR26</f>
        <v>489.59999999999997</v>
      </c>
      <c r="CT26" s="739">
        <f>CS26/$CS$92</f>
        <v>1.3561310266912338E-2</v>
      </c>
      <c r="CU26" s="1417"/>
      <c r="CV26" s="13" t="str">
        <f>'Variante Vorgaben'!$B$121</f>
        <v>Kaliumbicarbonat (Armicarb)</v>
      </c>
      <c r="CW26" s="11">
        <f>'Variante Vorgaben'!$C$121</f>
        <v>6</v>
      </c>
      <c r="CX26" s="1184">
        <f>'Variante Vorgaben'!$D$121</f>
        <v>4.8</v>
      </c>
      <c r="CY26" s="1299">
        <f>'Variante Vorgaben'!$E$121*(1+Eingabeseite!$C$28)</f>
        <v>17</v>
      </c>
      <c r="CZ26" s="30">
        <f>CW26*CX26*CY26</f>
        <v>489.59999999999997</v>
      </c>
      <c r="DA26" s="739">
        <f>CZ26/$CZ$92</f>
        <v>1.1659631192967566E-2</v>
      </c>
    </row>
    <row r="27" spans="1:109" ht="12.5" x14ac:dyDescent="0.25">
      <c r="A27" s="1442"/>
      <c r="B27" s="13" t="str">
        <f>'Variante Vorgaben'!B122</f>
        <v>Kupfer (Airone WG)</v>
      </c>
      <c r="C27" s="11">
        <f>'Variante Vorgaben'!C139</f>
        <v>2</v>
      </c>
      <c r="D27" s="296">
        <f>'Variante Vorgaben'!D139</f>
        <v>3</v>
      </c>
      <c r="E27" s="1176">
        <f>'Variante Vorgaben'!E139*(1+Eingabeseite!$C$28)</f>
        <v>24.5</v>
      </c>
      <c r="F27" s="30">
        <f t="shared" si="3"/>
        <v>147</v>
      </c>
      <c r="G27" s="739">
        <f t="shared" si="1"/>
        <v>6.1172623644276392E-3</v>
      </c>
      <c r="H27" s="1442"/>
      <c r="I27" s="13" t="str">
        <f>'Variante Vorgaben'!B156</f>
        <v>Kupfer (Airone WG)</v>
      </c>
      <c r="J27" s="11">
        <f>'Variante Vorgaben'!C156</f>
        <v>2</v>
      </c>
      <c r="K27" s="296">
        <f>'Variante Vorgaben'!D156</f>
        <v>3</v>
      </c>
      <c r="L27" s="1176">
        <f>'Variante Vorgaben'!E156*(1+Eingabeseite!$C$28)</f>
        <v>24.5</v>
      </c>
      <c r="M27" s="30">
        <f t="shared" si="2"/>
        <v>147</v>
      </c>
      <c r="N27" s="739"/>
      <c r="O27" s="1417"/>
      <c r="P27" s="13" t="str">
        <f>'Variante Vorgaben'!$B$122</f>
        <v>Kupfer (Airone WG)</v>
      </c>
      <c r="Q27" s="11">
        <f>'Variante Vorgaben'!$C$122</f>
        <v>2</v>
      </c>
      <c r="R27" s="1184">
        <f>'Variante Vorgaben'!$D$122</f>
        <v>3</v>
      </c>
      <c r="S27" s="1299">
        <f>'Variante Vorgaben'!$E$122*(1+Eingabeseite!$C$28)</f>
        <v>24.5</v>
      </c>
      <c r="T27" s="30">
        <f t="shared" ref="T27" si="4">Q27*R27*S27</f>
        <v>147</v>
      </c>
      <c r="U27" s="739"/>
      <c r="V27" s="1417"/>
      <c r="W27" s="13" t="str">
        <f>'Variante Vorgaben'!$B$122</f>
        <v>Kupfer (Airone WG)</v>
      </c>
      <c r="X27" s="11">
        <f>'Variante Vorgaben'!$C$122</f>
        <v>2</v>
      </c>
      <c r="Y27" s="1184">
        <f>'Variante Vorgaben'!$D$122</f>
        <v>3</v>
      </c>
      <c r="Z27" s="1299">
        <f>'Variante Vorgaben'!$E$122*(1+Eingabeseite!$C$28)</f>
        <v>24.5</v>
      </c>
      <c r="AA27" s="30">
        <f t="shared" ref="AA27" si="5">X27*Y27*Z27</f>
        <v>147</v>
      </c>
      <c r="AB27" s="739"/>
      <c r="AC27" s="1417"/>
      <c r="AD27" s="13" t="str">
        <f>'Variante Vorgaben'!$B$122</f>
        <v>Kupfer (Airone WG)</v>
      </c>
      <c r="AE27" s="11">
        <f>'Variante Vorgaben'!$C$122</f>
        <v>2</v>
      </c>
      <c r="AF27" s="1184">
        <f>'Variante Vorgaben'!$D$122</f>
        <v>3</v>
      </c>
      <c r="AG27" s="1299">
        <f>'Variante Vorgaben'!$E$122*(1+Eingabeseite!$C$28)</f>
        <v>24.5</v>
      </c>
      <c r="AH27" s="30">
        <f t="shared" ref="AH27" si="6">AE27*AF27*AG27</f>
        <v>147</v>
      </c>
      <c r="AI27" s="739"/>
      <c r="AJ27" s="1417"/>
      <c r="AK27" s="13" t="str">
        <f>'Variante Vorgaben'!$B$122</f>
        <v>Kupfer (Airone WG)</v>
      </c>
      <c r="AL27" s="11">
        <f>'Variante Vorgaben'!$C$122</f>
        <v>2</v>
      </c>
      <c r="AM27" s="1184">
        <f>'Variante Vorgaben'!$D$122</f>
        <v>3</v>
      </c>
      <c r="AN27" s="1299">
        <f>'Variante Vorgaben'!$E$122*(1+Eingabeseite!$C$28)</f>
        <v>24.5</v>
      </c>
      <c r="AO27" s="30">
        <f t="shared" ref="AO27" si="7">AL27*AM27*AN27</f>
        <v>147</v>
      </c>
      <c r="AP27" s="739"/>
      <c r="AQ27" s="1417"/>
      <c r="AR27" s="13" t="str">
        <f>'Variante Vorgaben'!$B$122</f>
        <v>Kupfer (Airone WG)</v>
      </c>
      <c r="AS27" s="11">
        <f>'Variante Vorgaben'!$C$122</f>
        <v>2</v>
      </c>
      <c r="AT27" s="1184">
        <f>'Variante Vorgaben'!$D$122</f>
        <v>3</v>
      </c>
      <c r="AU27" s="1299">
        <f>'Variante Vorgaben'!$E$122*(1+Eingabeseite!$C$28)</f>
        <v>24.5</v>
      </c>
      <c r="AV27" s="30">
        <f t="shared" ref="AV27" si="8">AS27*AT27*AU27</f>
        <v>147</v>
      </c>
      <c r="AW27" s="739"/>
      <c r="AX27" s="1417"/>
      <c r="AY27" s="13" t="str">
        <f>'Variante Vorgaben'!$B$122</f>
        <v>Kupfer (Airone WG)</v>
      </c>
      <c r="AZ27" s="11">
        <f>'Variante Vorgaben'!$C$122</f>
        <v>2</v>
      </c>
      <c r="BA27" s="1184">
        <f>'Variante Vorgaben'!$D$122</f>
        <v>3</v>
      </c>
      <c r="BB27" s="1299">
        <f>'Variante Vorgaben'!$E$122*(1+Eingabeseite!$C$28)</f>
        <v>24.5</v>
      </c>
      <c r="BC27" s="30">
        <f t="shared" ref="BC27" si="9">AZ27*BA27*BB27</f>
        <v>147</v>
      </c>
      <c r="BD27" s="739"/>
      <c r="BE27" s="1417"/>
      <c r="BF27" s="13" t="str">
        <f>'Variante Vorgaben'!$B$122</f>
        <v>Kupfer (Airone WG)</v>
      </c>
      <c r="BG27" s="11">
        <f>'Variante Vorgaben'!$C$122</f>
        <v>2</v>
      </c>
      <c r="BH27" s="1184">
        <f>'Variante Vorgaben'!$D$122</f>
        <v>3</v>
      </c>
      <c r="BI27" s="1299">
        <f>'Variante Vorgaben'!$E$122*(1+Eingabeseite!$C$28)</f>
        <v>24.5</v>
      </c>
      <c r="BJ27" s="30">
        <f t="shared" ref="BJ27" si="10">BG27*BH27*BI27</f>
        <v>147</v>
      </c>
      <c r="BK27" s="739"/>
      <c r="BL27" s="1417"/>
      <c r="BM27" s="13" t="str">
        <f>'Variante Vorgaben'!$B$122</f>
        <v>Kupfer (Airone WG)</v>
      </c>
      <c r="BN27" s="11">
        <f>'Variante Vorgaben'!$C$122</f>
        <v>2</v>
      </c>
      <c r="BO27" s="1184">
        <f>'Variante Vorgaben'!$D$122</f>
        <v>3</v>
      </c>
      <c r="BP27" s="1299">
        <f>'Variante Vorgaben'!$E$122*(1+Eingabeseite!$C$28)</f>
        <v>24.5</v>
      </c>
      <c r="BQ27" s="30">
        <f t="shared" ref="BQ27" si="11">BN27*BO27*BP27</f>
        <v>147</v>
      </c>
      <c r="BR27" s="739"/>
      <c r="BS27" s="1417"/>
      <c r="BT27" s="13" t="str">
        <f>'Variante Vorgaben'!$B$122</f>
        <v>Kupfer (Airone WG)</v>
      </c>
      <c r="BU27" s="11">
        <f>'Variante Vorgaben'!$C$122</f>
        <v>2</v>
      </c>
      <c r="BV27" s="1184">
        <f>'Variante Vorgaben'!$D$122</f>
        <v>3</v>
      </c>
      <c r="BW27" s="1299">
        <f>'Variante Vorgaben'!$E$122*(1+Eingabeseite!$C$28)</f>
        <v>24.5</v>
      </c>
      <c r="BX27" s="30">
        <f t="shared" ref="BX27" si="12">BU27*BV27*BW27</f>
        <v>147</v>
      </c>
      <c r="BY27" s="739"/>
      <c r="BZ27" s="1417"/>
      <c r="CA27" s="13" t="str">
        <f>'Variante Vorgaben'!$B$122</f>
        <v>Kupfer (Airone WG)</v>
      </c>
      <c r="CB27" s="11">
        <f>'Variante Vorgaben'!$C$122</f>
        <v>2</v>
      </c>
      <c r="CC27" s="1184">
        <f>'Variante Vorgaben'!$D$122</f>
        <v>3</v>
      </c>
      <c r="CD27" s="1299">
        <f>'Variante Vorgaben'!$E$122*(1+Eingabeseite!$C$28)</f>
        <v>24.5</v>
      </c>
      <c r="CE27" s="30">
        <f t="shared" ref="CE27" si="13">CB27*CC27*CD27</f>
        <v>147</v>
      </c>
      <c r="CF27" s="739"/>
      <c r="CG27" s="1417"/>
      <c r="CH27" s="13" t="str">
        <f>'Variante Vorgaben'!$B$122</f>
        <v>Kupfer (Airone WG)</v>
      </c>
      <c r="CI27" s="11">
        <f>'Variante Vorgaben'!$C$122</f>
        <v>2</v>
      </c>
      <c r="CJ27" s="1184">
        <f>'Variante Vorgaben'!$D$122</f>
        <v>3</v>
      </c>
      <c r="CK27" s="1299">
        <f>'Variante Vorgaben'!$E$122*(1+Eingabeseite!$C$28)</f>
        <v>24.5</v>
      </c>
      <c r="CL27" s="30">
        <f t="shared" ref="CL27" si="14">CI27*CJ27*CK27</f>
        <v>147</v>
      </c>
      <c r="CM27" s="739"/>
      <c r="CN27" s="1417"/>
      <c r="CO27" s="13" t="str">
        <f>'Variante Vorgaben'!$B$122</f>
        <v>Kupfer (Airone WG)</v>
      </c>
      <c r="CP27" s="11">
        <f>'Variante Vorgaben'!$C$122</f>
        <v>2</v>
      </c>
      <c r="CQ27" s="1184">
        <f>'Variante Vorgaben'!$D$122</f>
        <v>3</v>
      </c>
      <c r="CR27" s="1299">
        <f>'Variante Vorgaben'!$E$122*(1+Eingabeseite!$C$28)</f>
        <v>24.5</v>
      </c>
      <c r="CS27" s="30">
        <f t="shared" ref="CS27" si="15">CP27*CQ27*CR27</f>
        <v>147</v>
      </c>
      <c r="CT27" s="739"/>
      <c r="CU27" s="1417"/>
      <c r="CV27" s="13" t="str">
        <f>'Variante Vorgaben'!$B$122</f>
        <v>Kupfer (Airone WG)</v>
      </c>
      <c r="CW27" s="11">
        <f>'Variante Vorgaben'!$C$122</f>
        <v>2</v>
      </c>
      <c r="CX27" s="1184">
        <f>'Variante Vorgaben'!$D$122</f>
        <v>3</v>
      </c>
      <c r="CY27" s="1299">
        <f>'Variante Vorgaben'!$E$122*(1+Eingabeseite!$C$28)</f>
        <v>24.5</v>
      </c>
      <c r="CZ27" s="30">
        <f t="shared" ref="CZ27" si="16">CW27*CX27*CY27</f>
        <v>147</v>
      </c>
      <c r="DA27" s="739"/>
    </row>
    <row r="28" spans="1:109" ht="12.5" x14ac:dyDescent="0.25">
      <c r="A28" s="1442"/>
      <c r="B28" s="13" t="str">
        <f>'Variante Vorgaben'!B123</f>
        <v>Schwefelkalk (Curatio)</v>
      </c>
      <c r="C28" s="11">
        <f>'Variante Vorgaben'!C140</f>
        <v>5</v>
      </c>
      <c r="D28" s="296">
        <f>'Variante Vorgaben'!D140</f>
        <v>18</v>
      </c>
      <c r="E28" s="1176">
        <f>'Variante Vorgaben'!E140*(1+Eingabeseite!$C$28)</f>
        <v>3.9450000000000003</v>
      </c>
      <c r="F28" s="30">
        <f t="shared" si="3"/>
        <v>355.05</v>
      </c>
      <c r="G28" s="739">
        <f t="shared" si="1"/>
        <v>1.47750612414288E-2</v>
      </c>
      <c r="H28" s="1442"/>
      <c r="I28" s="13" t="str">
        <f>'Variante Vorgaben'!B157</f>
        <v>Schwefelkalk (Curatio)</v>
      </c>
      <c r="J28" s="11">
        <f>'Variante Vorgaben'!C157</f>
        <v>5</v>
      </c>
      <c r="K28" s="296">
        <f>'Variante Vorgaben'!D157</f>
        <v>18</v>
      </c>
      <c r="L28" s="1176">
        <f>'Variante Vorgaben'!E157*(1+Eingabeseite!$C$28)</f>
        <v>3.9450000000000003</v>
      </c>
      <c r="M28" s="30">
        <f t="shared" si="2"/>
        <v>355.05</v>
      </c>
      <c r="N28" s="739"/>
      <c r="O28" s="1417"/>
      <c r="P28" s="13" t="str">
        <f>'Variante Vorgaben'!$B$123</f>
        <v>Schwefelkalk (Curatio)</v>
      </c>
      <c r="Q28" s="11">
        <f>'Variante Vorgaben'!$C$123</f>
        <v>5</v>
      </c>
      <c r="R28" s="1184">
        <f>'Variante Vorgaben'!$D$123</f>
        <v>18</v>
      </c>
      <c r="S28" s="1299">
        <f>'Variante Vorgaben'!$E$123*(1+Eingabeseite!$C$28)</f>
        <v>3.9450000000000003</v>
      </c>
      <c r="T28" s="30">
        <f>Q28*R28*S28</f>
        <v>355.05</v>
      </c>
      <c r="U28" s="739"/>
      <c r="V28" s="1417"/>
      <c r="W28" s="13" t="str">
        <f>'Variante Vorgaben'!$B$123</f>
        <v>Schwefelkalk (Curatio)</v>
      </c>
      <c r="X28" s="11">
        <f>'Variante Vorgaben'!$C$123</f>
        <v>5</v>
      </c>
      <c r="Y28" s="1184">
        <f>'Variante Vorgaben'!$D$123</f>
        <v>18</v>
      </c>
      <c r="Z28" s="1299">
        <f>'Variante Vorgaben'!$E$123*(1+Eingabeseite!$C$28)</f>
        <v>3.9450000000000003</v>
      </c>
      <c r="AA28" s="30">
        <f>X28*Y28*Z28</f>
        <v>355.05</v>
      </c>
      <c r="AB28" s="739"/>
      <c r="AC28" s="1417"/>
      <c r="AD28" s="13" t="str">
        <f>'Variante Vorgaben'!$B$123</f>
        <v>Schwefelkalk (Curatio)</v>
      </c>
      <c r="AE28" s="11">
        <f>'Variante Vorgaben'!$C$123</f>
        <v>5</v>
      </c>
      <c r="AF28" s="1184">
        <f>'Variante Vorgaben'!$D$123</f>
        <v>18</v>
      </c>
      <c r="AG28" s="1299">
        <f>'Variante Vorgaben'!$E$123*(1+Eingabeseite!$C$28)</f>
        <v>3.9450000000000003</v>
      </c>
      <c r="AH28" s="30">
        <f>AE28*AF28*AG28</f>
        <v>355.05</v>
      </c>
      <c r="AI28" s="739"/>
      <c r="AJ28" s="1417"/>
      <c r="AK28" s="13" t="str">
        <f>'Variante Vorgaben'!$B$123</f>
        <v>Schwefelkalk (Curatio)</v>
      </c>
      <c r="AL28" s="11">
        <f>'Variante Vorgaben'!$C$123</f>
        <v>5</v>
      </c>
      <c r="AM28" s="1184">
        <f>'Variante Vorgaben'!$D$123</f>
        <v>18</v>
      </c>
      <c r="AN28" s="1299">
        <f>'Variante Vorgaben'!$E$123*(1+Eingabeseite!$C$28)</f>
        <v>3.9450000000000003</v>
      </c>
      <c r="AO28" s="30">
        <f>AL28*AM28*AN28</f>
        <v>355.05</v>
      </c>
      <c r="AP28" s="739"/>
      <c r="AQ28" s="1417"/>
      <c r="AR28" s="13" t="str">
        <f>'Variante Vorgaben'!$B$123</f>
        <v>Schwefelkalk (Curatio)</v>
      </c>
      <c r="AS28" s="11">
        <f>'Variante Vorgaben'!$C$123</f>
        <v>5</v>
      </c>
      <c r="AT28" s="1184">
        <f>'Variante Vorgaben'!$D$123</f>
        <v>18</v>
      </c>
      <c r="AU28" s="1299">
        <f>'Variante Vorgaben'!$E$123*(1+Eingabeseite!$C$28)</f>
        <v>3.9450000000000003</v>
      </c>
      <c r="AV28" s="30">
        <f>AS28*AT28*AU28</f>
        <v>355.05</v>
      </c>
      <c r="AW28" s="739"/>
      <c r="AX28" s="1417"/>
      <c r="AY28" s="13" t="str">
        <f>'Variante Vorgaben'!$B$123</f>
        <v>Schwefelkalk (Curatio)</v>
      </c>
      <c r="AZ28" s="11">
        <f>'Variante Vorgaben'!$C$123</f>
        <v>5</v>
      </c>
      <c r="BA28" s="1184">
        <f>'Variante Vorgaben'!$D$123</f>
        <v>18</v>
      </c>
      <c r="BB28" s="1299">
        <f>'Variante Vorgaben'!$E$123*(1+Eingabeseite!$C$28)</f>
        <v>3.9450000000000003</v>
      </c>
      <c r="BC28" s="30">
        <f>AZ28*BA28*BB28</f>
        <v>355.05</v>
      </c>
      <c r="BD28" s="739"/>
      <c r="BE28" s="1417"/>
      <c r="BF28" s="13" t="str">
        <f>'Variante Vorgaben'!$B$123</f>
        <v>Schwefelkalk (Curatio)</v>
      </c>
      <c r="BG28" s="11">
        <f>'Variante Vorgaben'!$C$123</f>
        <v>5</v>
      </c>
      <c r="BH28" s="1184">
        <f>'Variante Vorgaben'!$D$123</f>
        <v>18</v>
      </c>
      <c r="BI28" s="1299">
        <f>'Variante Vorgaben'!$E$123*(1+Eingabeseite!$C$28)</f>
        <v>3.9450000000000003</v>
      </c>
      <c r="BJ28" s="30">
        <f>BG28*BH28*BI28</f>
        <v>355.05</v>
      </c>
      <c r="BK28" s="739"/>
      <c r="BL28" s="1417"/>
      <c r="BM28" s="13" t="str">
        <f>'Variante Vorgaben'!$B$123</f>
        <v>Schwefelkalk (Curatio)</v>
      </c>
      <c r="BN28" s="11">
        <f>'Variante Vorgaben'!$C$123</f>
        <v>5</v>
      </c>
      <c r="BO28" s="1184">
        <f>'Variante Vorgaben'!$D$123</f>
        <v>18</v>
      </c>
      <c r="BP28" s="1299">
        <f>'Variante Vorgaben'!$E$123*(1+Eingabeseite!$C$28)</f>
        <v>3.9450000000000003</v>
      </c>
      <c r="BQ28" s="30">
        <f>BN28*BO28*BP28</f>
        <v>355.05</v>
      </c>
      <c r="BR28" s="739"/>
      <c r="BS28" s="1417"/>
      <c r="BT28" s="13" t="str">
        <f>'Variante Vorgaben'!$B$123</f>
        <v>Schwefelkalk (Curatio)</v>
      </c>
      <c r="BU28" s="11">
        <f>'Variante Vorgaben'!$C$123</f>
        <v>5</v>
      </c>
      <c r="BV28" s="1184">
        <f>'Variante Vorgaben'!$D$123</f>
        <v>18</v>
      </c>
      <c r="BW28" s="1299">
        <f>'Variante Vorgaben'!$E$123*(1+Eingabeseite!$C$28)</f>
        <v>3.9450000000000003</v>
      </c>
      <c r="BX28" s="30">
        <f>BU28*BV28*BW28</f>
        <v>355.05</v>
      </c>
      <c r="BY28" s="739"/>
      <c r="BZ28" s="1417"/>
      <c r="CA28" s="13" t="str">
        <f>'Variante Vorgaben'!$B$123</f>
        <v>Schwefelkalk (Curatio)</v>
      </c>
      <c r="CB28" s="11">
        <f>'Variante Vorgaben'!$C$123</f>
        <v>5</v>
      </c>
      <c r="CC28" s="1184">
        <f>'Variante Vorgaben'!$D$123</f>
        <v>18</v>
      </c>
      <c r="CD28" s="1299">
        <f>'Variante Vorgaben'!$E$123*(1+Eingabeseite!$C$28)</f>
        <v>3.9450000000000003</v>
      </c>
      <c r="CE28" s="30">
        <f>CB28*CC28*CD28</f>
        <v>355.05</v>
      </c>
      <c r="CF28" s="739"/>
      <c r="CG28" s="1417"/>
      <c r="CH28" s="13" t="str">
        <f>'Variante Vorgaben'!$B$123</f>
        <v>Schwefelkalk (Curatio)</v>
      </c>
      <c r="CI28" s="11">
        <f>'Variante Vorgaben'!$C$123</f>
        <v>5</v>
      </c>
      <c r="CJ28" s="1184">
        <f>'Variante Vorgaben'!$D$123</f>
        <v>18</v>
      </c>
      <c r="CK28" s="1299">
        <f>'Variante Vorgaben'!$E$123*(1+Eingabeseite!$C$28)</f>
        <v>3.9450000000000003</v>
      </c>
      <c r="CL28" s="30">
        <f>CI28*CJ28*CK28</f>
        <v>355.05</v>
      </c>
      <c r="CM28" s="739"/>
      <c r="CN28" s="1417"/>
      <c r="CO28" s="13" t="str">
        <f>'Variante Vorgaben'!$B$123</f>
        <v>Schwefelkalk (Curatio)</v>
      </c>
      <c r="CP28" s="11">
        <f>'Variante Vorgaben'!$C$123</f>
        <v>5</v>
      </c>
      <c r="CQ28" s="1184">
        <f>'Variante Vorgaben'!$D$123</f>
        <v>18</v>
      </c>
      <c r="CR28" s="1299">
        <f>'Variante Vorgaben'!$E$123*(1+Eingabeseite!$C$28)</f>
        <v>3.9450000000000003</v>
      </c>
      <c r="CS28" s="30">
        <f>CP28*CQ28*CR28</f>
        <v>355.05</v>
      </c>
      <c r="CT28" s="739"/>
      <c r="CU28" s="1417"/>
      <c r="CV28" s="13" t="str">
        <f>'Variante Vorgaben'!$B$123</f>
        <v>Schwefelkalk (Curatio)</v>
      </c>
      <c r="CW28" s="11">
        <f>'Variante Vorgaben'!$C$123</f>
        <v>5</v>
      </c>
      <c r="CX28" s="1184">
        <f>'Variante Vorgaben'!$D$123</f>
        <v>18</v>
      </c>
      <c r="CY28" s="1299">
        <f>'Variante Vorgaben'!$E$123*(1+Eingabeseite!$C$28)</f>
        <v>3.9450000000000003</v>
      </c>
      <c r="CZ28" s="30">
        <f>CW28*CX28*CY28</f>
        <v>355.05</v>
      </c>
      <c r="DA28" s="739"/>
    </row>
    <row r="29" spans="1:109" ht="12.5" x14ac:dyDescent="0.25">
      <c r="A29" s="1442"/>
      <c r="B29" s="13" t="str">
        <f>'Variante Vorgaben'!B124</f>
        <v>Laminarin (Vacciplant)</v>
      </c>
      <c r="C29" s="11">
        <f>'Variante Vorgaben'!C141</f>
        <v>0</v>
      </c>
      <c r="D29" s="296">
        <f>'Variante Vorgaben'!D141</f>
        <v>0.75</v>
      </c>
      <c r="E29" s="1176">
        <f>'Variante Vorgaben'!E141*(1+Eingabeseite!$C$28)</f>
        <v>45</v>
      </c>
      <c r="F29" s="30">
        <f t="shared" si="3"/>
        <v>0</v>
      </c>
      <c r="G29" s="739">
        <f t="shared" si="1"/>
        <v>0</v>
      </c>
      <c r="H29" s="1442"/>
      <c r="I29" s="13" t="str">
        <f>'Variante Vorgaben'!B158</f>
        <v>Laminarin (Vacciplant)</v>
      </c>
      <c r="J29" s="11">
        <f>'Variante Vorgaben'!C158</f>
        <v>0</v>
      </c>
      <c r="K29" s="296">
        <f>'Variante Vorgaben'!D158</f>
        <v>0.75</v>
      </c>
      <c r="L29" s="1176">
        <f>'Variante Vorgaben'!E158*(1+Eingabeseite!$C$28)</f>
        <v>45</v>
      </c>
      <c r="M29" s="30">
        <f t="shared" si="2"/>
        <v>0</v>
      </c>
      <c r="N29" s="739"/>
      <c r="O29" s="1417"/>
      <c r="P29" s="13" t="str">
        <f>'Variante Vorgaben'!$B$124</f>
        <v>Laminarin (Vacciplant)</v>
      </c>
      <c r="Q29" s="11">
        <f>'Variante Vorgaben'!$C$124</f>
        <v>5</v>
      </c>
      <c r="R29" s="1184">
        <f>'Variante Vorgaben'!$D$124</f>
        <v>0.75</v>
      </c>
      <c r="S29" s="1299">
        <f>'Variante Vorgaben'!$E$124*(1+Eingabeseite!$C$28)</f>
        <v>45</v>
      </c>
      <c r="T29" s="30">
        <f>Q29*R29*S29</f>
        <v>168.75</v>
      </c>
      <c r="U29" s="739"/>
      <c r="V29" s="1417"/>
      <c r="W29" s="13" t="str">
        <f>'Variante Vorgaben'!$B$124</f>
        <v>Laminarin (Vacciplant)</v>
      </c>
      <c r="X29" s="11">
        <f>'Variante Vorgaben'!$C$124</f>
        <v>5</v>
      </c>
      <c r="Y29" s="1184">
        <f>'Variante Vorgaben'!$D$124</f>
        <v>0.75</v>
      </c>
      <c r="Z29" s="1299">
        <f>'Variante Vorgaben'!$E$124*(1+Eingabeseite!$C$28)</f>
        <v>45</v>
      </c>
      <c r="AA29" s="30">
        <f>X29*Y29*Z29</f>
        <v>168.75</v>
      </c>
      <c r="AB29" s="739"/>
      <c r="AC29" s="1417"/>
      <c r="AD29" s="13" t="str">
        <f>'Variante Vorgaben'!$B$124</f>
        <v>Laminarin (Vacciplant)</v>
      </c>
      <c r="AE29" s="11">
        <f>'Variante Vorgaben'!$C$124</f>
        <v>5</v>
      </c>
      <c r="AF29" s="1184">
        <f>'Variante Vorgaben'!$D$124</f>
        <v>0.75</v>
      </c>
      <c r="AG29" s="1299">
        <f>'Variante Vorgaben'!$E$124*(1+Eingabeseite!$C$28)</f>
        <v>45</v>
      </c>
      <c r="AH29" s="30">
        <f>AE29*AF29*AG29</f>
        <v>168.75</v>
      </c>
      <c r="AI29" s="739"/>
      <c r="AJ29" s="1417"/>
      <c r="AK29" s="13" t="str">
        <f>'Variante Vorgaben'!$B$124</f>
        <v>Laminarin (Vacciplant)</v>
      </c>
      <c r="AL29" s="11">
        <f>'Variante Vorgaben'!$C$124</f>
        <v>5</v>
      </c>
      <c r="AM29" s="1184">
        <f>'Variante Vorgaben'!$D$124</f>
        <v>0.75</v>
      </c>
      <c r="AN29" s="1299">
        <f>'Variante Vorgaben'!$E$124*(1+Eingabeseite!$C$28)</f>
        <v>45</v>
      </c>
      <c r="AO29" s="30">
        <f>AL29*AM29*AN29</f>
        <v>168.75</v>
      </c>
      <c r="AP29" s="739"/>
      <c r="AQ29" s="1417"/>
      <c r="AR29" s="13" t="str">
        <f>'Variante Vorgaben'!$B$124</f>
        <v>Laminarin (Vacciplant)</v>
      </c>
      <c r="AS29" s="11">
        <f>'Variante Vorgaben'!$C$124</f>
        <v>5</v>
      </c>
      <c r="AT29" s="1184">
        <f>'Variante Vorgaben'!$D$124</f>
        <v>0.75</v>
      </c>
      <c r="AU29" s="1299">
        <f>'Variante Vorgaben'!$E$124*(1+Eingabeseite!$C$28)</f>
        <v>45</v>
      </c>
      <c r="AV29" s="30">
        <f>AS29*AT29*AU29</f>
        <v>168.75</v>
      </c>
      <c r="AW29" s="739"/>
      <c r="AX29" s="1417"/>
      <c r="AY29" s="13" t="str">
        <f>'Variante Vorgaben'!$B$124</f>
        <v>Laminarin (Vacciplant)</v>
      </c>
      <c r="AZ29" s="11">
        <f>'Variante Vorgaben'!$C$124</f>
        <v>5</v>
      </c>
      <c r="BA29" s="1184">
        <f>'Variante Vorgaben'!$D$124</f>
        <v>0.75</v>
      </c>
      <c r="BB29" s="1299">
        <f>'Variante Vorgaben'!$E$124*(1+Eingabeseite!$C$28)</f>
        <v>45</v>
      </c>
      <c r="BC29" s="30">
        <f>AZ29*BA29*BB29</f>
        <v>168.75</v>
      </c>
      <c r="BD29" s="739"/>
      <c r="BE29" s="1417"/>
      <c r="BF29" s="13" t="str">
        <f>'Variante Vorgaben'!$B$124</f>
        <v>Laminarin (Vacciplant)</v>
      </c>
      <c r="BG29" s="11">
        <f>'Variante Vorgaben'!$C$124</f>
        <v>5</v>
      </c>
      <c r="BH29" s="1184">
        <f>'Variante Vorgaben'!$D$124</f>
        <v>0.75</v>
      </c>
      <c r="BI29" s="1299">
        <f>'Variante Vorgaben'!$E$124*(1+Eingabeseite!$C$28)</f>
        <v>45</v>
      </c>
      <c r="BJ29" s="30">
        <f>BG29*BH29*BI29</f>
        <v>168.75</v>
      </c>
      <c r="BK29" s="739"/>
      <c r="BL29" s="1417"/>
      <c r="BM29" s="13" t="str">
        <f>'Variante Vorgaben'!$B$124</f>
        <v>Laminarin (Vacciplant)</v>
      </c>
      <c r="BN29" s="11">
        <f>'Variante Vorgaben'!$C$124</f>
        <v>5</v>
      </c>
      <c r="BO29" s="1184">
        <f>'Variante Vorgaben'!$D$124</f>
        <v>0.75</v>
      </c>
      <c r="BP29" s="1299">
        <f>'Variante Vorgaben'!$E$124*(1+Eingabeseite!$C$28)</f>
        <v>45</v>
      </c>
      <c r="BQ29" s="30">
        <f>BN29*BO29*BP29</f>
        <v>168.75</v>
      </c>
      <c r="BR29" s="739"/>
      <c r="BS29" s="1417"/>
      <c r="BT29" s="13" t="str">
        <f>'Variante Vorgaben'!$B$124</f>
        <v>Laminarin (Vacciplant)</v>
      </c>
      <c r="BU29" s="11">
        <f>'Variante Vorgaben'!$C$124</f>
        <v>5</v>
      </c>
      <c r="BV29" s="1184">
        <f>'Variante Vorgaben'!$D$124</f>
        <v>0.75</v>
      </c>
      <c r="BW29" s="1299">
        <f>'Variante Vorgaben'!$E$124*(1+Eingabeseite!$C$28)</f>
        <v>45</v>
      </c>
      <c r="BX29" s="30">
        <f>BU29*BV29*BW29</f>
        <v>168.75</v>
      </c>
      <c r="BY29" s="739"/>
      <c r="BZ29" s="1417"/>
      <c r="CA29" s="13" t="str">
        <f>'Variante Vorgaben'!$B$124</f>
        <v>Laminarin (Vacciplant)</v>
      </c>
      <c r="CB29" s="11">
        <f>'Variante Vorgaben'!$C$124</f>
        <v>5</v>
      </c>
      <c r="CC29" s="1184">
        <f>'Variante Vorgaben'!$D$124</f>
        <v>0.75</v>
      </c>
      <c r="CD29" s="1299">
        <f>'Variante Vorgaben'!$E$124*(1+Eingabeseite!$C$28)</f>
        <v>45</v>
      </c>
      <c r="CE29" s="30">
        <f>CB29*CC29*CD29</f>
        <v>168.75</v>
      </c>
      <c r="CF29" s="739"/>
      <c r="CG29" s="1417"/>
      <c r="CH29" s="13" t="str">
        <f>'Variante Vorgaben'!$B$124</f>
        <v>Laminarin (Vacciplant)</v>
      </c>
      <c r="CI29" s="11">
        <f>'Variante Vorgaben'!$C$124</f>
        <v>5</v>
      </c>
      <c r="CJ29" s="1184">
        <f>'Variante Vorgaben'!$D$124</f>
        <v>0.75</v>
      </c>
      <c r="CK29" s="1299">
        <f>'Variante Vorgaben'!$E$124*(1+Eingabeseite!$C$28)</f>
        <v>45</v>
      </c>
      <c r="CL29" s="30">
        <f>CI29*CJ29*CK29</f>
        <v>168.75</v>
      </c>
      <c r="CM29" s="739"/>
      <c r="CN29" s="1417"/>
      <c r="CO29" s="13" t="str">
        <f>'Variante Vorgaben'!$B$124</f>
        <v>Laminarin (Vacciplant)</v>
      </c>
      <c r="CP29" s="11">
        <f>'Variante Vorgaben'!$C$124</f>
        <v>5</v>
      </c>
      <c r="CQ29" s="1184">
        <f>'Variante Vorgaben'!$D$124</f>
        <v>0.75</v>
      </c>
      <c r="CR29" s="1299">
        <f>'Variante Vorgaben'!$E$124*(1+Eingabeseite!$C$28)</f>
        <v>45</v>
      </c>
      <c r="CS29" s="30">
        <f>CP29*CQ29*CR29</f>
        <v>168.75</v>
      </c>
      <c r="CT29" s="739"/>
      <c r="CU29" s="1417"/>
      <c r="CV29" s="13" t="str">
        <f>'Variante Vorgaben'!$B$124</f>
        <v>Laminarin (Vacciplant)</v>
      </c>
      <c r="CW29" s="11">
        <f>'Variante Vorgaben'!$C$124</f>
        <v>5</v>
      </c>
      <c r="CX29" s="1184">
        <f>'Variante Vorgaben'!$D$124</f>
        <v>0.75</v>
      </c>
      <c r="CY29" s="1299">
        <f>'Variante Vorgaben'!$E$124*(1+Eingabeseite!$C$28)</f>
        <v>45</v>
      </c>
      <c r="CZ29" s="30">
        <f>CW29*CX29*CY29</f>
        <v>168.75</v>
      </c>
      <c r="DA29" s="739"/>
    </row>
    <row r="30" spans="1:109" ht="12.5" x14ac:dyDescent="0.25">
      <c r="A30" s="1442"/>
      <c r="B30" s="13" t="str">
        <f>'Variante Vorgaben'!B125</f>
        <v>Hefepräparat (Blossom protect)</v>
      </c>
      <c r="C30" s="11">
        <f>'Variante Vorgaben'!C142</f>
        <v>0</v>
      </c>
      <c r="D30" s="296">
        <f>'Variante Vorgaben'!D142</f>
        <v>1.5</v>
      </c>
      <c r="E30" s="1176">
        <f>'Variante Vorgaben'!E142*(1+Eingabeseite!$C$28)</f>
        <v>86.600000000000009</v>
      </c>
      <c r="F30" s="30">
        <f t="shared" si="3"/>
        <v>0</v>
      </c>
      <c r="G30" s="739">
        <f t="shared" si="1"/>
        <v>0</v>
      </c>
      <c r="H30" s="1442"/>
      <c r="I30" s="13" t="str">
        <f>'Variante Vorgaben'!B159</f>
        <v>Hefepräparat (Blossom protect)</v>
      </c>
      <c r="J30" s="11">
        <f>'Variante Vorgaben'!C159</f>
        <v>0</v>
      </c>
      <c r="K30" s="296">
        <f>'Variante Vorgaben'!D159</f>
        <v>1.5</v>
      </c>
      <c r="L30" s="1176">
        <f>'Variante Vorgaben'!E159*(1+Eingabeseite!$C$28)</f>
        <v>86.600000000000009</v>
      </c>
      <c r="M30" s="30">
        <f t="shared" si="2"/>
        <v>0</v>
      </c>
      <c r="N30" s="739"/>
      <c r="O30" s="105" t="str">
        <f>'Variante Vorgaben'!$A$125</f>
        <v>Feuerbrandmittel</v>
      </c>
      <c r="P30" s="13" t="str">
        <f>'Variante Vorgaben'!$B$125</f>
        <v>Hefepräparat (Blossom protect)</v>
      </c>
      <c r="Q30" s="11">
        <f>'Variante Vorgaben'!$C$125</f>
        <v>2</v>
      </c>
      <c r="R30" s="1184">
        <f>'Variante Vorgaben'!$D$125</f>
        <v>1.5</v>
      </c>
      <c r="S30" s="1299">
        <f>'Variante Vorgaben'!$E$125*(1+Eingabeseite!$C$28)</f>
        <v>86.600000000000009</v>
      </c>
      <c r="T30" s="30">
        <f t="shared" ref="T30:T37" si="17">Q30*R30*S30</f>
        <v>259.8</v>
      </c>
      <c r="U30" s="739"/>
      <c r="V30" s="105" t="str">
        <f>'Variante Vorgaben'!$A$125</f>
        <v>Feuerbrandmittel</v>
      </c>
      <c r="W30" s="13" t="str">
        <f>'Variante Vorgaben'!$B$125</f>
        <v>Hefepräparat (Blossom protect)</v>
      </c>
      <c r="X30" s="11">
        <f>'Variante Vorgaben'!$C$125</f>
        <v>2</v>
      </c>
      <c r="Y30" s="1184">
        <f>'Variante Vorgaben'!$D$125</f>
        <v>1.5</v>
      </c>
      <c r="Z30" s="1299">
        <f>'Variante Vorgaben'!$E$125*(1+Eingabeseite!$C$28)</f>
        <v>86.600000000000009</v>
      </c>
      <c r="AA30" s="30">
        <f t="shared" ref="AA30:AA37" si="18">X30*Y30*Z30</f>
        <v>259.8</v>
      </c>
      <c r="AB30" s="739"/>
      <c r="AC30" s="105" t="str">
        <f>'Variante Vorgaben'!$A$125</f>
        <v>Feuerbrandmittel</v>
      </c>
      <c r="AD30" s="13" t="str">
        <f>'Variante Vorgaben'!$B$125</f>
        <v>Hefepräparat (Blossom protect)</v>
      </c>
      <c r="AE30" s="11">
        <f>'Variante Vorgaben'!$C$125</f>
        <v>2</v>
      </c>
      <c r="AF30" s="1184">
        <f>'Variante Vorgaben'!$D$125</f>
        <v>1.5</v>
      </c>
      <c r="AG30" s="1299">
        <f>'Variante Vorgaben'!$E$125*(1+Eingabeseite!$C$28)</f>
        <v>86.600000000000009</v>
      </c>
      <c r="AH30" s="30">
        <f t="shared" ref="AH30:AH37" si="19">AE30*AF30*AG30</f>
        <v>259.8</v>
      </c>
      <c r="AI30" s="739"/>
      <c r="AJ30" s="105" t="str">
        <f>'Variante Vorgaben'!$A$125</f>
        <v>Feuerbrandmittel</v>
      </c>
      <c r="AK30" s="13" t="str">
        <f>'Variante Vorgaben'!$B$125</f>
        <v>Hefepräparat (Blossom protect)</v>
      </c>
      <c r="AL30" s="11">
        <f>'Variante Vorgaben'!$C$125</f>
        <v>2</v>
      </c>
      <c r="AM30" s="1184">
        <f>'Variante Vorgaben'!$D$125</f>
        <v>1.5</v>
      </c>
      <c r="AN30" s="1299">
        <f>'Variante Vorgaben'!$E$125*(1+Eingabeseite!$C$28)</f>
        <v>86.600000000000009</v>
      </c>
      <c r="AO30" s="30">
        <f t="shared" ref="AO30:AO37" si="20">AL30*AM30*AN30</f>
        <v>259.8</v>
      </c>
      <c r="AP30" s="739"/>
      <c r="AQ30" s="105" t="str">
        <f>'Variante Vorgaben'!$A$125</f>
        <v>Feuerbrandmittel</v>
      </c>
      <c r="AR30" s="13" t="str">
        <f>'Variante Vorgaben'!$B$125</f>
        <v>Hefepräparat (Blossom protect)</v>
      </c>
      <c r="AS30" s="11">
        <f>'Variante Vorgaben'!$C$125</f>
        <v>2</v>
      </c>
      <c r="AT30" s="1184">
        <f>'Variante Vorgaben'!$D$125</f>
        <v>1.5</v>
      </c>
      <c r="AU30" s="1299">
        <f>'Variante Vorgaben'!$E$125*(1+Eingabeseite!$C$28)</f>
        <v>86.600000000000009</v>
      </c>
      <c r="AV30" s="30">
        <f t="shared" ref="AV30:AV37" si="21">AS30*AT30*AU30</f>
        <v>259.8</v>
      </c>
      <c r="AW30" s="739"/>
      <c r="AX30" s="105" t="str">
        <f>'Variante Vorgaben'!$A$125</f>
        <v>Feuerbrandmittel</v>
      </c>
      <c r="AY30" s="13" t="str">
        <f>'Variante Vorgaben'!$B$125</f>
        <v>Hefepräparat (Blossom protect)</v>
      </c>
      <c r="AZ30" s="11">
        <f>'Variante Vorgaben'!$C$125</f>
        <v>2</v>
      </c>
      <c r="BA30" s="1184">
        <f>'Variante Vorgaben'!$D$125</f>
        <v>1.5</v>
      </c>
      <c r="BB30" s="1299">
        <f>'Variante Vorgaben'!$E$125*(1+Eingabeseite!$C$28)</f>
        <v>86.600000000000009</v>
      </c>
      <c r="BC30" s="30">
        <f t="shared" ref="BC30:BC37" si="22">AZ30*BA30*BB30</f>
        <v>259.8</v>
      </c>
      <c r="BD30" s="739"/>
      <c r="BE30" s="105" t="str">
        <f>'Variante Vorgaben'!$A$125</f>
        <v>Feuerbrandmittel</v>
      </c>
      <c r="BF30" s="13" t="str">
        <f>'Variante Vorgaben'!$B$125</f>
        <v>Hefepräparat (Blossom protect)</v>
      </c>
      <c r="BG30" s="11">
        <f>'Variante Vorgaben'!$C$125</f>
        <v>2</v>
      </c>
      <c r="BH30" s="1184">
        <f>'Variante Vorgaben'!$D$125</f>
        <v>1.5</v>
      </c>
      <c r="BI30" s="1299">
        <f>'Variante Vorgaben'!$E$125*(1+Eingabeseite!$C$28)</f>
        <v>86.600000000000009</v>
      </c>
      <c r="BJ30" s="30">
        <f t="shared" ref="BJ30:BJ37" si="23">BG30*BH30*BI30</f>
        <v>259.8</v>
      </c>
      <c r="BK30" s="739"/>
      <c r="BL30" s="105" t="str">
        <f>'Variante Vorgaben'!$A$125</f>
        <v>Feuerbrandmittel</v>
      </c>
      <c r="BM30" s="13" t="str">
        <f>'Variante Vorgaben'!$B$125</f>
        <v>Hefepräparat (Blossom protect)</v>
      </c>
      <c r="BN30" s="11">
        <f>'Variante Vorgaben'!$C$125</f>
        <v>2</v>
      </c>
      <c r="BO30" s="1184">
        <f>'Variante Vorgaben'!$D$125</f>
        <v>1.5</v>
      </c>
      <c r="BP30" s="1299">
        <f>'Variante Vorgaben'!$E$125*(1+Eingabeseite!$C$28)</f>
        <v>86.600000000000009</v>
      </c>
      <c r="BQ30" s="30">
        <f t="shared" ref="BQ30:BQ37" si="24">BN30*BO30*BP30</f>
        <v>259.8</v>
      </c>
      <c r="BR30" s="739"/>
      <c r="BS30" s="105" t="str">
        <f>'Variante Vorgaben'!$A$125</f>
        <v>Feuerbrandmittel</v>
      </c>
      <c r="BT30" s="13" t="str">
        <f>'Variante Vorgaben'!$B$125</f>
        <v>Hefepräparat (Blossom protect)</v>
      </c>
      <c r="BU30" s="11">
        <f>'Variante Vorgaben'!$C$125</f>
        <v>2</v>
      </c>
      <c r="BV30" s="1184">
        <f>'Variante Vorgaben'!$D$125</f>
        <v>1.5</v>
      </c>
      <c r="BW30" s="1299">
        <f>'Variante Vorgaben'!$E$125*(1+Eingabeseite!$C$28)</f>
        <v>86.600000000000009</v>
      </c>
      <c r="BX30" s="30">
        <f t="shared" ref="BX30:BX37" si="25">BU30*BV30*BW30</f>
        <v>259.8</v>
      </c>
      <c r="BY30" s="739"/>
      <c r="BZ30" s="105" t="str">
        <f>'Variante Vorgaben'!$A$125</f>
        <v>Feuerbrandmittel</v>
      </c>
      <c r="CA30" s="13" t="str">
        <f>'Variante Vorgaben'!$B$125</f>
        <v>Hefepräparat (Blossom protect)</v>
      </c>
      <c r="CB30" s="11">
        <f>'Variante Vorgaben'!$C$125</f>
        <v>2</v>
      </c>
      <c r="CC30" s="1184">
        <f>'Variante Vorgaben'!$D$125</f>
        <v>1.5</v>
      </c>
      <c r="CD30" s="1299">
        <f>'Variante Vorgaben'!$E$125*(1+Eingabeseite!$C$28)</f>
        <v>86.600000000000009</v>
      </c>
      <c r="CE30" s="30">
        <f t="shared" ref="CE30:CE37" si="26">CB30*CC30*CD30</f>
        <v>259.8</v>
      </c>
      <c r="CF30" s="739"/>
      <c r="CG30" s="105" t="str">
        <f>'Variante Vorgaben'!$A$125</f>
        <v>Feuerbrandmittel</v>
      </c>
      <c r="CH30" s="13" t="str">
        <f>'Variante Vorgaben'!$B$125</f>
        <v>Hefepräparat (Blossom protect)</v>
      </c>
      <c r="CI30" s="11">
        <f>'Variante Vorgaben'!$C$125</f>
        <v>2</v>
      </c>
      <c r="CJ30" s="1184">
        <f>'Variante Vorgaben'!$D$125</f>
        <v>1.5</v>
      </c>
      <c r="CK30" s="1299">
        <f>'Variante Vorgaben'!$E$125*(1+Eingabeseite!$C$28)</f>
        <v>86.600000000000009</v>
      </c>
      <c r="CL30" s="30">
        <f t="shared" ref="CL30:CL37" si="27">CI30*CJ30*CK30</f>
        <v>259.8</v>
      </c>
      <c r="CM30" s="739"/>
      <c r="CN30" s="105" t="str">
        <f>'Variante Vorgaben'!$A$125</f>
        <v>Feuerbrandmittel</v>
      </c>
      <c r="CO30" s="13" t="str">
        <f>'Variante Vorgaben'!$B$125</f>
        <v>Hefepräparat (Blossom protect)</v>
      </c>
      <c r="CP30" s="11">
        <f>'Variante Vorgaben'!$C$125</f>
        <v>2</v>
      </c>
      <c r="CQ30" s="1184">
        <f>'Variante Vorgaben'!$D$125</f>
        <v>1.5</v>
      </c>
      <c r="CR30" s="1299">
        <f>'Variante Vorgaben'!$E$125*(1+Eingabeseite!$C$28)</f>
        <v>86.600000000000009</v>
      </c>
      <c r="CS30" s="30">
        <f t="shared" ref="CS30:CS37" si="28">CP30*CQ30*CR30</f>
        <v>259.8</v>
      </c>
      <c r="CT30" s="739"/>
      <c r="CU30" s="105" t="str">
        <f>'Variante Vorgaben'!$A$125</f>
        <v>Feuerbrandmittel</v>
      </c>
      <c r="CV30" s="13" t="str">
        <f>'Variante Vorgaben'!$B$125</f>
        <v>Hefepräparat (Blossom protect)</v>
      </c>
      <c r="CW30" s="11">
        <f>'Variante Vorgaben'!$C$125</f>
        <v>2</v>
      </c>
      <c r="CX30" s="1184">
        <f>'Variante Vorgaben'!$D$125</f>
        <v>1.5</v>
      </c>
      <c r="CY30" s="1299">
        <f>'Variante Vorgaben'!$E$125*(1+Eingabeseite!$C$28)</f>
        <v>86.600000000000009</v>
      </c>
      <c r="CZ30" s="30">
        <f t="shared" ref="CZ30:CZ37" si="29">CW30*CX30*CY30</f>
        <v>259.8</v>
      </c>
      <c r="DA30" s="739"/>
    </row>
    <row r="31" spans="1:109" ht="12.5" x14ac:dyDescent="0.25">
      <c r="A31" s="1442" t="s">
        <v>687</v>
      </c>
      <c r="B31" s="13" t="str">
        <f>'Variante Vorgaben'!B126</f>
        <v>Neem (NeemAzal T/S)</v>
      </c>
      <c r="C31" s="11">
        <f>'Variante Vorgaben'!C143</f>
        <v>1</v>
      </c>
      <c r="D31" s="296">
        <f>'Variante Vorgaben'!D143</f>
        <v>4.8</v>
      </c>
      <c r="E31" s="1176">
        <f>'Variante Vorgaben'!E143*(1+Eingabeseite!$C$28)</f>
        <v>89.1</v>
      </c>
      <c r="F31" s="30">
        <f t="shared" si="3"/>
        <v>427.67999999999995</v>
      </c>
      <c r="G31" s="739">
        <f t="shared" si="1"/>
        <v>1.7797488217812331E-2</v>
      </c>
      <c r="H31" s="1442" t="s">
        <v>687</v>
      </c>
      <c r="I31" s="13" t="str">
        <f>'Variante Vorgaben'!B160</f>
        <v>Neem (NeemAzal T/S)</v>
      </c>
      <c r="J31" s="11">
        <f>'Variante Vorgaben'!C160</f>
        <v>1</v>
      </c>
      <c r="K31" s="296">
        <f>'Variante Vorgaben'!D160</f>
        <v>4.8</v>
      </c>
      <c r="L31" s="1176">
        <f>'Variante Vorgaben'!E160*(1+Eingabeseite!$C$28)</f>
        <v>89.1</v>
      </c>
      <c r="M31" s="30">
        <f t="shared" si="2"/>
        <v>427.67999999999995</v>
      </c>
      <c r="N31" s="739">
        <f>M31/$M$92</f>
        <v>1.7475382449747452E-2</v>
      </c>
      <c r="O31" s="1437" t="s">
        <v>676</v>
      </c>
      <c r="P31" s="13" t="str">
        <f>'Variante Vorgaben'!$B$126</f>
        <v>Neem (NeemAzal T/S)</v>
      </c>
      <c r="Q31" s="11">
        <f>'Variante Vorgaben'!$C$126</f>
        <v>1</v>
      </c>
      <c r="R31" s="1184">
        <f>'Variante Vorgaben'!$D$126</f>
        <v>4.8</v>
      </c>
      <c r="S31" s="1301">
        <f>'Variante Vorgaben'!$E$126*(1+Eingabeseite!$C$28)</f>
        <v>89.1</v>
      </c>
      <c r="T31" s="30">
        <f t="shared" si="17"/>
        <v>427.67999999999995</v>
      </c>
      <c r="U31" s="739">
        <f>T31/$T$92</f>
        <v>1.3210041262066163E-2</v>
      </c>
      <c r="V31" s="1437" t="s">
        <v>676</v>
      </c>
      <c r="W31" s="13" t="str">
        <f>'Variante Vorgaben'!$B$126</f>
        <v>Neem (NeemAzal T/S)</v>
      </c>
      <c r="X31" s="11">
        <f>'Variante Vorgaben'!$C$126</f>
        <v>1</v>
      </c>
      <c r="Y31" s="1184">
        <f>'Variante Vorgaben'!$D$126</f>
        <v>4.8</v>
      </c>
      <c r="Z31" s="1301">
        <f>'Variante Vorgaben'!$E$126*(1+Eingabeseite!$C$28)</f>
        <v>89.1</v>
      </c>
      <c r="AA31" s="30">
        <f t="shared" si="18"/>
        <v>427.67999999999995</v>
      </c>
      <c r="AB31" s="739">
        <f>AA31/$AA$92</f>
        <v>1.1659050759546435E-2</v>
      </c>
      <c r="AC31" s="1437" t="s">
        <v>676</v>
      </c>
      <c r="AD31" s="13" t="str">
        <f>'Variante Vorgaben'!$B$126</f>
        <v>Neem (NeemAzal T/S)</v>
      </c>
      <c r="AE31" s="11">
        <f>'Variante Vorgaben'!$C$126</f>
        <v>1</v>
      </c>
      <c r="AF31" s="1184">
        <f>'Variante Vorgaben'!$D$126</f>
        <v>4.8</v>
      </c>
      <c r="AG31" s="1301">
        <f>'Variante Vorgaben'!$E$126*(1+Eingabeseite!$C$28)</f>
        <v>89.1</v>
      </c>
      <c r="AH31" s="30">
        <f t="shared" si="19"/>
        <v>427.67999999999995</v>
      </c>
      <c r="AI31" s="739">
        <f>AH31/$AH$92</f>
        <v>1.1277975657382824E-2</v>
      </c>
      <c r="AJ31" s="1437" t="s">
        <v>676</v>
      </c>
      <c r="AK31" s="13" t="str">
        <f>'Variante Vorgaben'!$B$126</f>
        <v>Neem (NeemAzal T/S)</v>
      </c>
      <c r="AL31" s="11">
        <f>'Variante Vorgaben'!$C$126</f>
        <v>1</v>
      </c>
      <c r="AM31" s="1184">
        <f>'Variante Vorgaben'!$D$126</f>
        <v>4.8</v>
      </c>
      <c r="AN31" s="1301">
        <f>'Variante Vorgaben'!$E$126*(1+Eingabeseite!$C$28)</f>
        <v>89.1</v>
      </c>
      <c r="AO31" s="30">
        <f t="shared" si="20"/>
        <v>427.67999999999995</v>
      </c>
      <c r="AP31" s="739">
        <f>AO31/$AO$92</f>
        <v>1.1318726037056701E-2</v>
      </c>
      <c r="AQ31" s="1437" t="s">
        <v>676</v>
      </c>
      <c r="AR31" s="13" t="str">
        <f>'Variante Vorgaben'!$B$126</f>
        <v>Neem (NeemAzal T/S)</v>
      </c>
      <c r="AS31" s="11">
        <f>'Variante Vorgaben'!$C$126</f>
        <v>1</v>
      </c>
      <c r="AT31" s="1184">
        <f>'Variante Vorgaben'!$D$126</f>
        <v>4.8</v>
      </c>
      <c r="AU31" s="1301">
        <f>'Variante Vorgaben'!$E$126*(1+Eingabeseite!$C$28)</f>
        <v>89.1</v>
      </c>
      <c r="AV31" s="30">
        <f t="shared" si="21"/>
        <v>427.67999999999995</v>
      </c>
      <c r="AW31" s="739">
        <f>AV31/$AV$92</f>
        <v>1.0571062386254378E-2</v>
      </c>
      <c r="AX31" s="1437" t="s">
        <v>676</v>
      </c>
      <c r="AY31" s="13" t="str">
        <f>'Variante Vorgaben'!$B$126</f>
        <v>Neem (NeemAzal T/S)</v>
      </c>
      <c r="AZ31" s="11">
        <f>'Variante Vorgaben'!$C$126</f>
        <v>1</v>
      </c>
      <c r="BA31" s="1184">
        <f>'Variante Vorgaben'!$D$126</f>
        <v>4.8</v>
      </c>
      <c r="BB31" s="1301">
        <f>'Variante Vorgaben'!$E$126*(1+Eingabeseite!$C$28)</f>
        <v>89.1</v>
      </c>
      <c r="BC31" s="30">
        <f t="shared" si="22"/>
        <v>427.67999999999995</v>
      </c>
      <c r="BD31" s="739">
        <f>BC31/$BC$92</f>
        <v>1.139455720133184E-2</v>
      </c>
      <c r="BE31" s="1437" t="s">
        <v>676</v>
      </c>
      <c r="BF31" s="13" t="str">
        <f>'Variante Vorgaben'!$B$126</f>
        <v>Neem (NeemAzal T/S)</v>
      </c>
      <c r="BG31" s="11">
        <f>'Variante Vorgaben'!$C$126</f>
        <v>1</v>
      </c>
      <c r="BH31" s="1184">
        <f>'Variante Vorgaben'!$D$126</f>
        <v>4.8</v>
      </c>
      <c r="BI31" s="1301">
        <f>'Variante Vorgaben'!$E$126*(1+Eingabeseite!$C$28)</f>
        <v>89.1</v>
      </c>
      <c r="BJ31" s="30">
        <f t="shared" si="23"/>
        <v>427.67999999999995</v>
      </c>
      <c r="BK31" s="739">
        <f>BJ31/$BJ$92</f>
        <v>1.1437223904489872E-2</v>
      </c>
      <c r="BL31" s="1437" t="s">
        <v>676</v>
      </c>
      <c r="BM31" s="13" t="str">
        <f>'Variante Vorgaben'!$B$126</f>
        <v>Neem (NeemAzal T/S)</v>
      </c>
      <c r="BN31" s="11">
        <f>'Variante Vorgaben'!$C$126</f>
        <v>1</v>
      </c>
      <c r="BO31" s="1184">
        <f>'Variante Vorgaben'!$D$126</f>
        <v>4.8</v>
      </c>
      <c r="BP31" s="1301">
        <f>'Variante Vorgaben'!$E$126*(1+Eingabeseite!$C$28)</f>
        <v>89.1</v>
      </c>
      <c r="BQ31" s="30">
        <f t="shared" si="24"/>
        <v>427.67999999999995</v>
      </c>
      <c r="BR31" s="739">
        <f>BQ31/$BQ$92</f>
        <v>1.0675289770243622E-2</v>
      </c>
      <c r="BS31" s="1437" t="s">
        <v>676</v>
      </c>
      <c r="BT31" s="13" t="str">
        <f>'Variante Vorgaben'!$B$126</f>
        <v>Neem (NeemAzal T/S)</v>
      </c>
      <c r="BU31" s="11">
        <f>'Variante Vorgaben'!$C$126</f>
        <v>1</v>
      </c>
      <c r="BV31" s="1184">
        <f>'Variante Vorgaben'!$D$126</f>
        <v>4.8</v>
      </c>
      <c r="BW31" s="1301">
        <f>'Variante Vorgaben'!$E$126*(1+Eingabeseite!$C$28)</f>
        <v>89.1</v>
      </c>
      <c r="BX31" s="30">
        <f t="shared" si="25"/>
        <v>427.67999999999995</v>
      </c>
      <c r="BY31" s="739">
        <f>BX31/$BX$92</f>
        <v>1.1516851415944109E-2</v>
      </c>
      <c r="BZ31" s="1437" t="s">
        <v>676</v>
      </c>
      <c r="CA31" s="13" t="str">
        <f>'Variante Vorgaben'!$B$126</f>
        <v>Neem (NeemAzal T/S)</v>
      </c>
      <c r="CB31" s="11">
        <f>'Variante Vorgaben'!$C$126</f>
        <v>1</v>
      </c>
      <c r="CC31" s="1184">
        <f>'Variante Vorgaben'!$D$126</f>
        <v>4.8</v>
      </c>
      <c r="CD31" s="1301">
        <f>'Variante Vorgaben'!$E$126*(1+Eingabeseite!$C$28)</f>
        <v>89.1</v>
      </c>
      <c r="CE31" s="30">
        <f t="shared" si="26"/>
        <v>427.67999999999995</v>
      </c>
      <c r="CF31" s="739">
        <f>CE31/$CE$92</f>
        <v>1.1561561648814164E-2</v>
      </c>
      <c r="CG31" s="1437" t="s">
        <v>676</v>
      </c>
      <c r="CH31" s="13" t="str">
        <f>'Variante Vorgaben'!$B$126</f>
        <v>Neem (NeemAzal T/S)</v>
      </c>
      <c r="CI31" s="11">
        <f>'Variante Vorgaben'!$C$126</f>
        <v>1</v>
      </c>
      <c r="CJ31" s="1184">
        <f>'Variante Vorgaben'!$D$126</f>
        <v>4.8</v>
      </c>
      <c r="CK31" s="1301">
        <f>'Variante Vorgaben'!$E$126*(1+Eingabeseite!$C$28)</f>
        <v>89.1</v>
      </c>
      <c r="CL31" s="30">
        <f t="shared" si="27"/>
        <v>427.67999999999995</v>
      </c>
      <c r="CM31" s="739">
        <f>CL31/$CL$92</f>
        <v>1.0966570908815559E-2</v>
      </c>
      <c r="CN31" s="1437" t="s">
        <v>676</v>
      </c>
      <c r="CO31" s="13" t="str">
        <f>'Variante Vorgaben'!$B$126</f>
        <v>Neem (NeemAzal T/S)</v>
      </c>
      <c r="CP31" s="11">
        <f>'Variante Vorgaben'!$C$126</f>
        <v>1</v>
      </c>
      <c r="CQ31" s="1184">
        <f>'Variante Vorgaben'!$D$126</f>
        <v>4.8</v>
      </c>
      <c r="CR31" s="1301">
        <f>'Variante Vorgaben'!$E$126*(1+Eingabeseite!$C$28)</f>
        <v>89.1</v>
      </c>
      <c r="CS31" s="30">
        <f t="shared" si="28"/>
        <v>427.67999999999995</v>
      </c>
      <c r="CT31" s="739">
        <f>CS31/$CS$92</f>
        <v>1.1846203380214601E-2</v>
      </c>
      <c r="CU31" s="1437" t="s">
        <v>676</v>
      </c>
      <c r="CV31" s="13" t="str">
        <f>'Variante Vorgaben'!$B$126</f>
        <v>Neem (NeemAzal T/S)</v>
      </c>
      <c r="CW31" s="11">
        <f>'Variante Vorgaben'!$C$126</f>
        <v>1</v>
      </c>
      <c r="CX31" s="1184">
        <f>'Variante Vorgaben'!$D$126</f>
        <v>4.8</v>
      </c>
      <c r="CY31" s="1301">
        <f>'Variante Vorgaben'!$E$126*(1+Eingabeseite!$C$28)</f>
        <v>89.1</v>
      </c>
      <c r="CZ31" s="30">
        <f t="shared" si="29"/>
        <v>427.67999999999995</v>
      </c>
      <c r="DA31" s="739">
        <f>CZ31/$CZ$92</f>
        <v>1.0185030777386372E-2</v>
      </c>
    </row>
    <row r="32" spans="1:109" ht="12.5" x14ac:dyDescent="0.25">
      <c r="A32" s="1442"/>
      <c r="B32" s="13" t="str">
        <f>'Variante Vorgaben'!B127</f>
        <v>Pyrethrum</v>
      </c>
      <c r="C32" s="11">
        <f>'Variante Vorgaben'!C144</f>
        <v>1</v>
      </c>
      <c r="D32" s="296">
        <f>'Variante Vorgaben'!D144</f>
        <v>0.5</v>
      </c>
      <c r="E32" s="1176">
        <f>'Variante Vorgaben'!E144*(1+Eingabeseite!$C$28)</f>
        <v>250.04000000000002</v>
      </c>
      <c r="F32" s="30">
        <f t="shared" si="3"/>
        <v>125.02000000000001</v>
      </c>
      <c r="G32" s="739">
        <f t="shared" si="1"/>
        <v>5.2025859918417927E-3</v>
      </c>
      <c r="H32" s="1442"/>
      <c r="I32" s="13" t="str">
        <f>'Variante Vorgaben'!B161</f>
        <v>Pyrethrum</v>
      </c>
      <c r="J32" s="11">
        <f>'Variante Vorgaben'!C161</f>
        <v>1</v>
      </c>
      <c r="K32" s="296">
        <f>'Variante Vorgaben'!D161</f>
        <v>0.5</v>
      </c>
      <c r="L32" s="1176">
        <f>'Variante Vorgaben'!E161*(1+Eingabeseite!$C$28)</f>
        <v>250.04000000000002</v>
      </c>
      <c r="M32" s="30">
        <f t="shared" si="2"/>
        <v>125.02000000000001</v>
      </c>
      <c r="N32" s="739"/>
      <c r="O32" s="1417"/>
      <c r="P32" s="13" t="str">
        <f>'Variante Vorgaben'!$B$127</f>
        <v>Pyrethrum</v>
      </c>
      <c r="Q32" s="11">
        <f>'Variante Vorgaben'!$C$127</f>
        <v>1</v>
      </c>
      <c r="R32" s="1184">
        <f>'Variante Vorgaben'!$D$127</f>
        <v>0.5</v>
      </c>
      <c r="S32" s="1301">
        <f>'Variante Vorgaben'!$E$127*(1+Eingabeseite!$C$28)</f>
        <v>250.04000000000002</v>
      </c>
      <c r="T32" s="30">
        <f t="shared" si="17"/>
        <v>125.02000000000001</v>
      </c>
      <c r="U32" s="739">
        <f>T32/$T$92</f>
        <v>3.8615772507096711E-3</v>
      </c>
      <c r="V32" s="1417"/>
      <c r="W32" s="13" t="str">
        <f>'Variante Vorgaben'!$B$127</f>
        <v>Pyrethrum</v>
      </c>
      <c r="X32" s="11">
        <f>'Variante Vorgaben'!$C$127</f>
        <v>1</v>
      </c>
      <c r="Y32" s="1184">
        <f>'Variante Vorgaben'!$D$127</f>
        <v>0.5</v>
      </c>
      <c r="Z32" s="1301">
        <f>'Variante Vorgaben'!$E$127*(1+Eingabeseite!$C$28)</f>
        <v>250.04000000000002</v>
      </c>
      <c r="AA32" s="30">
        <f t="shared" si="18"/>
        <v>125.02000000000001</v>
      </c>
      <c r="AB32" s="739">
        <f>AA32/$AA$92</f>
        <v>3.4081895949272722E-3</v>
      </c>
      <c r="AC32" s="1417"/>
      <c r="AD32" s="13" t="str">
        <f>'Variante Vorgaben'!$B$127</f>
        <v>Pyrethrum</v>
      </c>
      <c r="AE32" s="11">
        <f>'Variante Vorgaben'!$C$127</f>
        <v>1</v>
      </c>
      <c r="AF32" s="1184">
        <f>'Variante Vorgaben'!$D$127</f>
        <v>0.5</v>
      </c>
      <c r="AG32" s="1301">
        <f>'Variante Vorgaben'!$E$127*(1+Eingabeseite!$C$28)</f>
        <v>250.04000000000002</v>
      </c>
      <c r="AH32" s="30">
        <f t="shared" si="19"/>
        <v>125.02000000000001</v>
      </c>
      <c r="AI32" s="739">
        <f>AH32/$AH$92</f>
        <v>3.2967932021277613E-3</v>
      </c>
      <c r="AJ32" s="1417"/>
      <c r="AK32" s="13" t="str">
        <f>'Variante Vorgaben'!$B$127</f>
        <v>Pyrethrum</v>
      </c>
      <c r="AL32" s="11">
        <f>'Variante Vorgaben'!$C$127</f>
        <v>1</v>
      </c>
      <c r="AM32" s="1184">
        <f>'Variante Vorgaben'!$D$127</f>
        <v>0.5</v>
      </c>
      <c r="AN32" s="1301">
        <f>'Variante Vorgaben'!$E$127*(1+Eingabeseite!$C$28)</f>
        <v>250.04000000000002</v>
      </c>
      <c r="AO32" s="30">
        <f t="shared" si="20"/>
        <v>125.02000000000001</v>
      </c>
      <c r="AP32" s="739">
        <f>AO32/$AO$92</f>
        <v>3.3087054086065027E-3</v>
      </c>
      <c r="AQ32" s="1417"/>
      <c r="AR32" s="13" t="str">
        <f>'Variante Vorgaben'!$B$127</f>
        <v>Pyrethrum</v>
      </c>
      <c r="AS32" s="11">
        <f>'Variante Vorgaben'!$C$127</f>
        <v>1</v>
      </c>
      <c r="AT32" s="1184">
        <f>'Variante Vorgaben'!$D$127</f>
        <v>0.5</v>
      </c>
      <c r="AU32" s="1301">
        <f>'Variante Vorgaben'!$E$127*(1+Eingabeseite!$C$28)</f>
        <v>250.04000000000002</v>
      </c>
      <c r="AV32" s="30">
        <f t="shared" si="21"/>
        <v>125.02000000000001</v>
      </c>
      <c r="AW32" s="739">
        <f>AV32/$AV$92</f>
        <v>3.0901473520611733E-3</v>
      </c>
      <c r="AX32" s="1417"/>
      <c r="AY32" s="13" t="str">
        <f>'Variante Vorgaben'!$B$127</f>
        <v>Pyrethrum</v>
      </c>
      <c r="AZ32" s="11">
        <f>'Variante Vorgaben'!$C$127</f>
        <v>1</v>
      </c>
      <c r="BA32" s="1184">
        <f>'Variante Vorgaben'!$D$127</f>
        <v>0.5</v>
      </c>
      <c r="BB32" s="1301">
        <f>'Variante Vorgaben'!$E$127*(1+Eingabeseite!$C$28)</f>
        <v>250.04000000000002</v>
      </c>
      <c r="BC32" s="30">
        <f t="shared" si="22"/>
        <v>125.02000000000001</v>
      </c>
      <c r="BD32" s="739">
        <f>BC32/$BC$92</f>
        <v>3.3308724778116981E-3</v>
      </c>
      <c r="BE32" s="1417"/>
      <c r="BF32" s="13" t="str">
        <f>'Variante Vorgaben'!$B$127</f>
        <v>Pyrethrum</v>
      </c>
      <c r="BG32" s="11">
        <f>'Variante Vorgaben'!$C$127</f>
        <v>1</v>
      </c>
      <c r="BH32" s="1184">
        <f>'Variante Vorgaben'!$D$127</f>
        <v>0.5</v>
      </c>
      <c r="BI32" s="1301">
        <f>'Variante Vorgaben'!$E$127*(1+Eingabeseite!$C$28)</f>
        <v>250.04000000000002</v>
      </c>
      <c r="BJ32" s="30">
        <f t="shared" si="23"/>
        <v>125.02000000000001</v>
      </c>
      <c r="BK32" s="739">
        <f>BJ32/$BJ$92</f>
        <v>3.343344866580911E-3</v>
      </c>
      <c r="BL32" s="1417"/>
      <c r="BM32" s="13" t="str">
        <f>'Variante Vorgaben'!$B$127</f>
        <v>Pyrethrum</v>
      </c>
      <c r="BN32" s="11">
        <f>'Variante Vorgaben'!$C$127</f>
        <v>1</v>
      </c>
      <c r="BO32" s="1184">
        <f>'Variante Vorgaben'!$D$127</f>
        <v>0.5</v>
      </c>
      <c r="BP32" s="1301">
        <f>'Variante Vorgaben'!$E$127*(1+Eingabeseite!$C$28)</f>
        <v>250.04000000000002</v>
      </c>
      <c r="BQ32" s="30">
        <f t="shared" si="24"/>
        <v>125.02000000000001</v>
      </c>
      <c r="BR32" s="739">
        <f>BQ32/$BQ$92</f>
        <v>3.1206152428821963E-3</v>
      </c>
      <c r="BS32" s="1417"/>
      <c r="BT32" s="13" t="str">
        <f>'Variante Vorgaben'!$B$127</f>
        <v>Pyrethrum</v>
      </c>
      <c r="BU32" s="11">
        <f>'Variante Vorgaben'!$C$127</f>
        <v>1</v>
      </c>
      <c r="BV32" s="1184">
        <f>'Variante Vorgaben'!$D$127</f>
        <v>0.5</v>
      </c>
      <c r="BW32" s="1301">
        <f>'Variante Vorgaben'!$E$127*(1+Eingabeseite!$C$28)</f>
        <v>250.04000000000002</v>
      </c>
      <c r="BX32" s="30">
        <f t="shared" si="25"/>
        <v>125.02000000000001</v>
      </c>
      <c r="BY32" s="739">
        <f>BX32/$BX$92</f>
        <v>3.3666216891632358E-3</v>
      </c>
      <c r="BZ32" s="1417"/>
      <c r="CA32" s="13" t="str">
        <f>'Variante Vorgaben'!$B$127</f>
        <v>Pyrethrum</v>
      </c>
      <c r="CB32" s="11">
        <f>'Variante Vorgaben'!$C$127</f>
        <v>1</v>
      </c>
      <c r="CC32" s="1184">
        <f>'Variante Vorgaben'!$D$127</f>
        <v>0.5</v>
      </c>
      <c r="CD32" s="1301">
        <f>'Variante Vorgaben'!$E$127*(1+Eingabeseite!$C$28)</f>
        <v>250.04000000000002</v>
      </c>
      <c r="CE32" s="30">
        <f t="shared" si="26"/>
        <v>125.02000000000001</v>
      </c>
      <c r="CF32" s="739">
        <f>CE32/$CE$92</f>
        <v>3.3796914453206764E-3</v>
      </c>
      <c r="CG32" s="1417"/>
      <c r="CH32" s="13" t="str">
        <f>'Variante Vorgaben'!$B$127</f>
        <v>Pyrethrum</v>
      </c>
      <c r="CI32" s="11">
        <f>'Variante Vorgaben'!$C$127</f>
        <v>1</v>
      </c>
      <c r="CJ32" s="1184">
        <f>'Variante Vorgaben'!$D$127</f>
        <v>0.5</v>
      </c>
      <c r="CK32" s="1301">
        <f>'Variante Vorgaben'!$E$127*(1+Eingabeseite!$C$28)</f>
        <v>250.04000000000002</v>
      </c>
      <c r="CL32" s="30">
        <f t="shared" si="27"/>
        <v>125.02000000000001</v>
      </c>
      <c r="CM32" s="739">
        <f>CL32/$CL$92</f>
        <v>3.2057629419662398E-3</v>
      </c>
      <c r="CN32" s="1417"/>
      <c r="CO32" s="13" t="str">
        <f>'Variante Vorgaben'!$B$127</f>
        <v>Pyrethrum</v>
      </c>
      <c r="CP32" s="11">
        <f>'Variante Vorgaben'!$C$127</f>
        <v>1</v>
      </c>
      <c r="CQ32" s="1184">
        <f>'Variante Vorgaben'!$D$127</f>
        <v>0.5</v>
      </c>
      <c r="CR32" s="1301">
        <f>'Variante Vorgaben'!$E$127*(1+Eingabeseite!$C$28)</f>
        <v>250.04000000000002</v>
      </c>
      <c r="CS32" s="30">
        <f t="shared" si="28"/>
        <v>125.02000000000001</v>
      </c>
      <c r="CT32" s="739">
        <f>CS32/$CS$92</f>
        <v>3.4628983038590294E-3</v>
      </c>
      <c r="CU32" s="1417"/>
      <c r="CV32" s="13" t="str">
        <f>'Variante Vorgaben'!$B$127</f>
        <v>Pyrethrum</v>
      </c>
      <c r="CW32" s="11">
        <f>'Variante Vorgaben'!$C$127</f>
        <v>1</v>
      </c>
      <c r="CX32" s="1184">
        <f>'Variante Vorgaben'!$D$127</f>
        <v>0.5</v>
      </c>
      <c r="CY32" s="1301">
        <f>'Variante Vorgaben'!$E$127*(1+Eingabeseite!$C$28)</f>
        <v>250.04000000000002</v>
      </c>
      <c r="CZ32" s="30">
        <f t="shared" si="29"/>
        <v>125.02000000000001</v>
      </c>
      <c r="DA32" s="739">
        <f>CZ32/$CZ$92</f>
        <v>2.9773020664722329E-3</v>
      </c>
    </row>
    <row r="33" spans="1:105" ht="12.5" x14ac:dyDescent="0.25">
      <c r="A33" s="1442"/>
      <c r="B33" s="13" t="str">
        <f>'Variante Vorgaben'!B128</f>
        <v>Schmierseife (Natural)</v>
      </c>
      <c r="C33" s="11">
        <f>'Variante Vorgaben'!C145</f>
        <v>1</v>
      </c>
      <c r="D33" s="296">
        <f>'Variante Vorgaben'!D145</f>
        <v>20</v>
      </c>
      <c r="E33" s="1176">
        <f>'Variante Vorgaben'!E145*(1+Eingabeseite!$C$28)</f>
        <v>13.419999999999998</v>
      </c>
      <c r="F33" s="30">
        <f t="shared" si="3"/>
        <v>268.39999999999998</v>
      </c>
      <c r="G33" s="739">
        <f t="shared" si="1"/>
        <v>1.1169205568791689E-2</v>
      </c>
      <c r="H33" s="1442"/>
      <c r="I33" s="13" t="str">
        <f>'Variante Vorgaben'!B162</f>
        <v>Schmierseife (Natural)</v>
      </c>
      <c r="J33" s="11">
        <f>'Variante Vorgaben'!C162</f>
        <v>1</v>
      </c>
      <c r="K33" s="296">
        <f>'Variante Vorgaben'!D162</f>
        <v>20</v>
      </c>
      <c r="L33" s="1176">
        <f>'Variante Vorgaben'!E162*(1+Eingabeseite!$C$28)</f>
        <v>13.419999999999998</v>
      </c>
      <c r="M33" s="30">
        <f t="shared" si="2"/>
        <v>268.39999999999998</v>
      </c>
      <c r="N33" s="739">
        <f>M33/$M$92</f>
        <v>1.0967061002413524E-2</v>
      </c>
      <c r="O33" s="1417"/>
      <c r="P33" s="13" t="str">
        <f>'Variante Vorgaben'!$B$128</f>
        <v>Schmierseife (Natural)</v>
      </c>
      <c r="Q33" s="11">
        <f>'Variante Vorgaben'!$C$128</f>
        <v>1</v>
      </c>
      <c r="R33" s="1184">
        <f>'Variante Vorgaben'!$D$128</f>
        <v>20</v>
      </c>
      <c r="S33" s="1301">
        <f>'Variante Vorgaben'!$E$128*(1+Eingabeseite!$C$28)</f>
        <v>13.419999999999998</v>
      </c>
      <c r="T33" s="30">
        <f t="shared" si="17"/>
        <v>268.39999999999998</v>
      </c>
      <c r="U33" s="739">
        <f>T33/$T$92</f>
        <v>8.2902522323666256E-3</v>
      </c>
      <c r="V33" s="1417"/>
      <c r="W33" s="13" t="str">
        <f>'Variante Vorgaben'!$B$128</f>
        <v>Schmierseife (Natural)</v>
      </c>
      <c r="X33" s="11">
        <f>'Variante Vorgaben'!$C$128</f>
        <v>1</v>
      </c>
      <c r="Y33" s="1184">
        <f>'Variante Vorgaben'!$D$128</f>
        <v>20</v>
      </c>
      <c r="Z33" s="1301">
        <f>'Variante Vorgaben'!$E$128*(1+Eingabeseite!$C$28)</f>
        <v>13.419999999999998</v>
      </c>
      <c r="AA33" s="30">
        <f t="shared" si="18"/>
        <v>268.39999999999998</v>
      </c>
      <c r="AB33" s="739">
        <f>AA33/$AA$92</f>
        <v>7.3168939951886074E-3</v>
      </c>
      <c r="AC33" s="1417"/>
      <c r="AD33" s="13" t="str">
        <f>'Variante Vorgaben'!$B$128</f>
        <v>Schmierseife (Natural)</v>
      </c>
      <c r="AE33" s="11">
        <f>'Variante Vorgaben'!$C$128</f>
        <v>1</v>
      </c>
      <c r="AF33" s="1184">
        <f>'Variante Vorgaben'!$D$128</f>
        <v>20</v>
      </c>
      <c r="AG33" s="1301">
        <f>'Variante Vorgaben'!$E$128*(1+Eingabeseite!$C$28)</f>
        <v>13.419999999999998</v>
      </c>
      <c r="AH33" s="30">
        <f t="shared" si="19"/>
        <v>268.39999999999998</v>
      </c>
      <c r="AI33" s="739">
        <f>AH33/$AH$92</f>
        <v>7.0777419249007439E-3</v>
      </c>
      <c r="AJ33" s="1417"/>
      <c r="AK33" s="13" t="str">
        <f>'Variante Vorgaben'!$B$128</f>
        <v>Schmierseife (Natural)</v>
      </c>
      <c r="AL33" s="11">
        <f>'Variante Vorgaben'!$C$128</f>
        <v>1</v>
      </c>
      <c r="AM33" s="1184">
        <f>'Variante Vorgaben'!$D$128</f>
        <v>20</v>
      </c>
      <c r="AN33" s="1301">
        <f>'Variante Vorgaben'!$E$128*(1+Eingabeseite!$C$28)</f>
        <v>13.419999999999998</v>
      </c>
      <c r="AO33" s="30">
        <f t="shared" si="20"/>
        <v>268.39999999999998</v>
      </c>
      <c r="AP33" s="739">
        <f>AO33/$AO$92</f>
        <v>7.1033157228442261E-3</v>
      </c>
      <c r="AQ33" s="1417"/>
      <c r="AR33" s="13" t="str">
        <f>'Variante Vorgaben'!$B$128</f>
        <v>Schmierseife (Natural)</v>
      </c>
      <c r="AS33" s="11">
        <f>'Variante Vorgaben'!$C$128</f>
        <v>1</v>
      </c>
      <c r="AT33" s="1184">
        <f>'Variante Vorgaben'!$D$128</f>
        <v>20</v>
      </c>
      <c r="AU33" s="1301">
        <f>'Variante Vorgaben'!$E$128*(1+Eingabeseite!$C$28)</f>
        <v>13.419999999999998</v>
      </c>
      <c r="AV33" s="30">
        <f t="shared" si="21"/>
        <v>268.39999999999998</v>
      </c>
      <c r="AW33" s="739">
        <f>AV33/$AV$92</f>
        <v>6.6341029378756905E-3</v>
      </c>
      <c r="AX33" s="1417"/>
      <c r="AY33" s="13" t="str">
        <f>'Variante Vorgaben'!$B$128</f>
        <v>Schmierseife (Natural)</v>
      </c>
      <c r="AZ33" s="11">
        <f>'Variante Vorgaben'!$C$128</f>
        <v>1</v>
      </c>
      <c r="BA33" s="1184">
        <f>'Variante Vorgaben'!$D$128</f>
        <v>20</v>
      </c>
      <c r="BB33" s="1301">
        <f>'Variante Vorgaben'!$E$128*(1+Eingabeseite!$C$28)</f>
        <v>13.419999999999998</v>
      </c>
      <c r="BC33" s="30">
        <f t="shared" si="22"/>
        <v>268.39999999999998</v>
      </c>
      <c r="BD33" s="739">
        <f>BC33/$BC$92</f>
        <v>7.1509052395189532E-3</v>
      </c>
      <c r="BE33" s="1417"/>
      <c r="BF33" s="13" t="str">
        <f>'Variante Vorgaben'!$B$128</f>
        <v>Schmierseife (Natural)</v>
      </c>
      <c r="BG33" s="11">
        <f>'Variante Vorgaben'!$C$128</f>
        <v>1</v>
      </c>
      <c r="BH33" s="1184">
        <f>'Variante Vorgaben'!$D$128</f>
        <v>20</v>
      </c>
      <c r="BI33" s="1301">
        <f>'Variante Vorgaben'!$E$128*(1+Eingabeseite!$C$28)</f>
        <v>13.419999999999998</v>
      </c>
      <c r="BJ33" s="30">
        <f t="shared" si="23"/>
        <v>268.39999999999998</v>
      </c>
      <c r="BK33" s="739">
        <f>BJ33/$BJ$92</f>
        <v>7.1776816684555773E-3</v>
      </c>
      <c r="BL33" s="1417"/>
      <c r="BM33" s="13" t="str">
        <f>'Variante Vorgaben'!$B$128</f>
        <v>Schmierseife (Natural)</v>
      </c>
      <c r="BN33" s="11">
        <f>'Variante Vorgaben'!$C$128</f>
        <v>1</v>
      </c>
      <c r="BO33" s="1184">
        <f>'Variante Vorgaben'!$D$128</f>
        <v>20</v>
      </c>
      <c r="BP33" s="1301">
        <f>'Variante Vorgaben'!$E$128*(1+Eingabeseite!$C$28)</f>
        <v>13.419999999999998</v>
      </c>
      <c r="BQ33" s="30">
        <f t="shared" si="24"/>
        <v>268.39999999999998</v>
      </c>
      <c r="BR33" s="739">
        <f>BQ33/$BQ$92</f>
        <v>6.6995131274162649E-3</v>
      </c>
      <c r="BS33" s="1417"/>
      <c r="BT33" s="13" t="str">
        <f>'Variante Vorgaben'!$B$128</f>
        <v>Schmierseife (Natural)</v>
      </c>
      <c r="BU33" s="11">
        <f>'Variante Vorgaben'!$C$128</f>
        <v>1</v>
      </c>
      <c r="BV33" s="1184">
        <f>'Variante Vorgaben'!$D$128</f>
        <v>20</v>
      </c>
      <c r="BW33" s="1301">
        <f>'Variante Vorgaben'!$E$128*(1+Eingabeseite!$C$28)</f>
        <v>13.419999999999998</v>
      </c>
      <c r="BX33" s="30">
        <f t="shared" si="25"/>
        <v>268.39999999999998</v>
      </c>
      <c r="BY33" s="739">
        <f>BX33/$BX$92</f>
        <v>7.2276536663846772E-3</v>
      </c>
      <c r="BZ33" s="1417"/>
      <c r="CA33" s="13" t="str">
        <f>'Variante Vorgaben'!$B$128</f>
        <v>Schmierseife (Natural)</v>
      </c>
      <c r="CB33" s="11">
        <f>'Variante Vorgaben'!$C$128</f>
        <v>1</v>
      </c>
      <c r="CC33" s="1184">
        <f>'Variante Vorgaben'!$D$128</f>
        <v>20</v>
      </c>
      <c r="CD33" s="1301">
        <f>'Variante Vorgaben'!$E$128*(1+Eingabeseite!$C$28)</f>
        <v>13.419999999999998</v>
      </c>
      <c r="CE33" s="30">
        <f t="shared" si="26"/>
        <v>268.39999999999998</v>
      </c>
      <c r="CF33" s="739">
        <f>CE33/$CE$92</f>
        <v>7.2557125573833739E-3</v>
      </c>
      <c r="CG33" s="1417"/>
      <c r="CH33" s="13" t="str">
        <f>'Variante Vorgaben'!$B$128</f>
        <v>Schmierseife (Natural)</v>
      </c>
      <c r="CI33" s="11">
        <f>'Variante Vorgaben'!$C$128</f>
        <v>1</v>
      </c>
      <c r="CJ33" s="1184">
        <f>'Variante Vorgaben'!$D$128</f>
        <v>20</v>
      </c>
      <c r="CK33" s="1301">
        <f>'Variante Vorgaben'!$E$128*(1+Eingabeseite!$C$28)</f>
        <v>13.419999999999998</v>
      </c>
      <c r="CL33" s="30">
        <f t="shared" si="27"/>
        <v>268.39999999999998</v>
      </c>
      <c r="CM33" s="739">
        <f>CL33/$CL$92</f>
        <v>6.882313018906884E-3</v>
      </c>
      <c r="CN33" s="1417"/>
      <c r="CO33" s="13" t="str">
        <f>'Variante Vorgaben'!$B$128</f>
        <v>Schmierseife (Natural)</v>
      </c>
      <c r="CP33" s="11">
        <f>'Variante Vorgaben'!$C$128</f>
        <v>1</v>
      </c>
      <c r="CQ33" s="1184">
        <f>'Variante Vorgaben'!$D$128</f>
        <v>20</v>
      </c>
      <c r="CR33" s="1301">
        <f>'Variante Vorgaben'!$E$128*(1+Eingabeseite!$C$28)</f>
        <v>13.419999999999998</v>
      </c>
      <c r="CS33" s="30">
        <f t="shared" si="28"/>
        <v>268.39999999999998</v>
      </c>
      <c r="CT33" s="739">
        <f>CS33/$CS$92</f>
        <v>7.4343457427272705E-3</v>
      </c>
      <c r="CU33" s="1417"/>
      <c r="CV33" s="13" t="str">
        <f>'Variante Vorgaben'!$B$128</f>
        <v>Schmierseife (Natural)</v>
      </c>
      <c r="CW33" s="11">
        <f>'Variante Vorgaben'!$C$128</f>
        <v>1</v>
      </c>
      <c r="CX33" s="1184">
        <f>'Variante Vorgaben'!$D$128</f>
        <v>20</v>
      </c>
      <c r="CY33" s="1301">
        <f>'Variante Vorgaben'!$E$128*(1+Eingabeseite!$C$28)</f>
        <v>13.419999999999998</v>
      </c>
      <c r="CZ33" s="30">
        <f t="shared" si="29"/>
        <v>268.39999999999998</v>
      </c>
      <c r="DA33" s="739">
        <f>CZ33/$CZ$92</f>
        <v>6.3918403026807487E-3</v>
      </c>
    </row>
    <row r="34" spans="1:105" ht="12.5" x14ac:dyDescent="0.25">
      <c r="A34" s="1442"/>
      <c r="B34" s="13" t="str">
        <f>'Variante Vorgaben'!B129</f>
        <v>Granulosevirus (Madex Top)</v>
      </c>
      <c r="C34" s="11">
        <f>'Variante Vorgaben'!C146</f>
        <v>0</v>
      </c>
      <c r="D34" s="296">
        <f>'Variante Vorgaben'!D146</f>
        <v>0.1</v>
      </c>
      <c r="E34" s="1176">
        <f>'Variante Vorgaben'!E146*(1+Eingabeseite!$C$28)</f>
        <v>573.6</v>
      </c>
      <c r="F34" s="30">
        <f t="shared" si="3"/>
        <v>0</v>
      </c>
      <c r="G34" s="739">
        <f t="shared" si="1"/>
        <v>0</v>
      </c>
      <c r="H34" s="1442"/>
      <c r="I34" s="13" t="str">
        <f>'Variante Vorgaben'!B163</f>
        <v>Granulosevirus (Madex Top)</v>
      </c>
      <c r="J34" s="11">
        <f>'Variante Vorgaben'!C163</f>
        <v>0</v>
      </c>
      <c r="K34" s="296">
        <f>'Variante Vorgaben'!D163</f>
        <v>0.1</v>
      </c>
      <c r="L34" s="1176">
        <f>'Variante Vorgaben'!E163*(1+Eingabeseite!$C$28)</f>
        <v>573.6</v>
      </c>
      <c r="M34" s="30">
        <f t="shared" si="2"/>
        <v>0</v>
      </c>
      <c r="N34" s="739"/>
      <c r="O34" s="1417"/>
      <c r="P34" s="13" t="str">
        <f>'Variante Vorgaben'!$B$129</f>
        <v>Granulosevirus (Madex Top)</v>
      </c>
      <c r="Q34" s="11">
        <f>'Variante Vorgaben'!$C$129</f>
        <v>10</v>
      </c>
      <c r="R34" s="1184">
        <f>'Variante Vorgaben'!$D$129</f>
        <v>0.1</v>
      </c>
      <c r="S34" s="1301">
        <f>'Variante Vorgaben'!$E$129*(1+Eingabeseite!$C$28)</f>
        <v>573.6</v>
      </c>
      <c r="T34" s="30">
        <f t="shared" si="17"/>
        <v>573.6</v>
      </c>
      <c r="U34" s="739">
        <f>T34/$T$92</f>
        <v>1.7717170940706024E-2</v>
      </c>
      <c r="V34" s="1417"/>
      <c r="W34" s="13" t="str">
        <f>'Variante Vorgaben'!$B$129</f>
        <v>Granulosevirus (Madex Top)</v>
      </c>
      <c r="X34" s="11">
        <f>'Variante Vorgaben'!$C$129</f>
        <v>10</v>
      </c>
      <c r="Y34" s="1184">
        <f>'Variante Vorgaben'!$D$129</f>
        <v>0.1</v>
      </c>
      <c r="Z34" s="1301">
        <f>'Variante Vorgaben'!$E$129*(1+Eingabeseite!$C$28)</f>
        <v>573.6</v>
      </c>
      <c r="AA34" s="30">
        <f t="shared" si="18"/>
        <v>573.6</v>
      </c>
      <c r="AB34" s="739">
        <f>AA34/$AA$92</f>
        <v>1.5636998493443313E-2</v>
      </c>
      <c r="AC34" s="1417"/>
      <c r="AD34" s="13" t="str">
        <f>'Variante Vorgaben'!$B$129</f>
        <v>Granulosevirus (Madex Top)</v>
      </c>
      <c r="AE34" s="11">
        <f>'Variante Vorgaben'!$C$129</f>
        <v>10</v>
      </c>
      <c r="AF34" s="1184">
        <f>'Variante Vorgaben'!$D$129</f>
        <v>0.1</v>
      </c>
      <c r="AG34" s="1301">
        <f>'Variante Vorgaben'!$E$129*(1+Eingabeseite!$C$28)</f>
        <v>573.6</v>
      </c>
      <c r="AH34" s="30">
        <f t="shared" si="19"/>
        <v>573.6</v>
      </c>
      <c r="AI34" s="739">
        <f>AH34/$AH$92</f>
        <v>1.5125904501203678E-2</v>
      </c>
      <c r="AJ34" s="1417"/>
      <c r="AK34" s="13" t="str">
        <f>'Variante Vorgaben'!$B$129</f>
        <v>Granulosevirus (Madex Top)</v>
      </c>
      <c r="AL34" s="11">
        <f>'Variante Vorgaben'!$C$129</f>
        <v>10</v>
      </c>
      <c r="AM34" s="1184">
        <f>'Variante Vorgaben'!$D$129</f>
        <v>0.1</v>
      </c>
      <c r="AN34" s="1301">
        <f>'Variante Vorgaben'!$E$129*(1+Eingabeseite!$C$28)</f>
        <v>573.6</v>
      </c>
      <c r="AO34" s="30">
        <f t="shared" si="20"/>
        <v>573.6</v>
      </c>
      <c r="AP34" s="739">
        <f>AO34/$AO$92</f>
        <v>1.5180558489655174E-2</v>
      </c>
      <c r="AQ34" s="1417"/>
      <c r="AR34" s="13" t="str">
        <f>'Variante Vorgaben'!$B$129</f>
        <v>Granulosevirus (Madex Top)</v>
      </c>
      <c r="AS34" s="11">
        <f>'Variante Vorgaben'!$C$129</f>
        <v>10</v>
      </c>
      <c r="AT34" s="1184">
        <f>'Variante Vorgaben'!$D$129</f>
        <v>0.1</v>
      </c>
      <c r="AU34" s="1301">
        <f>'Variante Vorgaben'!$E$129*(1+Eingabeseite!$C$28)</f>
        <v>573.6</v>
      </c>
      <c r="AV34" s="30">
        <f t="shared" si="21"/>
        <v>573.6</v>
      </c>
      <c r="AW34" s="739">
        <f>AV34/$AV$92</f>
        <v>1.4177799721182922E-2</v>
      </c>
      <c r="AX34" s="1417"/>
      <c r="AY34" s="13" t="str">
        <f>'Variante Vorgaben'!$B$129</f>
        <v>Granulosevirus (Madex Top)</v>
      </c>
      <c r="AZ34" s="11">
        <f>'Variante Vorgaben'!$C$129</f>
        <v>10</v>
      </c>
      <c r="BA34" s="1184">
        <f>'Variante Vorgaben'!$D$129</f>
        <v>0.1</v>
      </c>
      <c r="BB34" s="1301">
        <f>'Variante Vorgaben'!$E$129*(1+Eingabeseite!$C$28)</f>
        <v>573.6</v>
      </c>
      <c r="BC34" s="30">
        <f t="shared" si="22"/>
        <v>573.6</v>
      </c>
      <c r="BD34" s="739">
        <f>BC34/$BC$92</f>
        <v>1.5282262464188049E-2</v>
      </c>
      <c r="BE34" s="1417"/>
      <c r="BF34" s="13" t="str">
        <f>'Variante Vorgaben'!$B$129</f>
        <v>Granulosevirus (Madex Top)</v>
      </c>
      <c r="BG34" s="11">
        <f>'Variante Vorgaben'!$C$129</f>
        <v>10</v>
      </c>
      <c r="BH34" s="1184">
        <f>'Variante Vorgaben'!$D$129</f>
        <v>0.1</v>
      </c>
      <c r="BI34" s="1301">
        <f>'Variante Vorgaben'!$E$129*(1+Eingabeseite!$C$28)</f>
        <v>573.6</v>
      </c>
      <c r="BJ34" s="30">
        <f t="shared" si="23"/>
        <v>573.6</v>
      </c>
      <c r="BK34" s="739">
        <f>BJ34/$BJ$92</f>
        <v>1.5339486605909537E-2</v>
      </c>
      <c r="BL34" s="1417"/>
      <c r="BM34" s="13" t="str">
        <f>'Variante Vorgaben'!$B$129</f>
        <v>Granulosevirus (Madex Top)</v>
      </c>
      <c r="BN34" s="11">
        <f>'Variante Vorgaben'!$C$129</f>
        <v>10</v>
      </c>
      <c r="BO34" s="1184">
        <f>'Variante Vorgaben'!$D$129</f>
        <v>0.1</v>
      </c>
      <c r="BP34" s="1301">
        <f>'Variante Vorgaben'!$E$129*(1+Eingabeseite!$C$28)</f>
        <v>573.6</v>
      </c>
      <c r="BQ34" s="30">
        <f t="shared" si="24"/>
        <v>573.6</v>
      </c>
      <c r="BR34" s="739">
        <f>BQ34/$BQ$92</f>
        <v>1.431758841239184E-2</v>
      </c>
      <c r="BS34" s="1417"/>
      <c r="BT34" s="13" t="str">
        <f>'Variante Vorgaben'!$B$129</f>
        <v>Granulosevirus (Madex Top)</v>
      </c>
      <c r="BU34" s="11">
        <f>'Variante Vorgaben'!$C$129</f>
        <v>10</v>
      </c>
      <c r="BV34" s="1184">
        <f>'Variante Vorgaben'!$D$129</f>
        <v>0.1</v>
      </c>
      <c r="BW34" s="1301">
        <f>'Variante Vorgaben'!$E$129*(1+Eingabeseite!$C$28)</f>
        <v>573.6</v>
      </c>
      <c r="BX34" s="30">
        <f t="shared" si="25"/>
        <v>573.6</v>
      </c>
      <c r="BY34" s="739">
        <f>BX34/$BX$92</f>
        <v>1.5446282202079923E-2</v>
      </c>
      <c r="BZ34" s="1417"/>
      <c r="CA34" s="13" t="str">
        <f>'Variante Vorgaben'!$B$129</f>
        <v>Granulosevirus (Madex Top)</v>
      </c>
      <c r="CB34" s="11">
        <f>'Variante Vorgaben'!$C$129</f>
        <v>10</v>
      </c>
      <c r="CC34" s="1184">
        <f>'Variante Vorgaben'!$D$129</f>
        <v>0.1</v>
      </c>
      <c r="CD34" s="1301">
        <f>'Variante Vorgaben'!$E$129*(1+Eingabeseite!$C$28)</f>
        <v>573.6</v>
      </c>
      <c r="CE34" s="30">
        <f t="shared" si="26"/>
        <v>573.6</v>
      </c>
      <c r="CF34" s="739">
        <f>CE34/$CE$92</f>
        <v>1.5506247104750759E-2</v>
      </c>
      <c r="CG34" s="1417"/>
      <c r="CH34" s="13" t="str">
        <f>'Variante Vorgaben'!$B$129</f>
        <v>Granulosevirus (Madex Top)</v>
      </c>
      <c r="CI34" s="11">
        <f>'Variante Vorgaben'!$C$129</f>
        <v>10</v>
      </c>
      <c r="CJ34" s="1184">
        <f>'Variante Vorgaben'!$D$129</f>
        <v>0.1</v>
      </c>
      <c r="CK34" s="1301">
        <f>'Variante Vorgaben'!$E$129*(1+Eingabeseite!$C$28)</f>
        <v>573.6</v>
      </c>
      <c r="CL34" s="30">
        <f t="shared" si="27"/>
        <v>573.6</v>
      </c>
      <c r="CM34" s="739">
        <f>CL34/$CL$92</f>
        <v>1.4708251667827828E-2</v>
      </c>
      <c r="CN34" s="1417"/>
      <c r="CO34" s="13" t="str">
        <f>'Variante Vorgaben'!$B$129</f>
        <v>Granulosevirus (Madex Top)</v>
      </c>
      <c r="CP34" s="11">
        <f>'Variante Vorgaben'!$C$129</f>
        <v>10</v>
      </c>
      <c r="CQ34" s="1184">
        <f>'Variante Vorgaben'!$D$129</f>
        <v>0.1</v>
      </c>
      <c r="CR34" s="1301">
        <f>'Variante Vorgaben'!$E$129*(1+Eingabeseite!$C$28)</f>
        <v>573.6</v>
      </c>
      <c r="CS34" s="30">
        <f t="shared" si="28"/>
        <v>573.6</v>
      </c>
      <c r="CT34" s="739">
        <f>CS34/$CS$92</f>
        <v>1.588800565584338E-2</v>
      </c>
      <c r="CU34" s="1417"/>
      <c r="CV34" s="13" t="str">
        <f>'Variante Vorgaben'!$B$129</f>
        <v>Granulosevirus (Madex Top)</v>
      </c>
      <c r="CW34" s="11">
        <f>'Variante Vorgaben'!$C$129</f>
        <v>10</v>
      </c>
      <c r="CX34" s="1184">
        <f>'Variante Vorgaben'!$D$129</f>
        <v>0.1</v>
      </c>
      <c r="CY34" s="1301">
        <f>'Variante Vorgaben'!$E$129*(1+Eingabeseite!$C$28)</f>
        <v>573.6</v>
      </c>
      <c r="CZ34" s="30">
        <f t="shared" si="29"/>
        <v>573.6</v>
      </c>
      <c r="DA34" s="739">
        <f>CZ34/$CZ$92</f>
        <v>1.3660058113329649E-2</v>
      </c>
    </row>
    <row r="35" spans="1:105" ht="12.5" x14ac:dyDescent="0.25">
      <c r="A35" s="1442"/>
      <c r="B35" s="13" t="str">
        <f>'Variante Vorgaben'!B130</f>
        <v>Quassiaextrakt (Quassan)</v>
      </c>
      <c r="C35" s="11">
        <f>'Variante Vorgaben'!C147</f>
        <v>0</v>
      </c>
      <c r="D35" s="296">
        <f>'Variante Vorgaben'!D147</f>
        <v>3.5</v>
      </c>
      <c r="E35" s="1176">
        <f>'Variante Vorgaben'!E147*(1+Eingabeseite!$C$28)</f>
        <v>222</v>
      </c>
      <c r="F35" s="30">
        <f t="shared" si="3"/>
        <v>0</v>
      </c>
      <c r="G35" s="739">
        <f t="shared" si="1"/>
        <v>0</v>
      </c>
      <c r="H35" s="1442"/>
      <c r="I35" s="13" t="str">
        <f>'Variante Vorgaben'!B164</f>
        <v>Quassiaextrakt (Quassan)</v>
      </c>
      <c r="J35" s="11">
        <f>'Variante Vorgaben'!C164</f>
        <v>0</v>
      </c>
      <c r="K35" s="296">
        <f>'Variante Vorgaben'!D164</f>
        <v>3.5</v>
      </c>
      <c r="L35" s="1176">
        <f>'Variante Vorgaben'!E164*(1+Eingabeseite!$C$28)</f>
        <v>222</v>
      </c>
      <c r="M35" s="30">
        <f t="shared" si="2"/>
        <v>0</v>
      </c>
      <c r="N35" s="739"/>
      <c r="O35" s="1417"/>
      <c r="P35" s="13" t="str">
        <f>'Variante Vorgaben'!$B$130</f>
        <v>Quassiaextrakt (Quassan)</v>
      </c>
      <c r="Q35" s="11">
        <f>'Variante Vorgaben'!$C$130</f>
        <v>1</v>
      </c>
      <c r="R35" s="1184">
        <f>'Variante Vorgaben'!$D$130</f>
        <v>3.5</v>
      </c>
      <c r="S35" s="1301">
        <f>'Variante Vorgaben'!$E$130*(1+Eingabeseite!$C$28)</f>
        <v>222</v>
      </c>
      <c r="T35" s="30">
        <f t="shared" si="17"/>
        <v>777</v>
      </c>
      <c r="U35" s="739"/>
      <c r="V35" s="1417"/>
      <c r="W35" s="13" t="str">
        <f>'Variante Vorgaben'!$B$130</f>
        <v>Quassiaextrakt (Quassan)</v>
      </c>
      <c r="X35" s="11">
        <f>'Variante Vorgaben'!$C$130</f>
        <v>1</v>
      </c>
      <c r="Y35" s="1184">
        <f>'Variante Vorgaben'!$D$130</f>
        <v>3.5</v>
      </c>
      <c r="Z35" s="1301">
        <f>'Variante Vorgaben'!$E$130*(1+Eingabeseite!$C$28)</f>
        <v>222</v>
      </c>
      <c r="AA35" s="30">
        <f t="shared" si="18"/>
        <v>777</v>
      </c>
      <c r="AB35" s="739"/>
      <c r="AC35" s="1417"/>
      <c r="AD35" s="13" t="str">
        <f>'Variante Vorgaben'!$B$130</f>
        <v>Quassiaextrakt (Quassan)</v>
      </c>
      <c r="AE35" s="11">
        <f>'Variante Vorgaben'!$C$130</f>
        <v>1</v>
      </c>
      <c r="AF35" s="1184">
        <f>'Variante Vorgaben'!$D$130</f>
        <v>3.5</v>
      </c>
      <c r="AG35" s="1301">
        <f>'Variante Vorgaben'!$E$130*(1+Eingabeseite!$C$28)</f>
        <v>222</v>
      </c>
      <c r="AH35" s="30">
        <f t="shared" si="19"/>
        <v>777</v>
      </c>
      <c r="AI35" s="739"/>
      <c r="AJ35" s="1417"/>
      <c r="AK35" s="13" t="str">
        <f>'Variante Vorgaben'!$B$130</f>
        <v>Quassiaextrakt (Quassan)</v>
      </c>
      <c r="AL35" s="11">
        <f>'Variante Vorgaben'!$C$130</f>
        <v>1</v>
      </c>
      <c r="AM35" s="1184">
        <f>'Variante Vorgaben'!$D$130</f>
        <v>3.5</v>
      </c>
      <c r="AN35" s="1301">
        <f>'Variante Vorgaben'!$E$130*(1+Eingabeseite!$C$28)</f>
        <v>222</v>
      </c>
      <c r="AO35" s="30">
        <f t="shared" si="20"/>
        <v>777</v>
      </c>
      <c r="AP35" s="739"/>
      <c r="AQ35" s="1417"/>
      <c r="AR35" s="13" t="str">
        <f>'Variante Vorgaben'!$B$130</f>
        <v>Quassiaextrakt (Quassan)</v>
      </c>
      <c r="AS35" s="11">
        <f>'Variante Vorgaben'!$C$130</f>
        <v>1</v>
      </c>
      <c r="AT35" s="1184">
        <f>'Variante Vorgaben'!$D$130</f>
        <v>3.5</v>
      </c>
      <c r="AU35" s="1301">
        <f>'Variante Vorgaben'!$E$130*(1+Eingabeseite!$C$28)</f>
        <v>222</v>
      </c>
      <c r="AV35" s="30">
        <f t="shared" si="21"/>
        <v>777</v>
      </c>
      <c r="AW35" s="739"/>
      <c r="AX35" s="1417"/>
      <c r="AY35" s="13" t="str">
        <f>'Variante Vorgaben'!$B$130</f>
        <v>Quassiaextrakt (Quassan)</v>
      </c>
      <c r="AZ35" s="11">
        <f>'Variante Vorgaben'!$C$130</f>
        <v>1</v>
      </c>
      <c r="BA35" s="1184">
        <f>'Variante Vorgaben'!$D$130</f>
        <v>3.5</v>
      </c>
      <c r="BB35" s="1301">
        <f>'Variante Vorgaben'!$E$130*(1+Eingabeseite!$C$28)</f>
        <v>222</v>
      </c>
      <c r="BC35" s="30">
        <f t="shared" si="22"/>
        <v>777</v>
      </c>
      <c r="BD35" s="739"/>
      <c r="BE35" s="1417"/>
      <c r="BF35" s="13" t="str">
        <f>'Variante Vorgaben'!$B$130</f>
        <v>Quassiaextrakt (Quassan)</v>
      </c>
      <c r="BG35" s="11">
        <f>'Variante Vorgaben'!$C$130</f>
        <v>1</v>
      </c>
      <c r="BH35" s="1184">
        <f>'Variante Vorgaben'!$D$130</f>
        <v>3.5</v>
      </c>
      <c r="BI35" s="1301">
        <f>'Variante Vorgaben'!$E$130*(1+Eingabeseite!$C$28)</f>
        <v>222</v>
      </c>
      <c r="BJ35" s="30">
        <f t="shared" si="23"/>
        <v>777</v>
      </c>
      <c r="BK35" s="739"/>
      <c r="BL35" s="1417"/>
      <c r="BM35" s="13" t="str">
        <f>'Variante Vorgaben'!$B$130</f>
        <v>Quassiaextrakt (Quassan)</v>
      </c>
      <c r="BN35" s="11">
        <f>'Variante Vorgaben'!$C$130</f>
        <v>1</v>
      </c>
      <c r="BO35" s="1184">
        <f>'Variante Vorgaben'!$D$130</f>
        <v>3.5</v>
      </c>
      <c r="BP35" s="1301">
        <f>'Variante Vorgaben'!$E$130*(1+Eingabeseite!$C$28)</f>
        <v>222</v>
      </c>
      <c r="BQ35" s="30">
        <f t="shared" si="24"/>
        <v>777</v>
      </c>
      <c r="BR35" s="739"/>
      <c r="BS35" s="1417"/>
      <c r="BT35" s="13" t="str">
        <f>'Variante Vorgaben'!$B$130</f>
        <v>Quassiaextrakt (Quassan)</v>
      </c>
      <c r="BU35" s="11">
        <f>'Variante Vorgaben'!$C$130</f>
        <v>1</v>
      </c>
      <c r="BV35" s="1184">
        <f>'Variante Vorgaben'!$D$130</f>
        <v>3.5</v>
      </c>
      <c r="BW35" s="1301">
        <f>'Variante Vorgaben'!$E$130*(1+Eingabeseite!$C$28)</f>
        <v>222</v>
      </c>
      <c r="BX35" s="30">
        <f t="shared" si="25"/>
        <v>777</v>
      </c>
      <c r="BY35" s="739"/>
      <c r="BZ35" s="1417"/>
      <c r="CA35" s="13" t="str">
        <f>'Variante Vorgaben'!$B$130</f>
        <v>Quassiaextrakt (Quassan)</v>
      </c>
      <c r="CB35" s="11">
        <f>'Variante Vorgaben'!$C$130</f>
        <v>1</v>
      </c>
      <c r="CC35" s="1184">
        <f>'Variante Vorgaben'!$D$130</f>
        <v>3.5</v>
      </c>
      <c r="CD35" s="1301">
        <f>'Variante Vorgaben'!$E$130*(1+Eingabeseite!$C$28)</f>
        <v>222</v>
      </c>
      <c r="CE35" s="30">
        <f t="shared" si="26"/>
        <v>777</v>
      </c>
      <c r="CF35" s="739"/>
      <c r="CG35" s="1417"/>
      <c r="CH35" s="13" t="str">
        <f>'Variante Vorgaben'!$B$130</f>
        <v>Quassiaextrakt (Quassan)</v>
      </c>
      <c r="CI35" s="11">
        <f>'Variante Vorgaben'!$C$130</f>
        <v>1</v>
      </c>
      <c r="CJ35" s="1184">
        <f>'Variante Vorgaben'!$D$130</f>
        <v>3.5</v>
      </c>
      <c r="CK35" s="1301">
        <f>'Variante Vorgaben'!$E$130*(1+Eingabeseite!$C$28)</f>
        <v>222</v>
      </c>
      <c r="CL35" s="30">
        <f t="shared" si="27"/>
        <v>777</v>
      </c>
      <c r="CM35" s="739"/>
      <c r="CN35" s="1417"/>
      <c r="CO35" s="13" t="str">
        <f>'Variante Vorgaben'!$B$130</f>
        <v>Quassiaextrakt (Quassan)</v>
      </c>
      <c r="CP35" s="11">
        <f>'Variante Vorgaben'!$C$130</f>
        <v>1</v>
      </c>
      <c r="CQ35" s="1184">
        <f>'Variante Vorgaben'!$D$130</f>
        <v>3.5</v>
      </c>
      <c r="CR35" s="1301">
        <f>'Variante Vorgaben'!$E$130*(1+Eingabeseite!$C$28)</f>
        <v>222</v>
      </c>
      <c r="CS35" s="30">
        <f t="shared" si="28"/>
        <v>777</v>
      </c>
      <c r="CT35" s="739"/>
      <c r="CU35" s="1417"/>
      <c r="CV35" s="13" t="str">
        <f>'Variante Vorgaben'!$B$130</f>
        <v>Quassiaextrakt (Quassan)</v>
      </c>
      <c r="CW35" s="11">
        <f>'Variante Vorgaben'!$C$130</f>
        <v>1</v>
      </c>
      <c r="CX35" s="1184">
        <f>'Variante Vorgaben'!$D$130</f>
        <v>3.5</v>
      </c>
      <c r="CY35" s="1301">
        <f>'Variante Vorgaben'!$E$130*(1+Eingabeseite!$C$28)</f>
        <v>222</v>
      </c>
      <c r="CZ35" s="30">
        <f t="shared" si="29"/>
        <v>777</v>
      </c>
      <c r="DA35" s="739"/>
    </row>
    <row r="36" spans="1:105" ht="12.5" x14ac:dyDescent="0.25">
      <c r="A36" s="1442"/>
      <c r="B36" s="13" t="str">
        <f>'Variante Vorgaben'!B131</f>
        <v>Weissöl (Weissöl Omya)</v>
      </c>
      <c r="C36" s="31">
        <f>'Variante Vorgaben'!C148</f>
        <v>1</v>
      </c>
      <c r="D36" s="1327">
        <f>'Variante Vorgaben'!D148</f>
        <v>50</v>
      </c>
      <c r="E36" s="1328">
        <f>'Variante Vorgaben'!E148*(1+Eingabeseite!$C$28)</f>
        <v>3.7833999999999999</v>
      </c>
      <c r="F36" s="1329">
        <f t="shared" si="3"/>
        <v>189.17</v>
      </c>
      <c r="G36" s="739">
        <f t="shared" si="1"/>
        <v>7.8721259964542618E-3</v>
      </c>
      <c r="H36" s="1442"/>
      <c r="I36" s="13" t="str">
        <f>'Variante Vorgaben'!B165</f>
        <v>Weissöl (Weissöl Omya)</v>
      </c>
      <c r="J36" s="11">
        <f>'Variante Vorgaben'!C165</f>
        <v>1</v>
      </c>
      <c r="K36" s="296">
        <f>'Variante Vorgaben'!D165</f>
        <v>50</v>
      </c>
      <c r="L36" s="1176">
        <f>'Variante Vorgaben'!E165*(1+Eingabeseite!$C$28)</f>
        <v>3.7833999999999999</v>
      </c>
      <c r="M36" s="1329">
        <f t="shared" si="2"/>
        <v>189.17</v>
      </c>
      <c r="N36" s="739"/>
      <c r="O36" s="1417"/>
      <c r="P36" s="13" t="str">
        <f>'Variante Vorgaben'!$B$131</f>
        <v>Weissöl (Weissöl Omya)</v>
      </c>
      <c r="Q36" s="11">
        <f>'Variante Vorgaben'!$C$131</f>
        <v>1</v>
      </c>
      <c r="R36" s="1184">
        <f>'Variante Vorgaben'!$D$131</f>
        <v>50</v>
      </c>
      <c r="S36" s="1301">
        <f>'Variante Vorgaben'!$E$131*(1+Eingabeseite!$C$28)</f>
        <v>3.7833999999999999</v>
      </c>
      <c r="T36" s="30">
        <f t="shared" si="17"/>
        <v>189.17</v>
      </c>
      <c r="U36" s="739"/>
      <c r="V36" s="1417"/>
      <c r="W36" s="13" t="str">
        <f>'Variante Vorgaben'!$B$131</f>
        <v>Weissöl (Weissöl Omya)</v>
      </c>
      <c r="X36" s="11">
        <f>'Variante Vorgaben'!$C$131</f>
        <v>1</v>
      </c>
      <c r="Y36" s="1184">
        <f>'Variante Vorgaben'!$D$131</f>
        <v>50</v>
      </c>
      <c r="Z36" s="1301">
        <f>'Variante Vorgaben'!$E$131*(1+Eingabeseite!$C$28)</f>
        <v>3.7833999999999999</v>
      </c>
      <c r="AA36" s="30">
        <f t="shared" si="18"/>
        <v>189.17</v>
      </c>
      <c r="AB36" s="739"/>
      <c r="AC36" s="1417"/>
      <c r="AD36" s="13" t="str">
        <f>'Variante Vorgaben'!$B$131</f>
        <v>Weissöl (Weissöl Omya)</v>
      </c>
      <c r="AE36" s="11">
        <f>'Variante Vorgaben'!$C$131</f>
        <v>1</v>
      </c>
      <c r="AF36" s="1184">
        <f>'Variante Vorgaben'!$D$131</f>
        <v>50</v>
      </c>
      <c r="AG36" s="1301">
        <f>'Variante Vorgaben'!$E$131*(1+Eingabeseite!$C$28)</f>
        <v>3.7833999999999999</v>
      </c>
      <c r="AH36" s="30">
        <f t="shared" si="19"/>
        <v>189.17</v>
      </c>
      <c r="AI36" s="739"/>
      <c r="AJ36" s="1417"/>
      <c r="AK36" s="13" t="str">
        <f>'Variante Vorgaben'!$B$131</f>
        <v>Weissöl (Weissöl Omya)</v>
      </c>
      <c r="AL36" s="11">
        <f>'Variante Vorgaben'!$C$131</f>
        <v>1</v>
      </c>
      <c r="AM36" s="1184">
        <f>'Variante Vorgaben'!$D$131</f>
        <v>50</v>
      </c>
      <c r="AN36" s="1301">
        <f>'Variante Vorgaben'!$E$131*(1+Eingabeseite!$C$28)</f>
        <v>3.7833999999999999</v>
      </c>
      <c r="AO36" s="30">
        <f t="shared" si="20"/>
        <v>189.17</v>
      </c>
      <c r="AP36" s="739"/>
      <c r="AQ36" s="1417"/>
      <c r="AR36" s="13" t="str">
        <f>'Variante Vorgaben'!$B$131</f>
        <v>Weissöl (Weissöl Omya)</v>
      </c>
      <c r="AS36" s="11">
        <f>'Variante Vorgaben'!$C$131</f>
        <v>1</v>
      </c>
      <c r="AT36" s="1184">
        <f>'Variante Vorgaben'!$D$131</f>
        <v>50</v>
      </c>
      <c r="AU36" s="1301">
        <f>'Variante Vorgaben'!$E$131*(1+Eingabeseite!$C$28)</f>
        <v>3.7833999999999999</v>
      </c>
      <c r="AV36" s="30">
        <f t="shared" si="21"/>
        <v>189.17</v>
      </c>
      <c r="AW36" s="739"/>
      <c r="AX36" s="1417"/>
      <c r="AY36" s="13" t="str">
        <f>'Variante Vorgaben'!$B$131</f>
        <v>Weissöl (Weissöl Omya)</v>
      </c>
      <c r="AZ36" s="11">
        <f>'Variante Vorgaben'!$C$131</f>
        <v>1</v>
      </c>
      <c r="BA36" s="1184">
        <f>'Variante Vorgaben'!$D$131</f>
        <v>50</v>
      </c>
      <c r="BB36" s="1301">
        <f>'Variante Vorgaben'!$E$131*(1+Eingabeseite!$C$28)</f>
        <v>3.7833999999999999</v>
      </c>
      <c r="BC36" s="30">
        <f t="shared" si="22"/>
        <v>189.17</v>
      </c>
      <c r="BD36" s="739"/>
      <c r="BE36" s="1417"/>
      <c r="BF36" s="13" t="str">
        <f>'Variante Vorgaben'!$B$131</f>
        <v>Weissöl (Weissöl Omya)</v>
      </c>
      <c r="BG36" s="11">
        <f>'Variante Vorgaben'!$C$131</f>
        <v>1</v>
      </c>
      <c r="BH36" s="1184">
        <f>'Variante Vorgaben'!$D$131</f>
        <v>50</v>
      </c>
      <c r="BI36" s="1301">
        <f>'Variante Vorgaben'!$E$131*(1+Eingabeseite!$C$28)</f>
        <v>3.7833999999999999</v>
      </c>
      <c r="BJ36" s="30">
        <f t="shared" si="23"/>
        <v>189.17</v>
      </c>
      <c r="BK36" s="739"/>
      <c r="BL36" s="1417"/>
      <c r="BM36" s="13" t="str">
        <f>'Variante Vorgaben'!$B$131</f>
        <v>Weissöl (Weissöl Omya)</v>
      </c>
      <c r="BN36" s="11">
        <f>'Variante Vorgaben'!$C$131</f>
        <v>1</v>
      </c>
      <c r="BO36" s="1184">
        <f>'Variante Vorgaben'!$D$131</f>
        <v>50</v>
      </c>
      <c r="BP36" s="1301">
        <f>'Variante Vorgaben'!$E$131*(1+Eingabeseite!$C$28)</f>
        <v>3.7833999999999999</v>
      </c>
      <c r="BQ36" s="30">
        <f t="shared" si="24"/>
        <v>189.17</v>
      </c>
      <c r="BR36" s="739"/>
      <c r="BS36" s="1417"/>
      <c r="BT36" s="13" t="str">
        <f>'Variante Vorgaben'!$B$131</f>
        <v>Weissöl (Weissöl Omya)</v>
      </c>
      <c r="BU36" s="11">
        <f>'Variante Vorgaben'!$C$131</f>
        <v>1</v>
      </c>
      <c r="BV36" s="1184">
        <f>'Variante Vorgaben'!$D$131</f>
        <v>50</v>
      </c>
      <c r="BW36" s="1301">
        <f>'Variante Vorgaben'!$E$131*(1+Eingabeseite!$C$28)</f>
        <v>3.7833999999999999</v>
      </c>
      <c r="BX36" s="30">
        <f t="shared" si="25"/>
        <v>189.17</v>
      </c>
      <c r="BY36" s="739"/>
      <c r="BZ36" s="1417"/>
      <c r="CA36" s="13" t="str">
        <f>'Variante Vorgaben'!$B$131</f>
        <v>Weissöl (Weissöl Omya)</v>
      </c>
      <c r="CB36" s="11">
        <f>'Variante Vorgaben'!$C$131</f>
        <v>1</v>
      </c>
      <c r="CC36" s="1184">
        <f>'Variante Vorgaben'!$D$131</f>
        <v>50</v>
      </c>
      <c r="CD36" s="1301">
        <f>'Variante Vorgaben'!$E$131*(1+Eingabeseite!$C$28)</f>
        <v>3.7833999999999999</v>
      </c>
      <c r="CE36" s="30">
        <f t="shared" si="26"/>
        <v>189.17</v>
      </c>
      <c r="CF36" s="739"/>
      <c r="CG36" s="1417"/>
      <c r="CH36" s="13" t="str">
        <f>'Variante Vorgaben'!$B$131</f>
        <v>Weissöl (Weissöl Omya)</v>
      </c>
      <c r="CI36" s="11">
        <f>'Variante Vorgaben'!$C$131</f>
        <v>1</v>
      </c>
      <c r="CJ36" s="1184">
        <f>'Variante Vorgaben'!$D$131</f>
        <v>50</v>
      </c>
      <c r="CK36" s="1301">
        <f>'Variante Vorgaben'!$E$131*(1+Eingabeseite!$C$28)</f>
        <v>3.7833999999999999</v>
      </c>
      <c r="CL36" s="30">
        <f t="shared" si="27"/>
        <v>189.17</v>
      </c>
      <c r="CM36" s="739"/>
      <c r="CN36" s="1417"/>
      <c r="CO36" s="13" t="str">
        <f>'Variante Vorgaben'!$B$131</f>
        <v>Weissöl (Weissöl Omya)</v>
      </c>
      <c r="CP36" s="11">
        <f>'Variante Vorgaben'!$C$131</f>
        <v>1</v>
      </c>
      <c r="CQ36" s="1184">
        <f>'Variante Vorgaben'!$D$131</f>
        <v>50</v>
      </c>
      <c r="CR36" s="1301">
        <f>'Variante Vorgaben'!$E$131*(1+Eingabeseite!$C$28)</f>
        <v>3.7833999999999999</v>
      </c>
      <c r="CS36" s="30">
        <f t="shared" si="28"/>
        <v>189.17</v>
      </c>
      <c r="CT36" s="739"/>
      <c r="CU36" s="1417"/>
      <c r="CV36" s="13" t="str">
        <f>'Variante Vorgaben'!$B$131</f>
        <v>Weissöl (Weissöl Omya)</v>
      </c>
      <c r="CW36" s="11">
        <f>'Variante Vorgaben'!$C$131</f>
        <v>1</v>
      </c>
      <c r="CX36" s="1184">
        <f>'Variante Vorgaben'!$D$131</f>
        <v>50</v>
      </c>
      <c r="CY36" s="1301">
        <f>'Variante Vorgaben'!$E$131*(1+Eingabeseite!$C$28)</f>
        <v>3.7833999999999999</v>
      </c>
      <c r="CZ36" s="30">
        <f t="shared" si="29"/>
        <v>189.17</v>
      </c>
      <c r="DA36" s="739"/>
    </row>
    <row r="37" spans="1:105" ht="13" thickBot="1" x14ac:dyDescent="0.3">
      <c r="A37" s="995"/>
      <c r="B37" s="13"/>
      <c r="C37" s="11"/>
      <c r="D37" s="11"/>
      <c r="E37" s="107"/>
      <c r="F37" s="30"/>
      <c r="G37" s="739"/>
      <c r="H37" s="995"/>
      <c r="I37" s="13"/>
      <c r="J37" s="11"/>
      <c r="K37" s="1183"/>
      <c r="L37" s="1182"/>
      <c r="M37" s="30"/>
      <c r="N37" s="739"/>
      <c r="O37" s="995" t="str">
        <f>'Variante Vorgaben'!A132</f>
        <v>Verwirrung</v>
      </c>
      <c r="P37" s="13" t="str">
        <f>'Variante Vorgaben'!$B$132</f>
        <v>Insektenlockstoff (Isomate CLR Max Andermatt)</v>
      </c>
      <c r="Q37" s="772">
        <f>'Variante Vorgaben'!$C$132</f>
        <v>1</v>
      </c>
      <c r="R37" s="213">
        <f>'Variante Vorgaben'!$D$132</f>
        <v>750</v>
      </c>
      <c r="S37" s="1300">
        <f>'Variante Vorgaben'!$E$132*(1+Eingabeseite!$C$28)</f>
        <v>0.59599999999999997</v>
      </c>
      <c r="T37" s="763">
        <f t="shared" si="17"/>
        <v>447</v>
      </c>
      <c r="U37" s="739"/>
      <c r="V37" s="995"/>
      <c r="W37" s="13" t="str">
        <f>'Variante Vorgaben'!$B$132</f>
        <v>Insektenlockstoff (Isomate CLR Max Andermatt)</v>
      </c>
      <c r="X37" s="772">
        <f>'Variante Vorgaben'!$C$132</f>
        <v>1</v>
      </c>
      <c r="Y37" s="213">
        <f>'Variante Vorgaben'!$D$132</f>
        <v>750</v>
      </c>
      <c r="Z37" s="1300">
        <f>'Variante Vorgaben'!$E$132*(1+Eingabeseite!$C$28)</f>
        <v>0.59599999999999997</v>
      </c>
      <c r="AA37" s="763">
        <f t="shared" si="18"/>
        <v>447</v>
      </c>
      <c r="AB37" s="739"/>
      <c r="AC37" s="995"/>
      <c r="AD37" s="13" t="str">
        <f>'Variante Vorgaben'!$B$132</f>
        <v>Insektenlockstoff (Isomate CLR Max Andermatt)</v>
      </c>
      <c r="AE37" s="772">
        <f>'Variante Vorgaben'!$C$132</f>
        <v>1</v>
      </c>
      <c r="AF37" s="213">
        <f>'Variante Vorgaben'!$D$132</f>
        <v>750</v>
      </c>
      <c r="AG37" s="1300">
        <f>'Variante Vorgaben'!$E$132*(1+Eingabeseite!$C$28)</f>
        <v>0.59599999999999997</v>
      </c>
      <c r="AH37" s="30">
        <f t="shared" si="19"/>
        <v>447</v>
      </c>
      <c r="AI37" s="739"/>
      <c r="AJ37" s="995"/>
      <c r="AK37" s="13" t="str">
        <f>'Variante Vorgaben'!$B$132</f>
        <v>Insektenlockstoff (Isomate CLR Max Andermatt)</v>
      </c>
      <c r="AL37" s="772">
        <f>'Variante Vorgaben'!$C$132</f>
        <v>1</v>
      </c>
      <c r="AM37" s="213">
        <f>'Variante Vorgaben'!$D$132</f>
        <v>750</v>
      </c>
      <c r="AN37" s="1300">
        <f>'Variante Vorgaben'!$E$132*(1+Eingabeseite!$C$28)</f>
        <v>0.59599999999999997</v>
      </c>
      <c r="AO37" s="763">
        <f t="shared" si="20"/>
        <v>447</v>
      </c>
      <c r="AP37" s="739"/>
      <c r="AQ37" s="995"/>
      <c r="AR37" s="13" t="str">
        <f>'Variante Vorgaben'!$B$132</f>
        <v>Insektenlockstoff (Isomate CLR Max Andermatt)</v>
      </c>
      <c r="AS37" s="772">
        <f>'Variante Vorgaben'!$C$132</f>
        <v>1</v>
      </c>
      <c r="AT37" s="213">
        <f>'Variante Vorgaben'!$D$132</f>
        <v>750</v>
      </c>
      <c r="AU37" s="1300">
        <f>'Variante Vorgaben'!$E$132*(1+Eingabeseite!$C$28)</f>
        <v>0.59599999999999997</v>
      </c>
      <c r="AV37" s="763">
        <f t="shared" si="21"/>
        <v>447</v>
      </c>
      <c r="AW37" s="739"/>
      <c r="AX37" s="995"/>
      <c r="AY37" s="13" t="str">
        <f>'Variante Vorgaben'!$B$132</f>
        <v>Insektenlockstoff (Isomate CLR Max Andermatt)</v>
      </c>
      <c r="AZ37" s="772">
        <f>'Variante Vorgaben'!$C$132</f>
        <v>1</v>
      </c>
      <c r="BA37" s="213">
        <f>'Variante Vorgaben'!$D$132</f>
        <v>750</v>
      </c>
      <c r="BB37" s="1300">
        <f>'Variante Vorgaben'!$E$132*(1+Eingabeseite!$C$28)</f>
        <v>0.59599999999999997</v>
      </c>
      <c r="BC37" s="763">
        <f t="shared" si="22"/>
        <v>447</v>
      </c>
      <c r="BD37" s="739"/>
      <c r="BE37" s="995"/>
      <c r="BF37" s="13" t="str">
        <f>'Variante Vorgaben'!$B$132</f>
        <v>Insektenlockstoff (Isomate CLR Max Andermatt)</v>
      </c>
      <c r="BG37" s="772">
        <f>'Variante Vorgaben'!$C$132</f>
        <v>1</v>
      </c>
      <c r="BH37" s="213">
        <f>'Variante Vorgaben'!$D$132</f>
        <v>750</v>
      </c>
      <c r="BI37" s="1300">
        <f>'Variante Vorgaben'!$E$132*(1+Eingabeseite!$C$28)</f>
        <v>0.59599999999999997</v>
      </c>
      <c r="BJ37" s="763">
        <f t="shared" si="23"/>
        <v>447</v>
      </c>
      <c r="BK37" s="739"/>
      <c r="BL37" s="995"/>
      <c r="BM37" s="13" t="str">
        <f>'Variante Vorgaben'!$B$132</f>
        <v>Insektenlockstoff (Isomate CLR Max Andermatt)</v>
      </c>
      <c r="BN37" s="772">
        <f>'Variante Vorgaben'!$C$132</f>
        <v>1</v>
      </c>
      <c r="BO37" s="213">
        <f>'Variante Vorgaben'!$D$132</f>
        <v>750</v>
      </c>
      <c r="BP37" s="1300">
        <f>'Variante Vorgaben'!$E$132*(1+Eingabeseite!$C$28)</f>
        <v>0.59599999999999997</v>
      </c>
      <c r="BQ37" s="763">
        <f t="shared" si="24"/>
        <v>447</v>
      </c>
      <c r="BR37" s="739"/>
      <c r="BS37" s="995"/>
      <c r="BT37" s="13" t="str">
        <f>'Variante Vorgaben'!$B$132</f>
        <v>Insektenlockstoff (Isomate CLR Max Andermatt)</v>
      </c>
      <c r="BU37" s="772">
        <f>'Variante Vorgaben'!$C$132</f>
        <v>1</v>
      </c>
      <c r="BV37" s="213">
        <f>'Variante Vorgaben'!$D$132</f>
        <v>750</v>
      </c>
      <c r="BW37" s="1300">
        <f>'Variante Vorgaben'!$E$132*(1+Eingabeseite!$C$28)</f>
        <v>0.59599999999999997</v>
      </c>
      <c r="BX37" s="763">
        <f t="shared" si="25"/>
        <v>447</v>
      </c>
      <c r="BY37" s="739"/>
      <c r="BZ37" s="995"/>
      <c r="CA37" s="13" t="str">
        <f>'Variante Vorgaben'!$B$132</f>
        <v>Insektenlockstoff (Isomate CLR Max Andermatt)</v>
      </c>
      <c r="CB37" s="772">
        <f>'Variante Vorgaben'!$C$132</f>
        <v>1</v>
      </c>
      <c r="CC37" s="213">
        <f>'Variante Vorgaben'!$D$132</f>
        <v>750</v>
      </c>
      <c r="CD37" s="1300">
        <f>'Variante Vorgaben'!$E$132*(1+Eingabeseite!$C$28)</f>
        <v>0.59599999999999997</v>
      </c>
      <c r="CE37" s="763">
        <f t="shared" si="26"/>
        <v>447</v>
      </c>
      <c r="CF37" s="739"/>
      <c r="CG37" s="995"/>
      <c r="CH37" s="13" t="str">
        <f>'Variante Vorgaben'!$B$132</f>
        <v>Insektenlockstoff (Isomate CLR Max Andermatt)</v>
      </c>
      <c r="CI37" s="772">
        <f>'Variante Vorgaben'!$C$132</f>
        <v>1</v>
      </c>
      <c r="CJ37" s="213">
        <f>'Variante Vorgaben'!$D$132</f>
        <v>750</v>
      </c>
      <c r="CK37" s="1300">
        <f>'Variante Vorgaben'!$E$132*(1+Eingabeseite!$C$28)</f>
        <v>0.59599999999999997</v>
      </c>
      <c r="CL37" s="763">
        <f t="shared" si="27"/>
        <v>447</v>
      </c>
      <c r="CM37" s="739"/>
      <c r="CN37" s="995"/>
      <c r="CO37" s="13" t="str">
        <f>'Variante Vorgaben'!$B$132</f>
        <v>Insektenlockstoff (Isomate CLR Max Andermatt)</v>
      </c>
      <c r="CP37" s="772">
        <f>'Variante Vorgaben'!$C$132</f>
        <v>1</v>
      </c>
      <c r="CQ37" s="213">
        <f>'Variante Vorgaben'!$D$132</f>
        <v>750</v>
      </c>
      <c r="CR37" s="1300">
        <f>'Variante Vorgaben'!$E$132*(1+Eingabeseite!$C$28)</f>
        <v>0.59599999999999997</v>
      </c>
      <c r="CS37" s="763">
        <f t="shared" si="28"/>
        <v>447</v>
      </c>
      <c r="CT37" s="739"/>
      <c r="CU37" s="995"/>
      <c r="CV37" s="13" t="str">
        <f>'Variante Vorgaben'!$B$132</f>
        <v>Insektenlockstoff (Isomate CLR Max Andermatt)</v>
      </c>
      <c r="CW37" s="772">
        <f>'Variante Vorgaben'!$C$132</f>
        <v>1</v>
      </c>
      <c r="CX37" s="213">
        <f>'Variante Vorgaben'!$D$132</f>
        <v>750</v>
      </c>
      <c r="CY37" s="1300">
        <f>'Variante Vorgaben'!$E$132*(1+Eingabeseite!$C$28)</f>
        <v>0.59599999999999997</v>
      </c>
      <c r="CZ37" s="763">
        <f t="shared" si="29"/>
        <v>447</v>
      </c>
      <c r="DA37" s="739"/>
    </row>
    <row r="38" spans="1:105" s="1" customFormat="1" ht="16.5" customHeight="1" x14ac:dyDescent="0.3">
      <c r="A38" s="615" t="s">
        <v>140</v>
      </c>
      <c r="B38" s="303">
        <f>'Variante Vorgaben'!B150</f>
        <v>0</v>
      </c>
      <c r="C38" s="44">
        <f>SUM(C24:C36)</f>
        <v>29</v>
      </c>
      <c r="D38" s="44"/>
      <c r="E38" s="45"/>
      <c r="F38" s="83">
        <f>SUM(F24:F36)</f>
        <v>2500.0639999999999</v>
      </c>
      <c r="G38" s="735">
        <f>F38/F92</f>
        <v>0.10403773752286001</v>
      </c>
      <c r="H38" s="615" t="s">
        <v>140</v>
      </c>
      <c r="I38" s="303">
        <f>'Variante Vorgaben'!B168</f>
        <v>0</v>
      </c>
      <c r="J38" s="44">
        <f>SUM(J24:J36)</f>
        <v>29</v>
      </c>
      <c r="K38" s="44"/>
      <c r="L38" s="45"/>
      <c r="M38" s="83">
        <f>SUM(M24:M36)</f>
        <v>2500.0639999999999</v>
      </c>
      <c r="N38" s="735">
        <f>M38/$M$92</f>
        <v>0.10215482264507439</v>
      </c>
      <c r="O38" s="615" t="s">
        <v>140</v>
      </c>
      <c r="P38" s="303">
        <f>'Variante Vorgaben'!$B$133</f>
        <v>26</v>
      </c>
      <c r="Q38" s="618">
        <f>SUM(Q24:Q37)</f>
        <v>52</v>
      </c>
      <c r="R38" s="44"/>
      <c r="S38" s="45"/>
      <c r="T38" s="83">
        <f>SUM(T24:T37)</f>
        <v>5052.6139999999996</v>
      </c>
      <c r="U38" s="735">
        <f>T38/$T$92</f>
        <v>0.15606350407148609</v>
      </c>
      <c r="V38" s="615" t="s">
        <v>140</v>
      </c>
      <c r="W38" s="303">
        <f>'Variante Vorgaben'!$B$133</f>
        <v>26</v>
      </c>
      <c r="X38" s="618">
        <f>SUM(X24:X37)</f>
        <v>52</v>
      </c>
      <c r="Y38" s="44"/>
      <c r="Z38" s="45"/>
      <c r="AA38" s="83">
        <f>SUM(AA24:AA37)</f>
        <v>5052.6139999999996</v>
      </c>
      <c r="AB38" s="735">
        <f>AA38/$AA$92</f>
        <v>0.13774009328094594</v>
      </c>
      <c r="AC38" s="615" t="s">
        <v>140</v>
      </c>
      <c r="AD38" s="303">
        <f>'Variante Vorgaben'!$B$133</f>
        <v>26</v>
      </c>
      <c r="AE38" s="618">
        <f>SUM(AE24:AE37)</f>
        <v>52</v>
      </c>
      <c r="AF38" s="44"/>
      <c r="AG38" s="45"/>
      <c r="AH38" s="83">
        <f>SUM(AH24:AH37)</f>
        <v>5052.6139999999996</v>
      </c>
      <c r="AI38" s="735">
        <f>AH38/$AH$92</f>
        <v>0.13323806981423417</v>
      </c>
      <c r="AJ38" s="615" t="s">
        <v>140</v>
      </c>
      <c r="AK38" s="303">
        <f>'Variante Vorgaben'!$B$133</f>
        <v>26</v>
      </c>
      <c r="AL38" s="618">
        <f>SUM(AL24:AL37)</f>
        <v>52</v>
      </c>
      <c r="AM38" s="44"/>
      <c r="AN38" s="45"/>
      <c r="AO38" s="83">
        <f>SUM(AO24:AO37)</f>
        <v>5052.6139999999996</v>
      </c>
      <c r="AP38" s="735">
        <f>AO38/$AO$92</f>
        <v>0.1337194950360017</v>
      </c>
      <c r="AQ38" s="615" t="s">
        <v>140</v>
      </c>
      <c r="AR38" s="303">
        <f>'Variante Vorgaben'!$B$133</f>
        <v>26</v>
      </c>
      <c r="AS38" s="618">
        <f>SUM(AS24:AS37)</f>
        <v>52</v>
      </c>
      <c r="AT38" s="44"/>
      <c r="AU38" s="45"/>
      <c r="AV38" s="83">
        <f>SUM(AV24:AV37)</f>
        <v>5052.6139999999996</v>
      </c>
      <c r="AW38" s="735">
        <f>AV38/$AV$92</f>
        <v>0.1248865923299249</v>
      </c>
      <c r="AX38" s="615" t="s">
        <v>140</v>
      </c>
      <c r="AY38" s="303">
        <f>'Variante Vorgaben'!$B$133</f>
        <v>26</v>
      </c>
      <c r="AZ38" s="618">
        <f>SUM(AZ24:AZ37)</f>
        <v>52</v>
      </c>
      <c r="BA38" s="44"/>
      <c r="BB38" s="45"/>
      <c r="BC38" s="83">
        <f>SUM(BC24:BC37)</f>
        <v>5052.6139999999996</v>
      </c>
      <c r="BD38" s="735">
        <f>BC38/$BC$92</f>
        <v>0.13461536485047249</v>
      </c>
      <c r="BE38" s="615" t="s">
        <v>140</v>
      </c>
      <c r="BF38" s="303">
        <f>'Variante Vorgaben'!$B$133</f>
        <v>26</v>
      </c>
      <c r="BG38" s="618">
        <f>SUM(BG24:BG37)</f>
        <v>52</v>
      </c>
      <c r="BH38" s="44"/>
      <c r="BI38" s="45"/>
      <c r="BJ38" s="83">
        <f>SUM(BJ24:BJ37)</f>
        <v>5052.6139999999996</v>
      </c>
      <c r="BK38" s="735">
        <f>BJ38/$BJ$92</f>
        <v>0.13511942952899408</v>
      </c>
      <c r="BL38" s="615" t="s">
        <v>140</v>
      </c>
      <c r="BM38" s="303">
        <f>'Variante Vorgaben'!$B$133</f>
        <v>26</v>
      </c>
      <c r="BN38" s="618">
        <f>SUM(BN24:BN37)</f>
        <v>52</v>
      </c>
      <c r="BO38" s="44"/>
      <c r="BP38" s="45"/>
      <c r="BQ38" s="83">
        <f>SUM(BQ24:BQ37)</f>
        <v>5052.6139999999996</v>
      </c>
      <c r="BR38" s="735">
        <f>BQ38/$BQ$92</f>
        <v>0.12611793524876005</v>
      </c>
      <c r="BS38" s="615" t="s">
        <v>140</v>
      </c>
      <c r="BT38" s="303">
        <f>'Variante Vorgaben'!$B$133</f>
        <v>26</v>
      </c>
      <c r="BU38" s="618">
        <f>SUM(BU24:BU37)</f>
        <v>52</v>
      </c>
      <c r="BV38" s="44"/>
      <c r="BW38" s="45"/>
      <c r="BX38" s="83">
        <f>SUM(BX24:BX37)</f>
        <v>5052.6139999999996</v>
      </c>
      <c r="BY38" s="735">
        <f>BX38/$BX$92</f>
        <v>0.13606014941105271</v>
      </c>
      <c r="BZ38" s="615" t="s">
        <v>140</v>
      </c>
      <c r="CA38" s="303">
        <f>'Variante Vorgaben'!$B$133</f>
        <v>26</v>
      </c>
      <c r="CB38" s="618">
        <f>SUM(CB24:CB37)</f>
        <v>52</v>
      </c>
      <c r="CC38" s="44"/>
      <c r="CD38" s="45"/>
      <c r="CE38" s="83">
        <f>SUM(CE24:CE37)</f>
        <v>5052.6139999999996</v>
      </c>
      <c r="CF38" s="735">
        <f>CE38/$CE$92</f>
        <v>0.13658835636144204</v>
      </c>
      <c r="CG38" s="615" t="s">
        <v>140</v>
      </c>
      <c r="CH38" s="303">
        <f>'Variante Vorgaben'!$B$133</f>
        <v>26</v>
      </c>
      <c r="CI38" s="618">
        <f>SUM(CI24:CI37)</f>
        <v>52</v>
      </c>
      <c r="CJ38" s="44"/>
      <c r="CK38" s="45"/>
      <c r="CL38" s="83">
        <f>SUM(CL24:CL37)</f>
        <v>5052.6139999999996</v>
      </c>
      <c r="CM38" s="735">
        <f>CL38/$CL$92</f>
        <v>0.12955913230890903</v>
      </c>
      <c r="CN38" s="615" t="s">
        <v>140</v>
      </c>
      <c r="CO38" s="303">
        <f>'Variante Vorgaben'!$B$133</f>
        <v>26</v>
      </c>
      <c r="CP38" s="618">
        <f>SUM(CP24:CP37)</f>
        <v>52</v>
      </c>
      <c r="CQ38" s="44"/>
      <c r="CR38" s="45"/>
      <c r="CS38" s="83">
        <f>SUM(CS24:CS37)</f>
        <v>5052.6139999999996</v>
      </c>
      <c r="CT38" s="735">
        <f>CS38/$CS$92</f>
        <v>0.13995111542676678</v>
      </c>
      <c r="CU38" s="615" t="s">
        <v>140</v>
      </c>
      <c r="CV38" s="303">
        <f>'Variante Vorgaben'!$B$133</f>
        <v>26</v>
      </c>
      <c r="CW38" s="618">
        <f>SUM(CW24:CW37)</f>
        <v>52</v>
      </c>
      <c r="CX38" s="44"/>
      <c r="CY38" s="45"/>
      <c r="CZ38" s="83">
        <f>SUM(CZ24:CZ37)</f>
        <v>5052.6139999999996</v>
      </c>
      <c r="DA38" s="735">
        <f>CZ38/$CZ$92</f>
        <v>0.12032601266426597</v>
      </c>
    </row>
    <row r="39" spans="1:105" s="1" customFormat="1" ht="16.5" customHeight="1" x14ac:dyDescent="0.3">
      <c r="A39" s="145" t="str">
        <f>'Variante Hagel'!$A$75</f>
        <v>Hagelversicherung</v>
      </c>
      <c r="B39" s="303">
        <f>'Variante Vorgaben'!$C$234</f>
        <v>0</v>
      </c>
      <c r="C39" s="618">
        <f>'Variante Hagel'!$D78</f>
        <v>0.112</v>
      </c>
      <c r="D39" s="131">
        <f>'Variante Hagel'!$C78*(1+Eingabeseite!$C$32)</f>
        <v>0</v>
      </c>
      <c r="E39" s="132">
        <f>'Variante Hagel'!E78</f>
        <v>0.8</v>
      </c>
      <c r="F39" s="83">
        <f>B39*C39*D39*E39</f>
        <v>0</v>
      </c>
      <c r="G39" s="739"/>
      <c r="H39" s="145" t="str">
        <f>'Variante Hagel'!$A$75</f>
        <v>Hagelversicherung</v>
      </c>
      <c r="I39" s="303">
        <f>'Variante Vorgaben'!$C$234</f>
        <v>0</v>
      </c>
      <c r="J39" s="872">
        <f>'Variante Hagel'!$D79</f>
        <v>0.112</v>
      </c>
      <c r="K39" s="131">
        <f>'Variante Hagel'!$C79*(1+Eingabeseite!$C$32)</f>
        <v>4358.6341463414637</v>
      </c>
      <c r="L39" s="132">
        <f>'Variante Hagel'!E79</f>
        <v>0.8</v>
      </c>
      <c r="M39" s="83">
        <f>I39*J39*K39*L39</f>
        <v>0</v>
      </c>
      <c r="N39" s="739"/>
      <c r="O39" s="145" t="str">
        <f>'Variante Hagel'!$A$75</f>
        <v>Hagelversicherung</v>
      </c>
      <c r="P39" s="303">
        <f>'Variante Vorgaben'!$C$234</f>
        <v>0</v>
      </c>
      <c r="Q39" s="872">
        <f>'Variante Hagel'!$D80</f>
        <v>0.112</v>
      </c>
      <c r="R39" s="131">
        <f>'Variante Hagel'!$C80*(1+Eingabeseite!$C$32)</f>
        <v>15981.658536585364</v>
      </c>
      <c r="S39" s="132">
        <f>'Variante Hagel'!E80</f>
        <v>0.8</v>
      </c>
      <c r="T39" s="83">
        <f>P39*Q39*R39*S39</f>
        <v>0</v>
      </c>
      <c r="U39" s="739"/>
      <c r="V39" s="145" t="str">
        <f>'Variante Hagel'!$A$75</f>
        <v>Hagelversicherung</v>
      </c>
      <c r="W39" s="303">
        <f>'Variante Vorgaben'!$C$234</f>
        <v>0</v>
      </c>
      <c r="X39" s="872">
        <f>'Variante Hagel'!$D81</f>
        <v>0.112</v>
      </c>
      <c r="Y39" s="131">
        <f>'Variante Hagel'!$C81*(1+Eingabeseite!$C$32)</f>
        <v>21793.170731707312</v>
      </c>
      <c r="Z39" s="132">
        <f>'Variante Hagel'!E81</f>
        <v>0.8</v>
      </c>
      <c r="AA39" s="83">
        <f>W39*X39*Y39*Z39</f>
        <v>0</v>
      </c>
      <c r="AB39" s="739"/>
      <c r="AC39" s="145" t="str">
        <f>'Variante Hagel'!$A$75</f>
        <v>Hagelversicherung</v>
      </c>
      <c r="AD39" s="303">
        <f>'Variante Vorgaben'!$C$234</f>
        <v>0</v>
      </c>
      <c r="AE39" s="872">
        <f>'Variante Hagel'!$D82</f>
        <v>0.112</v>
      </c>
      <c r="AF39" s="131">
        <f>'Variante Hagel'!$C82*(1+Eingabeseite!$C$32)</f>
        <v>47944.975609756089</v>
      </c>
      <c r="AG39" s="132">
        <f>'Variante Hagel'!E82</f>
        <v>0.8</v>
      </c>
      <c r="AH39" s="83">
        <f>AD39*AE39*AF39*AG39</f>
        <v>0</v>
      </c>
      <c r="AI39" s="739"/>
      <c r="AJ39" s="145" t="str">
        <f>'Variante Hagel'!$A$75</f>
        <v>Hagelversicherung</v>
      </c>
      <c r="AK39" s="303">
        <f>'Variante Vorgaben'!$C$234</f>
        <v>0</v>
      </c>
      <c r="AL39" s="872">
        <f>'Variante Hagel'!$D83</f>
        <v>0.112</v>
      </c>
      <c r="AM39" s="131">
        <f>'Variante Hagel'!$C83*(1+Eingabeseite!$C$32)</f>
        <v>47944.975609756089</v>
      </c>
      <c r="AN39" s="132">
        <f>'Variante Hagel'!E83</f>
        <v>0.8</v>
      </c>
      <c r="AO39" s="83">
        <f>AK39*AL39*AM39*AN39</f>
        <v>0</v>
      </c>
      <c r="AP39" s="739"/>
      <c r="AQ39" s="145" t="str">
        <f>'Variante Hagel'!$A$75</f>
        <v>Hagelversicherung</v>
      </c>
      <c r="AR39" s="303">
        <f>'Variante Vorgaben'!$C$234</f>
        <v>0</v>
      </c>
      <c r="AS39" s="872">
        <f>'Variante Hagel'!$D84</f>
        <v>0.112</v>
      </c>
      <c r="AT39" s="131">
        <f>'Variante Hagel'!$C84*(1+Eingabeseite!$C$32)</f>
        <v>47944.975609756089</v>
      </c>
      <c r="AU39" s="132">
        <f>'Variante Hagel'!E84</f>
        <v>0.8</v>
      </c>
      <c r="AV39" s="83">
        <f>AR39*AS39*AT39*AU39</f>
        <v>0</v>
      </c>
      <c r="AW39" s="739"/>
      <c r="AX39" s="145" t="str">
        <f>'Variante Hagel'!$A$75</f>
        <v>Hagelversicherung</v>
      </c>
      <c r="AY39" s="303">
        <f>'Variante Vorgaben'!$C$234</f>
        <v>0</v>
      </c>
      <c r="AZ39" s="872">
        <f>'Variante Hagel'!$D85</f>
        <v>0.112</v>
      </c>
      <c r="BA39" s="131">
        <f>'Variante Hagel'!$C85*(1+Eingabeseite!$C$32)</f>
        <v>47944.975609756089</v>
      </c>
      <c r="BB39" s="132">
        <f>'Variante Hagel'!E85</f>
        <v>0.8</v>
      </c>
      <c r="BC39" s="83">
        <f>AY39*AZ39*BA39*BB39</f>
        <v>0</v>
      </c>
      <c r="BD39" s="739"/>
      <c r="BE39" s="145" t="str">
        <f>'Variante Hagel'!$A$75</f>
        <v>Hagelversicherung</v>
      </c>
      <c r="BF39" s="303">
        <f>'Variante Vorgaben'!$C$234</f>
        <v>0</v>
      </c>
      <c r="BG39" s="872">
        <f>'Variante Hagel'!$D86</f>
        <v>0.112</v>
      </c>
      <c r="BH39" s="131">
        <f>'Variante Hagel'!$C86*(1+Eingabeseite!$C$32)</f>
        <v>47944.975609756089</v>
      </c>
      <c r="BI39" s="132">
        <f>'Variante Hagel'!E86</f>
        <v>0.8</v>
      </c>
      <c r="BJ39" s="83">
        <f>BF39*BG39*BH39*BI39</f>
        <v>0</v>
      </c>
      <c r="BK39" s="739"/>
      <c r="BL39" s="145" t="str">
        <f>'Variante Hagel'!$A$75</f>
        <v>Hagelversicherung</v>
      </c>
      <c r="BM39" s="303">
        <f>'Variante Vorgaben'!$C$234</f>
        <v>0</v>
      </c>
      <c r="BN39" s="872">
        <f>'Variante Hagel'!$D87</f>
        <v>0.112</v>
      </c>
      <c r="BO39" s="131">
        <f>'Variante Hagel'!$C87*(1+Eingabeseite!$C$32)</f>
        <v>47944.975609756089</v>
      </c>
      <c r="BP39" s="132">
        <f>'Variante Hagel'!E87</f>
        <v>0.8</v>
      </c>
      <c r="BQ39" s="83">
        <f>BM39*BN39*BO39*BP39</f>
        <v>0</v>
      </c>
      <c r="BR39" s="739"/>
      <c r="BS39" s="145" t="str">
        <f>'Variante Hagel'!$A$75</f>
        <v>Hagelversicherung</v>
      </c>
      <c r="BT39" s="303">
        <f>'Variante Vorgaben'!$C$234</f>
        <v>0</v>
      </c>
      <c r="BU39" s="872">
        <f>'Variante Hagel'!$D88</f>
        <v>0.112</v>
      </c>
      <c r="BV39" s="131">
        <f>'Variante Hagel'!$C88*(1+Eingabeseite!$C$32)</f>
        <v>47944.975609756089</v>
      </c>
      <c r="BW39" s="132">
        <f>'Variante Hagel'!E88</f>
        <v>0.8</v>
      </c>
      <c r="BX39" s="83">
        <f>BT39*BU39*BV39*BW39</f>
        <v>0</v>
      </c>
      <c r="BY39" s="739"/>
      <c r="BZ39" s="145" t="str">
        <f>'Variante Hagel'!$A$75</f>
        <v>Hagelversicherung</v>
      </c>
      <c r="CA39" s="303">
        <f>'Variante Vorgaben'!$C$234</f>
        <v>0</v>
      </c>
      <c r="CB39" s="872">
        <f>'Variante Hagel'!$D89</f>
        <v>0.112</v>
      </c>
      <c r="CC39" s="131">
        <f>'Variante Hagel'!$C89*(1+Eingabeseite!$C$32)</f>
        <v>47944.975609756089</v>
      </c>
      <c r="CD39" s="132">
        <f>'Variante Hagel'!E89</f>
        <v>0.8</v>
      </c>
      <c r="CE39" s="83">
        <f>CA39*CB39*CC39*CD39</f>
        <v>0</v>
      </c>
      <c r="CF39" s="739"/>
      <c r="CG39" s="145" t="str">
        <f>'Variante Hagel'!$A$75</f>
        <v>Hagelversicherung</v>
      </c>
      <c r="CH39" s="303">
        <f>'Variante Vorgaben'!$C$234</f>
        <v>0</v>
      </c>
      <c r="CI39" s="872">
        <f>'Variante Hagel'!$D90</f>
        <v>0.112</v>
      </c>
      <c r="CJ39" s="131">
        <f>'Variante Hagel'!$C90*(1+Eingabeseite!$C$32)</f>
        <v>43586.341463414625</v>
      </c>
      <c r="CK39" s="132">
        <f>'Variante Hagel'!E90</f>
        <v>0.8</v>
      </c>
      <c r="CL39" s="83">
        <f>CH39*CI39*CJ39*CK39</f>
        <v>0</v>
      </c>
      <c r="CM39" s="739"/>
      <c r="CN39" s="145" t="str">
        <f>'Variante Hagel'!$A$75</f>
        <v>Hagelversicherung</v>
      </c>
      <c r="CO39" s="303">
        <f>'Variante Vorgaben'!$C$234</f>
        <v>0</v>
      </c>
      <c r="CP39" s="872">
        <f>'Variante Hagel'!$D91</f>
        <v>0.112</v>
      </c>
      <c r="CQ39" s="131">
        <f>'Variante Hagel'!$C91*(1+Eingabeseite!$C$32)</f>
        <v>43586.341463414625</v>
      </c>
      <c r="CR39" s="132">
        <f>'Variante Hagel'!E91</f>
        <v>0.8</v>
      </c>
      <c r="CS39" s="83">
        <f>CO39*CP39*CQ39*CR39</f>
        <v>0</v>
      </c>
      <c r="CT39" s="739"/>
      <c r="CU39" s="145" t="str">
        <f>'Variante Hagel'!$A$75</f>
        <v>Hagelversicherung</v>
      </c>
      <c r="CV39" s="303">
        <f>'Variante Vorgaben'!$C$234</f>
        <v>0</v>
      </c>
      <c r="CW39" s="872">
        <f>'Variante Hagel'!$D92</f>
        <v>0.112</v>
      </c>
      <c r="CX39" s="131">
        <f>'Variante Hagel'!$C92*(1+Eingabeseite!$C$32)</f>
        <v>43586.341463414625</v>
      </c>
      <c r="CY39" s="132">
        <f>'Variante Hagel'!E92</f>
        <v>0.8</v>
      </c>
      <c r="CZ39" s="83">
        <f>CV39*CW39*CX39*CY39</f>
        <v>0</v>
      </c>
      <c r="DA39" s="739"/>
    </row>
    <row r="40" spans="1:105" s="1" customFormat="1" ht="16.5" customHeight="1" x14ac:dyDescent="0.3">
      <c r="A40" s="87" t="str">
        <f>'Standard Standjahre'!$CN$41</f>
        <v>Bewässerung</v>
      </c>
      <c r="B40" s="145" t="str">
        <f>'Standard Standjahre'!$CO$41</f>
        <v>Wasser</v>
      </c>
      <c r="C40" s="829">
        <f>'Variante Vorgaben'!$C$237</f>
        <v>1</v>
      </c>
      <c r="D40" s="1263">
        <f>'Variante Vorgaben'!$C$243</f>
        <v>500</v>
      </c>
      <c r="E40" s="1264">
        <f>'Variante Vorgaben'!$C$236</f>
        <v>2</v>
      </c>
      <c r="F40" s="83">
        <f>C40*D40*E40</f>
        <v>1000</v>
      </c>
      <c r="G40" s="739"/>
      <c r="H40" s="87" t="str">
        <f>'Standard Standjahre'!$CN$41</f>
        <v>Bewässerung</v>
      </c>
      <c r="I40" s="145" t="str">
        <f>'Standard Standjahre'!$CO$41</f>
        <v>Wasser</v>
      </c>
      <c r="J40" s="829">
        <f>'Variante Vorgaben'!$C$237</f>
        <v>1</v>
      </c>
      <c r="K40" s="1263">
        <f>'Variante Vorgaben'!$C$243</f>
        <v>500</v>
      </c>
      <c r="L40" s="1264">
        <f>'Variante Vorgaben'!$C$236</f>
        <v>2</v>
      </c>
      <c r="M40" s="83">
        <f>J40*K40*L40</f>
        <v>1000</v>
      </c>
      <c r="N40" s="739"/>
      <c r="O40" s="87" t="str">
        <f>'Standard Standjahre'!$CN$41</f>
        <v>Bewässerung</v>
      </c>
      <c r="P40" s="145" t="str">
        <f>'Standard Standjahre'!$CO$41</f>
        <v>Wasser</v>
      </c>
      <c r="Q40" s="829">
        <f>'Variante Vorgaben'!$C$237</f>
        <v>1</v>
      </c>
      <c r="R40" s="1263">
        <f>'Variante Vorgaben'!$C$243</f>
        <v>500</v>
      </c>
      <c r="S40" s="1264">
        <f>'Variante Vorgaben'!$C$236</f>
        <v>2</v>
      </c>
      <c r="T40" s="83">
        <f>Q40*R40*S40</f>
        <v>1000</v>
      </c>
      <c r="U40" s="739"/>
      <c r="V40" s="87" t="str">
        <f>'Standard Standjahre'!$CN$41</f>
        <v>Bewässerung</v>
      </c>
      <c r="W40" s="145" t="str">
        <f>'Standard Standjahre'!$CO$41</f>
        <v>Wasser</v>
      </c>
      <c r="X40" s="829">
        <f>'Variante Vorgaben'!$C$237</f>
        <v>1</v>
      </c>
      <c r="Y40" s="1263">
        <f>'Variante Vorgaben'!$C$243</f>
        <v>500</v>
      </c>
      <c r="Z40" s="1264">
        <f>'Variante Vorgaben'!$C$236</f>
        <v>2</v>
      </c>
      <c r="AA40" s="83">
        <f>X40*Y40*Z40</f>
        <v>1000</v>
      </c>
      <c r="AB40" s="739"/>
      <c r="AC40" s="87" t="str">
        <f>'Standard Standjahre'!$CN$41</f>
        <v>Bewässerung</v>
      </c>
      <c r="AD40" s="145" t="str">
        <f>'Standard Standjahre'!$CO$41</f>
        <v>Wasser</v>
      </c>
      <c r="AE40" s="829">
        <f>'Variante Vorgaben'!$C$237</f>
        <v>1</v>
      </c>
      <c r="AF40" s="1263">
        <f>'Variante Vorgaben'!$C$243</f>
        <v>500</v>
      </c>
      <c r="AG40" s="1264">
        <f>'Variante Vorgaben'!$C$236</f>
        <v>2</v>
      </c>
      <c r="AH40" s="83">
        <f>AE40*AF40*AG40</f>
        <v>1000</v>
      </c>
      <c r="AI40" s="739"/>
      <c r="AJ40" s="87" t="str">
        <f>'Standard Standjahre'!$CN$41</f>
        <v>Bewässerung</v>
      </c>
      <c r="AK40" s="145" t="str">
        <f>'Standard Standjahre'!$CO$41</f>
        <v>Wasser</v>
      </c>
      <c r="AL40" s="829">
        <f>'Variante Vorgaben'!$C$237</f>
        <v>1</v>
      </c>
      <c r="AM40" s="1263">
        <f>'Variante Vorgaben'!$C$243</f>
        <v>500</v>
      </c>
      <c r="AN40" s="1264">
        <f>'Variante Vorgaben'!$C$236</f>
        <v>2</v>
      </c>
      <c r="AO40" s="83">
        <f>AL40*AM40*AN40</f>
        <v>1000</v>
      </c>
      <c r="AP40" s="739"/>
      <c r="AQ40" s="87" t="str">
        <f>'Standard Standjahre'!$CN$41</f>
        <v>Bewässerung</v>
      </c>
      <c r="AR40" s="145" t="str">
        <f>'Standard Standjahre'!$CO$41</f>
        <v>Wasser</v>
      </c>
      <c r="AS40" s="829">
        <f>'Variante Vorgaben'!$C$237</f>
        <v>1</v>
      </c>
      <c r="AT40" s="1263">
        <f>'Variante Vorgaben'!$C$243</f>
        <v>500</v>
      </c>
      <c r="AU40" s="1264">
        <f>'Variante Vorgaben'!$C$236</f>
        <v>2</v>
      </c>
      <c r="AV40" s="83">
        <f>AS40*AT40*AU40</f>
        <v>1000</v>
      </c>
      <c r="AW40" s="739"/>
      <c r="AX40" s="87" t="str">
        <f>'Standard Standjahre'!$CN$41</f>
        <v>Bewässerung</v>
      </c>
      <c r="AY40" s="145" t="str">
        <f>'Standard Standjahre'!$CO$41</f>
        <v>Wasser</v>
      </c>
      <c r="AZ40" s="829">
        <f>'Variante Vorgaben'!$C$237</f>
        <v>1</v>
      </c>
      <c r="BA40" s="1263">
        <f>'Variante Vorgaben'!$C$243</f>
        <v>500</v>
      </c>
      <c r="BB40" s="1264">
        <f>'Variante Vorgaben'!$C$236</f>
        <v>2</v>
      </c>
      <c r="BC40" s="83">
        <f>AZ40*BA40*BB40</f>
        <v>1000</v>
      </c>
      <c r="BD40" s="739"/>
      <c r="BE40" s="87" t="str">
        <f>'Standard Standjahre'!$CN$41</f>
        <v>Bewässerung</v>
      </c>
      <c r="BF40" s="145" t="str">
        <f>'Standard Standjahre'!$CO$41</f>
        <v>Wasser</v>
      </c>
      <c r="BG40" s="829">
        <f>'Variante Vorgaben'!$C$237</f>
        <v>1</v>
      </c>
      <c r="BH40" s="1263">
        <f>'Variante Vorgaben'!$C$243</f>
        <v>500</v>
      </c>
      <c r="BI40" s="1264">
        <f>'Variante Vorgaben'!$C$236</f>
        <v>2</v>
      </c>
      <c r="BJ40" s="83">
        <f>BG40*BH40*BI40</f>
        <v>1000</v>
      </c>
      <c r="BK40" s="739"/>
      <c r="BL40" s="87" t="str">
        <f>'Standard Standjahre'!$CN$41</f>
        <v>Bewässerung</v>
      </c>
      <c r="BM40" s="145" t="str">
        <f>'Standard Standjahre'!$CO$41</f>
        <v>Wasser</v>
      </c>
      <c r="BN40" s="829">
        <f>'Variante Vorgaben'!$C$237</f>
        <v>1</v>
      </c>
      <c r="BO40" s="1263">
        <f>'Variante Vorgaben'!$C$243</f>
        <v>500</v>
      </c>
      <c r="BP40" s="1264">
        <f>'Variante Vorgaben'!$C$236</f>
        <v>2</v>
      </c>
      <c r="BQ40" s="83">
        <f>BN40*BO40*BP40</f>
        <v>1000</v>
      </c>
      <c r="BR40" s="739"/>
      <c r="BS40" s="87" t="str">
        <f>'Standard Standjahre'!$CN$41</f>
        <v>Bewässerung</v>
      </c>
      <c r="BT40" s="145" t="str">
        <f>'Standard Standjahre'!$CO$41</f>
        <v>Wasser</v>
      </c>
      <c r="BU40" s="829">
        <f>'Variante Vorgaben'!$C$237</f>
        <v>1</v>
      </c>
      <c r="BV40" s="1263">
        <f>'Variante Vorgaben'!$C$243</f>
        <v>500</v>
      </c>
      <c r="BW40" s="1264">
        <f>'Variante Vorgaben'!$C$236</f>
        <v>2</v>
      </c>
      <c r="BX40" s="83">
        <f>BU40*BV40*BW40</f>
        <v>1000</v>
      </c>
      <c r="BY40" s="739"/>
      <c r="BZ40" s="87" t="str">
        <f>'Standard Standjahre'!$CN$41</f>
        <v>Bewässerung</v>
      </c>
      <c r="CA40" s="145" t="str">
        <f>'Standard Standjahre'!$CO$41</f>
        <v>Wasser</v>
      </c>
      <c r="CB40" s="829">
        <f>'Variante Vorgaben'!$C$237</f>
        <v>1</v>
      </c>
      <c r="CC40" s="1263">
        <f>'Variante Vorgaben'!$C$243</f>
        <v>500</v>
      </c>
      <c r="CD40" s="1264">
        <f>'Variante Vorgaben'!$C$236</f>
        <v>2</v>
      </c>
      <c r="CE40" s="83">
        <f>CB40*CC40*CD40</f>
        <v>1000</v>
      </c>
      <c r="CF40" s="739"/>
      <c r="CG40" s="87" t="str">
        <f>'Standard Standjahre'!$CN$41</f>
        <v>Bewässerung</v>
      </c>
      <c r="CH40" s="145" t="str">
        <f>'Standard Standjahre'!$CO$41</f>
        <v>Wasser</v>
      </c>
      <c r="CI40" s="829">
        <f>'Variante Vorgaben'!$C$237</f>
        <v>1</v>
      </c>
      <c r="CJ40" s="1263">
        <f>'Variante Vorgaben'!$C$243</f>
        <v>500</v>
      </c>
      <c r="CK40" s="1264">
        <f>'Variante Vorgaben'!$C$236</f>
        <v>2</v>
      </c>
      <c r="CL40" s="83">
        <f>CI40*CJ40*CK40</f>
        <v>1000</v>
      </c>
      <c r="CM40" s="739"/>
      <c r="CN40" s="87" t="str">
        <f>'Standard Standjahre'!$CN$41</f>
        <v>Bewässerung</v>
      </c>
      <c r="CO40" s="145" t="str">
        <f>'Standard Standjahre'!$CO$41</f>
        <v>Wasser</v>
      </c>
      <c r="CP40" s="829">
        <f>'Variante Vorgaben'!$C$237</f>
        <v>1</v>
      </c>
      <c r="CQ40" s="1263">
        <f>'Variante Vorgaben'!$C$243</f>
        <v>500</v>
      </c>
      <c r="CR40" s="1264">
        <f>'Variante Vorgaben'!$C$236</f>
        <v>2</v>
      </c>
      <c r="CS40" s="83">
        <f>CP40*CQ40*CR40</f>
        <v>1000</v>
      </c>
      <c r="CT40" s="739"/>
      <c r="CU40" s="87" t="str">
        <f>'Standard Standjahre'!$CN$41</f>
        <v>Bewässerung</v>
      </c>
      <c r="CV40" s="145" t="str">
        <f>'Standard Standjahre'!$CO$41</f>
        <v>Wasser</v>
      </c>
      <c r="CW40" s="829">
        <f>'Variante Vorgaben'!$C$237</f>
        <v>1</v>
      </c>
      <c r="CX40" s="1263">
        <f>'Variante Vorgaben'!$C$243</f>
        <v>500</v>
      </c>
      <c r="CY40" s="1264">
        <f>'Variante Vorgaben'!$C$236</f>
        <v>2</v>
      </c>
      <c r="CZ40" s="83">
        <f>CW40*CX40*CY40</f>
        <v>1000</v>
      </c>
      <c r="DA40" s="739"/>
    </row>
    <row r="41" spans="1:105" s="1" customFormat="1" ht="16.5" customHeight="1" x14ac:dyDescent="0.3">
      <c r="A41" s="72" t="s">
        <v>404</v>
      </c>
      <c r="B41" s="303"/>
      <c r="C41" s="11"/>
      <c r="D41" s="11"/>
      <c r="E41" s="107"/>
      <c r="F41" s="112"/>
      <c r="G41" s="739"/>
      <c r="H41" s="72" t="s">
        <v>404</v>
      </c>
      <c r="I41" s="303"/>
      <c r="J41" s="11"/>
      <c r="K41" s="11"/>
      <c r="L41" s="107"/>
      <c r="M41" s="112"/>
      <c r="N41" s="739"/>
      <c r="O41" s="72" t="s">
        <v>404</v>
      </c>
      <c r="P41" s="303"/>
      <c r="Q41" s="11"/>
      <c r="R41" s="11"/>
      <c r="S41" s="107"/>
      <c r="T41" s="112"/>
      <c r="U41" s="739"/>
      <c r="V41" s="72" t="s">
        <v>404</v>
      </c>
      <c r="W41" s="303"/>
      <c r="X41" s="11"/>
      <c r="Y41" s="11"/>
      <c r="Z41" s="107"/>
      <c r="AA41" s="112"/>
      <c r="AB41" s="739"/>
      <c r="AC41" s="72" t="s">
        <v>404</v>
      </c>
      <c r="AD41" s="303"/>
      <c r="AE41" s="11"/>
      <c r="AF41" s="11"/>
      <c r="AG41" s="107"/>
      <c r="AH41" s="112"/>
      <c r="AI41" s="739"/>
      <c r="AJ41" s="72" t="s">
        <v>404</v>
      </c>
      <c r="AK41" s="303"/>
      <c r="AL41" s="11"/>
      <c r="AM41" s="11"/>
      <c r="AN41" s="107"/>
      <c r="AO41" s="112"/>
      <c r="AP41" s="739"/>
      <c r="AQ41" s="72" t="s">
        <v>404</v>
      </c>
      <c r="AR41" s="303"/>
      <c r="AS41" s="11"/>
      <c r="AT41" s="11"/>
      <c r="AU41" s="107"/>
      <c r="AV41" s="112"/>
      <c r="AW41" s="739"/>
      <c r="AX41" s="72" t="s">
        <v>404</v>
      </c>
      <c r="AY41" s="303"/>
      <c r="AZ41" s="11"/>
      <c r="BA41" s="11"/>
      <c r="BB41" s="107"/>
      <c r="BC41" s="112"/>
      <c r="BD41" s="739"/>
      <c r="BE41" s="72" t="s">
        <v>404</v>
      </c>
      <c r="BF41" s="303"/>
      <c r="BG41" s="11"/>
      <c r="BH41" s="11"/>
      <c r="BI41" s="107"/>
      <c r="BJ41" s="112"/>
      <c r="BK41" s="739"/>
      <c r="BL41" s="72" t="s">
        <v>404</v>
      </c>
      <c r="BM41" s="303"/>
      <c r="BN41" s="11"/>
      <c r="BO41" s="11"/>
      <c r="BP41" s="107"/>
      <c r="BQ41" s="112"/>
      <c r="BR41" s="739"/>
      <c r="BS41" s="72" t="s">
        <v>404</v>
      </c>
      <c r="BT41" s="303"/>
      <c r="BU41" s="11"/>
      <c r="BV41" s="11"/>
      <c r="BW41" s="107"/>
      <c r="BX41" s="112"/>
      <c r="BY41" s="739"/>
      <c r="BZ41" s="72" t="s">
        <v>404</v>
      </c>
      <c r="CA41" s="303"/>
      <c r="CB41" s="11"/>
      <c r="CC41" s="11"/>
      <c r="CD41" s="107"/>
      <c r="CE41" s="112"/>
      <c r="CF41" s="739"/>
      <c r="CG41" s="72" t="s">
        <v>404</v>
      </c>
      <c r="CH41" s="303"/>
      <c r="CI41" s="11"/>
      <c r="CJ41" s="11"/>
      <c r="CK41" s="107"/>
      <c r="CL41" s="112"/>
      <c r="CM41" s="739"/>
      <c r="CN41" s="72" t="s">
        <v>404</v>
      </c>
      <c r="CO41" s="303"/>
      <c r="CP41" s="11"/>
      <c r="CQ41" s="11"/>
      <c r="CR41" s="107"/>
      <c r="CS41" s="112"/>
      <c r="CT41" s="739"/>
      <c r="CU41" s="72" t="s">
        <v>404</v>
      </c>
      <c r="CV41" s="303"/>
      <c r="CW41" s="11"/>
      <c r="CX41" s="11"/>
      <c r="CY41" s="107"/>
      <c r="CZ41" s="112"/>
      <c r="DA41" s="739"/>
    </row>
    <row r="42" spans="1:105" s="1" customFormat="1" ht="18" customHeight="1" x14ac:dyDescent="0.25">
      <c r="A42" s="1417" t="s">
        <v>635</v>
      </c>
      <c r="B42" s="19" t="s">
        <v>613</v>
      </c>
      <c r="C42" s="19"/>
      <c r="D42" s="1054" t="s">
        <v>136</v>
      </c>
      <c r="E42" s="1055">
        <f>'Variante Vorgaben'!$G$38+'Variante Vorgaben'!$G$40+'Variante Vorgaben'!$G$48</f>
        <v>468</v>
      </c>
      <c r="F42" s="1055">
        <f>E42</f>
        <v>468</v>
      </c>
      <c r="G42" s="738">
        <f>F42/F92</f>
        <v>1.9475365894912486E-2</v>
      </c>
      <c r="H42" s="1417" t="str">
        <f>$A$42</f>
        <v xml:space="preserve">                  Branchenbeiträge und Biobeiträge</v>
      </c>
      <c r="I42" s="19" t="str">
        <f>$B$42</f>
        <v>SGA + Bio (Flächebeiträge)+ BioKontrolle</v>
      </c>
      <c r="J42" s="19"/>
      <c r="K42" s="42" t="str">
        <f>D42</f>
        <v>pro ha</v>
      </c>
      <c r="L42" s="1055">
        <f>'Variante Vorgaben'!$G$38+'Variante Vorgaben'!$G$40+'Variante Vorgaben'!$G$48</f>
        <v>468</v>
      </c>
      <c r="M42" s="1055">
        <f>L42</f>
        <v>468</v>
      </c>
      <c r="N42" s="738">
        <f>M42/M92</f>
        <v>1.9122893253090648E-2</v>
      </c>
      <c r="O42" s="1417" t="str">
        <f>$A$42</f>
        <v xml:space="preserve">                  Branchenbeiträge und Biobeiträge</v>
      </c>
      <c r="P42" s="19" t="str">
        <f>$B$42</f>
        <v>SGA + Bio (Flächebeiträge)+ BioKontrolle</v>
      </c>
      <c r="Q42" s="19"/>
      <c r="R42" s="42" t="str">
        <f>$D$42</f>
        <v>pro ha</v>
      </c>
      <c r="S42" s="1055">
        <f>'Variante Vorgaben'!$G$38+'Variante Vorgaben'!$G$40+'Variante Vorgaben'!$G$48</f>
        <v>468</v>
      </c>
      <c r="T42" s="1055">
        <f>S42</f>
        <v>468</v>
      </c>
      <c r="U42" s="738">
        <f>T42/T92</f>
        <v>1.445543235747981E-2</v>
      </c>
      <c r="V42" s="1417" t="str">
        <f>$A$42</f>
        <v xml:space="preserve">                  Branchenbeiträge und Biobeiträge</v>
      </c>
      <c r="W42" s="19" t="str">
        <f>$B$42</f>
        <v>SGA + Bio (Flächebeiträge)+ BioKontrolle</v>
      </c>
      <c r="X42" s="19"/>
      <c r="Y42" s="42" t="str">
        <f>$D$42</f>
        <v>pro ha</v>
      </c>
      <c r="Z42" s="1055">
        <f>'Variante Vorgaben'!$G$38+'Variante Vorgaben'!$G$40+'Variante Vorgaben'!$G$48</f>
        <v>468</v>
      </c>
      <c r="AA42" s="1055">
        <f>Z42</f>
        <v>468</v>
      </c>
      <c r="AB42" s="738">
        <f>AA42/AA92</f>
        <v>1.2758220528123206E-2</v>
      </c>
      <c r="AC42" s="1417" t="str">
        <f>$A$42</f>
        <v xml:space="preserve">                  Branchenbeiträge und Biobeiträge</v>
      </c>
      <c r="AD42" s="19" t="str">
        <f>$B$42</f>
        <v>SGA + Bio (Flächebeiträge)+ BioKontrolle</v>
      </c>
      <c r="AE42" s="19"/>
      <c r="AF42" s="42" t="str">
        <f>$D$42</f>
        <v>pro ha</v>
      </c>
      <c r="AG42" s="1055">
        <f>'Variante Vorgaben'!$G$38+'Variante Vorgaben'!$G$40+'Variante Vorgaben'!$G$48</f>
        <v>468</v>
      </c>
      <c r="AH42" s="1055">
        <f>AG42</f>
        <v>468</v>
      </c>
      <c r="AI42" s="738">
        <f>AH42/AH92</f>
        <v>1.2341219153701746E-2</v>
      </c>
      <c r="AJ42" s="1417" t="str">
        <f>$A$42</f>
        <v xml:space="preserve">                  Branchenbeiträge und Biobeiträge</v>
      </c>
      <c r="AK42" s="19" t="str">
        <f>$B$42</f>
        <v>SGA + Bio (Flächebeiträge)+ BioKontrolle</v>
      </c>
      <c r="AL42" s="19"/>
      <c r="AM42" s="42" t="str">
        <f>$D$42</f>
        <v>pro ha</v>
      </c>
      <c r="AN42" s="1055">
        <f>'Variante Vorgaben'!$G$38+'Variante Vorgaben'!$G$40+'Variante Vorgaben'!$G$48</f>
        <v>468</v>
      </c>
      <c r="AO42" s="1055">
        <f>AN42</f>
        <v>468</v>
      </c>
      <c r="AP42" s="738">
        <f>AO42/AO92</f>
        <v>1.2385811320011543E-2</v>
      </c>
      <c r="AQ42" s="1417" t="str">
        <f>$A$42</f>
        <v xml:space="preserve">                  Branchenbeiträge und Biobeiträge</v>
      </c>
      <c r="AR42" s="19" t="str">
        <f>$B$42</f>
        <v>SGA + Bio (Flächebeiträge)+ BioKontrolle</v>
      </c>
      <c r="AS42" s="19"/>
      <c r="AT42" s="42" t="str">
        <f>$D$42</f>
        <v>pro ha</v>
      </c>
      <c r="AU42" s="1055">
        <f>'Variante Vorgaben'!$G$38+'Variante Vorgaben'!$G$40+'Variante Vorgaben'!$G$48</f>
        <v>468</v>
      </c>
      <c r="AV42" s="1055">
        <f>AU42</f>
        <v>468</v>
      </c>
      <c r="AW42" s="738">
        <f>AV42/AV92</f>
        <v>1.1567660860379371E-2</v>
      </c>
      <c r="AX42" s="1417" t="str">
        <f>$A$42</f>
        <v xml:space="preserve">                  Branchenbeiträge und Biobeiträge</v>
      </c>
      <c r="AY42" s="19" t="str">
        <f>$B$42</f>
        <v>SGA + Bio (Flächebeiträge)+ BioKontrolle</v>
      </c>
      <c r="AZ42" s="19"/>
      <c r="BA42" s="42" t="str">
        <f>$D$42</f>
        <v>pro ha</v>
      </c>
      <c r="BB42" s="1055">
        <f>'Variante Vorgaben'!$G$38+'Variante Vorgaben'!$G$40+'Variante Vorgaben'!$G$48</f>
        <v>468</v>
      </c>
      <c r="BC42" s="1055">
        <f>BB42</f>
        <v>468</v>
      </c>
      <c r="BD42" s="738">
        <f>BC42/BC92</f>
        <v>1.2468791550278951E-2</v>
      </c>
      <c r="BE42" s="1417" t="str">
        <f>$A$42</f>
        <v xml:space="preserve">                  Branchenbeiträge und Biobeiträge</v>
      </c>
      <c r="BF42" s="19" t="str">
        <f>$B$42</f>
        <v>SGA + Bio (Flächebeiträge)+ BioKontrolle</v>
      </c>
      <c r="BG42" s="19"/>
      <c r="BH42" s="42" t="str">
        <f>$D$42</f>
        <v>pro ha</v>
      </c>
      <c r="BI42" s="1055">
        <f>'Variante Vorgaben'!$G$38+'Variante Vorgaben'!$G$40+'Variante Vorgaben'!$G$48</f>
        <v>468</v>
      </c>
      <c r="BJ42" s="1055">
        <f>BI42</f>
        <v>468</v>
      </c>
      <c r="BK42" s="738">
        <f>BJ42/BJ92</f>
        <v>1.2515480703566359E-2</v>
      </c>
      <c r="BL42" s="1417" t="str">
        <f>$A$42</f>
        <v xml:space="preserve">                  Branchenbeiträge und Biobeiträge</v>
      </c>
      <c r="BM42" s="19" t="str">
        <f>$B$42</f>
        <v>SGA + Bio (Flächebeiträge)+ BioKontrolle</v>
      </c>
      <c r="BN42" s="19"/>
      <c r="BO42" s="42" t="str">
        <f>$D$42</f>
        <v>pro ha</v>
      </c>
      <c r="BP42" s="1055">
        <f>'Variante Vorgaben'!$G$38+'Variante Vorgaben'!$G$40+'Variante Vorgaben'!$G$48</f>
        <v>468</v>
      </c>
      <c r="BQ42" s="1055">
        <f>BP42</f>
        <v>468</v>
      </c>
      <c r="BR42" s="738">
        <f>BQ42/BQ92</f>
        <v>1.1681714395047735E-2</v>
      </c>
      <c r="BS42" s="1417" t="str">
        <f>$A$42</f>
        <v xml:space="preserve">                  Branchenbeiträge und Biobeiträge</v>
      </c>
      <c r="BT42" s="19" t="str">
        <f>$B$42</f>
        <v>SGA + Bio (Flächebeiträge)+ BioKontrolle</v>
      </c>
      <c r="BU42" s="19"/>
      <c r="BV42" s="42" t="str">
        <f>$D$42</f>
        <v>pro ha</v>
      </c>
      <c r="BW42" s="1055">
        <f>'Variante Vorgaben'!$G$38+'Variante Vorgaben'!$G$40+'Variante Vorgaben'!$G$48</f>
        <v>468</v>
      </c>
      <c r="BX42" s="1055">
        <f>BW42</f>
        <v>468</v>
      </c>
      <c r="BY42" s="738">
        <f>BX42/BX92</f>
        <v>1.2602615185797427E-2</v>
      </c>
      <c r="BZ42" s="1417" t="str">
        <f>$A$42</f>
        <v xml:space="preserve">                  Branchenbeiträge und Biobeiträge</v>
      </c>
      <c r="CA42" s="19" t="str">
        <f>$B$42</f>
        <v>SGA + Bio (Flächebeiträge)+ BioKontrolle</v>
      </c>
      <c r="CB42" s="19"/>
      <c r="CC42" s="42" t="str">
        <f>$D$42</f>
        <v>pro ha</v>
      </c>
      <c r="CD42" s="1055">
        <f>'Variante Vorgaben'!$G$38+'Variante Vorgaben'!$G$40+'Variante Vorgaben'!$G$48</f>
        <v>468</v>
      </c>
      <c r="CE42" s="1055">
        <f>CD42</f>
        <v>468</v>
      </c>
      <c r="CF42" s="738">
        <f>CE42/CE92</f>
        <v>1.2651540524796645E-2</v>
      </c>
      <c r="CG42" s="1417" t="str">
        <f>$A$42</f>
        <v xml:space="preserve">                  Branchenbeiträge und Biobeiträge</v>
      </c>
      <c r="CH42" s="19" t="str">
        <f>$B$42</f>
        <v>SGA + Bio (Flächebeiträge)+ BioKontrolle</v>
      </c>
      <c r="CI42" s="19"/>
      <c r="CJ42" s="42" t="str">
        <f>$D$42</f>
        <v>pro ha</v>
      </c>
      <c r="CK42" s="1055">
        <f>'Variante Vorgaben'!$G$38+'Variante Vorgaben'!$G$40+'Variante Vorgaben'!$G$48</f>
        <v>468</v>
      </c>
      <c r="CL42" s="1055">
        <f>CK42</f>
        <v>468</v>
      </c>
      <c r="CM42" s="738">
        <f>CL42/CL92</f>
        <v>1.2000456381700528E-2</v>
      </c>
      <c r="CN42" s="1417" t="str">
        <f>$A$42</f>
        <v xml:space="preserve">                  Branchenbeiträge und Biobeiträge</v>
      </c>
      <c r="CO42" s="19" t="str">
        <f>$B$42</f>
        <v>SGA + Bio (Flächebeiträge)+ BioKontrolle</v>
      </c>
      <c r="CP42" s="19"/>
      <c r="CQ42" s="42" t="str">
        <f>$D$42</f>
        <v>pro ha</v>
      </c>
      <c r="CR42" s="1055">
        <f>'Variante Vorgaben'!$G$38+'Variante Vorgaben'!$G$40+'Variante Vorgaben'!$G$48</f>
        <v>468</v>
      </c>
      <c r="CS42" s="1055">
        <f>CR42</f>
        <v>468</v>
      </c>
      <c r="CT42" s="738">
        <f>CS42/CS92</f>
        <v>1.2963017166901502E-2</v>
      </c>
      <c r="CU42" s="1417" t="str">
        <f>$A$42</f>
        <v xml:space="preserve">                  Branchenbeiträge und Biobeiträge</v>
      </c>
      <c r="CV42" s="19" t="str">
        <f>$B$42</f>
        <v>SGA + Bio (Flächebeiträge)+ BioKontrolle</v>
      </c>
      <c r="CW42" s="19"/>
      <c r="CX42" s="42" t="str">
        <f>$D$42</f>
        <v>pro ha</v>
      </c>
      <c r="CY42" s="1055">
        <f>'Variante Vorgaben'!$G$38+'Variante Vorgaben'!$G$40+'Variante Vorgaben'!$G$48</f>
        <v>468</v>
      </c>
      <c r="CZ42" s="1055">
        <f>CY42</f>
        <v>468</v>
      </c>
      <c r="DA42" s="738">
        <f>CZ42/CZ92</f>
        <v>1.1145235699160174E-2</v>
      </c>
    </row>
    <row r="43" spans="1:105" s="1" customFormat="1" ht="18" customHeight="1" x14ac:dyDescent="0.25">
      <c r="A43" s="1417"/>
      <c r="B43" s="19" t="str">
        <f>'Variante Vorgaben'!$F$39</f>
        <v>Mostobst</v>
      </c>
      <c r="C43" s="19"/>
      <c r="D43" s="1054" t="s">
        <v>58</v>
      </c>
      <c r="E43" s="45">
        <f>'Variante Vorgaben'!$G$39</f>
        <v>1.1499999999999999</v>
      </c>
      <c r="F43" s="149">
        <f>E43*D11/100</f>
        <v>0</v>
      </c>
      <c r="G43" s="738">
        <f>F43/F92</f>
        <v>0</v>
      </c>
      <c r="H43" s="1417"/>
      <c r="I43" s="19" t="str">
        <f>'Variante Vorgaben'!$F$39</f>
        <v>Mostobst</v>
      </c>
      <c r="J43" s="19"/>
      <c r="K43" s="42" t="str">
        <f>$D$43</f>
        <v>pro 100 kg</v>
      </c>
      <c r="L43" s="45">
        <f>'Variante Vorgaben'!$G$39</f>
        <v>1.1499999999999999</v>
      </c>
      <c r="M43" s="149">
        <f>L43*K11/100</f>
        <v>5.1497560975609762</v>
      </c>
      <c r="N43" s="738">
        <f>M43/M92</f>
        <v>2.1042358148100687E-4</v>
      </c>
      <c r="O43" s="1417"/>
      <c r="P43" s="19" t="str">
        <f>'Variante Vorgaben'!$F$39</f>
        <v>Mostobst</v>
      </c>
      <c r="Q43" s="19"/>
      <c r="R43" s="42" t="str">
        <f>$D$43</f>
        <v>pro 100 kg</v>
      </c>
      <c r="S43" s="45">
        <f>'Variante Vorgaben'!$G$39</f>
        <v>1.1499999999999999</v>
      </c>
      <c r="T43" s="149">
        <f>S43*R11/100</f>
        <v>18.882439024390244</v>
      </c>
      <c r="U43" s="738">
        <f>T43/T92</f>
        <v>5.8323465825066293E-4</v>
      </c>
      <c r="V43" s="1417"/>
      <c r="W43" s="19" t="str">
        <f>'Variante Vorgaben'!$F$39</f>
        <v>Mostobst</v>
      </c>
      <c r="X43" s="19"/>
      <c r="Y43" s="42" t="str">
        <f>$D$43</f>
        <v>pro 100 kg</v>
      </c>
      <c r="Z43" s="45">
        <f>'Variante Vorgaben'!$G$39</f>
        <v>1.1499999999999999</v>
      </c>
      <c r="AA43" s="149">
        <f>Z43*Y11/100</f>
        <v>25.748780487804868</v>
      </c>
      <c r="AB43" s="738">
        <f>AA43/AA92</f>
        <v>7.0194149528557761E-4</v>
      </c>
      <c r="AC43" s="1417"/>
      <c r="AD43" s="19" t="str">
        <f>'Variante Vorgaben'!$F$39</f>
        <v>Mostobst</v>
      </c>
      <c r="AE43" s="19"/>
      <c r="AF43" s="42" t="str">
        <f>$D$43</f>
        <v>pro 100 kg</v>
      </c>
      <c r="AG43" s="45">
        <f>'Variante Vorgaben'!$G$39</f>
        <v>1.1499999999999999</v>
      </c>
      <c r="AH43" s="149">
        <f>AG43*AF11/100</f>
        <v>56.647317073170719</v>
      </c>
      <c r="AI43" s="738">
        <f>AH43/AH92</f>
        <v>1.4937969112590393E-3</v>
      </c>
      <c r="AJ43" s="1417"/>
      <c r="AK43" s="19" t="str">
        <f>'Variante Vorgaben'!$F$39</f>
        <v>Mostobst</v>
      </c>
      <c r="AL43" s="19"/>
      <c r="AM43" s="42" t="str">
        <f>$D$43</f>
        <v>pro 100 kg</v>
      </c>
      <c r="AN43" s="45">
        <f>'Variante Vorgaben'!$G$39</f>
        <v>1.1499999999999999</v>
      </c>
      <c r="AO43" s="149">
        <f>AN43*AM11/100</f>
        <v>56.647317073170719</v>
      </c>
      <c r="AP43" s="738">
        <f>AO43/AO92</f>
        <v>1.4991944039597458E-3</v>
      </c>
      <c r="AQ43" s="1417"/>
      <c r="AR43" s="19" t="str">
        <f>'Variante Vorgaben'!$F$39</f>
        <v>Mostobst</v>
      </c>
      <c r="AS43" s="19"/>
      <c r="AT43" s="42" t="str">
        <f>$D$43</f>
        <v>pro 100 kg</v>
      </c>
      <c r="AU43" s="45">
        <f>'Variante Vorgaben'!$G$39</f>
        <v>1.1499999999999999</v>
      </c>
      <c r="AV43" s="149">
        <f>AU43*AT11/100</f>
        <v>56.647317073170719</v>
      </c>
      <c r="AW43" s="738">
        <f>AV43/AV92</f>
        <v>1.4001644285316604E-3</v>
      </c>
      <c r="AX43" s="1417"/>
      <c r="AY43" s="19" t="str">
        <f>'Variante Vorgaben'!$F$39</f>
        <v>Mostobst</v>
      </c>
      <c r="AZ43" s="19"/>
      <c r="BA43" s="42" t="str">
        <f>$D$43</f>
        <v>pro 100 kg</v>
      </c>
      <c r="BB43" s="45">
        <f>'Variante Vorgaben'!$G$39</f>
        <v>1.1499999999999999</v>
      </c>
      <c r="BC43" s="149">
        <f>BB43*BA11/100</f>
        <v>56.647317073170719</v>
      </c>
      <c r="BD43" s="738">
        <f>BC43/BC92</f>
        <v>1.5092384368972727E-3</v>
      </c>
      <c r="BE43" s="1417"/>
      <c r="BF43" s="19" t="str">
        <f>'Variante Vorgaben'!$F$39</f>
        <v>Mostobst</v>
      </c>
      <c r="BG43" s="19"/>
      <c r="BH43" s="42" t="str">
        <f>$D$43</f>
        <v>pro 100 kg</v>
      </c>
      <c r="BI43" s="45">
        <f>'Variante Vorgaben'!$G$39</f>
        <v>1.1499999999999999</v>
      </c>
      <c r="BJ43" s="149">
        <f>BI43*BH11/100</f>
        <v>56.647317073170719</v>
      </c>
      <c r="BK43" s="738">
        <f>BJ43/BJ92</f>
        <v>1.5148897515770796E-3</v>
      </c>
      <c r="BL43" s="1417"/>
      <c r="BM43" s="19" t="str">
        <f>'Variante Vorgaben'!$F$39</f>
        <v>Mostobst</v>
      </c>
      <c r="BN43" s="19"/>
      <c r="BO43" s="42" t="str">
        <f>$D$43</f>
        <v>pro 100 kg</v>
      </c>
      <c r="BP43" s="45">
        <f>'Variante Vorgaben'!$G$39</f>
        <v>1.1499999999999999</v>
      </c>
      <c r="BQ43" s="149">
        <f>BP43*BO11/100</f>
        <v>56.647317073170719</v>
      </c>
      <c r="BR43" s="738">
        <f>BQ43/BQ92</f>
        <v>1.413969613877119E-3</v>
      </c>
      <c r="BS43" s="1417"/>
      <c r="BT43" s="19" t="str">
        <f>'Variante Vorgaben'!$F$39</f>
        <v>Mostobst</v>
      </c>
      <c r="BU43" s="19"/>
      <c r="BV43" s="42" t="str">
        <f>$D$43</f>
        <v>pro 100 kg</v>
      </c>
      <c r="BW43" s="45">
        <f>'Variante Vorgaben'!$G$39</f>
        <v>1.1499999999999999</v>
      </c>
      <c r="BX43" s="149">
        <f>BW43*BV11/100</f>
        <v>56.647317073170719</v>
      </c>
      <c r="BY43" s="738">
        <f>BX43/BX92</f>
        <v>1.5254366204722717E-3</v>
      </c>
      <c r="BZ43" s="1417"/>
      <c r="CA43" s="19" t="str">
        <f>'Variante Vorgaben'!$F$39</f>
        <v>Mostobst</v>
      </c>
      <c r="CB43" s="19"/>
      <c r="CC43" s="42" t="str">
        <f>$D$43</f>
        <v>pro 100 kg</v>
      </c>
      <c r="CD43" s="45">
        <f>'Variante Vorgaben'!$G$39</f>
        <v>1.1499999999999999</v>
      </c>
      <c r="CE43" s="149">
        <f>CD43*CC11/100</f>
        <v>56.647317073170719</v>
      </c>
      <c r="CF43" s="738">
        <f>CE43/CE92</f>
        <v>1.5313586059235559E-3</v>
      </c>
      <c r="CG43" s="1417"/>
      <c r="CH43" s="19" t="str">
        <f>'Variante Vorgaben'!$F$39</f>
        <v>Mostobst</v>
      </c>
      <c r="CI43" s="19"/>
      <c r="CJ43" s="42" t="str">
        <f>$D$43</f>
        <v>pro 100 kg</v>
      </c>
      <c r="CK43" s="45">
        <f>'Variante Vorgaben'!$G$39</f>
        <v>1.1499999999999999</v>
      </c>
      <c r="CL43" s="149">
        <f>CK43*CJ11/100</f>
        <v>51.497560975609737</v>
      </c>
      <c r="CM43" s="738">
        <f>CL43/CL92</f>
        <v>1.3205005005379657E-3</v>
      </c>
      <c r="CN43" s="1417"/>
      <c r="CO43" s="19" t="str">
        <f>'Variante Vorgaben'!$F$39</f>
        <v>Mostobst</v>
      </c>
      <c r="CP43" s="19"/>
      <c r="CQ43" s="42" t="str">
        <f>$D$43</f>
        <v>pro 100 kg</v>
      </c>
      <c r="CR43" s="45">
        <f>'Variante Vorgaben'!$G$39</f>
        <v>1.1499999999999999</v>
      </c>
      <c r="CS43" s="149">
        <f>CR43*CQ11/100</f>
        <v>51.497560975609737</v>
      </c>
      <c r="CT43" s="738">
        <f>CS43/CS92</f>
        <v>1.426418305513645E-3</v>
      </c>
      <c r="CU43" s="1417"/>
      <c r="CV43" s="19" t="str">
        <f>'Variante Vorgaben'!$F$39</f>
        <v>Mostobst</v>
      </c>
      <c r="CW43" s="19"/>
      <c r="CX43" s="42" t="str">
        <f>$D$43</f>
        <v>pro 100 kg</v>
      </c>
      <c r="CY43" s="45">
        <f>'Variante Vorgaben'!$G$39</f>
        <v>1.1499999999999999</v>
      </c>
      <c r="CZ43" s="149">
        <f>CY43*CX11/100</f>
        <v>51.497560975609737</v>
      </c>
      <c r="DA43" s="738">
        <f>CZ43/CZ92</f>
        <v>1.2263941346261611E-3</v>
      </c>
    </row>
    <row r="44" spans="1:105" s="1" customFormat="1" ht="18" customHeight="1" x14ac:dyDescent="0.25">
      <c r="A44" s="1417"/>
      <c r="B44" s="19" t="s">
        <v>603</v>
      </c>
      <c r="C44" s="19"/>
      <c r="D44" s="42" t="str">
        <f>D43</f>
        <v>pro 100 kg</v>
      </c>
      <c r="E44" s="45">
        <f>'Variante Vorgaben'!$G$41</f>
        <v>0.85</v>
      </c>
      <c r="F44" s="149">
        <f>E44*D13/100</f>
        <v>0</v>
      </c>
      <c r="G44" s="738"/>
      <c r="H44" s="1417"/>
      <c r="I44" s="19" t="str">
        <f>$B$44</f>
        <v>Bio (Mengenbeiträge)</v>
      </c>
      <c r="J44" s="19"/>
      <c r="K44" s="42" t="str">
        <f>K43</f>
        <v>pro 100 kg</v>
      </c>
      <c r="L44" s="45">
        <f>'Variante Vorgaben'!$G$41</f>
        <v>0.85</v>
      </c>
      <c r="M44" s="149">
        <f>L44*K13/100</f>
        <v>21.146341463414632</v>
      </c>
      <c r="N44" s="738"/>
      <c r="O44" s="1417"/>
      <c r="P44" s="19" t="str">
        <f>$B$44</f>
        <v>Bio (Mengenbeiträge)</v>
      </c>
      <c r="Q44" s="19"/>
      <c r="R44" s="42" t="str">
        <f>R43</f>
        <v>pro 100 kg</v>
      </c>
      <c r="S44" s="45">
        <f>'Variante Vorgaben'!$G$41</f>
        <v>0.85</v>
      </c>
      <c r="T44" s="149">
        <f>S44*R13/100</f>
        <v>77.536585365853654</v>
      </c>
      <c r="U44" s="738"/>
      <c r="V44" s="1417"/>
      <c r="W44" s="19" t="str">
        <f>$B$44</f>
        <v>Bio (Mengenbeiträge)</v>
      </c>
      <c r="X44" s="19"/>
      <c r="Y44" s="42" t="str">
        <f>Y43</f>
        <v>pro 100 kg</v>
      </c>
      <c r="Z44" s="45">
        <f>'Variante Vorgaben'!$G$41</f>
        <v>0.85</v>
      </c>
      <c r="AA44" s="149">
        <f>Z44*Y13/100</f>
        <v>105.73170731707316</v>
      </c>
      <c r="AB44" s="738"/>
      <c r="AC44" s="1417"/>
      <c r="AD44" s="19" t="str">
        <f>$B$44</f>
        <v>Bio (Mengenbeiträge)</v>
      </c>
      <c r="AE44" s="19"/>
      <c r="AF44" s="42" t="str">
        <f>AF43</f>
        <v>pro 100 kg</v>
      </c>
      <c r="AG44" s="45">
        <f>'Variante Vorgaben'!$G$41</f>
        <v>0.85</v>
      </c>
      <c r="AH44" s="149">
        <f>AG44*AF13/100</f>
        <v>232.60975609756096</v>
      </c>
      <c r="AI44" s="738"/>
      <c r="AJ44" s="1417"/>
      <c r="AK44" s="19" t="str">
        <f>$B$44</f>
        <v>Bio (Mengenbeiträge)</v>
      </c>
      <c r="AL44" s="19"/>
      <c r="AM44" s="42" t="str">
        <f>AM43</f>
        <v>pro 100 kg</v>
      </c>
      <c r="AN44" s="45">
        <f>'Variante Vorgaben'!$G$41</f>
        <v>0.85</v>
      </c>
      <c r="AO44" s="149">
        <f>AN44*AM13/100</f>
        <v>232.60975609756096</v>
      </c>
      <c r="AP44" s="738"/>
      <c r="AQ44" s="1417"/>
      <c r="AR44" s="19" t="str">
        <f>$B$44</f>
        <v>Bio (Mengenbeiträge)</v>
      </c>
      <c r="AS44" s="19"/>
      <c r="AT44" s="42" t="str">
        <f>AT43</f>
        <v>pro 100 kg</v>
      </c>
      <c r="AU44" s="45">
        <f>'Variante Vorgaben'!$G$41</f>
        <v>0.85</v>
      </c>
      <c r="AV44" s="149">
        <f>AU44*AT13/100</f>
        <v>232.60975609756096</v>
      </c>
      <c r="AW44" s="738"/>
      <c r="AX44" s="1417"/>
      <c r="AY44" s="19" t="str">
        <f>$B$44</f>
        <v>Bio (Mengenbeiträge)</v>
      </c>
      <c r="AZ44" s="19"/>
      <c r="BA44" s="42" t="str">
        <f>BA43</f>
        <v>pro 100 kg</v>
      </c>
      <c r="BB44" s="45">
        <f>'Variante Vorgaben'!$G$41</f>
        <v>0.85</v>
      </c>
      <c r="BC44" s="149">
        <f>BB44*BA13/100</f>
        <v>232.60975609756096</v>
      </c>
      <c r="BD44" s="738"/>
      <c r="BE44" s="1417"/>
      <c r="BF44" s="19" t="str">
        <f>$B$44</f>
        <v>Bio (Mengenbeiträge)</v>
      </c>
      <c r="BG44" s="19"/>
      <c r="BH44" s="42" t="str">
        <f>BH43</f>
        <v>pro 100 kg</v>
      </c>
      <c r="BI44" s="45">
        <f>'Variante Vorgaben'!$G$41</f>
        <v>0.85</v>
      </c>
      <c r="BJ44" s="149">
        <f>BI44*BH13/100</f>
        <v>232.60975609756096</v>
      </c>
      <c r="BK44" s="738"/>
      <c r="BL44" s="1417"/>
      <c r="BM44" s="19" t="str">
        <f>$B$44</f>
        <v>Bio (Mengenbeiträge)</v>
      </c>
      <c r="BN44" s="19"/>
      <c r="BO44" s="42" t="str">
        <f>BO43</f>
        <v>pro 100 kg</v>
      </c>
      <c r="BP44" s="45">
        <f>'Variante Vorgaben'!$G$41</f>
        <v>0.85</v>
      </c>
      <c r="BQ44" s="149">
        <f>BP44*BO13/100</f>
        <v>232.60975609756096</v>
      </c>
      <c r="BR44" s="738"/>
      <c r="BS44" s="1417"/>
      <c r="BT44" s="19" t="str">
        <f>$B$44</f>
        <v>Bio (Mengenbeiträge)</v>
      </c>
      <c r="BU44" s="19"/>
      <c r="BV44" s="42" t="str">
        <f>BV43</f>
        <v>pro 100 kg</v>
      </c>
      <c r="BW44" s="45">
        <f>'Variante Vorgaben'!$G$41</f>
        <v>0.85</v>
      </c>
      <c r="BX44" s="149">
        <f>BW44*BV13/100</f>
        <v>232.60975609756096</v>
      </c>
      <c r="BY44" s="738"/>
      <c r="BZ44" s="1417"/>
      <c r="CA44" s="19" t="str">
        <f>$B$44</f>
        <v>Bio (Mengenbeiträge)</v>
      </c>
      <c r="CB44" s="19"/>
      <c r="CC44" s="42" t="str">
        <f>CC43</f>
        <v>pro 100 kg</v>
      </c>
      <c r="CD44" s="45">
        <f>'Variante Vorgaben'!$G$41</f>
        <v>0.85</v>
      </c>
      <c r="CE44" s="149">
        <f>CD44*CC13/100</f>
        <v>232.60975609756096</v>
      </c>
      <c r="CF44" s="738"/>
      <c r="CG44" s="1417"/>
      <c r="CH44" s="19" t="str">
        <f>$B$44</f>
        <v>Bio (Mengenbeiträge)</v>
      </c>
      <c r="CI44" s="19"/>
      <c r="CJ44" s="42" t="str">
        <f>CJ43</f>
        <v>pro 100 kg</v>
      </c>
      <c r="CK44" s="45">
        <f>'Variante Vorgaben'!$G$41</f>
        <v>0.85</v>
      </c>
      <c r="CL44" s="149">
        <f>CK44*CJ13/100</f>
        <v>211.46341463414632</v>
      </c>
      <c r="CM44" s="738"/>
      <c r="CN44" s="1417"/>
      <c r="CO44" s="19" t="str">
        <f>$B$44</f>
        <v>Bio (Mengenbeiträge)</v>
      </c>
      <c r="CP44" s="19"/>
      <c r="CQ44" s="42" t="str">
        <f>CQ43</f>
        <v>pro 100 kg</v>
      </c>
      <c r="CR44" s="45">
        <f>'Variante Vorgaben'!$G$41</f>
        <v>0.85</v>
      </c>
      <c r="CS44" s="149">
        <f>CR44*CQ13/100</f>
        <v>211.46341463414632</v>
      </c>
      <c r="CT44" s="738"/>
      <c r="CU44" s="1417"/>
      <c r="CV44" s="19" t="str">
        <f>$B$44</f>
        <v>Bio (Mengenbeiträge)</v>
      </c>
      <c r="CW44" s="19"/>
      <c r="CX44" s="42" t="str">
        <f>CX43</f>
        <v>pro 100 kg</v>
      </c>
      <c r="CY44" s="45">
        <f>'Variante Vorgaben'!$G$41</f>
        <v>0.85</v>
      </c>
      <c r="CZ44" s="149">
        <f>CY44*CX13/100</f>
        <v>211.46341463414632</v>
      </c>
      <c r="DA44" s="738"/>
    </row>
    <row r="45" spans="1:105" s="19" customFormat="1" ht="12.5" x14ac:dyDescent="0.25">
      <c r="A45" s="756" t="str">
        <f>'Variante Vorgaben'!$E$43</f>
        <v>Gebindekosten</v>
      </c>
      <c r="B45" s="150" t="str">
        <f>'Variante Vorgaben'!$F$43</f>
        <v>Tafelobst</v>
      </c>
      <c r="D45" s="19" t="s">
        <v>58</v>
      </c>
      <c r="E45" s="616">
        <f>'Variante Vorgaben'!$G$43</f>
        <v>0</v>
      </c>
      <c r="F45" s="149">
        <f>(D9+D10)/100*E45</f>
        <v>0</v>
      </c>
      <c r="G45" s="738">
        <f>F45/F92</f>
        <v>0</v>
      </c>
      <c r="H45" s="756" t="str">
        <f>'Variante Vorgaben'!$E$43</f>
        <v>Gebindekosten</v>
      </c>
      <c r="I45" s="150" t="str">
        <f>'Variante Vorgaben'!$F$43</f>
        <v>Tafelobst</v>
      </c>
      <c r="K45" s="19" t="s">
        <v>58</v>
      </c>
      <c r="L45" s="616">
        <f>'Variante Vorgaben'!$G$43</f>
        <v>0</v>
      </c>
      <c r="M45" s="149">
        <f>(K9+K10)/100*L45</f>
        <v>0</v>
      </c>
      <c r="N45" s="738">
        <f>M45/M92</f>
        <v>0</v>
      </c>
      <c r="O45" s="756" t="str">
        <f>'Variante Vorgaben'!$E$43</f>
        <v>Gebindekosten</v>
      </c>
      <c r="P45" s="150" t="str">
        <f>'Variante Vorgaben'!$F$43</f>
        <v>Tafelobst</v>
      </c>
      <c r="R45" s="19" t="s">
        <v>58</v>
      </c>
      <c r="S45" s="616">
        <f>'Variante Vorgaben'!$G$43</f>
        <v>0</v>
      </c>
      <c r="T45" s="149">
        <f>(R9+R10)/100*S45</f>
        <v>0</v>
      </c>
      <c r="U45" s="738">
        <f>T45/T92</f>
        <v>0</v>
      </c>
      <c r="V45" s="756" t="str">
        <f>'Variante Vorgaben'!$E$43</f>
        <v>Gebindekosten</v>
      </c>
      <c r="W45" s="150" t="str">
        <f>'Variante Vorgaben'!$F$43</f>
        <v>Tafelobst</v>
      </c>
      <c r="Y45" s="19" t="s">
        <v>58</v>
      </c>
      <c r="Z45" s="616">
        <f>'Variante Vorgaben'!$G$43</f>
        <v>0</v>
      </c>
      <c r="AA45" s="149">
        <f>(Y9+Y10)/100*Z45</f>
        <v>0</v>
      </c>
      <c r="AB45" s="738">
        <f>AA45/AA92</f>
        <v>0</v>
      </c>
      <c r="AC45" s="756" t="str">
        <f>'Variante Vorgaben'!$E$43</f>
        <v>Gebindekosten</v>
      </c>
      <c r="AD45" s="150" t="str">
        <f>'Variante Vorgaben'!$F$43</f>
        <v>Tafelobst</v>
      </c>
      <c r="AF45" s="19" t="s">
        <v>58</v>
      </c>
      <c r="AG45" s="616">
        <f>'Variante Vorgaben'!$G$43</f>
        <v>0</v>
      </c>
      <c r="AH45" s="149">
        <f>(AF9+AF10)/100*AG45</f>
        <v>0</v>
      </c>
      <c r="AI45" s="738">
        <f>AH45/AH92</f>
        <v>0</v>
      </c>
      <c r="AJ45" s="756" t="str">
        <f>'Variante Vorgaben'!$E$43</f>
        <v>Gebindekosten</v>
      </c>
      <c r="AK45" s="150" t="str">
        <f>'Variante Vorgaben'!$F$43</f>
        <v>Tafelobst</v>
      </c>
      <c r="AM45" s="19" t="s">
        <v>58</v>
      </c>
      <c r="AN45" s="616">
        <f>'Variante Vorgaben'!$G$43</f>
        <v>0</v>
      </c>
      <c r="AO45" s="149">
        <f>(AM9+AM10)/100*AN45</f>
        <v>0</v>
      </c>
      <c r="AP45" s="738">
        <f>AO45/AO92</f>
        <v>0</v>
      </c>
      <c r="AQ45" s="756" t="str">
        <f>'Variante Vorgaben'!$E$43</f>
        <v>Gebindekosten</v>
      </c>
      <c r="AR45" s="150" t="str">
        <f>'Variante Vorgaben'!$F$43</f>
        <v>Tafelobst</v>
      </c>
      <c r="AT45" s="19" t="s">
        <v>58</v>
      </c>
      <c r="AU45" s="616">
        <f>'Variante Vorgaben'!$G$43</f>
        <v>0</v>
      </c>
      <c r="AV45" s="149">
        <f>(AT9+AT10)/100*AU45</f>
        <v>0</v>
      </c>
      <c r="AW45" s="738">
        <f>AV45/AV92</f>
        <v>0</v>
      </c>
      <c r="AX45" s="756" t="str">
        <f>'Variante Vorgaben'!$E$43</f>
        <v>Gebindekosten</v>
      </c>
      <c r="AY45" s="150" t="str">
        <f>'Variante Vorgaben'!$F$43</f>
        <v>Tafelobst</v>
      </c>
      <c r="BA45" s="19" t="s">
        <v>58</v>
      </c>
      <c r="BB45" s="616">
        <f>'Variante Vorgaben'!$G$43</f>
        <v>0</v>
      </c>
      <c r="BC45" s="149">
        <f>(BA9+BA10)/100*BB45</f>
        <v>0</v>
      </c>
      <c r="BD45" s="738">
        <f>BC45/BC92</f>
        <v>0</v>
      </c>
      <c r="BE45" s="756" t="str">
        <f>'Variante Vorgaben'!$E$43</f>
        <v>Gebindekosten</v>
      </c>
      <c r="BF45" s="150" t="str">
        <f>'Variante Vorgaben'!$F$43</f>
        <v>Tafelobst</v>
      </c>
      <c r="BH45" s="19" t="s">
        <v>58</v>
      </c>
      <c r="BI45" s="616">
        <f>'Variante Vorgaben'!$G$43</f>
        <v>0</v>
      </c>
      <c r="BJ45" s="149">
        <f>(BH9+BH10)/100*BI45</f>
        <v>0</v>
      </c>
      <c r="BK45" s="738">
        <f>BJ45/BJ92</f>
        <v>0</v>
      </c>
      <c r="BL45" s="756" t="str">
        <f>'Variante Vorgaben'!$E$43</f>
        <v>Gebindekosten</v>
      </c>
      <c r="BM45" s="150" t="str">
        <f>'Variante Vorgaben'!$F$43</f>
        <v>Tafelobst</v>
      </c>
      <c r="BO45" s="19" t="s">
        <v>58</v>
      </c>
      <c r="BP45" s="616">
        <f>'Variante Vorgaben'!$G$43</f>
        <v>0</v>
      </c>
      <c r="BQ45" s="149">
        <f>(BO9+BO10)/100*BP45</f>
        <v>0</v>
      </c>
      <c r="BR45" s="738">
        <f>BQ45/BQ92</f>
        <v>0</v>
      </c>
      <c r="BS45" s="756" t="str">
        <f>'Variante Vorgaben'!$E$43</f>
        <v>Gebindekosten</v>
      </c>
      <c r="BT45" s="150" t="str">
        <f>'Variante Vorgaben'!$F$43</f>
        <v>Tafelobst</v>
      </c>
      <c r="BV45" s="19" t="s">
        <v>58</v>
      </c>
      <c r="BW45" s="616">
        <f>'Variante Vorgaben'!$G$43</f>
        <v>0</v>
      </c>
      <c r="BX45" s="149">
        <f>(BV9+BV10)/100*BW45</f>
        <v>0</v>
      </c>
      <c r="BY45" s="738">
        <f>BX45/BX92</f>
        <v>0</v>
      </c>
      <c r="BZ45" s="756" t="str">
        <f>'Variante Vorgaben'!$E$43</f>
        <v>Gebindekosten</v>
      </c>
      <c r="CA45" s="150" t="str">
        <f>'Variante Vorgaben'!$F$43</f>
        <v>Tafelobst</v>
      </c>
      <c r="CC45" s="19" t="s">
        <v>58</v>
      </c>
      <c r="CD45" s="616">
        <f>'Variante Vorgaben'!$G$43</f>
        <v>0</v>
      </c>
      <c r="CE45" s="149">
        <f>(CC9+CC10)/100*CD45</f>
        <v>0</v>
      </c>
      <c r="CF45" s="738">
        <f>CE45/CE92</f>
        <v>0</v>
      </c>
      <c r="CG45" s="756" t="str">
        <f>'Variante Vorgaben'!$E$43</f>
        <v>Gebindekosten</v>
      </c>
      <c r="CH45" s="150" t="str">
        <f>'Variante Vorgaben'!$F$43</f>
        <v>Tafelobst</v>
      </c>
      <c r="CJ45" s="19" t="s">
        <v>58</v>
      </c>
      <c r="CK45" s="616">
        <f>'Variante Vorgaben'!$G$43</f>
        <v>0</v>
      </c>
      <c r="CL45" s="149">
        <f>(CJ9+CJ10)/100*CK45</f>
        <v>0</v>
      </c>
      <c r="CM45" s="738">
        <f>CL45/CL92</f>
        <v>0</v>
      </c>
      <c r="CN45" s="756" t="str">
        <f>'Variante Vorgaben'!$E$43</f>
        <v>Gebindekosten</v>
      </c>
      <c r="CO45" s="150" t="str">
        <f>'Variante Vorgaben'!$F$43</f>
        <v>Tafelobst</v>
      </c>
      <c r="CQ45" s="19" t="s">
        <v>58</v>
      </c>
      <c r="CR45" s="616">
        <f>'Variante Vorgaben'!$G$43</f>
        <v>0</v>
      </c>
      <c r="CS45" s="149">
        <f>(CQ9+CQ10)/100*CR45</f>
        <v>0</v>
      </c>
      <c r="CT45" s="738">
        <f>CS45/CS92</f>
        <v>0</v>
      </c>
      <c r="CU45" s="756" t="str">
        <f>'Variante Vorgaben'!$E$43</f>
        <v>Gebindekosten</v>
      </c>
      <c r="CV45" s="150" t="str">
        <f>'Variante Vorgaben'!$F$43</f>
        <v>Tafelobst</v>
      </c>
      <c r="CX45" s="19" t="s">
        <v>58</v>
      </c>
      <c r="CY45" s="616">
        <f>'Variante Vorgaben'!$G$43</f>
        <v>0</v>
      </c>
      <c r="CZ45" s="149">
        <f>(CX9+CX10)/100*CY45</f>
        <v>0</v>
      </c>
      <c r="DA45" s="738">
        <f>CZ45/CZ92</f>
        <v>0</v>
      </c>
    </row>
    <row r="46" spans="1:105" s="19" customFormat="1" ht="12.5" x14ac:dyDescent="0.25">
      <c r="A46" s="756" t="str">
        <f>'Variante Vorgaben'!$E$44</f>
        <v>Sortierkosten</v>
      </c>
      <c r="B46" s="19" t="str">
        <f>'Variante Vorgaben'!$F$44</f>
        <v>Tafelobst</v>
      </c>
      <c r="D46" s="19" t="s">
        <v>58</v>
      </c>
      <c r="E46" s="45">
        <f>'Variante Vorgaben'!$G$44</f>
        <v>0</v>
      </c>
      <c r="F46" s="149">
        <f>(D9+D10)/100*E46</f>
        <v>0</v>
      </c>
      <c r="G46" s="738">
        <f>F46/F92</f>
        <v>0</v>
      </c>
      <c r="H46" s="756" t="str">
        <f>'Variante Vorgaben'!$E$44</f>
        <v>Sortierkosten</v>
      </c>
      <c r="I46" s="19" t="str">
        <f>'Variante Vorgaben'!$F$44</f>
        <v>Tafelobst</v>
      </c>
      <c r="K46" s="19" t="s">
        <v>58</v>
      </c>
      <c r="L46" s="45">
        <f>'Variante Vorgaben'!$G$44</f>
        <v>0</v>
      </c>
      <c r="M46" s="149">
        <f>(K9+K10)/100*L46</f>
        <v>0</v>
      </c>
      <c r="N46" s="738">
        <f>M46/M92</f>
        <v>0</v>
      </c>
      <c r="O46" s="756" t="str">
        <f>'Variante Vorgaben'!$E$44</f>
        <v>Sortierkosten</v>
      </c>
      <c r="P46" s="19" t="str">
        <f>'Variante Vorgaben'!$F$44</f>
        <v>Tafelobst</v>
      </c>
      <c r="R46" s="19" t="s">
        <v>58</v>
      </c>
      <c r="S46" s="45">
        <f>'Variante Vorgaben'!$G$44</f>
        <v>0</v>
      </c>
      <c r="T46" s="149">
        <f>(R9+R10)/100*S46</f>
        <v>0</v>
      </c>
      <c r="U46" s="738">
        <f>T46/T92</f>
        <v>0</v>
      </c>
      <c r="V46" s="756" t="str">
        <f>'Variante Vorgaben'!$E$44</f>
        <v>Sortierkosten</v>
      </c>
      <c r="W46" s="19" t="str">
        <f>'Variante Vorgaben'!$F$44</f>
        <v>Tafelobst</v>
      </c>
      <c r="Y46" s="19" t="s">
        <v>58</v>
      </c>
      <c r="Z46" s="45">
        <f>'Variante Vorgaben'!$G$44</f>
        <v>0</v>
      </c>
      <c r="AA46" s="149">
        <f>(Y9+Y10)/100*Z46</f>
        <v>0</v>
      </c>
      <c r="AB46" s="738">
        <f>AA46/AA92</f>
        <v>0</v>
      </c>
      <c r="AC46" s="756" t="str">
        <f>'Variante Vorgaben'!$E$44</f>
        <v>Sortierkosten</v>
      </c>
      <c r="AD46" s="19" t="str">
        <f>'Variante Vorgaben'!$F$44</f>
        <v>Tafelobst</v>
      </c>
      <c r="AF46" s="19" t="s">
        <v>58</v>
      </c>
      <c r="AG46" s="45">
        <f>'Variante Vorgaben'!$G$44</f>
        <v>0</v>
      </c>
      <c r="AH46" s="149">
        <f>(AF9+AF10)/100*AG46</f>
        <v>0</v>
      </c>
      <c r="AI46" s="738">
        <f>AH46/AH92</f>
        <v>0</v>
      </c>
      <c r="AJ46" s="756" t="str">
        <f>'Variante Vorgaben'!$E$44</f>
        <v>Sortierkosten</v>
      </c>
      <c r="AK46" s="19" t="str">
        <f>'Variante Vorgaben'!$F$44</f>
        <v>Tafelobst</v>
      </c>
      <c r="AM46" s="19" t="s">
        <v>58</v>
      </c>
      <c r="AN46" s="45">
        <f>'Variante Vorgaben'!$G$44</f>
        <v>0</v>
      </c>
      <c r="AO46" s="149">
        <f>(AM9+AM10)/100*AN46</f>
        <v>0</v>
      </c>
      <c r="AP46" s="738">
        <f>AO46/AO92</f>
        <v>0</v>
      </c>
      <c r="AQ46" s="756" t="str">
        <f>'Variante Vorgaben'!$E$44</f>
        <v>Sortierkosten</v>
      </c>
      <c r="AR46" s="19" t="str">
        <f>'Variante Vorgaben'!$F$44</f>
        <v>Tafelobst</v>
      </c>
      <c r="AT46" s="19" t="s">
        <v>58</v>
      </c>
      <c r="AU46" s="45">
        <f>'Variante Vorgaben'!$G$44</f>
        <v>0</v>
      </c>
      <c r="AV46" s="149">
        <f>(AT9+AT10)/100*AU46</f>
        <v>0</v>
      </c>
      <c r="AW46" s="738">
        <f>AV46/AV92</f>
        <v>0</v>
      </c>
      <c r="AX46" s="756" t="str">
        <f>'Variante Vorgaben'!$E$44</f>
        <v>Sortierkosten</v>
      </c>
      <c r="AY46" s="19" t="str">
        <f>'Variante Vorgaben'!$F$44</f>
        <v>Tafelobst</v>
      </c>
      <c r="BA46" s="19" t="s">
        <v>58</v>
      </c>
      <c r="BB46" s="45">
        <f>'Variante Vorgaben'!$G$44</f>
        <v>0</v>
      </c>
      <c r="BC46" s="149">
        <f>(BA9+BA10)/100*BB46</f>
        <v>0</v>
      </c>
      <c r="BD46" s="738">
        <f>BC46/BC92</f>
        <v>0</v>
      </c>
      <c r="BE46" s="756" t="str">
        <f>'Variante Vorgaben'!$E$44</f>
        <v>Sortierkosten</v>
      </c>
      <c r="BF46" s="19" t="str">
        <f>'Variante Vorgaben'!$F$44</f>
        <v>Tafelobst</v>
      </c>
      <c r="BH46" s="19" t="s">
        <v>58</v>
      </c>
      <c r="BI46" s="45">
        <f>'Variante Vorgaben'!$G$44</f>
        <v>0</v>
      </c>
      <c r="BJ46" s="149">
        <f>(BH9+BH10)/100*BI46</f>
        <v>0</v>
      </c>
      <c r="BK46" s="738">
        <f>BJ46/BJ92</f>
        <v>0</v>
      </c>
      <c r="BL46" s="756" t="str">
        <f>'Variante Vorgaben'!$E$44</f>
        <v>Sortierkosten</v>
      </c>
      <c r="BM46" s="19" t="str">
        <f>'Variante Vorgaben'!$F$44</f>
        <v>Tafelobst</v>
      </c>
      <c r="BO46" s="19" t="s">
        <v>58</v>
      </c>
      <c r="BP46" s="45">
        <f>'Variante Vorgaben'!$G$44</f>
        <v>0</v>
      </c>
      <c r="BQ46" s="149">
        <f>(BO9+BO10)/100*BP46</f>
        <v>0</v>
      </c>
      <c r="BR46" s="738">
        <f>BQ46/BQ92</f>
        <v>0</v>
      </c>
      <c r="BS46" s="756" t="str">
        <f>'Variante Vorgaben'!$E$44</f>
        <v>Sortierkosten</v>
      </c>
      <c r="BT46" s="19" t="str">
        <f>'Variante Vorgaben'!$F$44</f>
        <v>Tafelobst</v>
      </c>
      <c r="BV46" s="19" t="s">
        <v>58</v>
      </c>
      <c r="BW46" s="45">
        <f>'Variante Vorgaben'!$G$44</f>
        <v>0</v>
      </c>
      <c r="BX46" s="149">
        <f>(BV9+BV10)/100*BW46</f>
        <v>0</v>
      </c>
      <c r="BY46" s="738">
        <f>BX46/BX92</f>
        <v>0</v>
      </c>
      <c r="BZ46" s="756" t="str">
        <f>'Variante Vorgaben'!$E$44</f>
        <v>Sortierkosten</v>
      </c>
      <c r="CA46" s="19" t="str">
        <f>'Variante Vorgaben'!$F$44</f>
        <v>Tafelobst</v>
      </c>
      <c r="CC46" s="19" t="s">
        <v>58</v>
      </c>
      <c r="CD46" s="45">
        <f>'Variante Vorgaben'!$G$44</f>
        <v>0</v>
      </c>
      <c r="CE46" s="149">
        <f>(CC9+CC10)/100*CD46</f>
        <v>0</v>
      </c>
      <c r="CF46" s="738">
        <f>CE46/CE92</f>
        <v>0</v>
      </c>
      <c r="CG46" s="756" t="str">
        <f>'Variante Vorgaben'!$E$44</f>
        <v>Sortierkosten</v>
      </c>
      <c r="CH46" s="19" t="str">
        <f>'Variante Vorgaben'!$F$44</f>
        <v>Tafelobst</v>
      </c>
      <c r="CJ46" s="19" t="s">
        <v>58</v>
      </c>
      <c r="CK46" s="45">
        <f>'Variante Vorgaben'!$G$44</f>
        <v>0</v>
      </c>
      <c r="CL46" s="149">
        <f>(CJ9+CJ10)/100*CK46</f>
        <v>0</v>
      </c>
      <c r="CM46" s="738">
        <f>CL46/CL92</f>
        <v>0</v>
      </c>
      <c r="CN46" s="756" t="str">
        <f>'Variante Vorgaben'!$E$44</f>
        <v>Sortierkosten</v>
      </c>
      <c r="CO46" s="19" t="str">
        <f>'Variante Vorgaben'!$F$44</f>
        <v>Tafelobst</v>
      </c>
      <c r="CQ46" s="19" t="s">
        <v>58</v>
      </c>
      <c r="CR46" s="45">
        <f>'Variante Vorgaben'!$G$44</f>
        <v>0</v>
      </c>
      <c r="CS46" s="149">
        <f>(CQ9+CQ10)/100*CR46</f>
        <v>0</v>
      </c>
      <c r="CT46" s="738">
        <f>CS46/CS92</f>
        <v>0</v>
      </c>
      <c r="CU46" s="756" t="str">
        <f>'Variante Vorgaben'!$E$44</f>
        <v>Sortierkosten</v>
      </c>
      <c r="CV46" s="19" t="str">
        <f>'Variante Vorgaben'!$F$44</f>
        <v>Tafelobst</v>
      </c>
      <c r="CX46" s="19" t="s">
        <v>58</v>
      </c>
      <c r="CY46" s="45">
        <f>'Variante Vorgaben'!$G$44</f>
        <v>0</v>
      </c>
      <c r="CZ46" s="149">
        <f>(CX9+CX10)/100*CY46</f>
        <v>0</v>
      </c>
      <c r="DA46" s="738">
        <f>CZ46/CZ92</f>
        <v>0</v>
      </c>
    </row>
    <row r="47" spans="1:105" s="1" customFormat="1" ht="12.5" x14ac:dyDescent="0.25">
      <c r="A47" s="756"/>
      <c r="B47" s="19" t="str">
        <f>'Variante Vorgaben'!F45</f>
        <v>Abgang</v>
      </c>
      <c r="C47" s="19"/>
      <c r="D47" s="19" t="s">
        <v>58</v>
      </c>
      <c r="E47" s="45">
        <f>'Variante Vorgaben'!$G$45</f>
        <v>12</v>
      </c>
      <c r="F47" s="149">
        <f>(E47/100)*('Variante Vorgaben'!$D$89*D11)</f>
        <v>0</v>
      </c>
      <c r="G47" s="738">
        <f>F47/F92</f>
        <v>0</v>
      </c>
      <c r="H47" s="756"/>
      <c r="I47" s="19" t="str">
        <f>'Variante Vorgaben'!F45</f>
        <v>Abgang</v>
      </c>
      <c r="J47" s="19"/>
      <c r="K47" s="19" t="s">
        <v>58</v>
      </c>
      <c r="L47" s="45">
        <f>'Variante Vorgaben'!$G$45</f>
        <v>12</v>
      </c>
      <c r="M47" s="149">
        <f>(L47/100)*('Variante Vorgaben'!$D$89*K11)</f>
        <v>6.4483902439024412</v>
      </c>
      <c r="N47" s="738">
        <f>M47/M92</f>
        <v>2.634869194196956E-4</v>
      </c>
      <c r="O47" s="756"/>
      <c r="P47" s="19" t="str">
        <f>'Variante Vorgaben'!F45</f>
        <v>Abgang</v>
      </c>
      <c r="Q47" s="19"/>
      <c r="R47" s="19" t="s">
        <v>58</v>
      </c>
      <c r="S47" s="45">
        <f>'Variante Vorgaben'!$G$45</f>
        <v>12</v>
      </c>
      <c r="T47" s="149">
        <f>(S47/100)*('Variante Vorgaben'!$D$89*R11)</f>
        <v>23.644097560975617</v>
      </c>
      <c r="U47" s="738">
        <f>T47/T92</f>
        <v>7.3031122424430854E-4</v>
      </c>
      <c r="V47" s="756"/>
      <c r="W47" s="19" t="str">
        <f>'Variante Vorgaben'!F45</f>
        <v>Abgang</v>
      </c>
      <c r="X47" s="19"/>
      <c r="Y47" s="19" t="s">
        <v>58</v>
      </c>
      <c r="Z47" s="45">
        <f>'Variante Vorgaben'!$G$45</f>
        <v>12</v>
      </c>
      <c r="AA47" s="149">
        <f>(Z47/100)*('Variante Vorgaben'!$D$89*Y11)</f>
        <v>32.241951219512195</v>
      </c>
      <c r="AB47" s="738">
        <f>AA47/AA92</f>
        <v>8.7895282887933226E-4</v>
      </c>
      <c r="AC47" s="756"/>
      <c r="AD47" s="19" t="str">
        <f>'Variante Vorgaben'!F45</f>
        <v>Abgang</v>
      </c>
      <c r="AE47" s="19"/>
      <c r="AF47" s="19" t="s">
        <v>58</v>
      </c>
      <c r="AG47" s="45">
        <f>'Variante Vorgaben'!$G$45</f>
        <v>12</v>
      </c>
      <c r="AH47" s="149">
        <f>(AG47/100)*('Variante Vorgaben'!$D$89*AF11)</f>
        <v>70.932292682926843</v>
      </c>
      <c r="AI47" s="738">
        <f>AH47/AH92</f>
        <v>1.8704935236634934E-3</v>
      </c>
      <c r="AJ47" s="756"/>
      <c r="AK47" s="19" t="str">
        <f>'Variante Vorgaben'!F45</f>
        <v>Abgang</v>
      </c>
      <c r="AL47" s="19"/>
      <c r="AM47" s="19" t="s">
        <v>58</v>
      </c>
      <c r="AN47" s="45">
        <f>'Variante Vorgaben'!$G$45</f>
        <v>12</v>
      </c>
      <c r="AO47" s="149">
        <f>(AN47/100)*('Variante Vorgaben'!$D$89*AM11)</f>
        <v>70.932292682926843</v>
      </c>
      <c r="AP47" s="738">
        <f>AO47/AO92</f>
        <v>1.8772521232191608E-3</v>
      </c>
      <c r="AQ47" s="756"/>
      <c r="AR47" s="19" t="str">
        <f>'Variante Vorgaben'!F45</f>
        <v>Abgang</v>
      </c>
      <c r="AS47" s="19"/>
      <c r="AT47" s="19" t="s">
        <v>58</v>
      </c>
      <c r="AU47" s="45">
        <f>'Variante Vorgaben'!$G$45</f>
        <v>12</v>
      </c>
      <c r="AV47" s="149">
        <f>(AU47/100)*('Variante Vorgaben'!$D$89*AT11)</f>
        <v>70.932292682926843</v>
      </c>
      <c r="AW47" s="738">
        <f>AV47/AV92</f>
        <v>1.7532493713787755E-3</v>
      </c>
      <c r="AX47" s="756"/>
      <c r="AY47" s="19" t="str">
        <f>'Variante Vorgaben'!F45</f>
        <v>Abgang</v>
      </c>
      <c r="AZ47" s="19"/>
      <c r="BA47" s="19" t="s">
        <v>58</v>
      </c>
      <c r="BB47" s="45">
        <f>'Variante Vorgaben'!$G$45</f>
        <v>12</v>
      </c>
      <c r="BC47" s="149">
        <f>(BB47/100)*('Variante Vorgaben'!$D$89*BA11)</f>
        <v>70.932292682926843</v>
      </c>
      <c r="BD47" s="738">
        <f>BC47/BC92</f>
        <v>1.8898289992452814E-3</v>
      </c>
      <c r="BE47" s="756"/>
      <c r="BF47" s="19" t="str">
        <f>'Variante Vorgaben'!F45</f>
        <v>Abgang</v>
      </c>
      <c r="BG47" s="19"/>
      <c r="BH47" s="19" t="s">
        <v>58</v>
      </c>
      <c r="BI47" s="45">
        <f>'Variante Vorgaben'!$G$45</f>
        <v>12</v>
      </c>
      <c r="BJ47" s="149">
        <f>(BI47/100)*('Variante Vorgaben'!$D$89*BH11)</f>
        <v>70.932292682926843</v>
      </c>
      <c r="BK47" s="738">
        <f>BJ47/BJ92</f>
        <v>1.8969054280617353E-3</v>
      </c>
      <c r="BL47" s="756"/>
      <c r="BM47" s="19" t="str">
        <f>'Variante Vorgaben'!F45</f>
        <v>Abgang</v>
      </c>
      <c r="BN47" s="19"/>
      <c r="BO47" s="19" t="s">
        <v>58</v>
      </c>
      <c r="BP47" s="45">
        <f>'Variante Vorgaben'!$G$45</f>
        <v>12</v>
      </c>
      <c r="BQ47" s="149">
        <f>(BP47/100)*('Variante Vorgaben'!$D$89*BO11)</f>
        <v>70.932292682926843</v>
      </c>
      <c r="BR47" s="738">
        <f>BQ47/BQ92</f>
        <v>1.770535864333089E-3</v>
      </c>
      <c r="BS47" s="756"/>
      <c r="BT47" s="19" t="str">
        <f>'Variante Vorgaben'!F45</f>
        <v>Abgang</v>
      </c>
      <c r="BU47" s="19"/>
      <c r="BV47" s="19" t="s">
        <v>58</v>
      </c>
      <c r="BW47" s="45">
        <f>'Variante Vorgaben'!$G$45</f>
        <v>12</v>
      </c>
      <c r="BX47" s="149">
        <f>(BW47/100)*('Variante Vorgaben'!$D$89*BV11)</f>
        <v>70.932292682926843</v>
      </c>
      <c r="BY47" s="738">
        <f>BX47/BX92</f>
        <v>1.9101119421565844E-3</v>
      </c>
      <c r="BZ47" s="756"/>
      <c r="CA47" s="19" t="str">
        <f>'Variante Vorgaben'!F45</f>
        <v>Abgang</v>
      </c>
      <c r="CB47" s="19"/>
      <c r="CC47" s="19" t="s">
        <v>58</v>
      </c>
      <c r="CD47" s="45">
        <f>'Variante Vorgaben'!$G$45</f>
        <v>12</v>
      </c>
      <c r="CE47" s="149">
        <f>(CD47/100)*('Variante Vorgaben'!$D$89*CC11)</f>
        <v>70.932292682926843</v>
      </c>
      <c r="CF47" s="738">
        <f>CE47/CE92</f>
        <v>1.9175272978521056E-3</v>
      </c>
      <c r="CG47" s="756"/>
      <c r="CH47" s="19" t="str">
        <f>'Variante Vorgaben'!F45</f>
        <v>Abgang</v>
      </c>
      <c r="CI47" s="19"/>
      <c r="CJ47" s="19" t="s">
        <v>58</v>
      </c>
      <c r="CK47" s="45">
        <f>'Variante Vorgaben'!$G$45</f>
        <v>12</v>
      </c>
      <c r="CL47" s="149">
        <f>(CK47/100)*('Variante Vorgaben'!$D$89*CJ11)</f>
        <v>64.483902439024391</v>
      </c>
      <c r="CM47" s="738">
        <f>CL47/CL92</f>
        <v>1.6534962789344968E-3</v>
      </c>
      <c r="CN47" s="756"/>
      <c r="CO47" s="19" t="str">
        <f>'Variante Vorgaben'!F45</f>
        <v>Abgang</v>
      </c>
      <c r="CP47" s="19"/>
      <c r="CQ47" s="19" t="s">
        <v>58</v>
      </c>
      <c r="CR47" s="45">
        <f>'Variante Vorgaben'!$G$45</f>
        <v>12</v>
      </c>
      <c r="CS47" s="149">
        <f>(CR47/100)*('Variante Vorgaben'!$D$89*CQ11)</f>
        <v>64.483902439024391</v>
      </c>
      <c r="CT47" s="738">
        <f>CS47/CS92</f>
        <v>1.7861237912518691E-3</v>
      </c>
      <c r="CU47" s="756"/>
      <c r="CV47" s="19" t="str">
        <f>'Variante Vorgaben'!F45</f>
        <v>Abgang</v>
      </c>
      <c r="CW47" s="19"/>
      <c r="CX47" s="19" t="s">
        <v>58</v>
      </c>
      <c r="CY47" s="45">
        <f>'Variante Vorgaben'!$G$45</f>
        <v>12</v>
      </c>
      <c r="CZ47" s="149">
        <f>(CY47/100)*('Variante Vorgaben'!$D$89*CX11)</f>
        <v>64.483902439024391</v>
      </c>
      <c r="DA47" s="738">
        <f>CZ47/CZ92</f>
        <v>1.5356587424884111E-3</v>
      </c>
    </row>
    <row r="48" spans="1:105" s="1" customFormat="1" ht="12.5" x14ac:dyDescent="0.25">
      <c r="A48" s="756" t="str">
        <f>'Variante Vorgaben'!$E$46</f>
        <v>Bürsten</v>
      </c>
      <c r="B48" s="19"/>
      <c r="C48" s="19"/>
      <c r="D48" s="19" t="s">
        <v>58</v>
      </c>
      <c r="E48" s="45">
        <f>'Variante Vorgaben'!$G$46*Eingabeseite!$D$16</f>
        <v>0</v>
      </c>
      <c r="F48" s="149">
        <f>(E48*D9)/100</f>
        <v>0</v>
      </c>
      <c r="G48" s="738"/>
      <c r="H48" s="756" t="str">
        <f>'Variante Vorgaben'!$E$46</f>
        <v>Bürsten</v>
      </c>
      <c r="I48" s="19"/>
      <c r="J48" s="19"/>
      <c r="K48" s="19" t="s">
        <v>58</v>
      </c>
      <c r="L48" s="45">
        <f>'Variante Vorgaben'!$G$46*Eingabeseite!$D$16</f>
        <v>0</v>
      </c>
      <c r="M48" s="149">
        <f>(L48*K9)/100</f>
        <v>0</v>
      </c>
      <c r="N48" s="738"/>
      <c r="O48" s="756" t="str">
        <f>'Variante Vorgaben'!$E$46</f>
        <v>Bürsten</v>
      </c>
      <c r="P48" s="19"/>
      <c r="Q48" s="19"/>
      <c r="R48" s="19" t="s">
        <v>58</v>
      </c>
      <c r="S48" s="45">
        <f>'Variante Vorgaben'!$G$46*Eingabeseite!$D$16</f>
        <v>0</v>
      </c>
      <c r="T48" s="149">
        <f>(S48*R9)/100</f>
        <v>0</v>
      </c>
      <c r="U48" s="738"/>
      <c r="V48" s="756" t="str">
        <f>'Variante Vorgaben'!$E$46</f>
        <v>Bürsten</v>
      </c>
      <c r="W48" s="19"/>
      <c r="X48" s="19"/>
      <c r="Y48" s="19" t="s">
        <v>58</v>
      </c>
      <c r="Z48" s="45">
        <f>'Variante Vorgaben'!$G$46*Eingabeseite!$D$16</f>
        <v>0</v>
      </c>
      <c r="AA48" s="149">
        <f>(Z48*Y9)/100</f>
        <v>0</v>
      </c>
      <c r="AB48" s="738"/>
      <c r="AC48" s="756" t="str">
        <f>'Variante Vorgaben'!$E$46</f>
        <v>Bürsten</v>
      </c>
      <c r="AD48" s="19"/>
      <c r="AE48" s="19"/>
      <c r="AF48" s="19" t="s">
        <v>58</v>
      </c>
      <c r="AG48" s="45">
        <f>'Variante Vorgaben'!$G$46*Eingabeseite!$D$16</f>
        <v>0</v>
      </c>
      <c r="AH48" s="149">
        <f>(AG48*AF9)/100</f>
        <v>0</v>
      </c>
      <c r="AI48" s="738"/>
      <c r="AJ48" s="756" t="str">
        <f>'Variante Vorgaben'!$E$46</f>
        <v>Bürsten</v>
      </c>
      <c r="AK48" s="19"/>
      <c r="AL48" s="19"/>
      <c r="AM48" s="19" t="s">
        <v>58</v>
      </c>
      <c r="AN48" s="45">
        <f>'Variante Vorgaben'!$G$46*Eingabeseite!$D$16</f>
        <v>0</v>
      </c>
      <c r="AO48" s="149">
        <f>(AN48*AM9)/100</f>
        <v>0</v>
      </c>
      <c r="AP48" s="738"/>
      <c r="AQ48" s="756" t="str">
        <f>'Variante Vorgaben'!$E$46</f>
        <v>Bürsten</v>
      </c>
      <c r="AR48" s="19"/>
      <c r="AS48" s="19"/>
      <c r="AT48" s="19" t="s">
        <v>58</v>
      </c>
      <c r="AU48" s="45">
        <f>'Variante Vorgaben'!$G$46*Eingabeseite!$D$16</f>
        <v>0</v>
      </c>
      <c r="AV48" s="149">
        <f>(AU48*AT9)/100</f>
        <v>0</v>
      </c>
      <c r="AW48" s="738"/>
      <c r="AX48" s="756" t="str">
        <f>'Variante Vorgaben'!$E$46</f>
        <v>Bürsten</v>
      </c>
      <c r="AY48" s="19"/>
      <c r="AZ48" s="19"/>
      <c r="BA48" s="19" t="s">
        <v>58</v>
      </c>
      <c r="BB48" s="45">
        <f>'Variante Vorgaben'!$G$46*Eingabeseite!$D$16</f>
        <v>0</v>
      </c>
      <c r="BC48" s="149">
        <f>(BB48*BA9)/100</f>
        <v>0</v>
      </c>
      <c r="BD48" s="738"/>
      <c r="BE48" s="756" t="str">
        <f>'Variante Vorgaben'!$E$46</f>
        <v>Bürsten</v>
      </c>
      <c r="BF48" s="19"/>
      <c r="BG48" s="19"/>
      <c r="BH48" s="19" t="s">
        <v>58</v>
      </c>
      <c r="BI48" s="45">
        <f>'Variante Vorgaben'!$G$46*Eingabeseite!$D$16</f>
        <v>0</v>
      </c>
      <c r="BJ48" s="149">
        <f>(BI48*BH9)/100</f>
        <v>0</v>
      </c>
      <c r="BK48" s="738"/>
      <c r="BL48" s="756" t="str">
        <f>'Variante Vorgaben'!$E$46</f>
        <v>Bürsten</v>
      </c>
      <c r="BM48" s="19"/>
      <c r="BN48" s="19"/>
      <c r="BO48" s="19" t="s">
        <v>58</v>
      </c>
      <c r="BP48" s="45">
        <f>'Variante Vorgaben'!$G$46*Eingabeseite!$D$16</f>
        <v>0</v>
      </c>
      <c r="BQ48" s="149">
        <f>(BP48*BO9)/100</f>
        <v>0</v>
      </c>
      <c r="BR48" s="738"/>
      <c r="BS48" s="756" t="str">
        <f>'Variante Vorgaben'!$E$46</f>
        <v>Bürsten</v>
      </c>
      <c r="BT48" s="19"/>
      <c r="BU48" s="19"/>
      <c r="BV48" s="19" t="s">
        <v>58</v>
      </c>
      <c r="BW48" s="45">
        <f>'Variante Vorgaben'!$G$46*Eingabeseite!$D$16</f>
        <v>0</v>
      </c>
      <c r="BX48" s="149">
        <f>(BW48*BV9)/100</f>
        <v>0</v>
      </c>
      <c r="BY48" s="738"/>
      <c r="BZ48" s="756" t="str">
        <f>'Variante Vorgaben'!$E$46</f>
        <v>Bürsten</v>
      </c>
      <c r="CA48" s="19"/>
      <c r="CB48" s="19"/>
      <c r="CC48" s="19" t="s">
        <v>58</v>
      </c>
      <c r="CD48" s="45">
        <f>'Variante Vorgaben'!$G$46*Eingabeseite!$D$16</f>
        <v>0</v>
      </c>
      <c r="CE48" s="149">
        <f>(CD48*CC9)/100</f>
        <v>0</v>
      </c>
      <c r="CF48" s="738"/>
      <c r="CG48" s="756" t="str">
        <f>'Variante Vorgaben'!$E$46</f>
        <v>Bürsten</v>
      </c>
      <c r="CH48" s="19"/>
      <c r="CI48" s="19"/>
      <c r="CJ48" s="19" t="s">
        <v>58</v>
      </c>
      <c r="CK48" s="45">
        <f>'Variante Vorgaben'!$G$46*Eingabeseite!$D$16</f>
        <v>0</v>
      </c>
      <c r="CL48" s="149">
        <f>(CK48*CJ9)/100</f>
        <v>0</v>
      </c>
      <c r="CM48" s="738"/>
      <c r="CN48" s="756" t="str">
        <f>'Variante Vorgaben'!$E$46</f>
        <v>Bürsten</v>
      </c>
      <c r="CO48" s="19"/>
      <c r="CP48" s="19"/>
      <c r="CQ48" s="19" t="s">
        <v>58</v>
      </c>
      <c r="CR48" s="45">
        <f>'Variante Vorgaben'!$G$46*Eingabeseite!$D$16</f>
        <v>0</v>
      </c>
      <c r="CS48" s="149">
        <f>(CR48*CQ9)/100</f>
        <v>0</v>
      </c>
      <c r="CT48" s="738"/>
      <c r="CU48" s="756" t="str">
        <f>'Variante Vorgaben'!$E$46</f>
        <v>Bürsten</v>
      </c>
      <c r="CV48" s="19"/>
      <c r="CW48" s="19"/>
      <c r="CX48" s="19" t="s">
        <v>58</v>
      </c>
      <c r="CY48" s="45">
        <f>'Variante Vorgaben'!$G$46*Eingabeseite!$D$16</f>
        <v>0</v>
      </c>
      <c r="CZ48" s="149">
        <f>(CY48*CX9)/100</f>
        <v>0</v>
      </c>
      <c r="DA48" s="738"/>
    </row>
    <row r="49" spans="1:106" s="1" customFormat="1" ht="13" thickBot="1" x14ac:dyDescent="0.3">
      <c r="A49" s="756" t="str">
        <f>'Variante Vorgaben'!$E$47</f>
        <v>Heisswassertauchen</v>
      </c>
      <c r="B49" s="19"/>
      <c r="C49" s="19"/>
      <c r="D49" s="19" t="s">
        <v>58</v>
      </c>
      <c r="E49" s="45">
        <f>'Variante Vorgaben'!$G$47*Eingabeseite!$D$17</f>
        <v>0</v>
      </c>
      <c r="F49" s="587">
        <f>(E49*D9)/100</f>
        <v>0</v>
      </c>
      <c r="G49" s="738"/>
      <c r="H49" s="756" t="str">
        <f>'Variante Vorgaben'!$E$47</f>
        <v>Heisswassertauchen</v>
      </c>
      <c r="I49" s="19"/>
      <c r="J49" s="19"/>
      <c r="K49" s="19" t="s">
        <v>58</v>
      </c>
      <c r="L49" s="45">
        <f>'Variante Vorgaben'!$G$47*Eingabeseite!$D$17</f>
        <v>0</v>
      </c>
      <c r="M49" s="587">
        <f>(L49*K9)/100</f>
        <v>0</v>
      </c>
      <c r="N49" s="738"/>
      <c r="O49" s="756" t="str">
        <f>'Variante Vorgaben'!$E$47</f>
        <v>Heisswassertauchen</v>
      </c>
      <c r="P49" s="19"/>
      <c r="Q49" s="19"/>
      <c r="R49" s="19" t="s">
        <v>58</v>
      </c>
      <c r="S49" s="45">
        <f>'Variante Vorgaben'!$G$47*Eingabeseite!$D$17</f>
        <v>0</v>
      </c>
      <c r="T49" s="587">
        <f>(S49*R9)/100</f>
        <v>0</v>
      </c>
      <c r="U49" s="738"/>
      <c r="V49" s="756" t="str">
        <f>'Variante Vorgaben'!$E$47</f>
        <v>Heisswassertauchen</v>
      </c>
      <c r="W49" s="19"/>
      <c r="X49" s="19"/>
      <c r="Y49" s="19" t="s">
        <v>58</v>
      </c>
      <c r="Z49" s="45">
        <f>'Variante Vorgaben'!$G$47*Eingabeseite!$D$17</f>
        <v>0</v>
      </c>
      <c r="AA49" s="587">
        <f>(Z49*Y9)/100</f>
        <v>0</v>
      </c>
      <c r="AB49" s="738"/>
      <c r="AC49" s="756" t="str">
        <f>'Variante Vorgaben'!$E$47</f>
        <v>Heisswassertauchen</v>
      </c>
      <c r="AD49" s="19"/>
      <c r="AE49" s="19"/>
      <c r="AF49" s="19" t="s">
        <v>58</v>
      </c>
      <c r="AG49" s="45">
        <f>'Variante Vorgaben'!$G$47*Eingabeseite!$D$17</f>
        <v>0</v>
      </c>
      <c r="AH49" s="587">
        <f>(AG49*AF9)/100</f>
        <v>0</v>
      </c>
      <c r="AI49" s="738"/>
      <c r="AJ49" s="756" t="str">
        <f>'Variante Vorgaben'!$E$47</f>
        <v>Heisswassertauchen</v>
      </c>
      <c r="AK49" s="19"/>
      <c r="AL49" s="19"/>
      <c r="AM49" s="19" t="s">
        <v>58</v>
      </c>
      <c r="AN49" s="45">
        <f>'Variante Vorgaben'!$G$47*Eingabeseite!$D$17</f>
        <v>0</v>
      </c>
      <c r="AO49" s="587">
        <f>(AN49*AM9)/100</f>
        <v>0</v>
      </c>
      <c r="AP49" s="738"/>
      <c r="AQ49" s="756" t="str">
        <f>'Variante Vorgaben'!$E$47</f>
        <v>Heisswassertauchen</v>
      </c>
      <c r="AR49" s="19"/>
      <c r="AS49" s="19"/>
      <c r="AT49" s="19" t="s">
        <v>58</v>
      </c>
      <c r="AU49" s="45">
        <f>'Variante Vorgaben'!$G$47*Eingabeseite!$D$17</f>
        <v>0</v>
      </c>
      <c r="AV49" s="587">
        <f>(AU49*AT9)/100</f>
        <v>0</v>
      </c>
      <c r="AW49" s="738"/>
      <c r="AX49" s="756" t="str">
        <f>'Variante Vorgaben'!$E$47</f>
        <v>Heisswassertauchen</v>
      </c>
      <c r="AY49" s="19"/>
      <c r="AZ49" s="19"/>
      <c r="BA49" s="19" t="s">
        <v>58</v>
      </c>
      <c r="BB49" s="45">
        <f>'Variante Vorgaben'!$G$47*Eingabeseite!$D$17</f>
        <v>0</v>
      </c>
      <c r="BC49" s="587">
        <f>(BB49*BA9)/100</f>
        <v>0</v>
      </c>
      <c r="BD49" s="738"/>
      <c r="BE49" s="756" t="str">
        <f>'Variante Vorgaben'!$E$47</f>
        <v>Heisswassertauchen</v>
      </c>
      <c r="BF49" s="19"/>
      <c r="BG49" s="19"/>
      <c r="BH49" s="19" t="s">
        <v>58</v>
      </c>
      <c r="BI49" s="45">
        <f>'Variante Vorgaben'!$G$47*Eingabeseite!$D$17</f>
        <v>0</v>
      </c>
      <c r="BJ49" s="587">
        <f>(BI49*BH9)/100</f>
        <v>0</v>
      </c>
      <c r="BK49" s="738"/>
      <c r="BL49" s="756" t="str">
        <f>'Variante Vorgaben'!$E$47</f>
        <v>Heisswassertauchen</v>
      </c>
      <c r="BM49" s="19"/>
      <c r="BN49" s="19"/>
      <c r="BO49" s="19" t="s">
        <v>58</v>
      </c>
      <c r="BP49" s="45">
        <f>'Variante Vorgaben'!$G$47*Eingabeseite!$D$17</f>
        <v>0</v>
      </c>
      <c r="BQ49" s="587">
        <f>(BP49*BO9)/100</f>
        <v>0</v>
      </c>
      <c r="BR49" s="738"/>
      <c r="BS49" s="756" t="str">
        <f>'Variante Vorgaben'!$E$47</f>
        <v>Heisswassertauchen</v>
      </c>
      <c r="BT49" s="19"/>
      <c r="BU49" s="19"/>
      <c r="BV49" s="19" t="s">
        <v>58</v>
      </c>
      <c r="BW49" s="45">
        <f>'Variante Vorgaben'!$G$47*Eingabeseite!$D$17</f>
        <v>0</v>
      </c>
      <c r="BX49" s="587">
        <f>(BW49*BV9)/100</f>
        <v>0</v>
      </c>
      <c r="BY49" s="738"/>
      <c r="BZ49" s="756" t="str">
        <f>'Variante Vorgaben'!$E$47</f>
        <v>Heisswassertauchen</v>
      </c>
      <c r="CA49" s="19"/>
      <c r="CB49" s="19"/>
      <c r="CC49" s="19" t="s">
        <v>58</v>
      </c>
      <c r="CD49" s="45">
        <f>'Variante Vorgaben'!$G$47*Eingabeseite!$D$17</f>
        <v>0</v>
      </c>
      <c r="CE49" s="587">
        <f>(CD49*CC9)/100</f>
        <v>0</v>
      </c>
      <c r="CF49" s="738"/>
      <c r="CG49" s="756" t="str">
        <f>'Variante Vorgaben'!$E$47</f>
        <v>Heisswassertauchen</v>
      </c>
      <c r="CH49" s="19"/>
      <c r="CI49" s="19"/>
      <c r="CJ49" s="19" t="s">
        <v>58</v>
      </c>
      <c r="CK49" s="45">
        <f>'Variante Vorgaben'!$G$47*Eingabeseite!$D$17</f>
        <v>0</v>
      </c>
      <c r="CL49" s="587">
        <f>(CK49*CJ9)/100</f>
        <v>0</v>
      </c>
      <c r="CM49" s="738"/>
      <c r="CN49" s="756" t="str">
        <f>'Variante Vorgaben'!$E$47</f>
        <v>Heisswassertauchen</v>
      </c>
      <c r="CO49" s="19"/>
      <c r="CP49" s="19"/>
      <c r="CQ49" s="19" t="s">
        <v>58</v>
      </c>
      <c r="CR49" s="45">
        <f>'Variante Vorgaben'!$G$47*Eingabeseite!$D$17</f>
        <v>0</v>
      </c>
      <c r="CS49" s="587">
        <f>(CR49*CQ9)/100</f>
        <v>0</v>
      </c>
      <c r="CT49" s="738"/>
      <c r="CU49" s="756" t="str">
        <f>'Variante Vorgaben'!$E$47</f>
        <v>Heisswassertauchen</v>
      </c>
      <c r="CV49" s="19"/>
      <c r="CW49" s="19"/>
      <c r="CX49" s="19" t="s">
        <v>58</v>
      </c>
      <c r="CY49" s="45">
        <f>'Variante Vorgaben'!$G$47*Eingabeseite!$D$17</f>
        <v>0</v>
      </c>
      <c r="CZ49" s="587">
        <f>(CY49*CX9)/100</f>
        <v>0</v>
      </c>
      <c r="DA49" s="738"/>
    </row>
    <row r="50" spans="1:106" s="1" customFormat="1" ht="13" x14ac:dyDescent="0.3">
      <c r="B50" s="19"/>
      <c r="C50" s="19"/>
      <c r="D50" s="19"/>
      <c r="E50" s="45"/>
      <c r="F50" s="83">
        <f>SUM(F42:F49)</f>
        <v>468</v>
      </c>
      <c r="G50" s="735">
        <f>F50/F92</f>
        <v>1.9475365894912486E-2</v>
      </c>
      <c r="I50" s="19"/>
      <c r="J50" s="19"/>
      <c r="K50" s="19"/>
      <c r="L50" s="45"/>
      <c r="M50" s="83">
        <f>SUM(M42:M49)</f>
        <v>500.74448780487802</v>
      </c>
      <c r="N50" s="735">
        <f>M50/M92</f>
        <v>2.046086193881674E-2</v>
      </c>
      <c r="P50" s="19"/>
      <c r="Q50" s="19"/>
      <c r="R50" s="19"/>
      <c r="S50" s="45"/>
      <c r="T50" s="83">
        <f>SUM(T42:T49)</f>
        <v>588.0631219512195</v>
      </c>
      <c r="U50" s="735">
        <f>T50/T92</f>
        <v>1.8163903165158663E-2</v>
      </c>
      <c r="W50" s="19"/>
      <c r="X50" s="19"/>
      <c r="Y50" s="19"/>
      <c r="Z50" s="45"/>
      <c r="AA50" s="83">
        <f>SUM(AA42:AA49)</f>
        <v>631.72243902439027</v>
      </c>
      <c r="AB50" s="735">
        <f>AA50/AA92</f>
        <v>1.7221483311190246E-2</v>
      </c>
      <c r="AD50" s="19"/>
      <c r="AE50" s="19"/>
      <c r="AF50" s="19"/>
      <c r="AG50" s="45"/>
      <c r="AH50" s="83">
        <f>SUM(AH42:AH49)</f>
        <v>828.1893658536585</v>
      </c>
      <c r="AI50" s="735">
        <f>AH50/AH92</f>
        <v>2.1839458258045456E-2</v>
      </c>
      <c r="AK50" s="19"/>
      <c r="AL50" s="19"/>
      <c r="AM50" s="19"/>
      <c r="AN50" s="45"/>
      <c r="AO50" s="83">
        <f>SUM(AO42:AO49)</f>
        <v>828.1893658536585</v>
      </c>
      <c r="AP50" s="735">
        <f>AO50/AO92</f>
        <v>2.1918370133981676E-2</v>
      </c>
      <c r="AR50" s="19"/>
      <c r="AS50" s="19"/>
      <c r="AT50" s="19"/>
      <c r="AU50" s="45"/>
      <c r="AV50" s="83">
        <f>SUM(AV42:AV49)</f>
        <v>828.1893658536585</v>
      </c>
      <c r="AW50" s="735">
        <f>AV50/AV92</f>
        <v>2.0470542120443969E-2</v>
      </c>
      <c r="AY50" s="19"/>
      <c r="AZ50" s="19"/>
      <c r="BA50" s="19"/>
      <c r="BB50" s="45"/>
      <c r="BC50" s="83">
        <f>SUM(BC42:BC49)</f>
        <v>828.1893658536585</v>
      </c>
      <c r="BD50" s="735">
        <f>BC50/BC92</f>
        <v>2.2065214886724315E-2</v>
      </c>
      <c r="BF50" s="19"/>
      <c r="BG50" s="19"/>
      <c r="BH50" s="19"/>
      <c r="BI50" s="45"/>
      <c r="BJ50" s="83">
        <f>SUM(BJ42:BJ49)</f>
        <v>828.1893658536585</v>
      </c>
      <c r="BK50" s="735">
        <f>BJ50/BJ92</f>
        <v>2.2147837665043423E-2</v>
      </c>
      <c r="BM50" s="19"/>
      <c r="BN50" s="19"/>
      <c r="BO50" s="19"/>
      <c r="BP50" s="45"/>
      <c r="BQ50" s="83">
        <f>SUM(BQ42:BQ49)</f>
        <v>828.1893658536585</v>
      </c>
      <c r="BR50" s="735">
        <f>BQ50/BQ92</f>
        <v>2.0672375292560122E-2</v>
      </c>
      <c r="BT50" s="19"/>
      <c r="BU50" s="19"/>
      <c r="BV50" s="19"/>
      <c r="BW50" s="45"/>
      <c r="BX50" s="83">
        <f>SUM(BX42:BX49)</f>
        <v>828.1893658536585</v>
      </c>
      <c r="BY50" s="735">
        <f>BX50/BX92</f>
        <v>2.2302033929109524E-2</v>
      </c>
      <c r="CA50" s="19"/>
      <c r="CB50" s="19"/>
      <c r="CC50" s="19"/>
      <c r="CD50" s="45"/>
      <c r="CE50" s="83">
        <f>SUM(CE42:CE49)</f>
        <v>828.1893658536585</v>
      </c>
      <c r="CF50" s="735">
        <f>CE50/CE92</f>
        <v>2.2388613940818793E-2</v>
      </c>
      <c r="CH50" s="19"/>
      <c r="CI50" s="19"/>
      <c r="CJ50" s="19"/>
      <c r="CK50" s="45"/>
      <c r="CL50" s="83">
        <f>SUM(CL42:CL49)</f>
        <v>795.44487804878054</v>
      </c>
      <c r="CM50" s="735">
        <f>CL50/CL92</f>
        <v>2.039679821169121E-2</v>
      </c>
      <c r="CO50" s="19"/>
      <c r="CP50" s="19"/>
      <c r="CQ50" s="19"/>
      <c r="CR50" s="45"/>
      <c r="CS50" s="83">
        <f>SUM(CS42:CS49)</f>
        <v>795.44487804878054</v>
      </c>
      <c r="CT50" s="735">
        <f>CS50/CS92</f>
        <v>2.2032832498867977E-2</v>
      </c>
      <c r="CV50" s="19"/>
      <c r="CW50" s="19"/>
      <c r="CX50" s="19"/>
      <c r="CY50" s="45"/>
      <c r="CZ50" s="83">
        <f>SUM(CZ42:CZ49)</f>
        <v>795.44487804878054</v>
      </c>
      <c r="DA50" s="735">
        <f>CZ50/CZ92</f>
        <v>1.8943206520391834E-2</v>
      </c>
    </row>
    <row r="51" spans="1:106" s="1" customFormat="1" ht="16.5" customHeight="1" x14ac:dyDescent="0.25">
      <c r="B51" s="757"/>
      <c r="C51" s="758"/>
      <c r="D51" s="44"/>
      <c r="E51" s="616"/>
      <c r="F51" s="149"/>
      <c r="G51" s="738"/>
      <c r="H51" s="756"/>
      <c r="I51" s="757"/>
      <c r="J51" s="758"/>
      <c r="K51" s="44"/>
      <c r="L51" s="616"/>
      <c r="M51" s="149"/>
      <c r="N51" s="738">
        <f>M51/$M$92</f>
        <v>0</v>
      </c>
      <c r="O51" s="756"/>
      <c r="P51" s="757"/>
      <c r="Q51" s="758"/>
      <c r="R51" s="44"/>
      <c r="S51" s="616"/>
      <c r="T51" s="149"/>
      <c r="U51" s="738">
        <f>T51/$T$92</f>
        <v>0</v>
      </c>
      <c r="V51" s="756"/>
      <c r="W51" s="757"/>
      <c r="X51" s="758"/>
      <c r="Y51" s="44"/>
      <c r="Z51" s="616"/>
      <c r="AA51" s="149"/>
      <c r="AB51" s="738">
        <f>AA51/$AA$92</f>
        <v>0</v>
      </c>
      <c r="AC51" s="756"/>
      <c r="AD51" s="757"/>
      <c r="AE51" s="758"/>
      <c r="AF51" s="44"/>
      <c r="AG51" s="616"/>
      <c r="AH51" s="149"/>
      <c r="AI51" s="738">
        <f>AH51/$AH$92</f>
        <v>0</v>
      </c>
      <c r="AJ51" s="756"/>
      <c r="AK51" s="757"/>
      <c r="AL51" s="758"/>
      <c r="AM51" s="44"/>
      <c r="AN51" s="616"/>
      <c r="AO51" s="149"/>
      <c r="AP51" s="738"/>
      <c r="AQ51" s="756"/>
      <c r="AR51" s="757"/>
      <c r="AS51" s="758"/>
      <c r="AT51" s="44"/>
      <c r="AU51" s="616"/>
      <c r="AV51" s="149"/>
      <c r="AW51" s="738"/>
      <c r="AX51" s="756"/>
      <c r="AY51" s="757"/>
      <c r="AZ51" s="758"/>
      <c r="BA51" s="44"/>
      <c r="BB51" s="616"/>
      <c r="BC51" s="149"/>
      <c r="BD51" s="738"/>
      <c r="BE51" s="756"/>
      <c r="BF51" s="757"/>
      <c r="BG51" s="758"/>
      <c r="BH51" s="44"/>
      <c r="BI51" s="616"/>
      <c r="BJ51" s="149"/>
      <c r="BK51" s="738"/>
      <c r="BL51" s="756"/>
      <c r="BM51" s="757"/>
      <c r="BN51" s="758"/>
      <c r="BO51" s="44"/>
      <c r="BP51" s="616"/>
      <c r="BQ51" s="149"/>
      <c r="BR51" s="738"/>
      <c r="BS51" s="756"/>
      <c r="BT51" s="757"/>
      <c r="BU51" s="758"/>
      <c r="BV51" s="44"/>
      <c r="BW51" s="616"/>
      <c r="BX51" s="149"/>
      <c r="BY51" s="738"/>
      <c r="BZ51" s="756"/>
      <c r="CA51" s="757"/>
      <c r="CB51" s="758"/>
      <c r="CC51" s="44"/>
      <c r="CD51" s="616"/>
      <c r="CE51" s="149"/>
      <c r="CF51" s="738"/>
      <c r="CG51" s="756"/>
      <c r="CH51" s="757"/>
      <c r="CI51" s="758"/>
      <c r="CJ51" s="44"/>
      <c r="CK51" s="616"/>
      <c r="CL51" s="149"/>
      <c r="CM51" s="738"/>
      <c r="CN51" s="756"/>
      <c r="CO51" s="757"/>
      <c r="CP51" s="758"/>
      <c r="CQ51" s="44"/>
      <c r="CR51" s="616"/>
      <c r="CS51" s="149"/>
      <c r="CT51" s="738"/>
      <c r="CU51" s="756"/>
      <c r="CV51" s="757"/>
      <c r="CW51" s="758"/>
      <c r="CX51" s="44"/>
      <c r="CY51" s="616"/>
      <c r="CZ51" s="149"/>
      <c r="DA51" s="738"/>
    </row>
    <row r="52" spans="1:106" s="69" customFormat="1" ht="15" customHeight="1" x14ac:dyDescent="0.3">
      <c r="A52" s="87" t="s">
        <v>175</v>
      </c>
      <c r="B52" s="759" t="s">
        <v>403</v>
      </c>
      <c r="C52" s="760"/>
      <c r="D52" s="756"/>
      <c r="E52" s="761"/>
      <c r="F52" s="85">
        <f>'Variante Vorgaben'!E210</f>
        <v>600</v>
      </c>
      <c r="G52" s="735">
        <f>F52/$F$92</f>
        <v>2.4968417813990364E-2</v>
      </c>
      <c r="H52" s="87" t="s">
        <v>175</v>
      </c>
      <c r="I52" s="759" t="s">
        <v>403</v>
      </c>
      <c r="J52" s="760"/>
      <c r="K52" s="756"/>
      <c r="L52" s="761"/>
      <c r="M52" s="85">
        <f>'Variante Vorgaben'!E210</f>
        <v>600</v>
      </c>
      <c r="N52" s="735">
        <f>M52/$M$92</f>
        <v>2.4516529811654676E-2</v>
      </c>
      <c r="O52" s="87" t="s">
        <v>175</v>
      </c>
      <c r="P52" s="759" t="s">
        <v>403</v>
      </c>
      <c r="Q52" s="760"/>
      <c r="R52" s="756"/>
      <c r="S52" s="761"/>
      <c r="T52" s="85">
        <f>'Variante Vorgaben'!E210</f>
        <v>600</v>
      </c>
      <c r="U52" s="735">
        <f>T52/$T$92</f>
        <v>1.8532605586512575E-2</v>
      </c>
      <c r="V52" s="87" t="s">
        <v>175</v>
      </c>
      <c r="W52" s="759" t="s">
        <v>403</v>
      </c>
      <c r="X52" s="760"/>
      <c r="Y52" s="756"/>
      <c r="Z52" s="761"/>
      <c r="AA52" s="85">
        <f>'Variante Vorgaben'!E210</f>
        <v>600</v>
      </c>
      <c r="AB52" s="735">
        <f>AA52/$AA$92</f>
        <v>1.6356692984773342E-2</v>
      </c>
      <c r="AC52" s="87" t="s">
        <v>175</v>
      </c>
      <c r="AD52" s="759" t="s">
        <v>403</v>
      </c>
      <c r="AE52" s="760"/>
      <c r="AF52" s="756"/>
      <c r="AG52" s="761"/>
      <c r="AH52" s="85">
        <f>'Variante Vorgaben'!E210</f>
        <v>600</v>
      </c>
      <c r="AI52" s="735">
        <f>AH52/$AH$92</f>
        <v>1.582207583807916E-2</v>
      </c>
      <c r="AJ52" s="87" t="s">
        <v>175</v>
      </c>
      <c r="AK52" s="759" t="s">
        <v>403</v>
      </c>
      <c r="AL52" s="760"/>
      <c r="AM52" s="756"/>
      <c r="AN52" s="761"/>
      <c r="AO52" s="85">
        <f>'Variante Vorgaben'!E210</f>
        <v>600</v>
      </c>
      <c r="AP52" s="735">
        <f>AO52/$AO$92</f>
        <v>1.5879245282066082E-2</v>
      </c>
      <c r="AQ52" s="87" t="s">
        <v>175</v>
      </c>
      <c r="AR52" s="759" t="s">
        <v>403</v>
      </c>
      <c r="AS52" s="760"/>
      <c r="AT52" s="756"/>
      <c r="AU52" s="761"/>
      <c r="AV52" s="85">
        <f>'Variante Vorgaben'!E210</f>
        <v>600</v>
      </c>
      <c r="AW52" s="735">
        <f>AV52/$AV$92</f>
        <v>1.483033443638381E-2</v>
      </c>
      <c r="AX52" s="87" t="s">
        <v>175</v>
      </c>
      <c r="AY52" s="759" t="s">
        <v>403</v>
      </c>
      <c r="AZ52" s="760"/>
      <c r="BA52" s="756"/>
      <c r="BB52" s="761"/>
      <c r="BC52" s="85">
        <f>'Variante Vorgaben'!E210</f>
        <v>600</v>
      </c>
      <c r="BD52" s="735">
        <f>BC52/$BC$92</f>
        <v>1.5985630192665322E-2</v>
      </c>
      <c r="BE52" s="87" t="s">
        <v>175</v>
      </c>
      <c r="BF52" s="759" t="s">
        <v>403</v>
      </c>
      <c r="BG52" s="760"/>
      <c r="BH52" s="756"/>
      <c r="BI52" s="761"/>
      <c r="BJ52" s="85">
        <f>'Variante Vorgaben'!E210</f>
        <v>600</v>
      </c>
      <c r="BK52" s="735">
        <f>BJ52/$BJ$92</f>
        <v>1.6045488081495331E-2</v>
      </c>
      <c r="BL52" s="87" t="s">
        <v>175</v>
      </c>
      <c r="BM52" s="759" t="s">
        <v>403</v>
      </c>
      <c r="BN52" s="760"/>
      <c r="BO52" s="756"/>
      <c r="BP52" s="761"/>
      <c r="BQ52" s="85">
        <f>'Variante Vorgaben'!E210</f>
        <v>600</v>
      </c>
      <c r="BR52" s="735">
        <f>BQ52/$BQ$92</f>
        <v>1.4976556916727866E-2</v>
      </c>
      <c r="BS52" s="87" t="s">
        <v>175</v>
      </c>
      <c r="BT52" s="759" t="s">
        <v>403</v>
      </c>
      <c r="BU52" s="760"/>
      <c r="BV52" s="756"/>
      <c r="BW52" s="761"/>
      <c r="BX52" s="85">
        <f>'Variante Vorgaben'!E210</f>
        <v>600</v>
      </c>
      <c r="BY52" s="735">
        <f>BX52/$BX$92</f>
        <v>1.6157198956150545E-2</v>
      </c>
      <c r="BZ52" s="87" t="s">
        <v>175</v>
      </c>
      <c r="CA52" s="759" t="s">
        <v>403</v>
      </c>
      <c r="CB52" s="760"/>
      <c r="CC52" s="756"/>
      <c r="CD52" s="761"/>
      <c r="CE52" s="85">
        <f>'Variante Vorgaben'!E210</f>
        <v>600</v>
      </c>
      <c r="CF52" s="735">
        <f>CE52/$CE$92</f>
        <v>1.6219923749739289E-2</v>
      </c>
      <c r="CG52" s="87" t="s">
        <v>175</v>
      </c>
      <c r="CH52" s="759" t="s">
        <v>403</v>
      </c>
      <c r="CI52" s="760"/>
      <c r="CJ52" s="756"/>
      <c r="CK52" s="761"/>
      <c r="CL52" s="85">
        <f>'Variante Vorgaben'!E210</f>
        <v>600</v>
      </c>
      <c r="CM52" s="735">
        <f>CL52/$CL$92</f>
        <v>1.5385200489359652E-2</v>
      </c>
      <c r="CN52" s="87" t="s">
        <v>175</v>
      </c>
      <c r="CO52" s="759" t="s">
        <v>403</v>
      </c>
      <c r="CP52" s="760"/>
      <c r="CQ52" s="756"/>
      <c r="CR52" s="761"/>
      <c r="CS52" s="85">
        <f>'Variante Vorgaben'!E210</f>
        <v>600</v>
      </c>
      <c r="CT52" s="735">
        <f>CS52/$CS$92</f>
        <v>1.6619252778078849E-2</v>
      </c>
      <c r="CU52" s="87" t="s">
        <v>175</v>
      </c>
      <c r="CV52" s="759" t="s">
        <v>403</v>
      </c>
      <c r="CW52" s="760"/>
      <c r="CX52" s="756"/>
      <c r="CY52" s="761"/>
      <c r="CZ52" s="85">
        <f>'Variante Vorgaben'!E210</f>
        <v>600</v>
      </c>
      <c r="DA52" s="735">
        <f>CZ52/$CZ$92</f>
        <v>1.4288763716872018E-2</v>
      </c>
    </row>
    <row r="53" spans="1:106" s="291" customFormat="1" ht="18.75" customHeight="1" x14ac:dyDescent="0.4">
      <c r="A53" s="588" t="s">
        <v>214</v>
      </c>
      <c r="B53" s="589"/>
      <c r="C53" s="632"/>
      <c r="D53" s="632"/>
      <c r="E53" s="633"/>
      <c r="F53" s="592">
        <f>F52+F50+F38+F22+F39+F40</f>
        <v>5220.5640000000003</v>
      </c>
      <c r="G53" s="61">
        <f>F53/$F$92</f>
        <v>0.21724870529446133</v>
      </c>
      <c r="H53" s="588" t="s">
        <v>214</v>
      </c>
      <c r="I53" s="589"/>
      <c r="J53" s="632"/>
      <c r="K53" s="632"/>
      <c r="L53" s="633"/>
      <c r="M53" s="592">
        <f>M52+M50+M38+M22+M39+M40</f>
        <v>4905.9325219651055</v>
      </c>
      <c r="N53" s="61">
        <f>M53/$M$92</f>
        <v>0.20046073488120619</v>
      </c>
      <c r="O53" s="588" t="s">
        <v>214</v>
      </c>
      <c r="P53" s="589"/>
      <c r="Q53" s="632"/>
      <c r="R53" s="632"/>
      <c r="S53" s="633"/>
      <c r="T53" s="592">
        <f>T52+T50+T38+T22+T39+T40</f>
        <v>7698.3631731915611</v>
      </c>
      <c r="U53" s="61">
        <f>T53/$T$92</f>
        <v>0.23778454725082102</v>
      </c>
      <c r="V53" s="588" t="s">
        <v>214</v>
      </c>
      <c r="W53" s="589"/>
      <c r="X53" s="632"/>
      <c r="Y53" s="632"/>
      <c r="Z53" s="633"/>
      <c r="AA53" s="592">
        <f>AA52+AA50+AA38+AA22+AA39+AA40</f>
        <v>8437.8053288169885</v>
      </c>
      <c r="AB53" s="61">
        <f>AA53/$AA$92</f>
        <v>0.23002431871457324</v>
      </c>
      <c r="AC53" s="588" t="s">
        <v>214</v>
      </c>
      <c r="AD53" s="589"/>
      <c r="AE53" s="632"/>
      <c r="AF53" s="632"/>
      <c r="AG53" s="633"/>
      <c r="AH53" s="592">
        <f>AH52+AH50+AH38+AH22+AH39+AH40</f>
        <v>8134.0689209573584</v>
      </c>
      <c r="AI53" s="61">
        <f>AH53/$AH$92</f>
        <v>0.21449642556591675</v>
      </c>
      <c r="AJ53" s="588" t="s">
        <v>214</v>
      </c>
      <c r="AK53" s="589"/>
      <c r="AL53" s="632"/>
      <c r="AM53" s="632"/>
      <c r="AN53" s="633"/>
      <c r="AO53" s="592">
        <f>AO52+AO50+AO38+AO22+AO39+AO40</f>
        <v>8134.0689209573584</v>
      </c>
      <c r="AP53" s="61">
        <f>AO53/$AO$92</f>
        <v>0.21527145922852078</v>
      </c>
      <c r="AQ53" s="588" t="s">
        <v>214</v>
      </c>
      <c r="AR53" s="589"/>
      <c r="AS53" s="632"/>
      <c r="AT53" s="632"/>
      <c r="AU53" s="633"/>
      <c r="AV53" s="592">
        <f>AV52+AV50+AV38+AV22+AV39+AV40</f>
        <v>8634.2722556462577</v>
      </c>
      <c r="AW53" s="61">
        <f>AV53/$AV$92</f>
        <v>0.21341524194337336</v>
      </c>
      <c r="AX53" s="588" t="s">
        <v>214</v>
      </c>
      <c r="AY53" s="589"/>
      <c r="AZ53" s="632"/>
      <c r="BA53" s="632"/>
      <c r="BB53" s="633"/>
      <c r="BC53" s="592">
        <f>BC52+BC50+BC38+BC22+BC39+BC40</f>
        <v>8134.0689209573584</v>
      </c>
      <c r="BD53" s="61">
        <f>BC53/$BC$92</f>
        <v>0.21671369622012765</v>
      </c>
      <c r="BE53" s="588" t="s">
        <v>214</v>
      </c>
      <c r="BF53" s="589"/>
      <c r="BG53" s="632"/>
      <c r="BH53" s="632"/>
      <c r="BI53" s="633"/>
      <c r="BJ53" s="592">
        <f>BJ52+BJ50+BJ38+BJ22+BJ39+BJ40</f>
        <v>8134.0689209573584</v>
      </c>
      <c r="BK53" s="61">
        <f>BJ53/$BJ$92</f>
        <v>0.21752517654213815</v>
      </c>
      <c r="BL53" s="588" t="s">
        <v>214</v>
      </c>
      <c r="BM53" s="589"/>
      <c r="BN53" s="632"/>
      <c r="BO53" s="632"/>
      <c r="BP53" s="633"/>
      <c r="BQ53" s="592">
        <f>BQ52+BQ50+BQ38+BQ22+BQ39+BQ40</f>
        <v>8634.2722556462577</v>
      </c>
      <c r="BR53" s="61">
        <f>BQ53/$BQ$92</f>
        <v>0.21551944978535079</v>
      </c>
      <c r="BS53" s="588" t="s">
        <v>214</v>
      </c>
      <c r="BT53" s="589"/>
      <c r="BU53" s="632"/>
      <c r="BV53" s="632"/>
      <c r="BW53" s="633"/>
      <c r="BX53" s="592">
        <f>BX52+BX50+BX38+BX22+BX39+BX40</f>
        <v>8134.0689209573584</v>
      </c>
      <c r="BY53" s="61">
        <f>BX53/$BX$92</f>
        <v>0.21903961646491474</v>
      </c>
      <c r="BZ53" s="588" t="s">
        <v>214</v>
      </c>
      <c r="CA53" s="589"/>
      <c r="CB53" s="632"/>
      <c r="CC53" s="632"/>
      <c r="CD53" s="633"/>
      <c r="CE53" s="592">
        <f>CE52+CE50+CE38+CE22+CE39+CE40</f>
        <v>8134.0689209573584</v>
      </c>
      <c r="CF53" s="61">
        <f>CE53/$CE$92</f>
        <v>0.2198899627884208</v>
      </c>
      <c r="CG53" s="588" t="s">
        <v>214</v>
      </c>
      <c r="CH53" s="589"/>
      <c r="CI53" s="632"/>
      <c r="CJ53" s="632"/>
      <c r="CK53" s="633"/>
      <c r="CL53" s="592">
        <f>CL52+CL50+CL38+CL22+CL39+CL40</f>
        <v>8601.5277678413786</v>
      </c>
      <c r="CM53" s="61">
        <f>CL53/$CL$92</f>
        <v>0.22056038203838968</v>
      </c>
      <c r="CN53" s="588" t="s">
        <v>214</v>
      </c>
      <c r="CO53" s="589"/>
      <c r="CP53" s="632"/>
      <c r="CQ53" s="632"/>
      <c r="CR53" s="633"/>
      <c r="CS53" s="592">
        <f>CS52+CS50+CS38+CS22+CS39+CS40</f>
        <v>8101.3244331524802</v>
      </c>
      <c r="CT53" s="61">
        <f>CS53/$CS$92</f>
        <v>0.22439659765297901</v>
      </c>
      <c r="CU53" s="588" t="s">
        <v>214</v>
      </c>
      <c r="CV53" s="589"/>
      <c r="CW53" s="632"/>
      <c r="CX53" s="632"/>
      <c r="CY53" s="633"/>
      <c r="CZ53" s="592">
        <f>CZ52+CZ50+CZ38+CZ22+CZ39+CZ40</f>
        <v>8101.3244331524802</v>
      </c>
      <c r="DA53" s="61">
        <f>CZ53/$CZ$92</f>
        <v>0.19292985103172985</v>
      </c>
    </row>
    <row r="54" spans="1:106" s="41" customFormat="1" ht="18.75" customHeight="1" x14ac:dyDescent="0.3">
      <c r="A54" s="41" t="s">
        <v>181</v>
      </c>
      <c r="B54" s="19"/>
      <c r="C54" s="150" t="s">
        <v>59</v>
      </c>
      <c r="D54" s="762">
        <f>'Variante Vorgaben'!$C$206</f>
        <v>10</v>
      </c>
      <c r="E54" s="45">
        <f>'Variante Vorgaben'!$D$206</f>
        <v>15</v>
      </c>
      <c r="F54" s="83">
        <f>D54*E54</f>
        <v>150</v>
      </c>
      <c r="G54" s="735">
        <f>F54/$F$92</f>
        <v>6.2421044534975911E-3</v>
      </c>
      <c r="H54" s="41" t="s">
        <v>181</v>
      </c>
      <c r="I54" s="19"/>
      <c r="J54" s="150" t="s">
        <v>59</v>
      </c>
      <c r="K54" s="762">
        <f>'Variante Vorgaben'!$C$206</f>
        <v>10</v>
      </c>
      <c r="L54" s="45">
        <f>'Variante Vorgaben'!$D$206</f>
        <v>15</v>
      </c>
      <c r="M54" s="83">
        <f>K54*L54</f>
        <v>150</v>
      </c>
      <c r="N54" s="735">
        <f>M54/$M$92</f>
        <v>6.1291324529136691E-3</v>
      </c>
      <c r="O54" s="41" t="s">
        <v>181</v>
      </c>
      <c r="P54" s="19"/>
      <c r="Q54" s="150" t="s">
        <v>59</v>
      </c>
      <c r="R54" s="762">
        <f>'Variante Vorgaben'!$C$206</f>
        <v>10</v>
      </c>
      <c r="S54" s="45">
        <f>'Variante Vorgaben'!$D$206</f>
        <v>15</v>
      </c>
      <c r="T54" s="83">
        <f>R54*S54</f>
        <v>150</v>
      </c>
      <c r="U54" s="735">
        <f>T54/$T$92</f>
        <v>4.6331513966281438E-3</v>
      </c>
      <c r="V54" s="41" t="s">
        <v>181</v>
      </c>
      <c r="W54" s="19"/>
      <c r="X54" s="150" t="s">
        <v>59</v>
      </c>
      <c r="Y54" s="762">
        <f>'Variante Vorgaben'!$C$206</f>
        <v>10</v>
      </c>
      <c r="Z54" s="45">
        <f>'Variante Vorgaben'!$D$206</f>
        <v>15</v>
      </c>
      <c r="AA54" s="83">
        <f>Y54*Z54</f>
        <v>150</v>
      </c>
      <c r="AB54" s="735">
        <f>AA54/$AA$92</f>
        <v>4.0891732461933354E-3</v>
      </c>
      <c r="AC54" s="41" t="s">
        <v>181</v>
      </c>
      <c r="AD54" s="19"/>
      <c r="AE54" s="150" t="s">
        <v>59</v>
      </c>
      <c r="AF54" s="762">
        <f>'Variante Vorgaben'!$C$206</f>
        <v>10</v>
      </c>
      <c r="AG54" s="45">
        <f>'Variante Vorgaben'!$D$206</f>
        <v>15</v>
      </c>
      <c r="AH54" s="83">
        <f>AF54*AG54</f>
        <v>150</v>
      </c>
      <c r="AI54" s="735">
        <f>AH54/$AH$92</f>
        <v>3.9555189595197899E-3</v>
      </c>
      <c r="AJ54" s="41" t="s">
        <v>181</v>
      </c>
      <c r="AK54" s="19"/>
      <c r="AL54" s="150" t="s">
        <v>59</v>
      </c>
      <c r="AM54" s="762">
        <f>'Variante Vorgaben'!$C$206</f>
        <v>10</v>
      </c>
      <c r="AN54" s="45">
        <f>'Variante Vorgaben'!$D$206</f>
        <v>15</v>
      </c>
      <c r="AO54" s="83">
        <f>AM54*AN54</f>
        <v>150</v>
      </c>
      <c r="AP54" s="735">
        <f>AO54/$AO$92</f>
        <v>3.9698113205165206E-3</v>
      </c>
      <c r="AQ54" s="41" t="s">
        <v>181</v>
      </c>
      <c r="AR54" s="19"/>
      <c r="AS54" s="150" t="s">
        <v>59</v>
      </c>
      <c r="AT54" s="762">
        <f>'Variante Vorgaben'!$C$206</f>
        <v>10</v>
      </c>
      <c r="AU54" s="45">
        <f>'Variante Vorgaben'!$D$206</f>
        <v>15</v>
      </c>
      <c r="AV54" s="83">
        <f>AT54*AU54</f>
        <v>150</v>
      </c>
      <c r="AW54" s="735">
        <f>AV54/$AV$92</f>
        <v>3.7075836090959525E-3</v>
      </c>
      <c r="AX54" s="41" t="s">
        <v>181</v>
      </c>
      <c r="AY54" s="19"/>
      <c r="AZ54" s="150" t="s">
        <v>59</v>
      </c>
      <c r="BA54" s="762">
        <f>'Variante Vorgaben'!$C$206</f>
        <v>10</v>
      </c>
      <c r="BB54" s="45">
        <f>'Variante Vorgaben'!$D$206</f>
        <v>15</v>
      </c>
      <c r="BC54" s="83">
        <f>BA54*BB54</f>
        <v>150</v>
      </c>
      <c r="BD54" s="735">
        <f>BC54/$BC$92</f>
        <v>3.9964075481663305E-3</v>
      </c>
      <c r="BE54" s="41" t="s">
        <v>181</v>
      </c>
      <c r="BF54" s="19"/>
      <c r="BG54" s="150" t="s">
        <v>59</v>
      </c>
      <c r="BH54" s="762">
        <f>'Variante Vorgaben'!$C$206</f>
        <v>10</v>
      </c>
      <c r="BI54" s="45">
        <f>'Variante Vorgaben'!$D$206</f>
        <v>15</v>
      </c>
      <c r="BJ54" s="83">
        <f>BH54*BI54</f>
        <v>150</v>
      </c>
      <c r="BK54" s="735">
        <f>BJ54/$BJ$92</f>
        <v>4.0113720203738329E-3</v>
      </c>
      <c r="BL54" s="41" t="s">
        <v>181</v>
      </c>
      <c r="BM54" s="19"/>
      <c r="BN54" s="150" t="s">
        <v>59</v>
      </c>
      <c r="BO54" s="762">
        <f>'Variante Vorgaben'!$C$206</f>
        <v>10</v>
      </c>
      <c r="BP54" s="45">
        <f>'Variante Vorgaben'!$D$206</f>
        <v>15</v>
      </c>
      <c r="BQ54" s="83">
        <f>BO54*BP54</f>
        <v>150</v>
      </c>
      <c r="BR54" s="735">
        <f>BQ54/$BQ$92</f>
        <v>3.7441392291819664E-3</v>
      </c>
      <c r="BS54" s="41" t="s">
        <v>181</v>
      </c>
      <c r="BT54" s="19"/>
      <c r="BU54" s="150" t="s">
        <v>59</v>
      </c>
      <c r="BV54" s="762">
        <f>'Variante Vorgaben'!$C$206</f>
        <v>10</v>
      </c>
      <c r="BW54" s="45">
        <f>'Variante Vorgaben'!$D$206</f>
        <v>15</v>
      </c>
      <c r="BX54" s="83">
        <f>BV54*BW54</f>
        <v>150</v>
      </c>
      <c r="BY54" s="735">
        <f>BX54/$BX$92</f>
        <v>4.0392997390376363E-3</v>
      </c>
      <c r="BZ54" s="41" t="s">
        <v>181</v>
      </c>
      <c r="CA54" s="19"/>
      <c r="CB54" s="150" t="s">
        <v>59</v>
      </c>
      <c r="CC54" s="762">
        <f>'Variante Vorgaben'!$C$206</f>
        <v>10</v>
      </c>
      <c r="CD54" s="45">
        <f>'Variante Vorgaben'!$D$206</f>
        <v>15</v>
      </c>
      <c r="CE54" s="83">
        <f>CC54*CD54</f>
        <v>150</v>
      </c>
      <c r="CF54" s="735">
        <f>CE54/$CE$92</f>
        <v>4.0549809374348222E-3</v>
      </c>
      <c r="CG54" s="41" t="s">
        <v>181</v>
      </c>
      <c r="CH54" s="19"/>
      <c r="CI54" s="150" t="s">
        <v>59</v>
      </c>
      <c r="CJ54" s="762">
        <v>10</v>
      </c>
      <c r="CK54" s="45">
        <f>'Variante Vorgaben'!$D$206</f>
        <v>15</v>
      </c>
      <c r="CL54" s="83">
        <f>CJ54*CK54</f>
        <v>150</v>
      </c>
      <c r="CM54" s="735">
        <f>CL54/$CL$92</f>
        <v>3.8463001223399129E-3</v>
      </c>
      <c r="CN54" s="41" t="s">
        <v>181</v>
      </c>
      <c r="CO54" s="19"/>
      <c r="CP54" s="150" t="s">
        <v>59</v>
      </c>
      <c r="CQ54" s="762">
        <f>'Variante Vorgaben'!$C$206</f>
        <v>10</v>
      </c>
      <c r="CR54" s="45">
        <f>'Variante Vorgaben'!$D$206</f>
        <v>15</v>
      </c>
      <c r="CS54" s="83">
        <f>CQ54*CR54</f>
        <v>150</v>
      </c>
      <c r="CT54" s="735">
        <f>CS54/$CS$92</f>
        <v>4.1548131945197122E-3</v>
      </c>
      <c r="CU54" s="41" t="s">
        <v>181</v>
      </c>
      <c r="CV54" s="19"/>
      <c r="CW54" s="150" t="s">
        <v>59</v>
      </c>
      <c r="CX54" s="762">
        <f>'Variante Vorgaben'!$C$206</f>
        <v>10</v>
      </c>
      <c r="CY54" s="45">
        <f>'Variante Vorgaben'!$D$206</f>
        <v>15</v>
      </c>
      <c r="CZ54" s="83">
        <f>CX54*CY54</f>
        <v>150</v>
      </c>
      <c r="DA54" s="735">
        <f>CZ54/$CZ$92</f>
        <v>3.5721909292180045E-3</v>
      </c>
    </row>
    <row r="55" spans="1:106" ht="17.5" customHeight="1" x14ac:dyDescent="0.25">
      <c r="A55"/>
      <c r="B55"/>
      <c r="C55" s="38" t="s">
        <v>11</v>
      </c>
      <c r="D55" s="120" t="s">
        <v>20</v>
      </c>
      <c r="E55" s="304" t="s">
        <v>60</v>
      </c>
      <c r="F55" s="305" t="s">
        <v>22</v>
      </c>
      <c r="G55" s="739"/>
      <c r="H55"/>
      <c r="I55"/>
      <c r="J55" s="38" t="s">
        <v>11</v>
      </c>
      <c r="K55" s="120" t="s">
        <v>20</v>
      </c>
      <c r="L55" s="304" t="s">
        <v>60</v>
      </c>
      <c r="M55" s="305" t="s">
        <v>22</v>
      </c>
      <c r="N55" s="739"/>
      <c r="O55"/>
      <c r="Q55" s="38" t="s">
        <v>11</v>
      </c>
      <c r="R55" s="120" t="s">
        <v>20</v>
      </c>
      <c r="S55" s="304" t="s">
        <v>60</v>
      </c>
      <c r="T55" s="305" t="s">
        <v>22</v>
      </c>
      <c r="U55" s="739"/>
      <c r="V55"/>
      <c r="X55" s="38" t="s">
        <v>11</v>
      </c>
      <c r="Y55" s="120" t="s">
        <v>20</v>
      </c>
      <c r="Z55" s="304" t="s">
        <v>60</v>
      </c>
      <c r="AA55" s="305" t="s">
        <v>22</v>
      </c>
      <c r="AB55" s="739"/>
      <c r="AC55"/>
      <c r="AE55" s="38" t="s">
        <v>11</v>
      </c>
      <c r="AF55" s="120" t="s">
        <v>20</v>
      </c>
      <c r="AG55" s="304" t="s">
        <v>60</v>
      </c>
      <c r="AH55" s="305" t="s">
        <v>22</v>
      </c>
      <c r="AI55" s="739"/>
      <c r="AJ55"/>
      <c r="AL55" s="38" t="s">
        <v>11</v>
      </c>
      <c r="AM55" s="120" t="s">
        <v>20</v>
      </c>
      <c r="AN55" s="304" t="s">
        <v>60</v>
      </c>
      <c r="AO55" s="305" t="s">
        <v>22</v>
      </c>
      <c r="AP55" s="739"/>
      <c r="AQ55"/>
      <c r="AS55" s="38" t="s">
        <v>11</v>
      </c>
      <c r="AT55" s="120" t="s">
        <v>20</v>
      </c>
      <c r="AU55" s="304" t="s">
        <v>60</v>
      </c>
      <c r="AV55" s="305" t="s">
        <v>22</v>
      </c>
      <c r="AW55" s="739"/>
      <c r="AX55"/>
      <c r="AZ55" s="38" t="s">
        <v>11</v>
      </c>
      <c r="BA55" s="120" t="s">
        <v>20</v>
      </c>
      <c r="BB55" s="304" t="s">
        <v>60</v>
      </c>
      <c r="BC55" s="305" t="s">
        <v>22</v>
      </c>
      <c r="BD55" s="739"/>
      <c r="BE55"/>
      <c r="BG55" s="38" t="s">
        <v>11</v>
      </c>
      <c r="BH55" s="120" t="s">
        <v>20</v>
      </c>
      <c r="BI55" s="304" t="s">
        <v>60</v>
      </c>
      <c r="BJ55" s="305" t="s">
        <v>22</v>
      </c>
      <c r="BK55" s="739"/>
      <c r="BL55"/>
      <c r="BN55" s="38" t="s">
        <v>11</v>
      </c>
      <c r="BO55" s="120" t="s">
        <v>20</v>
      </c>
      <c r="BP55" s="304" t="s">
        <v>60</v>
      </c>
      <c r="BQ55" s="305" t="s">
        <v>22</v>
      </c>
      <c r="BR55" s="739"/>
      <c r="BS55"/>
      <c r="BU55" s="38" t="s">
        <v>11</v>
      </c>
      <c r="BV55" s="120" t="s">
        <v>20</v>
      </c>
      <c r="BW55" s="304" t="s">
        <v>60</v>
      </c>
      <c r="BX55" s="305" t="s">
        <v>22</v>
      </c>
      <c r="BY55" s="739"/>
      <c r="BZ55"/>
      <c r="CB55" s="38" t="s">
        <v>11</v>
      </c>
      <c r="CC55" s="120" t="s">
        <v>20</v>
      </c>
      <c r="CD55" s="304" t="s">
        <v>60</v>
      </c>
      <c r="CE55" s="305" t="s">
        <v>22</v>
      </c>
      <c r="CF55" s="739"/>
      <c r="CG55"/>
      <c r="CI55" s="38" t="s">
        <v>11</v>
      </c>
      <c r="CJ55" s="120" t="s">
        <v>20</v>
      </c>
      <c r="CK55" s="304" t="s">
        <v>60</v>
      </c>
      <c r="CL55" s="305" t="s">
        <v>22</v>
      </c>
      <c r="CM55" s="739"/>
      <c r="CN55"/>
      <c r="CP55" s="38" t="s">
        <v>11</v>
      </c>
      <c r="CQ55" s="120" t="s">
        <v>20</v>
      </c>
      <c r="CR55" s="304" t="s">
        <v>60</v>
      </c>
      <c r="CS55" s="305" t="s">
        <v>22</v>
      </c>
      <c r="CT55" s="739"/>
      <c r="CU55"/>
      <c r="CW55" s="38" t="s">
        <v>11</v>
      </c>
      <c r="CX55" s="120" t="s">
        <v>20</v>
      </c>
      <c r="CY55" s="304" t="s">
        <v>60</v>
      </c>
      <c r="CZ55" s="305" t="s">
        <v>22</v>
      </c>
      <c r="DA55" s="739"/>
    </row>
    <row r="56" spans="1:106" s="1" customFormat="1" ht="13" x14ac:dyDescent="0.3">
      <c r="A56" s="41" t="s">
        <v>98</v>
      </c>
      <c r="B56" s="42" t="str">
        <f>'Variante Vorgaben'!$B$179</f>
        <v>Anbaugebläsepritze 1000 l</v>
      </c>
      <c r="C56" s="1196">
        <f>C38-B38</f>
        <v>29</v>
      </c>
      <c r="D56" s="40">
        <f>'Variante Vorgaben'!$C$179</f>
        <v>1</v>
      </c>
      <c r="E56" s="45">
        <f>'Variante Vorgaben'!$D$179*(1+Eingabeseite!$C$27)</f>
        <v>37</v>
      </c>
      <c r="F56" s="46">
        <f>C56*E56</f>
        <v>1073</v>
      </c>
      <c r="G56" s="738">
        <f>F56/$F$92</f>
        <v>4.465185385735277E-2</v>
      </c>
      <c r="H56" s="41" t="s">
        <v>98</v>
      </c>
      <c r="I56" s="42" t="str">
        <f>'Variante Vorgaben'!$B$179</f>
        <v>Anbaugebläsepritze 1000 l</v>
      </c>
      <c r="J56" s="460">
        <f>J38-I38</f>
        <v>29</v>
      </c>
      <c r="K56" s="40">
        <f>'Variante Vorgaben'!$C$179</f>
        <v>1</v>
      </c>
      <c r="L56" s="45">
        <f>'Variante Vorgaben'!$D$179*(1+Eingabeseite!$C$27)</f>
        <v>37</v>
      </c>
      <c r="M56" s="46">
        <f>J56*L56</f>
        <v>1073</v>
      </c>
      <c r="N56" s="738">
        <f>M56/$M$92</f>
        <v>4.3843727479842443E-2</v>
      </c>
      <c r="O56" s="41" t="s">
        <v>98</v>
      </c>
      <c r="P56" s="42" t="str">
        <f>'Variante Vorgaben'!$B$179</f>
        <v>Anbaugebläsepritze 1000 l</v>
      </c>
      <c r="Q56" s="460">
        <f>Q38-P38-Q37</f>
        <v>25</v>
      </c>
      <c r="R56" s="40">
        <f>'Variante Vorgaben'!$C$179</f>
        <v>1</v>
      </c>
      <c r="S56" s="45">
        <f>'Variante Vorgaben'!$D$179*(1+Eingabeseite!$C$27)</f>
        <v>37</v>
      </c>
      <c r="T56" s="46">
        <f>Q56*S56</f>
        <v>925</v>
      </c>
      <c r="U56" s="738">
        <f>T56/$T$92</f>
        <v>2.8571100279206889E-2</v>
      </c>
      <c r="V56" s="41" t="s">
        <v>98</v>
      </c>
      <c r="W56" s="42" t="str">
        <f>'Variante Vorgaben'!$B$179</f>
        <v>Anbaugebläsepritze 1000 l</v>
      </c>
      <c r="X56" s="829">
        <f>X38-W38-X37</f>
        <v>25</v>
      </c>
      <c r="Y56" s="40">
        <f>'Variante Vorgaben'!$C$179</f>
        <v>1</v>
      </c>
      <c r="Z56" s="45">
        <f>'Variante Vorgaben'!$D$179*(1+Eingabeseite!$C$27)</f>
        <v>37</v>
      </c>
      <c r="AA56" s="46">
        <f>X56*Z56</f>
        <v>925</v>
      </c>
      <c r="AB56" s="738">
        <f>AA56/$AA$92</f>
        <v>2.5216568351525567E-2</v>
      </c>
      <c r="AC56" s="41" t="s">
        <v>98</v>
      </c>
      <c r="AD56" s="42" t="str">
        <f>'Variante Vorgaben'!$B$179</f>
        <v>Anbaugebläsepritze 1000 l</v>
      </c>
      <c r="AE56" s="829">
        <f>AE38-AD38-AE37</f>
        <v>25</v>
      </c>
      <c r="AF56" s="40">
        <f>'Variante Vorgaben'!$C$179</f>
        <v>1</v>
      </c>
      <c r="AG56" s="45">
        <f>'Variante Vorgaben'!$D$179*(1+Eingabeseite!$C$27)</f>
        <v>37</v>
      </c>
      <c r="AH56" s="46">
        <f>AE56*AG56</f>
        <v>925</v>
      </c>
      <c r="AI56" s="738">
        <f>AH56/$AH$92</f>
        <v>2.4392366917038708E-2</v>
      </c>
      <c r="AJ56" s="41" t="s">
        <v>98</v>
      </c>
      <c r="AK56" s="42" t="str">
        <f>'Variante Vorgaben'!$B$179</f>
        <v>Anbaugebläsepritze 1000 l</v>
      </c>
      <c r="AL56" s="829">
        <f>AL38-AK38-AL37</f>
        <v>25</v>
      </c>
      <c r="AM56" s="40">
        <f>'Variante Vorgaben'!$C$179</f>
        <v>1</v>
      </c>
      <c r="AN56" s="45">
        <f>'Variante Vorgaben'!$D$179*(1+Eingabeseite!$C$27)</f>
        <v>37</v>
      </c>
      <c r="AO56" s="46">
        <f>AL56*AN56</f>
        <v>925</v>
      </c>
      <c r="AP56" s="738">
        <f>AO56/$AO$92</f>
        <v>2.4480503143185207E-2</v>
      </c>
      <c r="AQ56" s="41" t="s">
        <v>98</v>
      </c>
      <c r="AR56" s="42" t="str">
        <f>'Variante Vorgaben'!$B$179</f>
        <v>Anbaugebläsepritze 1000 l</v>
      </c>
      <c r="AS56" s="829">
        <f>AS38-AR38-AS37</f>
        <v>25</v>
      </c>
      <c r="AT56" s="40">
        <f>'Variante Vorgaben'!$C$179</f>
        <v>1</v>
      </c>
      <c r="AU56" s="45">
        <f>'Variante Vorgaben'!$D$179*(1+Eingabeseite!$C$27)</f>
        <v>37</v>
      </c>
      <c r="AV56" s="46">
        <f>AS56*AU56</f>
        <v>925</v>
      </c>
      <c r="AW56" s="738">
        <f>AV56/$AV$92</f>
        <v>2.2863432256091706E-2</v>
      </c>
      <c r="AX56" s="41" t="s">
        <v>98</v>
      </c>
      <c r="AY56" s="42" t="str">
        <f>'Variante Vorgaben'!$B$179</f>
        <v>Anbaugebläsepritze 1000 l</v>
      </c>
      <c r="AZ56" s="829">
        <f>AZ38-AY38-AZ37</f>
        <v>25</v>
      </c>
      <c r="BA56" s="40">
        <f>'Variante Vorgaben'!$C$179</f>
        <v>1</v>
      </c>
      <c r="BB56" s="45">
        <f>'Variante Vorgaben'!$D$179*(1+Eingabeseite!$C$27)</f>
        <v>37</v>
      </c>
      <c r="BC56" s="46">
        <f>AZ56*BB56</f>
        <v>925</v>
      </c>
      <c r="BD56" s="738">
        <f>BC56/$BC$92</f>
        <v>2.4644513213692373E-2</v>
      </c>
      <c r="BE56" s="41" t="s">
        <v>98</v>
      </c>
      <c r="BF56" s="42" t="str">
        <f>'Variante Vorgaben'!$B$179</f>
        <v>Anbaugebläsepritze 1000 l</v>
      </c>
      <c r="BG56" s="829">
        <f>BG38-BF38-BG37</f>
        <v>25</v>
      </c>
      <c r="BH56" s="40">
        <f>'Variante Vorgaben'!$C$179</f>
        <v>1</v>
      </c>
      <c r="BI56" s="45">
        <f>'Variante Vorgaben'!$D$179*(1+Eingabeseite!$C$27)</f>
        <v>37</v>
      </c>
      <c r="BJ56" s="46">
        <f>BG56*BI56</f>
        <v>925</v>
      </c>
      <c r="BK56" s="738">
        <f>BJ56/$BJ$92</f>
        <v>2.4736794125638638E-2</v>
      </c>
      <c r="BL56" s="41" t="s">
        <v>98</v>
      </c>
      <c r="BM56" s="42" t="str">
        <f>'Variante Vorgaben'!$B$179</f>
        <v>Anbaugebläsepritze 1000 l</v>
      </c>
      <c r="BN56" s="829">
        <f>BN38-BM38-BN37</f>
        <v>25</v>
      </c>
      <c r="BO56" s="40">
        <f>'Variante Vorgaben'!$C$179</f>
        <v>1</v>
      </c>
      <c r="BP56" s="45">
        <f>'Variante Vorgaben'!$D$179*(1+Eingabeseite!$C$27)</f>
        <v>37</v>
      </c>
      <c r="BQ56" s="46">
        <f>BN56*BP56</f>
        <v>925</v>
      </c>
      <c r="BR56" s="738">
        <f>BQ56/$BQ$92</f>
        <v>2.3088858579955459E-2</v>
      </c>
      <c r="BS56" s="41" t="s">
        <v>98</v>
      </c>
      <c r="BT56" s="42" t="str">
        <f>'Variante Vorgaben'!$B$179</f>
        <v>Anbaugebläsepritze 1000 l</v>
      </c>
      <c r="BU56" s="829">
        <f>BU38-BT38-BU37</f>
        <v>25</v>
      </c>
      <c r="BV56" s="40">
        <f>'Variante Vorgaben'!$C$179</f>
        <v>1</v>
      </c>
      <c r="BW56" s="45">
        <f>'Variante Vorgaben'!$D$179*(1+Eingabeseite!$C$27)</f>
        <v>37</v>
      </c>
      <c r="BX56" s="46">
        <f>BU56*BW56</f>
        <v>925</v>
      </c>
      <c r="BY56" s="738">
        <f>BX56/$BX$92</f>
        <v>2.4909015057398759E-2</v>
      </c>
      <c r="BZ56" s="41" t="s">
        <v>98</v>
      </c>
      <c r="CA56" s="42" t="str">
        <f>'Variante Vorgaben'!$B$179</f>
        <v>Anbaugebläsepritze 1000 l</v>
      </c>
      <c r="CB56" s="829">
        <f>CB38-CA38-CB37</f>
        <v>25</v>
      </c>
      <c r="CC56" s="40">
        <f>'Variante Vorgaben'!$C$179</f>
        <v>1</v>
      </c>
      <c r="CD56" s="45">
        <f>'Variante Vorgaben'!$D$179*(1+Eingabeseite!$C$27)</f>
        <v>37</v>
      </c>
      <c r="CE56" s="46">
        <f>CB56*CD56</f>
        <v>925</v>
      </c>
      <c r="CF56" s="738">
        <f>CE56/$CE$92</f>
        <v>2.5005715780848068E-2</v>
      </c>
      <c r="CG56" s="41" t="s">
        <v>98</v>
      </c>
      <c r="CH56" s="42" t="str">
        <f>'Variante Vorgaben'!$B$179</f>
        <v>Anbaugebläsepritze 1000 l</v>
      </c>
      <c r="CI56" s="829">
        <f>CI38-CH38-CI37</f>
        <v>25</v>
      </c>
      <c r="CJ56" s="40">
        <f>'Variante Vorgaben'!$C$179</f>
        <v>1</v>
      </c>
      <c r="CK56" s="45">
        <f>'Variante Vorgaben'!$D$179*(1+Eingabeseite!$C$27)</f>
        <v>37</v>
      </c>
      <c r="CL56" s="46">
        <f>CI56*CK56</f>
        <v>925</v>
      </c>
      <c r="CM56" s="738">
        <f>CL56/$CL$92</f>
        <v>2.3718850754429463E-2</v>
      </c>
      <c r="CN56" s="41" t="s">
        <v>98</v>
      </c>
      <c r="CO56" s="42" t="str">
        <f>'Variante Vorgaben'!$B$179</f>
        <v>Anbaugebläsepritze 1000 l</v>
      </c>
      <c r="CP56" s="829">
        <f>CP38-CO38-CP37</f>
        <v>25</v>
      </c>
      <c r="CQ56" s="40">
        <f>'Variante Vorgaben'!$C$179</f>
        <v>1</v>
      </c>
      <c r="CR56" s="45">
        <f>'Variante Vorgaben'!$D$179*(1+Eingabeseite!$C$27)</f>
        <v>37</v>
      </c>
      <c r="CS56" s="46">
        <f>CP56*CR56</f>
        <v>925</v>
      </c>
      <c r="CT56" s="738">
        <f>CS56/$CS$92</f>
        <v>2.5621348032871555E-2</v>
      </c>
      <c r="CU56" s="41" t="s">
        <v>98</v>
      </c>
      <c r="CV56" s="42" t="str">
        <f>'Variante Vorgaben'!$B$179</f>
        <v>Anbaugebläsepritze 1000 l</v>
      </c>
      <c r="CW56" s="829">
        <f>CW38-CV38-CW37</f>
        <v>25</v>
      </c>
      <c r="CX56" s="40">
        <f>'Variante Vorgaben'!$C$179</f>
        <v>1</v>
      </c>
      <c r="CY56" s="45">
        <f>'Variante Vorgaben'!$D$179*(1+Eingabeseite!$C$27)</f>
        <v>37</v>
      </c>
      <c r="CZ56" s="46">
        <f>CW56*CY56</f>
        <v>925</v>
      </c>
      <c r="DA56" s="738">
        <f>CZ56/$CZ$92</f>
        <v>2.2028510730177694E-2</v>
      </c>
    </row>
    <row r="57" spans="1:106" s="4" customFormat="1" ht="12.5" x14ac:dyDescent="0.25">
      <c r="A57" s="42"/>
      <c r="B57" s="42" t="str">
        <f>'Variante Vorgaben'!$B$180</f>
        <v>Fadengerät Behangsregulierung</v>
      </c>
      <c r="C57" s="43">
        <f>'Variante Vorgaben'!$E$180</f>
        <v>2</v>
      </c>
      <c r="D57" s="43">
        <f>'Variante Vorgaben'!$C$180</f>
        <v>1</v>
      </c>
      <c r="E57" s="631">
        <f>'Variante Vorgaben'!$D$180*(1+Eingabeseite!$C$27)</f>
        <v>57</v>
      </c>
      <c r="F57" s="475">
        <f>C57*D57*E57</f>
        <v>114</v>
      </c>
      <c r="G57" s="730"/>
      <c r="H57" s="42"/>
      <c r="I57" s="42" t="str">
        <f>'Variante Vorgaben'!$B$180</f>
        <v>Fadengerät Behangsregulierung</v>
      </c>
      <c r="J57" s="43">
        <f>'Variante Vorgaben'!$E$180</f>
        <v>2</v>
      </c>
      <c r="K57" s="43">
        <f>'Variante Vorgaben'!$C$180</f>
        <v>1</v>
      </c>
      <c r="L57" s="631">
        <f>'Variante Vorgaben'!$D$180*(1+Eingabeseite!$C$27)</f>
        <v>57</v>
      </c>
      <c r="M57" s="475">
        <f>J57*K57*L57</f>
        <v>114</v>
      </c>
      <c r="N57" s="730"/>
      <c r="O57" s="42"/>
      <c r="P57" s="42" t="str">
        <f>'Variante Vorgaben'!$B$180</f>
        <v>Fadengerät Behangsregulierung</v>
      </c>
      <c r="Q57" s="43">
        <f>'Variante Vorgaben'!$E$180</f>
        <v>2</v>
      </c>
      <c r="R57" s="43">
        <f>'Variante Vorgaben'!$C$180</f>
        <v>1</v>
      </c>
      <c r="S57" s="631">
        <f>'Variante Vorgaben'!$D$180*(1+Eingabeseite!$C$27)</f>
        <v>57</v>
      </c>
      <c r="T57" s="475">
        <f>Q57*R57*S57</f>
        <v>114</v>
      </c>
      <c r="U57" s="730"/>
      <c r="V57" s="42"/>
      <c r="W57" s="42" t="str">
        <f>'Variante Vorgaben'!$B$180</f>
        <v>Fadengerät Behangsregulierung</v>
      </c>
      <c r="X57" s="43">
        <f>'Variante Vorgaben'!$E$180</f>
        <v>2</v>
      </c>
      <c r="Y57" s="43">
        <f>'Variante Vorgaben'!$C$180</f>
        <v>1</v>
      </c>
      <c r="Z57" s="631">
        <f>'Variante Vorgaben'!$D$180*(1+Eingabeseite!$C$27)</f>
        <v>57</v>
      </c>
      <c r="AA57" s="475">
        <f>X57*Y57*Z57</f>
        <v>114</v>
      </c>
      <c r="AB57" s="730"/>
      <c r="AC57" s="42"/>
      <c r="AD57" s="42" t="str">
        <f>'Variante Vorgaben'!$B$180</f>
        <v>Fadengerät Behangsregulierung</v>
      </c>
      <c r="AE57" s="43">
        <f>'Variante Vorgaben'!$E$180</f>
        <v>2</v>
      </c>
      <c r="AF57" s="43">
        <f>'Variante Vorgaben'!$C$180</f>
        <v>1</v>
      </c>
      <c r="AG57" s="631">
        <f>'Variante Vorgaben'!$D$180*(1+Eingabeseite!$C$27)</f>
        <v>57</v>
      </c>
      <c r="AH57" s="475">
        <f>AE57*AF57*AG57</f>
        <v>114</v>
      </c>
      <c r="AI57" s="730"/>
      <c r="AJ57" s="42"/>
      <c r="AK57" s="42" t="str">
        <f>'Variante Vorgaben'!$B$180</f>
        <v>Fadengerät Behangsregulierung</v>
      </c>
      <c r="AL57" s="43">
        <f>'Variante Vorgaben'!$E$180</f>
        <v>2</v>
      </c>
      <c r="AM57" s="43">
        <f>'Variante Vorgaben'!$C$180</f>
        <v>1</v>
      </c>
      <c r="AN57" s="631">
        <f>'Variante Vorgaben'!$D$180*(1+Eingabeseite!$C$27)</f>
        <v>57</v>
      </c>
      <c r="AO57" s="475">
        <f>AL57*AM57*AN57</f>
        <v>114</v>
      </c>
      <c r="AP57" s="730"/>
      <c r="AQ57" s="42"/>
      <c r="AR57" s="42" t="str">
        <f>'Variante Vorgaben'!$B$180</f>
        <v>Fadengerät Behangsregulierung</v>
      </c>
      <c r="AS57" s="43">
        <f>'Variante Vorgaben'!$E$180</f>
        <v>2</v>
      </c>
      <c r="AT57" s="43">
        <f>'Variante Vorgaben'!$C$180</f>
        <v>1</v>
      </c>
      <c r="AU57" s="631">
        <f>'Variante Vorgaben'!$D$180*(1+Eingabeseite!$C$27)</f>
        <v>57</v>
      </c>
      <c r="AV57" s="475">
        <f>AS57*AT57*AU57</f>
        <v>114</v>
      </c>
      <c r="AW57" s="730"/>
      <c r="AX57" s="42"/>
      <c r="AY57" s="42" t="str">
        <f>'Variante Vorgaben'!$B$180</f>
        <v>Fadengerät Behangsregulierung</v>
      </c>
      <c r="AZ57" s="43">
        <f>'Variante Vorgaben'!$E$180</f>
        <v>2</v>
      </c>
      <c r="BA57" s="43">
        <f>'Variante Vorgaben'!$C$180</f>
        <v>1</v>
      </c>
      <c r="BB57" s="631">
        <f>'Variante Vorgaben'!$D$180*(1+Eingabeseite!$C$27)</f>
        <v>57</v>
      </c>
      <c r="BC57" s="475">
        <f>AZ57*BA57*BB57</f>
        <v>114</v>
      </c>
      <c r="BD57" s="730"/>
      <c r="BE57" s="42"/>
      <c r="BF57" s="42" t="str">
        <f>'Variante Vorgaben'!$B$180</f>
        <v>Fadengerät Behangsregulierung</v>
      </c>
      <c r="BG57" s="43">
        <f>'Variante Vorgaben'!$E$180</f>
        <v>2</v>
      </c>
      <c r="BH57" s="43">
        <f>'Variante Vorgaben'!$C$180</f>
        <v>1</v>
      </c>
      <c r="BI57" s="631">
        <f>'Variante Vorgaben'!$D$180*(1+Eingabeseite!$C$27)</f>
        <v>57</v>
      </c>
      <c r="BJ57" s="475">
        <f>BG57*BH57*BI57</f>
        <v>114</v>
      </c>
      <c r="BK57" s="730"/>
      <c r="BL57" s="42"/>
      <c r="BM57" s="42" t="str">
        <f>'Variante Vorgaben'!$B$180</f>
        <v>Fadengerät Behangsregulierung</v>
      </c>
      <c r="BN57" s="43">
        <f>'Variante Vorgaben'!$E$180</f>
        <v>2</v>
      </c>
      <c r="BO57" s="43">
        <f>'Variante Vorgaben'!$C$180</f>
        <v>1</v>
      </c>
      <c r="BP57" s="631">
        <f>'Variante Vorgaben'!$D$180*(1+Eingabeseite!$C$27)</f>
        <v>57</v>
      </c>
      <c r="BQ57" s="475">
        <f>BN57*BO57*BP57</f>
        <v>114</v>
      </c>
      <c r="BR57" s="730"/>
      <c r="BS57" s="42"/>
      <c r="BT57" s="42" t="str">
        <f>'Variante Vorgaben'!$B$180</f>
        <v>Fadengerät Behangsregulierung</v>
      </c>
      <c r="BU57" s="43">
        <f>'Variante Vorgaben'!$E$180</f>
        <v>2</v>
      </c>
      <c r="BV57" s="43">
        <f>'Variante Vorgaben'!$C$180</f>
        <v>1</v>
      </c>
      <c r="BW57" s="631">
        <f>'Variante Vorgaben'!$D$180*(1+Eingabeseite!$C$27)</f>
        <v>57</v>
      </c>
      <c r="BX57" s="475">
        <f>BU57*BV57*BW57</f>
        <v>114</v>
      </c>
      <c r="BY57" s="730"/>
      <c r="BZ57" s="42"/>
      <c r="CA57" s="42" t="str">
        <f>'Variante Vorgaben'!$B$180</f>
        <v>Fadengerät Behangsregulierung</v>
      </c>
      <c r="CB57" s="43">
        <f>'Variante Vorgaben'!$E$180</f>
        <v>2</v>
      </c>
      <c r="CC57" s="43">
        <f>'Variante Vorgaben'!$C$180</f>
        <v>1</v>
      </c>
      <c r="CD57" s="631">
        <f>'Variante Vorgaben'!$D$180*(1+Eingabeseite!$C$27)</f>
        <v>57</v>
      </c>
      <c r="CE57" s="475">
        <f>CB57*CC57*CD57</f>
        <v>114</v>
      </c>
      <c r="CF57" s="730"/>
      <c r="CG57" s="42"/>
      <c r="CH57" s="42" t="str">
        <f>'Variante Vorgaben'!$B$180</f>
        <v>Fadengerät Behangsregulierung</v>
      </c>
      <c r="CI57" s="43">
        <f>'Variante Vorgaben'!$E$180</f>
        <v>2</v>
      </c>
      <c r="CJ57" s="43">
        <f>'Variante Vorgaben'!$C$180</f>
        <v>1</v>
      </c>
      <c r="CK57" s="631">
        <f>'Variante Vorgaben'!$D$180*(1+Eingabeseite!$C$27)</f>
        <v>57</v>
      </c>
      <c r="CL57" s="475">
        <f>CI57*CJ57*CK57</f>
        <v>114</v>
      </c>
      <c r="CM57" s="730"/>
      <c r="CN57" s="42"/>
      <c r="CO57" s="42" t="str">
        <f>'Variante Vorgaben'!$B$180</f>
        <v>Fadengerät Behangsregulierung</v>
      </c>
      <c r="CP57" s="43">
        <f>'Variante Vorgaben'!$E$180</f>
        <v>2</v>
      </c>
      <c r="CQ57" s="43">
        <f>'Variante Vorgaben'!$C$180</f>
        <v>1</v>
      </c>
      <c r="CR57" s="631">
        <f>'Variante Vorgaben'!$D$180*(1+Eingabeseite!$C$27)</f>
        <v>57</v>
      </c>
      <c r="CS57" s="475">
        <f>CP57*CQ57*CR57</f>
        <v>114</v>
      </c>
      <c r="CT57" s="730"/>
      <c r="CU57" s="42"/>
      <c r="CV57" s="42" t="str">
        <f>'Variante Vorgaben'!$B$180</f>
        <v>Fadengerät Behangsregulierung</v>
      </c>
      <c r="CW57" s="43">
        <f>'Variante Vorgaben'!$E$180</f>
        <v>2</v>
      </c>
      <c r="CX57" s="43">
        <f>'Variante Vorgaben'!$C$180</f>
        <v>1</v>
      </c>
      <c r="CY57" s="631">
        <f>'Variante Vorgaben'!$D$180*(1+Eingabeseite!$C$27)</f>
        <v>57</v>
      </c>
      <c r="CZ57" s="475">
        <f>CW57*CX57*CY57</f>
        <v>114</v>
      </c>
      <c r="DA57" s="730"/>
    </row>
    <row r="58" spans="1:106" s="4" customFormat="1" ht="12.5" x14ac:dyDescent="0.25">
      <c r="A58" s="42"/>
      <c r="B58" s="42" t="str">
        <f>'Variante Vorgaben'!$B$181</f>
        <v>Düngerstreuer Einkasten 2.5 m</v>
      </c>
      <c r="C58" s="43">
        <f>C22-C20</f>
        <v>1</v>
      </c>
      <c r="D58" s="1193">
        <f>'Variante Vorgaben'!$C$181</f>
        <v>1</v>
      </c>
      <c r="E58" s="631">
        <f>'Variante Vorgaben'!$D$181*(1+Eingabeseite!$C$27)</f>
        <v>18</v>
      </c>
      <c r="F58" s="46">
        <f>C58*E58</f>
        <v>18</v>
      </c>
      <c r="G58" s="730">
        <f>F58/$F$92</f>
        <v>7.4905253441971101E-4</v>
      </c>
      <c r="H58" s="42"/>
      <c r="I58" s="42" t="str">
        <f>'Variante Vorgaben'!$B$181</f>
        <v>Düngerstreuer Einkasten 2.5 m</v>
      </c>
      <c r="J58" s="43">
        <f>J22-J20</f>
        <v>1</v>
      </c>
      <c r="K58" s="1193">
        <f>'Variante Vorgaben'!$C$181</f>
        <v>1</v>
      </c>
      <c r="L58" s="631">
        <f>'Variante Vorgaben'!$D$181*(1+Eingabeseite!$C$27)</f>
        <v>18</v>
      </c>
      <c r="M58" s="46">
        <f>J58*L58</f>
        <v>18</v>
      </c>
      <c r="N58" s="730">
        <f>M58/$M$92</f>
        <v>7.3549589434964032E-4</v>
      </c>
      <c r="O58" s="42"/>
      <c r="P58" s="42" t="str">
        <f>'Variante Vorgaben'!$B$181</f>
        <v>Düngerstreuer Einkasten 2.5 m</v>
      </c>
      <c r="Q58" s="43">
        <f>Q22-Q20</f>
        <v>1</v>
      </c>
      <c r="R58" s="1193">
        <f>'Variante Vorgaben'!$C$181</f>
        <v>1</v>
      </c>
      <c r="S58" s="631">
        <f>'Variante Vorgaben'!$D$181*(1+Eingabeseite!$C$27)</f>
        <v>18</v>
      </c>
      <c r="T58" s="46">
        <f>Q58*S58</f>
        <v>18</v>
      </c>
      <c r="U58" s="730">
        <f>T58/$T$92</f>
        <v>5.559781675953773E-4</v>
      </c>
      <c r="V58" s="42"/>
      <c r="W58" s="42" t="str">
        <f>'Variante Vorgaben'!$B$181</f>
        <v>Düngerstreuer Einkasten 2.5 m</v>
      </c>
      <c r="X58" s="43">
        <f>X22-X20</f>
        <v>2</v>
      </c>
      <c r="Y58" s="1193">
        <f>'Variante Vorgaben'!$C$181</f>
        <v>1</v>
      </c>
      <c r="Z58" s="631">
        <f>'Variante Vorgaben'!$D$181*(1+Eingabeseite!$C$27)</f>
        <v>18</v>
      </c>
      <c r="AA58" s="46">
        <f>X58*Z58</f>
        <v>36</v>
      </c>
      <c r="AB58" s="730">
        <f>AA58/$AA$92</f>
        <v>9.8140157908640038E-4</v>
      </c>
      <c r="AC58" s="42"/>
      <c r="AD58" s="42" t="str">
        <f>'Variante Vorgaben'!$B$181</f>
        <v>Düngerstreuer Einkasten 2.5 m</v>
      </c>
      <c r="AE58" s="43">
        <f>AE22-AE20</f>
        <v>2</v>
      </c>
      <c r="AF58" s="1193">
        <f>'Variante Vorgaben'!$C$181</f>
        <v>1</v>
      </c>
      <c r="AG58" s="631">
        <f>'Variante Vorgaben'!$D$181*(1+Eingabeseite!$C$27)</f>
        <v>18</v>
      </c>
      <c r="AH58" s="46">
        <f>AE58*AG58</f>
        <v>36</v>
      </c>
      <c r="AI58" s="730">
        <f>AH58/$AH$92</f>
        <v>9.4932455028474971E-4</v>
      </c>
      <c r="AJ58" s="42"/>
      <c r="AK58" s="42" t="str">
        <f>'Variante Vorgaben'!$B$181</f>
        <v>Düngerstreuer Einkasten 2.5 m</v>
      </c>
      <c r="AL58" s="43">
        <f>AL22-AL20</f>
        <v>2</v>
      </c>
      <c r="AM58" s="1193">
        <f>'Variante Vorgaben'!$C$181</f>
        <v>1</v>
      </c>
      <c r="AN58" s="631">
        <f>'Variante Vorgaben'!$D$181*(1+Eingabeseite!$C$27)</f>
        <v>18</v>
      </c>
      <c r="AO58" s="46">
        <f>AL58*AN58</f>
        <v>36</v>
      </c>
      <c r="AP58" s="730">
        <f>AO58/$AO$92</f>
        <v>9.5275471692396485E-4</v>
      </c>
      <c r="AQ58" s="42"/>
      <c r="AR58" s="42" t="str">
        <f>'Variante Vorgaben'!$B$181</f>
        <v>Düngerstreuer Einkasten 2.5 m</v>
      </c>
      <c r="AS58" s="43">
        <f>AS22-AS20</f>
        <v>2</v>
      </c>
      <c r="AT58" s="1193">
        <f>'Variante Vorgaben'!$C$181</f>
        <v>1</v>
      </c>
      <c r="AU58" s="631">
        <f>'Variante Vorgaben'!$D$181*(1+Eingabeseite!$C$27)</f>
        <v>18</v>
      </c>
      <c r="AV58" s="46">
        <f>AS58*AU58</f>
        <v>36</v>
      </c>
      <c r="AW58" s="730">
        <f>AV58/$AV$92</f>
        <v>8.8982006618302861E-4</v>
      </c>
      <c r="AX58" s="42"/>
      <c r="AY58" s="42" t="str">
        <f>'Variante Vorgaben'!$B$181</f>
        <v>Düngerstreuer Einkasten 2.5 m</v>
      </c>
      <c r="AZ58" s="43">
        <f>AZ22-AZ20</f>
        <v>2</v>
      </c>
      <c r="BA58" s="1193">
        <f>'Variante Vorgaben'!$C$181</f>
        <v>1</v>
      </c>
      <c r="BB58" s="631">
        <f>'Variante Vorgaben'!$D$181*(1+Eingabeseite!$C$27)</f>
        <v>18</v>
      </c>
      <c r="BC58" s="46">
        <f>AZ58*BB58</f>
        <v>36</v>
      </c>
      <c r="BD58" s="730">
        <f>BC58/$BC$92</f>
        <v>9.591378115599193E-4</v>
      </c>
      <c r="BE58" s="42"/>
      <c r="BF58" s="42" t="str">
        <f>'Variante Vorgaben'!$B$181</f>
        <v>Düngerstreuer Einkasten 2.5 m</v>
      </c>
      <c r="BG58" s="43">
        <f>BG22-BG20</f>
        <v>2</v>
      </c>
      <c r="BH58" s="1193">
        <f>'Variante Vorgaben'!$C$181</f>
        <v>1</v>
      </c>
      <c r="BI58" s="631">
        <f>'Variante Vorgaben'!$D$181*(1+Eingabeseite!$C$27)</f>
        <v>18</v>
      </c>
      <c r="BJ58" s="46">
        <f>BG58*BI58</f>
        <v>36</v>
      </c>
      <c r="BK58" s="730">
        <f>BJ58/$BJ$92</f>
        <v>9.6272928488971984E-4</v>
      </c>
      <c r="BL58" s="42"/>
      <c r="BM58" s="42" t="str">
        <f>'Variante Vorgaben'!$B$181</f>
        <v>Düngerstreuer Einkasten 2.5 m</v>
      </c>
      <c r="BN58" s="43">
        <f>BN22-BN20</f>
        <v>2</v>
      </c>
      <c r="BO58" s="1193">
        <f>'Variante Vorgaben'!$C$181</f>
        <v>1</v>
      </c>
      <c r="BP58" s="631">
        <f>'Variante Vorgaben'!$D$181*(1+Eingabeseite!$C$27)</f>
        <v>18</v>
      </c>
      <c r="BQ58" s="46">
        <f>BN58*BP58</f>
        <v>36</v>
      </c>
      <c r="BR58" s="730">
        <f>BQ58/$BQ$92</f>
        <v>8.9859341500367188E-4</v>
      </c>
      <c r="BS58" s="42"/>
      <c r="BT58" s="42" t="str">
        <f>'Variante Vorgaben'!$B$181</f>
        <v>Düngerstreuer Einkasten 2.5 m</v>
      </c>
      <c r="BU58" s="43">
        <f>BU22-BU20</f>
        <v>2</v>
      </c>
      <c r="BV58" s="1193">
        <f>'Variante Vorgaben'!$C$181</f>
        <v>1</v>
      </c>
      <c r="BW58" s="631">
        <f>'Variante Vorgaben'!$D$181*(1+Eingabeseite!$C$27)</f>
        <v>18</v>
      </c>
      <c r="BX58" s="46">
        <f>BU58*BW58</f>
        <v>36</v>
      </c>
      <c r="BY58" s="730">
        <f>BX58/$BX$92</f>
        <v>9.6943193736903285E-4</v>
      </c>
      <c r="BZ58" s="42"/>
      <c r="CA58" s="42" t="str">
        <f>'Variante Vorgaben'!$B$181</f>
        <v>Düngerstreuer Einkasten 2.5 m</v>
      </c>
      <c r="CB58" s="43">
        <f>CB22-CB20</f>
        <v>2</v>
      </c>
      <c r="CC58" s="1193">
        <f>'Variante Vorgaben'!$C$181</f>
        <v>1</v>
      </c>
      <c r="CD58" s="631">
        <f>'Variante Vorgaben'!$D$181*(1+Eingabeseite!$C$27)</f>
        <v>18</v>
      </c>
      <c r="CE58" s="46">
        <f>CB58*CD58</f>
        <v>36</v>
      </c>
      <c r="CF58" s="730">
        <f>CE58/$CE$92</f>
        <v>9.7319542498435722E-4</v>
      </c>
      <c r="CG58" s="42"/>
      <c r="CH58" s="42" t="str">
        <f>'Variante Vorgaben'!$B$181</f>
        <v>Düngerstreuer Einkasten 2.5 m</v>
      </c>
      <c r="CI58" s="43">
        <f>CI22-CI20</f>
        <v>2</v>
      </c>
      <c r="CJ58" s="1193">
        <f>'Variante Vorgaben'!$C$181</f>
        <v>1</v>
      </c>
      <c r="CK58" s="631">
        <f>'Variante Vorgaben'!$D$181*(1+Eingabeseite!$C$27)</f>
        <v>18</v>
      </c>
      <c r="CL58" s="46">
        <f>CI58*CK58</f>
        <v>36</v>
      </c>
      <c r="CM58" s="730">
        <f>CL58/$CL$92</f>
        <v>9.2311202936157916E-4</v>
      </c>
      <c r="CN58" s="42"/>
      <c r="CO58" s="42" t="str">
        <f>'Variante Vorgaben'!$B$181</f>
        <v>Düngerstreuer Einkasten 2.5 m</v>
      </c>
      <c r="CP58" s="43">
        <f>CP22-CP20</f>
        <v>2</v>
      </c>
      <c r="CQ58" s="1193">
        <f>'Variante Vorgaben'!$C$181</f>
        <v>1</v>
      </c>
      <c r="CR58" s="631">
        <f>'Variante Vorgaben'!$D$181*(1+Eingabeseite!$C$27)</f>
        <v>18</v>
      </c>
      <c r="CS58" s="46">
        <f>CP58*CR58</f>
        <v>36</v>
      </c>
      <c r="CT58" s="730">
        <f>CS58/$CS$92</f>
        <v>9.9715516668473091E-4</v>
      </c>
      <c r="CU58" s="42"/>
      <c r="CV58" s="42" t="str">
        <f>'Variante Vorgaben'!$B$181</f>
        <v>Düngerstreuer Einkasten 2.5 m</v>
      </c>
      <c r="CW58" s="43">
        <f>CW22-CW20</f>
        <v>2</v>
      </c>
      <c r="CX58" s="1193">
        <f>'Variante Vorgaben'!$C$181</f>
        <v>1</v>
      </c>
      <c r="CY58" s="631">
        <f>'Variante Vorgaben'!$D$181*(1+Eingabeseite!$C$27)</f>
        <v>18</v>
      </c>
      <c r="CZ58" s="46">
        <f>CW58*CY58</f>
        <v>36</v>
      </c>
      <c r="DA58" s="730">
        <f>CZ58/$CZ$92</f>
        <v>8.5732582301232098E-4</v>
      </c>
      <c r="DB58" s="43"/>
    </row>
    <row r="59" spans="1:106" s="4" customFormat="1" ht="12.5" x14ac:dyDescent="0.25">
      <c r="A59" s="42"/>
      <c r="B59" s="42" t="str">
        <f>'Variante Vorgaben'!$B$182</f>
        <v>Kompoststreuer für Obstanlagen, um 3m³</v>
      </c>
      <c r="C59" s="43">
        <f>C20</f>
        <v>15</v>
      </c>
      <c r="D59" s="1193">
        <f>'Variante Vorgaben'!$C$182</f>
        <v>1</v>
      </c>
      <c r="E59" s="631">
        <f>'Variante Vorgaben'!$D$182*(1+Eingabeseite!$C$27)</f>
        <v>113</v>
      </c>
      <c r="F59" s="475">
        <f>C59*D59*E59</f>
        <v>1695</v>
      </c>
      <c r="G59" s="730">
        <f>F59/$F$92</f>
        <v>7.0535780324522776E-2</v>
      </c>
      <c r="H59" s="42"/>
      <c r="I59" s="42" t="str">
        <f>'Variante Vorgaben'!$B$182</f>
        <v>Kompoststreuer für Obstanlagen, um 3m³</v>
      </c>
      <c r="J59" s="43">
        <f>J20</f>
        <v>0</v>
      </c>
      <c r="K59" s="1193">
        <f>'Variante Vorgaben'!$C$182</f>
        <v>1</v>
      </c>
      <c r="L59" s="631">
        <f>'Variante Vorgaben'!$D$182*(1+Eingabeseite!$C$27)</f>
        <v>113</v>
      </c>
      <c r="M59" s="475">
        <f>J59*K59*L59</f>
        <v>0</v>
      </c>
      <c r="N59" s="730"/>
      <c r="O59" s="42"/>
      <c r="P59" s="42" t="str">
        <f>'Variante Vorgaben'!$B$182</f>
        <v>Kompoststreuer für Obstanlagen, um 3m³</v>
      </c>
      <c r="Q59" s="43">
        <f>Q20</f>
        <v>0</v>
      </c>
      <c r="R59" s="1193">
        <f>'Variante Vorgaben'!$C$182</f>
        <v>1</v>
      </c>
      <c r="S59" s="631">
        <f>'Variante Vorgaben'!$D$182*(1+Eingabeseite!$C$27)</f>
        <v>113</v>
      </c>
      <c r="T59" s="475">
        <f>Q59*R59*S59</f>
        <v>0</v>
      </c>
      <c r="U59" s="730"/>
      <c r="V59" s="42"/>
      <c r="W59" s="42" t="str">
        <f>'Variante Vorgaben'!$B$182</f>
        <v>Kompoststreuer für Obstanlagen, um 3m³</v>
      </c>
      <c r="X59" s="43">
        <f>X20</f>
        <v>15</v>
      </c>
      <c r="Y59" s="1193">
        <f>'Variante Vorgaben'!$C$182</f>
        <v>1</v>
      </c>
      <c r="Z59" s="631">
        <f>'Variante Vorgaben'!$D$182*(1+Eingabeseite!$C$27)</f>
        <v>113</v>
      </c>
      <c r="AA59" s="475">
        <f>X59*Y59*Z59</f>
        <v>1695</v>
      </c>
      <c r="AB59" s="730"/>
      <c r="AC59" s="42"/>
      <c r="AD59" s="42" t="str">
        <f>'Variante Vorgaben'!$B$182</f>
        <v>Kompoststreuer für Obstanlagen, um 3m³</v>
      </c>
      <c r="AE59" s="43">
        <f>AE20</f>
        <v>0</v>
      </c>
      <c r="AF59" s="1193">
        <f>'Variante Vorgaben'!$C$182</f>
        <v>1</v>
      </c>
      <c r="AG59" s="631">
        <f>'Variante Vorgaben'!$D$182*(1+Eingabeseite!$C$27)</f>
        <v>113</v>
      </c>
      <c r="AH59" s="475">
        <f>AE59*AF59*AG59</f>
        <v>0</v>
      </c>
      <c r="AI59" s="730"/>
      <c r="AJ59" s="42"/>
      <c r="AK59" s="42" t="str">
        <f>'Variante Vorgaben'!$B$182</f>
        <v>Kompoststreuer für Obstanlagen, um 3m³</v>
      </c>
      <c r="AL59" s="43">
        <f>AL20</f>
        <v>0</v>
      </c>
      <c r="AM59" s="1193">
        <f>'Variante Vorgaben'!$C$182</f>
        <v>1</v>
      </c>
      <c r="AN59" s="631">
        <f>'Variante Vorgaben'!$D$182*(1+Eingabeseite!$C$27)</f>
        <v>113</v>
      </c>
      <c r="AO59" s="475">
        <f>AL59*AM59*AN59</f>
        <v>0</v>
      </c>
      <c r="AP59" s="730"/>
      <c r="AQ59" s="42"/>
      <c r="AR59" s="42" t="str">
        <f>'Variante Vorgaben'!$B$182</f>
        <v>Kompoststreuer für Obstanlagen, um 3m³</v>
      </c>
      <c r="AS59" s="43">
        <f>AS20</f>
        <v>15</v>
      </c>
      <c r="AT59" s="1193">
        <f>'Variante Vorgaben'!$C$182</f>
        <v>1</v>
      </c>
      <c r="AU59" s="631">
        <f>'Variante Vorgaben'!$D$182*(1+Eingabeseite!$C$27)</f>
        <v>113</v>
      </c>
      <c r="AV59" s="475">
        <f>AS59*AT59*AU59</f>
        <v>1695</v>
      </c>
      <c r="AW59" s="730"/>
      <c r="AX59" s="42"/>
      <c r="AY59" s="42" t="str">
        <f>'Variante Vorgaben'!$B$182</f>
        <v>Kompoststreuer für Obstanlagen, um 3m³</v>
      </c>
      <c r="AZ59" s="43">
        <f>AZ20</f>
        <v>0</v>
      </c>
      <c r="BA59" s="1193">
        <f>'Variante Vorgaben'!$C$182</f>
        <v>1</v>
      </c>
      <c r="BB59" s="631">
        <f>'Variante Vorgaben'!$D$182*(1+Eingabeseite!$C$27)</f>
        <v>113</v>
      </c>
      <c r="BC59" s="475">
        <f>AZ59*BA59*BB59</f>
        <v>0</v>
      </c>
      <c r="BD59" s="730"/>
      <c r="BE59" s="42"/>
      <c r="BF59" s="42" t="str">
        <f>'Variante Vorgaben'!$B$182</f>
        <v>Kompoststreuer für Obstanlagen, um 3m³</v>
      </c>
      <c r="BG59" s="43">
        <f>BG20</f>
        <v>0</v>
      </c>
      <c r="BH59" s="1193">
        <f>'Variante Vorgaben'!$C$182</f>
        <v>1</v>
      </c>
      <c r="BI59" s="631">
        <f>'Variante Vorgaben'!$D$182*(1+Eingabeseite!$C$27)</f>
        <v>113</v>
      </c>
      <c r="BJ59" s="475">
        <f>BG59*BH59*BI59</f>
        <v>0</v>
      </c>
      <c r="BK59" s="730"/>
      <c r="BL59" s="42"/>
      <c r="BM59" s="42" t="str">
        <f>'Variante Vorgaben'!$B$182</f>
        <v>Kompoststreuer für Obstanlagen, um 3m³</v>
      </c>
      <c r="BN59" s="43">
        <f>BN20</f>
        <v>15</v>
      </c>
      <c r="BO59" s="1193">
        <f>'Variante Vorgaben'!$C$182</f>
        <v>1</v>
      </c>
      <c r="BP59" s="631">
        <f>'Variante Vorgaben'!$D$182*(1+Eingabeseite!$C$27)</f>
        <v>113</v>
      </c>
      <c r="BQ59" s="475">
        <f>BN59*BO59*BP59</f>
        <v>1695</v>
      </c>
      <c r="BR59" s="730"/>
      <c r="BS59" s="42"/>
      <c r="BT59" s="42" t="str">
        <f>'Variante Vorgaben'!$B$182</f>
        <v>Kompoststreuer für Obstanlagen, um 3m³</v>
      </c>
      <c r="BU59" s="43">
        <f>BU20</f>
        <v>0</v>
      </c>
      <c r="BV59" s="1193">
        <f>'Variante Vorgaben'!$C$182</f>
        <v>1</v>
      </c>
      <c r="BW59" s="631">
        <f>'Variante Vorgaben'!$D$182*(1+Eingabeseite!$C$27)</f>
        <v>113</v>
      </c>
      <c r="BX59" s="475">
        <f>BU59*BV59*BW59</f>
        <v>0</v>
      </c>
      <c r="BY59" s="730"/>
      <c r="BZ59" s="42"/>
      <c r="CA59" s="42" t="str">
        <f>'Variante Vorgaben'!$B$182</f>
        <v>Kompoststreuer für Obstanlagen, um 3m³</v>
      </c>
      <c r="CB59" s="43">
        <f>CB20</f>
        <v>0</v>
      </c>
      <c r="CC59" s="1193">
        <f>'Variante Vorgaben'!$C$182</f>
        <v>1</v>
      </c>
      <c r="CD59" s="631">
        <f>'Variante Vorgaben'!$D$182*(1+Eingabeseite!$C$27)</f>
        <v>113</v>
      </c>
      <c r="CE59" s="475">
        <f>CB59*CC59*CD59</f>
        <v>0</v>
      </c>
      <c r="CF59" s="730"/>
      <c r="CG59" s="42"/>
      <c r="CH59" s="42" t="str">
        <f>'Variante Vorgaben'!$B$182</f>
        <v>Kompoststreuer für Obstanlagen, um 3m³</v>
      </c>
      <c r="CI59" s="43">
        <f>CI20</f>
        <v>15</v>
      </c>
      <c r="CJ59" s="1193">
        <f>'Variante Vorgaben'!$C$182</f>
        <v>1</v>
      </c>
      <c r="CK59" s="631">
        <f>'Variante Vorgaben'!$D$182*(1+Eingabeseite!$C$27)</f>
        <v>113</v>
      </c>
      <c r="CL59" s="475">
        <f>CI59*CJ59*CK59</f>
        <v>1695</v>
      </c>
      <c r="CM59" s="730"/>
      <c r="CN59" s="42"/>
      <c r="CO59" s="42" t="str">
        <f>'Variante Vorgaben'!$B$182</f>
        <v>Kompoststreuer für Obstanlagen, um 3m³</v>
      </c>
      <c r="CP59" s="43">
        <f>CP20</f>
        <v>0</v>
      </c>
      <c r="CQ59" s="1193">
        <f>'Variante Vorgaben'!$C$182</f>
        <v>1</v>
      </c>
      <c r="CR59" s="631">
        <f>'Variante Vorgaben'!$D$182*(1+Eingabeseite!$C$27)</f>
        <v>113</v>
      </c>
      <c r="CS59" s="475">
        <f>CP59*CQ59*CR59</f>
        <v>0</v>
      </c>
      <c r="CT59" s="730"/>
      <c r="CU59" s="42"/>
      <c r="CV59" s="42" t="str">
        <f>'Variante Vorgaben'!$B$182</f>
        <v>Kompoststreuer für Obstanlagen, um 3m³</v>
      </c>
      <c r="CW59" s="43">
        <f>CW20</f>
        <v>0</v>
      </c>
      <c r="CX59" s="1193">
        <f>'Variante Vorgaben'!$C$182</f>
        <v>1</v>
      </c>
      <c r="CY59" s="631">
        <f>'Variante Vorgaben'!$D$182*(1+Eingabeseite!$C$27)</f>
        <v>113</v>
      </c>
      <c r="CZ59" s="475">
        <f>CW59*CX59*CY59</f>
        <v>0</v>
      </c>
      <c r="DA59" s="730"/>
      <c r="DB59" s="43"/>
    </row>
    <row r="60" spans="1:106" s="69" customFormat="1" ht="12.5" x14ac:dyDescent="0.25">
      <c r="A60" s="145"/>
      <c r="B60" s="42" t="str">
        <f>'Variante Vorgaben'!$B$183</f>
        <v>Erntewagen 4 Grosskisten</v>
      </c>
      <c r="C60" s="619">
        <f>'Variante Vorgaben'!$C$183</f>
        <v>960</v>
      </c>
      <c r="D60" s="19"/>
      <c r="E60" s="620">
        <f>'Variante Vorgaben'!$D$183*(1+Eingabeseite!$C$27)</f>
        <v>9</v>
      </c>
      <c r="F60" s="46">
        <f>D61*E60</f>
        <v>0</v>
      </c>
      <c r="G60" s="738">
        <f>F60/F92</f>
        <v>0</v>
      </c>
      <c r="H60" s="145"/>
      <c r="I60" s="42" t="str">
        <f>'Variante Vorgaben'!$B$183</f>
        <v>Erntewagen 4 Grosskisten</v>
      </c>
      <c r="J60" s="619">
        <f>'Variante Vorgaben'!$C$183</f>
        <v>960</v>
      </c>
      <c r="K60" s="19"/>
      <c r="L60" s="620">
        <f>'Variante Vorgaben'!$D$183*(1+Eingabeseite!$C$27)</f>
        <v>9</v>
      </c>
      <c r="M60" s="46">
        <f>K61*L60</f>
        <v>20.99085365853659</v>
      </c>
      <c r="N60" s="738">
        <f>M60/M92</f>
        <v>8.5770481581932153E-4</v>
      </c>
      <c r="O60" s="145"/>
      <c r="P60" s="42" t="str">
        <f>'Variante Vorgaben'!$B$183</f>
        <v>Erntewagen 4 Grosskisten</v>
      </c>
      <c r="Q60" s="619">
        <f>'Variante Vorgaben'!$C$183</f>
        <v>960</v>
      </c>
      <c r="R60" s="19"/>
      <c r="S60" s="620">
        <f>'Variante Vorgaben'!$D$183*(1+Eingabeseite!$C$27)</f>
        <v>9</v>
      </c>
      <c r="T60" s="46">
        <f>R61*S60</f>
        <v>76.966463414634148</v>
      </c>
      <c r="U60" s="738">
        <f>T60/T92</f>
        <v>2.3773151830869411E-3</v>
      </c>
      <c r="V60" s="145"/>
      <c r="W60" s="42" t="str">
        <f>'Variante Vorgaben'!$B$183</f>
        <v>Erntewagen 4 Grosskisten</v>
      </c>
      <c r="X60" s="619">
        <f>'Variante Vorgaben'!$C$183</f>
        <v>960</v>
      </c>
      <c r="Y60" s="19"/>
      <c r="Z60" s="620">
        <f>'Variante Vorgaben'!$D$183*(1+Eingabeseite!$C$27)</f>
        <v>9</v>
      </c>
      <c r="AA60" s="46">
        <f>Y61*Z60</f>
        <v>104.95426829268293</v>
      </c>
      <c r="AB60" s="738">
        <f>AA60/AA92</f>
        <v>2.8611745731749096E-3</v>
      </c>
      <c r="AC60" s="145"/>
      <c r="AD60" s="42" t="str">
        <f>'Variante Vorgaben'!$B$183</f>
        <v>Erntewagen 4 Grosskisten</v>
      </c>
      <c r="AE60" s="619">
        <f>'Variante Vorgaben'!$C$183</f>
        <v>960</v>
      </c>
      <c r="AF60" s="19"/>
      <c r="AG60" s="620">
        <f>'Variante Vorgaben'!$D$183*(1+Eingabeseite!$C$27)</f>
        <v>9</v>
      </c>
      <c r="AH60" s="46">
        <f>AF61*AG60</f>
        <v>230.89939024390242</v>
      </c>
      <c r="AI60" s="738">
        <f>AH60/AH92</f>
        <v>6.088846105675433E-3</v>
      </c>
      <c r="AJ60" s="145"/>
      <c r="AK60" s="42" t="str">
        <f>'Variante Vorgaben'!$B$183</f>
        <v>Erntewagen 4 Grosskisten</v>
      </c>
      <c r="AL60" s="619">
        <f>'Variante Vorgaben'!$C$183</f>
        <v>960</v>
      </c>
      <c r="AM60" s="19"/>
      <c r="AN60" s="620">
        <f>'Variante Vorgaben'!$D$183*(1+Eingabeseite!$C$27)</f>
        <v>9</v>
      </c>
      <c r="AO60" s="46">
        <f>AM61*AN60</f>
        <v>230.89939024390242</v>
      </c>
      <c r="AP60" s="738">
        <f>AO60/AO92</f>
        <v>6.1108467552707041E-3</v>
      </c>
      <c r="AQ60" s="145"/>
      <c r="AR60" s="42" t="str">
        <f>'Variante Vorgaben'!$B$183</f>
        <v>Erntewagen 4 Grosskisten</v>
      </c>
      <c r="AS60" s="619">
        <f>'Variante Vorgaben'!$C$183</f>
        <v>960</v>
      </c>
      <c r="AT60" s="19"/>
      <c r="AU60" s="620">
        <f>'Variante Vorgaben'!$D$183*(1+Eingabeseite!$C$27)</f>
        <v>9</v>
      </c>
      <c r="AV60" s="46">
        <f>AT61*AU60</f>
        <v>230.89939024390242</v>
      </c>
      <c r="AW60" s="738">
        <f>AV60/AV92</f>
        <v>5.7071919641236164E-3</v>
      </c>
      <c r="AX60" s="145"/>
      <c r="AY60" s="42" t="str">
        <f>'Variante Vorgaben'!$B$183</f>
        <v>Erntewagen 4 Grosskisten</v>
      </c>
      <c r="AZ60" s="619">
        <f>'Variante Vorgaben'!$C$183</f>
        <v>960</v>
      </c>
      <c r="BA60" s="19"/>
      <c r="BB60" s="620">
        <f>'Variante Vorgaben'!$D$183*(1+Eingabeseite!$C$27)</f>
        <v>9</v>
      </c>
      <c r="BC60" s="46">
        <f>BA61*BB60</f>
        <v>230.89939024390242</v>
      </c>
      <c r="BD60" s="738">
        <f>BC60/BC92</f>
        <v>6.1517871069182318E-3</v>
      </c>
      <c r="BE60" s="145"/>
      <c r="BF60" s="42" t="str">
        <f>'Variante Vorgaben'!$B$183</f>
        <v>Erntewagen 4 Grosskisten</v>
      </c>
      <c r="BG60" s="619">
        <f>'Variante Vorgaben'!$C$183</f>
        <v>960</v>
      </c>
      <c r="BH60" s="19"/>
      <c r="BI60" s="620">
        <f>'Variante Vorgaben'!$D$183*(1+Eingabeseite!$C$27)</f>
        <v>9</v>
      </c>
      <c r="BJ60" s="46">
        <f>BH61*BI60</f>
        <v>230.89939024390242</v>
      </c>
      <c r="BK60" s="738">
        <f>BJ60/BJ92</f>
        <v>6.1748223569717924E-3</v>
      </c>
      <c r="BL60" s="145"/>
      <c r="BM60" s="42" t="str">
        <f>'Variante Vorgaben'!$B$183</f>
        <v>Erntewagen 4 Grosskisten</v>
      </c>
      <c r="BN60" s="619">
        <f>'Variante Vorgaben'!$C$183</f>
        <v>960</v>
      </c>
      <c r="BO60" s="19"/>
      <c r="BP60" s="620">
        <f>'Variante Vorgaben'!$D$183*(1+Eingabeseite!$C$27)</f>
        <v>9</v>
      </c>
      <c r="BQ60" s="46">
        <f>BO61*BP60</f>
        <v>230.89939024390242</v>
      </c>
      <c r="BR60" s="738">
        <f>BQ60/BQ92</f>
        <v>5.7634631000426052E-3</v>
      </c>
      <c r="BS60" s="145"/>
      <c r="BT60" s="42" t="str">
        <f>'Variante Vorgaben'!$B$183</f>
        <v>Erntewagen 4 Grosskisten</v>
      </c>
      <c r="BU60" s="619">
        <f>'Variante Vorgaben'!$C$183</f>
        <v>960</v>
      </c>
      <c r="BV60" s="19"/>
      <c r="BW60" s="620">
        <f>'Variante Vorgaben'!$D$183*(1+Eingabeseite!$C$27)</f>
        <v>9</v>
      </c>
      <c r="BX60" s="46">
        <f>BV61*BW60</f>
        <v>230.89939024390242</v>
      </c>
      <c r="BY60" s="738">
        <f>BX60/BX92</f>
        <v>6.2178123117076298E-3</v>
      </c>
      <c r="BZ60" s="145"/>
      <c r="CA60" s="42" t="str">
        <f>'Variante Vorgaben'!$B$183</f>
        <v>Erntewagen 4 Grosskisten</v>
      </c>
      <c r="CB60" s="619">
        <f>'Variante Vorgaben'!$C$183</f>
        <v>960</v>
      </c>
      <c r="CC60" s="19"/>
      <c r="CD60" s="620">
        <f>'Variante Vorgaben'!$D$183*(1+Eingabeseite!$C$27)</f>
        <v>9</v>
      </c>
      <c r="CE60" s="46">
        <f>CC61*CD60</f>
        <v>230.89939024390242</v>
      </c>
      <c r="CF60" s="738">
        <f>CE60/CE92</f>
        <v>6.2419508393623214E-3</v>
      </c>
      <c r="CG60" s="145"/>
      <c r="CH60" s="42" t="str">
        <f>'Variante Vorgaben'!$B$183</f>
        <v>Erntewagen 4 Grosskisten</v>
      </c>
      <c r="CI60" s="619">
        <f>'Variante Vorgaben'!$C$183</f>
        <v>960</v>
      </c>
      <c r="CJ60" s="19"/>
      <c r="CK60" s="620">
        <f>'Variante Vorgaben'!$D$183*(1+Eingabeseite!$C$27)</f>
        <v>9</v>
      </c>
      <c r="CL60" s="46">
        <f>CJ61*CK60</f>
        <v>209.90853658536585</v>
      </c>
      <c r="CM60" s="738">
        <f>CL60/CL92</f>
        <v>5.3824748663232318E-3</v>
      </c>
      <c r="CN60" s="145"/>
      <c r="CO60" s="42" t="str">
        <f>'Variante Vorgaben'!$B$183</f>
        <v>Erntewagen 4 Grosskisten</v>
      </c>
      <c r="CP60" s="619">
        <f>'Variante Vorgaben'!$C$183</f>
        <v>960</v>
      </c>
      <c r="CQ60" s="19"/>
      <c r="CR60" s="620">
        <f>'Variante Vorgaben'!$D$183*(1+Eingabeseite!$C$27)</f>
        <v>9</v>
      </c>
      <c r="CS60" s="46">
        <f>CQ61*CR60</f>
        <v>209.90853658536585</v>
      </c>
      <c r="CT60" s="738">
        <f>CS60/CS92</f>
        <v>5.8142050496480116E-3</v>
      </c>
      <c r="CU60" s="145"/>
      <c r="CV60" s="42" t="str">
        <f>'Variante Vorgaben'!$B$183</f>
        <v>Erntewagen 4 Grosskisten</v>
      </c>
      <c r="CW60" s="619">
        <f>'Variante Vorgaben'!$C$183</f>
        <v>960</v>
      </c>
      <c r="CX60" s="19"/>
      <c r="CY60" s="620">
        <f>'Variante Vorgaben'!$D$183*(1+Eingabeseite!$C$27)</f>
        <v>9</v>
      </c>
      <c r="CZ60" s="46">
        <f>CX61*CY60</f>
        <v>209.90853658536585</v>
      </c>
      <c r="DA60" s="738">
        <f>CZ60/CZ92</f>
        <v>4.9988891357044636E-3</v>
      </c>
    </row>
    <row r="61" spans="1:106" s="69" customFormat="1" ht="13" x14ac:dyDescent="0.3">
      <c r="A61" s="145"/>
      <c r="B61" s="298" t="s">
        <v>208</v>
      </c>
      <c r="C61" s="266">
        <f>'Variante Vorgaben'!$E$183</f>
        <v>4</v>
      </c>
      <c r="D61" s="336">
        <f>((D9+D10)+('Variante Vorgaben'!$D$89*D13))/C60</f>
        <v>0</v>
      </c>
      <c r="E61" s="338">
        <f>C60/C84/C61*(1+Eingabeseite!$C$27)</f>
        <v>2.4742268041237114</v>
      </c>
      <c r="F61" s="46"/>
      <c r="G61" s="738"/>
      <c r="H61" s="145"/>
      <c r="I61" s="298" t="s">
        <v>208</v>
      </c>
      <c r="J61" s="266">
        <f>'Variante Vorgaben'!$E$183</f>
        <v>4</v>
      </c>
      <c r="K61" s="336">
        <f>((K9+K10)+('Variante Vorgaben'!$D$89*K13))/J60</f>
        <v>2.3323170731707323</v>
      </c>
      <c r="L61" s="338">
        <f>J60/J84/J61*(1+Eingabeseite!$C$27)</f>
        <v>2.4742268041237114</v>
      </c>
      <c r="M61" s="46"/>
      <c r="N61" s="738"/>
      <c r="O61" s="145"/>
      <c r="P61" s="298" t="s">
        <v>208</v>
      </c>
      <c r="Q61" s="266">
        <f>'Variante Vorgaben'!$E$183</f>
        <v>4</v>
      </c>
      <c r="R61" s="336">
        <f>((R9+R10)+('Variante Vorgaben'!$D$89*R13))/Q60</f>
        <v>8.5518292682926838</v>
      </c>
      <c r="S61" s="338">
        <f>Q60/Q84/Q61*(1+Eingabeseite!$C$27)</f>
        <v>2.4742268041237114</v>
      </c>
      <c r="T61" s="46"/>
      <c r="U61" s="738"/>
      <c r="V61" s="145"/>
      <c r="W61" s="298" t="s">
        <v>208</v>
      </c>
      <c r="X61" s="266">
        <f>'Variante Vorgaben'!$E$183</f>
        <v>4</v>
      </c>
      <c r="Y61" s="336">
        <f>((Y9+Y10)+('Variante Vorgaben'!$D$89*Y13))/X60</f>
        <v>11.661585365853659</v>
      </c>
      <c r="Z61" s="338">
        <f>X60/X84/X61*(1+Eingabeseite!$C$27)</f>
        <v>2.4742268041237114</v>
      </c>
      <c r="AA61" s="46"/>
      <c r="AB61" s="738"/>
      <c r="AC61" s="145"/>
      <c r="AD61" s="298" t="s">
        <v>208</v>
      </c>
      <c r="AE61" s="266">
        <f>'Variante Vorgaben'!$E$183</f>
        <v>4</v>
      </c>
      <c r="AF61" s="336">
        <f>((AF9+AF10)+('Variante Vorgaben'!$D$89*AF13))/AE60</f>
        <v>25.655487804878046</v>
      </c>
      <c r="AG61" s="338">
        <f>AE60/AE84/AE61*(1+Eingabeseite!$C$27)</f>
        <v>2.4742268041237114</v>
      </c>
      <c r="AH61" s="46"/>
      <c r="AI61" s="738"/>
      <c r="AJ61" s="145"/>
      <c r="AK61" s="298" t="s">
        <v>208</v>
      </c>
      <c r="AL61" s="266">
        <f>'Variante Vorgaben'!$E$183</f>
        <v>4</v>
      </c>
      <c r="AM61" s="336">
        <f>((AM9+AM10)+('Variante Vorgaben'!$D$89*AM13))/AL60</f>
        <v>25.655487804878046</v>
      </c>
      <c r="AN61" s="338">
        <f>AL60/AL84/AL61*(1+Eingabeseite!$C$27)</f>
        <v>2.4742268041237114</v>
      </c>
      <c r="AO61" s="46"/>
      <c r="AP61" s="738"/>
      <c r="AQ61" s="145"/>
      <c r="AR61" s="298" t="s">
        <v>208</v>
      </c>
      <c r="AS61" s="266">
        <f>'Variante Vorgaben'!$E$183</f>
        <v>4</v>
      </c>
      <c r="AT61" s="336">
        <f>((AT9+AT10)+('Variante Vorgaben'!$D$89*AT13))/AS60</f>
        <v>25.655487804878046</v>
      </c>
      <c r="AU61" s="338">
        <f>AS60/AS84/AS61*(1+Eingabeseite!$C$27)</f>
        <v>2.4742268041237114</v>
      </c>
      <c r="AV61" s="46"/>
      <c r="AW61" s="738"/>
      <c r="AX61" s="145"/>
      <c r="AY61" s="298" t="s">
        <v>208</v>
      </c>
      <c r="AZ61" s="266">
        <f>'Variante Vorgaben'!$E$183</f>
        <v>4</v>
      </c>
      <c r="BA61" s="336">
        <f>((BA9+BA10)+('Variante Vorgaben'!$D$89*BA13))/AZ60</f>
        <v>25.655487804878046</v>
      </c>
      <c r="BB61" s="338">
        <f>AZ60/AZ84/AZ61*(1+Eingabeseite!$C$27)</f>
        <v>2.4742268041237114</v>
      </c>
      <c r="BC61" s="46"/>
      <c r="BD61" s="738"/>
      <c r="BE61" s="145"/>
      <c r="BF61" s="298" t="s">
        <v>208</v>
      </c>
      <c r="BG61" s="266">
        <f>'Variante Vorgaben'!$E$183</f>
        <v>4</v>
      </c>
      <c r="BH61" s="336">
        <f>((BH9+BH10)+('Variante Vorgaben'!$D$89*BH13))/BG60</f>
        <v>25.655487804878046</v>
      </c>
      <c r="BI61" s="338">
        <f>BG60/BG84/BG61*(1+Eingabeseite!$C$27)</f>
        <v>2.4742268041237114</v>
      </c>
      <c r="BJ61" s="46"/>
      <c r="BK61" s="738"/>
      <c r="BL61" s="145"/>
      <c r="BM61" s="298" t="s">
        <v>208</v>
      </c>
      <c r="BN61" s="266">
        <f>'Variante Vorgaben'!$E$183</f>
        <v>4</v>
      </c>
      <c r="BO61" s="336">
        <f>((BO9+BO10)+('Variante Vorgaben'!$D$89*BO13))/BN60</f>
        <v>25.655487804878046</v>
      </c>
      <c r="BP61" s="338">
        <f>BN60/BN84/BN61*(1+Eingabeseite!$C$27)</f>
        <v>2.4742268041237114</v>
      </c>
      <c r="BQ61" s="46"/>
      <c r="BR61" s="738"/>
      <c r="BS61" s="145"/>
      <c r="BT61" s="298" t="s">
        <v>208</v>
      </c>
      <c r="BU61" s="266">
        <f>'Variante Vorgaben'!$E$183</f>
        <v>4</v>
      </c>
      <c r="BV61" s="336">
        <f>((BV9+BV10)+('Variante Vorgaben'!$D$89*BV13))/BU60</f>
        <v>25.655487804878046</v>
      </c>
      <c r="BW61" s="338">
        <f>BU60/BU84/BU61*(1+Eingabeseite!$C$27)</f>
        <v>2.4742268041237114</v>
      </c>
      <c r="BX61" s="46"/>
      <c r="BY61" s="738"/>
      <c r="BZ61" s="145"/>
      <c r="CA61" s="298" t="s">
        <v>208</v>
      </c>
      <c r="CB61" s="266">
        <f>'Variante Vorgaben'!$E$183</f>
        <v>4</v>
      </c>
      <c r="CC61" s="336">
        <f>((CC9+CC10)+('Variante Vorgaben'!$D$89*CC13))/CB60</f>
        <v>25.655487804878046</v>
      </c>
      <c r="CD61" s="338">
        <f>CB60/CB84/CB61*(1+Eingabeseite!$C$27)</f>
        <v>2.4742268041237114</v>
      </c>
      <c r="CE61" s="46"/>
      <c r="CF61" s="738"/>
      <c r="CG61" s="145"/>
      <c r="CH61" s="298" t="s">
        <v>208</v>
      </c>
      <c r="CI61" s="266">
        <f>'Variante Vorgaben'!$E$183</f>
        <v>4</v>
      </c>
      <c r="CJ61" s="336">
        <f>((CJ9+CJ10)+('Variante Vorgaben'!$D$89*CJ13))/CI60</f>
        <v>23.323170731707318</v>
      </c>
      <c r="CK61" s="338">
        <f>CI60/CI84/CI61*(1+Eingabeseite!$C$27)</f>
        <v>2.4742268041237114</v>
      </c>
      <c r="CL61" s="46"/>
      <c r="CM61" s="738"/>
      <c r="CN61" s="145"/>
      <c r="CO61" s="298" t="s">
        <v>208</v>
      </c>
      <c r="CP61" s="266">
        <f>'Variante Vorgaben'!$E$183</f>
        <v>4</v>
      </c>
      <c r="CQ61" s="336">
        <f>((CQ9+CQ10)+('Variante Vorgaben'!$D$89*CQ13))/CP60</f>
        <v>23.323170731707318</v>
      </c>
      <c r="CR61" s="338">
        <f>CP60/CP84/CP61*(1+Eingabeseite!$C$27)</f>
        <v>2.4742268041237114</v>
      </c>
      <c r="CS61" s="46"/>
      <c r="CT61" s="738"/>
      <c r="CU61" s="145"/>
      <c r="CV61" s="298" t="s">
        <v>208</v>
      </c>
      <c r="CW61" s="266">
        <f>'Variante Vorgaben'!$E$183</f>
        <v>4</v>
      </c>
      <c r="CX61" s="336">
        <f>((CX9+CX10)+('Variante Vorgaben'!$D$89*CX13))/CW60</f>
        <v>23.323170731707318</v>
      </c>
      <c r="CY61" s="338">
        <f>CW60/CW84/CW61*(1+Eingabeseite!$C$27)</f>
        <v>2.4742268041237114</v>
      </c>
      <c r="CZ61" s="46"/>
      <c r="DA61" s="738"/>
    </row>
    <row r="62" spans="1:106" s="1" customFormat="1" ht="13" x14ac:dyDescent="0.3">
      <c r="A62" s="41"/>
      <c r="B62" s="42" t="str">
        <f>'Variante Vorgaben'!$B$184</f>
        <v>Sichelmulchgerät mit beids. Schwenkarm</v>
      </c>
      <c r="C62" s="44">
        <f>'Variante Vorgaben'!$E$184</f>
        <v>7</v>
      </c>
      <c r="D62" s="40">
        <f>'Variante Vorgaben'!$C$184</f>
        <v>1</v>
      </c>
      <c r="E62" s="45">
        <f>'Variante Vorgaben'!$D$184*(1+Eingabeseite!$C$27)</f>
        <v>41</v>
      </c>
      <c r="F62" s="46">
        <f>C62*E62</f>
        <v>287</v>
      </c>
      <c r="G62" s="738">
        <f>F62/$F$92</f>
        <v>1.1943226521025391E-2</v>
      </c>
      <c r="H62" s="41"/>
      <c r="I62" s="42" t="str">
        <f>'Variante Vorgaben'!$B$184</f>
        <v>Sichelmulchgerät mit beids. Schwenkarm</v>
      </c>
      <c r="J62" s="44">
        <f>'Variante Vorgaben'!$E$184</f>
        <v>7</v>
      </c>
      <c r="K62" s="40">
        <f>'Variante Vorgaben'!$C$184</f>
        <v>1</v>
      </c>
      <c r="L62" s="45">
        <f>'Variante Vorgaben'!$D$184*(1+Eingabeseite!$C$27)</f>
        <v>41</v>
      </c>
      <c r="M62" s="46">
        <f>J62*L62</f>
        <v>287</v>
      </c>
      <c r="N62" s="738">
        <f>M62/$M$92</f>
        <v>1.172707342657482E-2</v>
      </c>
      <c r="O62" s="41"/>
      <c r="P62" s="42" t="str">
        <f>'Variante Vorgaben'!$B$184</f>
        <v>Sichelmulchgerät mit beids. Schwenkarm</v>
      </c>
      <c r="Q62" s="44">
        <f>'Variante Vorgaben'!$E$184</f>
        <v>7</v>
      </c>
      <c r="R62" s="40">
        <f>'Variante Vorgaben'!$C$184</f>
        <v>1</v>
      </c>
      <c r="S62" s="45">
        <f>'Variante Vorgaben'!$D$184*(1+Eingabeseite!$C$27)</f>
        <v>41</v>
      </c>
      <c r="T62" s="46">
        <f>Q62*S62</f>
        <v>287</v>
      </c>
      <c r="U62" s="738">
        <f>T62/$T$92</f>
        <v>8.864763005548516E-3</v>
      </c>
      <c r="V62" s="41"/>
      <c r="W62" s="42" t="str">
        <f>'Variante Vorgaben'!$B$184</f>
        <v>Sichelmulchgerät mit beids. Schwenkarm</v>
      </c>
      <c r="X62" s="44">
        <f>'Variante Vorgaben'!$E$184</f>
        <v>7</v>
      </c>
      <c r="Y62" s="40">
        <f>'Variante Vorgaben'!$C$184</f>
        <v>1</v>
      </c>
      <c r="Z62" s="45">
        <f>'Variante Vorgaben'!$D$184*(1+Eingabeseite!$C$27)</f>
        <v>41</v>
      </c>
      <c r="AA62" s="46">
        <f>X62*Z62</f>
        <v>287</v>
      </c>
      <c r="AB62" s="738">
        <f>AA62/$AA$92</f>
        <v>7.8239514777165807E-3</v>
      </c>
      <c r="AC62" s="41"/>
      <c r="AD62" s="42" t="str">
        <f>'Variante Vorgaben'!$B$184</f>
        <v>Sichelmulchgerät mit beids. Schwenkarm</v>
      </c>
      <c r="AE62" s="44">
        <f>'Variante Vorgaben'!$E$184</f>
        <v>7</v>
      </c>
      <c r="AF62" s="40">
        <f>'Variante Vorgaben'!$C$184</f>
        <v>1</v>
      </c>
      <c r="AG62" s="45">
        <f>'Variante Vorgaben'!$D$184*(1+Eingabeseite!$C$27)</f>
        <v>41</v>
      </c>
      <c r="AH62" s="46">
        <f>AE62*AG62</f>
        <v>287</v>
      </c>
      <c r="AI62" s="738">
        <f>AH62/$AH$92</f>
        <v>7.5682262758811989E-3</v>
      </c>
      <c r="AJ62" s="41"/>
      <c r="AK62" s="42" t="str">
        <f>'Variante Vorgaben'!$B$184</f>
        <v>Sichelmulchgerät mit beids. Schwenkarm</v>
      </c>
      <c r="AL62" s="44">
        <f>'Variante Vorgaben'!$E$184</f>
        <v>7</v>
      </c>
      <c r="AM62" s="40">
        <f>'Variante Vorgaben'!$C$184</f>
        <v>1</v>
      </c>
      <c r="AN62" s="45">
        <f>'Variante Vorgaben'!$D$184*(1+Eingabeseite!$C$27)</f>
        <v>41</v>
      </c>
      <c r="AO62" s="46">
        <f>AL62*AN62</f>
        <v>287</v>
      </c>
      <c r="AP62" s="738">
        <f>AO62/$AO$92</f>
        <v>7.5955723265882756E-3</v>
      </c>
      <c r="AQ62" s="41"/>
      <c r="AR62" s="42" t="str">
        <f>'Variante Vorgaben'!$B$184</f>
        <v>Sichelmulchgerät mit beids. Schwenkarm</v>
      </c>
      <c r="AS62" s="44">
        <f>'Variante Vorgaben'!$E$184</f>
        <v>7</v>
      </c>
      <c r="AT62" s="40">
        <f>'Variante Vorgaben'!$C$184</f>
        <v>1</v>
      </c>
      <c r="AU62" s="45">
        <f>'Variante Vorgaben'!$D$184*(1+Eingabeseite!$C$27)</f>
        <v>41</v>
      </c>
      <c r="AV62" s="46">
        <f>AS62*AU62</f>
        <v>287</v>
      </c>
      <c r="AW62" s="738">
        <f>AV62/$AV$92</f>
        <v>7.0938433054035886E-3</v>
      </c>
      <c r="AX62" s="41"/>
      <c r="AY62" s="42" t="str">
        <f>'Variante Vorgaben'!$B$184</f>
        <v>Sichelmulchgerät mit beids. Schwenkarm</v>
      </c>
      <c r="AZ62" s="44">
        <f>'Variante Vorgaben'!$E$184</f>
        <v>7</v>
      </c>
      <c r="BA62" s="40">
        <f>'Variante Vorgaben'!$C$184</f>
        <v>1</v>
      </c>
      <c r="BB62" s="45">
        <f>'Variante Vorgaben'!$D$184*(1+Eingabeseite!$C$27)</f>
        <v>41</v>
      </c>
      <c r="BC62" s="46">
        <f>AZ62*BB62</f>
        <v>287</v>
      </c>
      <c r="BD62" s="738">
        <f>BC62/$BC$92</f>
        <v>7.6464597754915794E-3</v>
      </c>
      <c r="BE62" s="41"/>
      <c r="BF62" s="42" t="str">
        <f>'Variante Vorgaben'!$B$184</f>
        <v>Sichelmulchgerät mit beids. Schwenkarm</v>
      </c>
      <c r="BG62" s="44">
        <f>'Variante Vorgaben'!$E$184</f>
        <v>7</v>
      </c>
      <c r="BH62" s="40">
        <f>'Variante Vorgaben'!$C$184</f>
        <v>1</v>
      </c>
      <c r="BI62" s="45">
        <f>'Variante Vorgaben'!$D$184*(1+Eingabeseite!$C$27)</f>
        <v>41</v>
      </c>
      <c r="BJ62" s="46">
        <f>BG62*BI62</f>
        <v>287</v>
      </c>
      <c r="BK62" s="738">
        <f>BJ62/$BJ$92</f>
        <v>7.6750917989819338E-3</v>
      </c>
      <c r="BL62" s="41"/>
      <c r="BM62" s="42" t="str">
        <f>'Variante Vorgaben'!$B$184</f>
        <v>Sichelmulchgerät mit beids. Schwenkarm</v>
      </c>
      <c r="BN62" s="44">
        <f>'Variante Vorgaben'!$E$184</f>
        <v>7</v>
      </c>
      <c r="BO62" s="40">
        <f>'Variante Vorgaben'!$C$184</f>
        <v>1</v>
      </c>
      <c r="BP62" s="45">
        <f>'Variante Vorgaben'!$D$184*(1+Eingabeseite!$C$27)</f>
        <v>41</v>
      </c>
      <c r="BQ62" s="46">
        <f>BN62*BP62</f>
        <v>287</v>
      </c>
      <c r="BR62" s="738">
        <f>BQ62/$BQ$92</f>
        <v>7.1637863918348286E-3</v>
      </c>
      <c r="BS62" s="41"/>
      <c r="BT62" s="42" t="str">
        <f>'Variante Vorgaben'!$B$184</f>
        <v>Sichelmulchgerät mit beids. Schwenkarm</v>
      </c>
      <c r="BU62" s="44">
        <f>'Variante Vorgaben'!$E$184</f>
        <v>7</v>
      </c>
      <c r="BV62" s="40">
        <f>'Variante Vorgaben'!$C$184</f>
        <v>1</v>
      </c>
      <c r="BW62" s="45">
        <f>'Variante Vorgaben'!$D$184*(1+Eingabeseite!$C$27)</f>
        <v>41</v>
      </c>
      <c r="BX62" s="46">
        <f>BU62*BW62</f>
        <v>287</v>
      </c>
      <c r="BY62" s="738">
        <f>BX62/$BX$92</f>
        <v>7.7285268340253448E-3</v>
      </c>
      <c r="BZ62" s="41"/>
      <c r="CA62" s="42" t="str">
        <f>'Variante Vorgaben'!$B$184</f>
        <v>Sichelmulchgerät mit beids. Schwenkarm</v>
      </c>
      <c r="CB62" s="44">
        <f>'Variante Vorgaben'!$E$184</f>
        <v>7</v>
      </c>
      <c r="CC62" s="40">
        <f>'Variante Vorgaben'!$C$184</f>
        <v>1</v>
      </c>
      <c r="CD62" s="45">
        <f>'Variante Vorgaben'!$D$184*(1+Eingabeseite!$C$27)</f>
        <v>41</v>
      </c>
      <c r="CE62" s="46">
        <f>CB62*CD62</f>
        <v>287</v>
      </c>
      <c r="CF62" s="738">
        <f>CE62/$CE$92</f>
        <v>7.7585301936252925E-3</v>
      </c>
      <c r="CG62" s="41"/>
      <c r="CH62" s="42" t="str">
        <f>'Variante Vorgaben'!$B$184</f>
        <v>Sichelmulchgerät mit beids. Schwenkarm</v>
      </c>
      <c r="CI62" s="44">
        <f>'Variante Vorgaben'!$E$184</f>
        <v>7</v>
      </c>
      <c r="CJ62" s="40">
        <f>'Variante Vorgaben'!$C$184</f>
        <v>1</v>
      </c>
      <c r="CK62" s="45">
        <f>'Variante Vorgaben'!$D$184*(1+Eingabeseite!$C$27)</f>
        <v>41</v>
      </c>
      <c r="CL62" s="46">
        <f>CI62*CK62</f>
        <v>287</v>
      </c>
      <c r="CM62" s="738">
        <f>CL62/$CL$92</f>
        <v>7.3592542340770338E-3</v>
      </c>
      <c r="CN62" s="41"/>
      <c r="CO62" s="42" t="str">
        <f>'Variante Vorgaben'!$B$184</f>
        <v>Sichelmulchgerät mit beids. Schwenkarm</v>
      </c>
      <c r="CP62" s="44">
        <f>'Variante Vorgaben'!$E$184</f>
        <v>7</v>
      </c>
      <c r="CQ62" s="40">
        <f>'Variante Vorgaben'!$C$184</f>
        <v>1</v>
      </c>
      <c r="CR62" s="45">
        <f>'Variante Vorgaben'!$D$184*(1+Eingabeseite!$C$27)</f>
        <v>41</v>
      </c>
      <c r="CS62" s="46">
        <f>CP62*CR62</f>
        <v>287</v>
      </c>
      <c r="CT62" s="738">
        <f>CS62/$CS$92</f>
        <v>7.949542578847715E-3</v>
      </c>
      <c r="CU62" s="41"/>
      <c r="CV62" s="42" t="str">
        <f>'Variante Vorgaben'!$B$184</f>
        <v>Sichelmulchgerät mit beids. Schwenkarm</v>
      </c>
      <c r="CW62" s="44">
        <f>'Variante Vorgaben'!$E$184</f>
        <v>7</v>
      </c>
      <c r="CX62" s="40">
        <f>'Variante Vorgaben'!$C$184</f>
        <v>1</v>
      </c>
      <c r="CY62" s="45">
        <f>'Variante Vorgaben'!$D$184*(1+Eingabeseite!$C$27)</f>
        <v>41</v>
      </c>
      <c r="CZ62" s="46">
        <f>CW62*CY62</f>
        <v>287</v>
      </c>
      <c r="DA62" s="738">
        <f>CZ62/$CZ$92</f>
        <v>6.8347919779037812E-3</v>
      </c>
    </row>
    <row r="63" spans="1:106" s="1" customFormat="1" ht="13.5" thickBot="1" x14ac:dyDescent="0.35">
      <c r="A63" s="250"/>
      <c r="B63" s="42" t="str">
        <f>'Variante Vorgaben'!$B$185</f>
        <v>Schnittholzhacker</v>
      </c>
      <c r="C63" s="564">
        <v>0</v>
      </c>
      <c r="D63" s="733">
        <f>'Variante Vorgaben'!$C$185</f>
        <v>2</v>
      </c>
      <c r="E63" s="45">
        <f>'Variante Vorgaben'!$D$185*(1+Eingabeseite!$C$27)</f>
        <v>68.3</v>
      </c>
      <c r="F63" s="474">
        <f>E63*C63</f>
        <v>0</v>
      </c>
      <c r="G63" s="738">
        <f>F63/$F$92</f>
        <v>0</v>
      </c>
      <c r="H63" s="41"/>
      <c r="I63" s="42" t="str">
        <f>'Variante Vorgaben'!$B$185</f>
        <v>Schnittholzhacker</v>
      </c>
      <c r="J63" s="564">
        <v>0</v>
      </c>
      <c r="K63" s="733">
        <f>'Variante Vorgaben'!$C$185</f>
        <v>2</v>
      </c>
      <c r="L63" s="45">
        <f>'Variante Vorgaben'!$D$185*(1+Eingabeseite!$C$27)</f>
        <v>68.3</v>
      </c>
      <c r="M63" s="474">
        <f>L63*J63</f>
        <v>0</v>
      </c>
      <c r="N63" s="738">
        <f>M63/$M$92</f>
        <v>0</v>
      </c>
      <c r="O63" s="250"/>
      <c r="P63" s="42" t="str">
        <f>'Variante Vorgaben'!$B$185</f>
        <v>Schnittholzhacker</v>
      </c>
      <c r="Q63" s="564">
        <v>0</v>
      </c>
      <c r="R63" s="733">
        <f>'Variante Vorgaben'!$C$185</f>
        <v>2</v>
      </c>
      <c r="S63" s="45">
        <f>'Variante Vorgaben'!$D$185*(1+Eingabeseite!$C$27)</f>
        <v>68.3</v>
      </c>
      <c r="T63" s="474">
        <f>S63*Q63</f>
        <v>0</v>
      </c>
      <c r="U63" s="738">
        <f>T63/$T$92</f>
        <v>0</v>
      </c>
      <c r="V63" s="250"/>
      <c r="W63" s="42" t="str">
        <f>'Variante Vorgaben'!$B$185</f>
        <v>Schnittholzhacker</v>
      </c>
      <c r="X63" s="564">
        <f>'Variante Vorgaben'!$E$185</f>
        <v>1</v>
      </c>
      <c r="Y63" s="733">
        <f>'Variante Vorgaben'!$C$185</f>
        <v>2</v>
      </c>
      <c r="Z63" s="45">
        <f>'Variante Vorgaben'!$D$185*(1+Eingabeseite!$C$27)</f>
        <v>68.3</v>
      </c>
      <c r="AA63" s="474">
        <f>Z63*X63</f>
        <v>68.3</v>
      </c>
      <c r="AB63" s="738">
        <f>AA63/$AA$92</f>
        <v>1.8619368847666985E-3</v>
      </c>
      <c r="AC63" s="250"/>
      <c r="AD63" s="42" t="str">
        <f>'Variante Vorgaben'!$B$185</f>
        <v>Schnittholzhacker</v>
      </c>
      <c r="AE63" s="564">
        <f>'Variante Vorgaben'!$E$185</f>
        <v>1</v>
      </c>
      <c r="AF63" s="733">
        <f>'Variante Vorgaben'!$C$185</f>
        <v>2</v>
      </c>
      <c r="AG63" s="45">
        <f>'Variante Vorgaben'!$D$185*(1+Eingabeseite!$C$27)</f>
        <v>68.3</v>
      </c>
      <c r="AH63" s="474">
        <f>AG63*AE63</f>
        <v>68.3</v>
      </c>
      <c r="AI63" s="738">
        <f>AH63/$AH$92</f>
        <v>1.8010796329013445E-3</v>
      </c>
      <c r="AJ63" s="250"/>
      <c r="AK63" s="42" t="str">
        <f>'Variante Vorgaben'!$B$185</f>
        <v>Schnittholzhacker</v>
      </c>
      <c r="AL63" s="564">
        <f>'Variante Vorgaben'!$E$185</f>
        <v>1</v>
      </c>
      <c r="AM63" s="733">
        <f>'Variante Vorgaben'!$C$185</f>
        <v>2</v>
      </c>
      <c r="AN63" s="45">
        <f>'Variante Vorgaben'!$D$185*(1+Eingabeseite!$C$27)</f>
        <v>68.3</v>
      </c>
      <c r="AO63" s="474">
        <f>AN63*AL63</f>
        <v>68.3</v>
      </c>
      <c r="AP63" s="738">
        <f>AO63/$AO$92</f>
        <v>1.8075874212751888E-3</v>
      </c>
      <c r="AQ63" s="250"/>
      <c r="AR63" s="42" t="str">
        <f>'Variante Vorgaben'!$B$185</f>
        <v>Schnittholzhacker</v>
      </c>
      <c r="AS63" s="564">
        <f>'Variante Vorgaben'!$E$185</f>
        <v>1</v>
      </c>
      <c r="AT63" s="733">
        <f>'Variante Vorgaben'!$C$185</f>
        <v>2</v>
      </c>
      <c r="AU63" s="45">
        <f>'Variante Vorgaben'!$D$185*(1+Eingabeseite!$C$27)</f>
        <v>68.3</v>
      </c>
      <c r="AV63" s="474">
        <f>AU63*AS63</f>
        <v>68.3</v>
      </c>
      <c r="AW63" s="738">
        <f>AV63/$AV$92</f>
        <v>1.6881864033416903E-3</v>
      </c>
      <c r="AX63" s="250"/>
      <c r="AY63" s="42" t="str">
        <f>'Variante Vorgaben'!$B$185</f>
        <v>Schnittholzhacker</v>
      </c>
      <c r="AZ63" s="564">
        <f>'Variante Vorgaben'!$E$185</f>
        <v>1</v>
      </c>
      <c r="BA63" s="733">
        <f>'Variante Vorgaben'!$C$185</f>
        <v>2</v>
      </c>
      <c r="BB63" s="45">
        <f>'Variante Vorgaben'!$D$185*(1+Eingabeseite!$C$27)</f>
        <v>68.3</v>
      </c>
      <c r="BC63" s="474">
        <f>BB63*AZ63</f>
        <v>68.3</v>
      </c>
      <c r="BD63" s="738">
        <f>BC63/$BC$92</f>
        <v>1.819697570265069E-3</v>
      </c>
      <c r="BE63" s="250"/>
      <c r="BF63" s="42" t="str">
        <f>'Variante Vorgaben'!$B$185</f>
        <v>Schnittholzhacker</v>
      </c>
      <c r="BG63" s="564">
        <f>'Variante Vorgaben'!$E$185</f>
        <v>1</v>
      </c>
      <c r="BH63" s="733">
        <f>'Variante Vorgaben'!$C$185</f>
        <v>2</v>
      </c>
      <c r="BI63" s="45">
        <f>'Variante Vorgaben'!$D$185*(1+Eingabeseite!$C$27)</f>
        <v>68.3</v>
      </c>
      <c r="BJ63" s="474">
        <f>BI63*BG63</f>
        <v>68.3</v>
      </c>
      <c r="BK63" s="738">
        <f>BJ63/$BJ$92</f>
        <v>1.8265113932768851E-3</v>
      </c>
      <c r="BL63" s="250"/>
      <c r="BM63" s="42" t="str">
        <f>'Variante Vorgaben'!$B$185</f>
        <v>Schnittholzhacker</v>
      </c>
      <c r="BN63" s="564">
        <f>'Variante Vorgaben'!$E$185</f>
        <v>1</v>
      </c>
      <c r="BO63" s="733">
        <f>'Variante Vorgaben'!$C$185</f>
        <v>2</v>
      </c>
      <c r="BP63" s="45">
        <f>'Variante Vorgaben'!$D$185*(1+Eingabeseite!$C$27)</f>
        <v>68.3</v>
      </c>
      <c r="BQ63" s="474">
        <f>BP63*BN63</f>
        <v>68.3</v>
      </c>
      <c r="BR63" s="738">
        <f>BQ63/$BQ$92</f>
        <v>1.704831395687522E-3</v>
      </c>
      <c r="BS63" s="250"/>
      <c r="BT63" s="42" t="str">
        <f>'Variante Vorgaben'!$B$185</f>
        <v>Schnittholzhacker</v>
      </c>
      <c r="BU63" s="564">
        <f>'Variante Vorgaben'!$E$185</f>
        <v>1</v>
      </c>
      <c r="BV63" s="733">
        <f>'Variante Vorgaben'!$C$185</f>
        <v>2</v>
      </c>
      <c r="BW63" s="45">
        <f>'Variante Vorgaben'!$D$185*(1+Eingabeseite!$C$27)</f>
        <v>68.3</v>
      </c>
      <c r="BX63" s="474">
        <f>BW63*BU63</f>
        <v>68.3</v>
      </c>
      <c r="BY63" s="738">
        <f>BX63/$BX$92</f>
        <v>1.8392278145084706E-3</v>
      </c>
      <c r="BZ63" s="250"/>
      <c r="CA63" s="42" t="str">
        <f>'Variante Vorgaben'!$B$185</f>
        <v>Schnittholzhacker</v>
      </c>
      <c r="CB63" s="564">
        <f>'Variante Vorgaben'!$E$185</f>
        <v>1</v>
      </c>
      <c r="CC63" s="733">
        <f>'Variante Vorgaben'!$C$185</f>
        <v>2</v>
      </c>
      <c r="CD63" s="45">
        <f>'Variante Vorgaben'!$D$185*(1+Eingabeseite!$C$27)</f>
        <v>68.3</v>
      </c>
      <c r="CE63" s="474">
        <f>CD63*CB63</f>
        <v>68.3</v>
      </c>
      <c r="CF63" s="738">
        <f>CE63/$CE$92</f>
        <v>1.8463679868453223E-3</v>
      </c>
      <c r="CG63" s="250"/>
      <c r="CH63" s="42" t="str">
        <f>'Variante Vorgaben'!$B$185</f>
        <v>Schnittholzhacker</v>
      </c>
      <c r="CI63" s="564">
        <f>'Variante Vorgaben'!$E$185</f>
        <v>1</v>
      </c>
      <c r="CJ63" s="733">
        <f>'Variante Vorgaben'!$C$185</f>
        <v>2</v>
      </c>
      <c r="CK63" s="45">
        <f>'Variante Vorgaben'!$D$185*(1+Eingabeseite!$C$27)</f>
        <v>68.3</v>
      </c>
      <c r="CL63" s="474">
        <f>CK63*CI63</f>
        <v>68.3</v>
      </c>
      <c r="CM63" s="738">
        <f>CL63/$CL$92</f>
        <v>1.7513486557054403E-3</v>
      </c>
      <c r="CN63" s="250"/>
      <c r="CO63" s="42" t="str">
        <f>'Variante Vorgaben'!$B$185</f>
        <v>Schnittholzhacker</v>
      </c>
      <c r="CP63" s="564">
        <f>'Variante Vorgaben'!$E$185</f>
        <v>1</v>
      </c>
      <c r="CQ63" s="733">
        <f>'Variante Vorgaben'!$C$185</f>
        <v>2</v>
      </c>
      <c r="CR63" s="45">
        <f>'Variante Vorgaben'!$D$185*(1+Eingabeseite!$C$27)</f>
        <v>68.3</v>
      </c>
      <c r="CS63" s="474">
        <f>CR63*CP63</f>
        <v>68.3</v>
      </c>
      <c r="CT63" s="738">
        <f>CS63/$CS$92</f>
        <v>1.8918249412379754E-3</v>
      </c>
      <c r="CU63" s="250"/>
      <c r="CV63" s="42" t="str">
        <f>'Variante Vorgaben'!$B$185</f>
        <v>Schnittholzhacker</v>
      </c>
      <c r="CW63" s="564">
        <f>'Variante Vorgaben'!$E$185</f>
        <v>1</v>
      </c>
      <c r="CX63" s="733">
        <f>'Variante Vorgaben'!$C$185</f>
        <v>2</v>
      </c>
      <c r="CY63" s="45">
        <f>'Variante Vorgaben'!$D$185*(1+Eingabeseite!$C$27)</f>
        <v>68.3</v>
      </c>
      <c r="CZ63" s="474">
        <f>CY63*CW63</f>
        <v>68.3</v>
      </c>
      <c r="DA63" s="738">
        <f>CZ63/$CZ$92</f>
        <v>1.6265376031039311E-3</v>
      </c>
    </row>
    <row r="64" spans="1:106" s="1" customFormat="1" ht="16.5" customHeight="1" x14ac:dyDescent="0.3">
      <c r="A64" s="250"/>
      <c r="B64" s="42" t="s">
        <v>107</v>
      </c>
      <c r="C64" s="44"/>
      <c r="D64" s="623">
        <f>(C56*D56)+(C57*D57)+(C58*D58)+(C59*D59)+(D61*E61*'Variante Vorgaben'!$H$176)+(C62*D62)+(C63*D63)+(C68*D68)</f>
        <v>60</v>
      </c>
      <c r="E64" s="45"/>
      <c r="F64" s="85">
        <f>SUM(F56:F63)</f>
        <v>3187</v>
      </c>
      <c r="G64" s="738">
        <f>F64/$F$92</f>
        <v>0.13262391262197881</v>
      </c>
      <c r="H64" s="41"/>
      <c r="I64" s="42" t="s">
        <v>107</v>
      </c>
      <c r="J64" s="44"/>
      <c r="K64" s="623">
        <f>(J56*K56)+(J57*K57)+(J58*K58)+(J59*K59)+(K61*L61*'Variante Vorgaben'!$H$176)+(J62*K62)+(J63*K63)+(J68*K68)</f>
        <v>46.442670354538599</v>
      </c>
      <c r="L64" s="45"/>
      <c r="M64" s="85">
        <f>SUM(M56:M63)</f>
        <v>1512.9908536585365</v>
      </c>
      <c r="N64" s="738">
        <f>M64/$M$92</f>
        <v>6.1822142280800609E-2</v>
      </c>
      <c r="O64" s="250"/>
      <c r="P64" s="42" t="s">
        <v>107</v>
      </c>
      <c r="Q64" s="44"/>
      <c r="R64" s="623">
        <f>(Q56*R56)+(Q57*R57)+(Q484)+(Q58*R58)+(Q59*R59)+(R61*S61*'Variante Vorgaben'!$H$176)+(Q62*R62)+(Q63*R63)+(Q68*R68)</f>
        <v>46.289791299974858</v>
      </c>
      <c r="S64" s="45"/>
      <c r="T64" s="85">
        <f>SUM(T56:T63)</f>
        <v>1420.9664634146341</v>
      </c>
      <c r="U64" s="738">
        <f>T64/$T$92</f>
        <v>4.3890351696875107E-2</v>
      </c>
      <c r="V64" s="250"/>
      <c r="W64" s="42" t="s">
        <v>107</v>
      </c>
      <c r="X64" s="44"/>
      <c r="Y64" s="623">
        <f>(X56*Y56)+(X57*Y57)+(X484)+(X58*Y58)+(X59*Y59)+(Y61*Z61*'Variante Vorgaben'!$H$176)+(X62*Y62)+(X63*Y63)+(X68*Y68)</f>
        <v>66.213351772692988</v>
      </c>
      <c r="Z64" s="45"/>
      <c r="AA64" s="85">
        <f>SUM(AA56:AA63)</f>
        <v>3230.2542682926833</v>
      </c>
      <c r="AB64" s="738">
        <f>AA64/$AA$92</f>
        <v>8.806046221536179E-2</v>
      </c>
      <c r="AC64" s="250"/>
      <c r="AD64" s="42" t="s">
        <v>107</v>
      </c>
      <c r="AE64" s="44"/>
      <c r="AF64" s="623">
        <f>(AE56*AF56)+(AE57*AF57)+(AE484)+(AE58*AF58)+(AE59*AF59)+(AF61*AG61*'Variante Vorgaben'!$H$176)+(AE62*AF62)+(AE63*AF63)+(AE68*AF68)</f>
        <v>59.869373899924568</v>
      </c>
      <c r="AG64" s="45"/>
      <c r="AH64" s="85">
        <f>SUM(AH56:AH63)</f>
        <v>1661.1993902439024</v>
      </c>
      <c r="AI64" s="738">
        <f>AH64/$AH$92</f>
        <v>4.3806037891016475E-2</v>
      </c>
      <c r="AJ64" s="250"/>
      <c r="AK64" s="42" t="s">
        <v>107</v>
      </c>
      <c r="AL64" s="44"/>
      <c r="AM64" s="623">
        <f>(AL56*AM56)+(AL57*AM57)+(AL484)+(AL58*AM58)+(AL59*AM59)+(AM61*AN61*'Variante Vorgaben'!$H$176)+(AL62*AM62)+(AL63*AM63)+(AL68*AM68)</f>
        <v>59.869373899924568</v>
      </c>
      <c r="AN64" s="45"/>
      <c r="AO64" s="85">
        <f>SUM(AO56:AO63)</f>
        <v>1661.1993902439024</v>
      </c>
      <c r="AP64" s="738">
        <f>AO64/$AO$92</f>
        <v>4.3964320966835897E-2</v>
      </c>
      <c r="AQ64" s="250"/>
      <c r="AR64" s="42" t="s">
        <v>107</v>
      </c>
      <c r="AS64" s="623"/>
      <c r="AT64" s="623">
        <f>(AS56*AT56)+(AS57*AT57)+(AS484)+(AS58*AT58)+(AS59*AT59)+(AT61*AU61*'Variante Vorgaben'!$H$176)+(AS62*AT62)+(AS63*AT63)+(AS68*AT68)</f>
        <v>74.869373899924568</v>
      </c>
      <c r="AU64" s="45"/>
      <c r="AV64" s="85">
        <f>SUM(AV56:AV63)</f>
        <v>3356.1993902439026</v>
      </c>
      <c r="AW64" s="738">
        <f>AV64/$AV$92</f>
        <v>8.2955932320840822E-2</v>
      </c>
      <c r="AX64" s="250"/>
      <c r="AY64" s="42" t="s">
        <v>107</v>
      </c>
      <c r="AZ64" s="44"/>
      <c r="BA64" s="623">
        <f>(AZ56*BA56)+(AZ57*BA57)+(AZ484)+(AZ58*BA58)+(AZ59*BA59)+(BA61*BB61*'Variante Vorgaben'!$H$176)+(AZ62*BA62)+(AZ63*BA63)+(AZ68*BA68)</f>
        <v>59.869373899924568</v>
      </c>
      <c r="BB64" s="45"/>
      <c r="BC64" s="85">
        <f>SUM(BC56:BC63)</f>
        <v>1661.1993902439024</v>
      </c>
      <c r="BD64" s="738">
        <f>BC64/$BC$92</f>
        <v>4.425886521453358E-2</v>
      </c>
      <c r="BE64" s="250"/>
      <c r="BF64" s="42" t="s">
        <v>107</v>
      </c>
      <c r="BG64" s="44"/>
      <c r="BH64" s="623">
        <f>(BG56*BH56)+(BG57*BH57)+(BG484)+(BG58*BH58)+(BG59*BH59)+(BH61*BI61*'Variante Vorgaben'!$H$176)+(BG62*BH62)+(BG63*BH63)+(BG68*BH68)</f>
        <v>59.869373899924568</v>
      </c>
      <c r="BI64" s="45"/>
      <c r="BJ64" s="85">
        <f>SUM(BJ56:BJ63)</f>
        <v>1661.1993902439024</v>
      </c>
      <c r="BK64" s="738">
        <f>BJ64/$BJ$92</f>
        <v>4.4424591695243078E-2</v>
      </c>
      <c r="BL64" s="250"/>
      <c r="BM64" s="42" t="s">
        <v>107</v>
      </c>
      <c r="BN64" s="44"/>
      <c r="BO64" s="623">
        <f>(BN56*BO56)+(BN57*BO57)+(BN484)+(BN58*BO58)+(BN59*BO59)+(BO61*BP61*'Variante Vorgaben'!$H$176)+(BN62*BO62)+(BN63*BO63)+(BN68*BO68)</f>
        <v>74.869373899924568</v>
      </c>
      <c r="BP64" s="45"/>
      <c r="BQ64" s="85">
        <f>SUM(BQ56:BQ63)</f>
        <v>3356.1993902439026</v>
      </c>
      <c r="BR64" s="738">
        <f>BQ64/$BQ$92</f>
        <v>8.3773851986458606E-2</v>
      </c>
      <c r="BS64" s="250"/>
      <c r="BT64" s="42" t="s">
        <v>107</v>
      </c>
      <c r="BU64" s="44"/>
      <c r="BV64" s="623">
        <f>(BU56*BV56)+(BU57*BV57)+(BU484)+(BU58*BV58)+(BU59*BV59)+(BV61*BW61*'Variante Vorgaben'!$H$176)+(BU62*BV62)+(BU63*BV63)+(BU68*BV68)</f>
        <v>59.869373899924568</v>
      </c>
      <c r="BW64" s="45"/>
      <c r="BX64" s="85">
        <f>SUM(BX56:BX63)</f>
        <v>1661.1993902439024</v>
      </c>
      <c r="BY64" s="738">
        <f>BX64/$BX$92</f>
        <v>4.4733881756677842E-2</v>
      </c>
      <c r="BZ64" s="250"/>
      <c r="CA64" s="42" t="s">
        <v>107</v>
      </c>
      <c r="CB64" s="44"/>
      <c r="CC64" s="623">
        <f>(CB56*CC56)+(CB57*CC57)+(CB484)+(CB58*CC58)+(CB59*CC59)+(CC61*CD61*'Variante Vorgaben'!$H$176)+(CB62*CC62)+(CB63*CC63)+(CB68*CC68)</f>
        <v>59.869373899924568</v>
      </c>
      <c r="CD64" s="45"/>
      <c r="CE64" s="85">
        <f>SUM(CE56:CE63)</f>
        <v>1661.1993902439024</v>
      </c>
      <c r="CF64" s="738">
        <f>CE64/$CE$92</f>
        <v>4.4907545738115826E-2</v>
      </c>
      <c r="CG64" s="250"/>
      <c r="CH64" s="42" t="s">
        <v>107</v>
      </c>
      <c r="CI64" s="44"/>
      <c r="CJ64" s="623">
        <f>(CI56*CJ56)+(CI57*CJ57)+(CI484)+(CI58*CJ58)+(CI59*CJ59)+(CJ61*CK61*'Variante Vorgaben'!$H$176)+(CI62*CJ62)+(CI63*CJ63)+(CI68*CJ68)</f>
        <v>73.426703545385976</v>
      </c>
      <c r="CK64" s="45"/>
      <c r="CL64" s="85">
        <f>SUM(CL56:CL63)</f>
        <v>3335.2085365853659</v>
      </c>
      <c r="CM64" s="738">
        <f>CL64/$CL$92</f>
        <v>8.5521420015316096E-2</v>
      </c>
      <c r="CN64" s="250"/>
      <c r="CO64" s="42" t="s">
        <v>107</v>
      </c>
      <c r="CP64" s="44"/>
      <c r="CQ64" s="623">
        <f>(CP56*CQ56)+(CP57*CQ57)+(CP484)+(CP58*CQ58)+(CP59*CQ59)+(CQ61*CR61*'Variante Vorgaben'!$H$176)+(CP62*CQ62)+(CP63*CQ63)+(CP68*CQ68)</f>
        <v>58.426703545385969</v>
      </c>
      <c r="CR64" s="45"/>
      <c r="CS64" s="85">
        <f>SUM(CS56:CS63)</f>
        <v>1640.2085365853659</v>
      </c>
      <c r="CT64" s="738">
        <f>CS64/$CS$92</f>
        <v>4.5431733797124972E-2</v>
      </c>
      <c r="CU64" s="250"/>
      <c r="CV64" s="42" t="s">
        <v>107</v>
      </c>
      <c r="CW64" s="44"/>
      <c r="CX64" s="623">
        <f>(CW56*CX56)+(CW57*CX57)+(CW484)+(CW58*CX58)+(CW59*CX59)+(CX61*CY61*'Variante Vorgaben'!$H$176)+(CW62*CX62)+(CW63*CX63)+(CW68*CX68)</f>
        <v>58.426703545385969</v>
      </c>
      <c r="CY64" s="45"/>
      <c r="CZ64" s="85">
        <f>SUM(CZ56:CZ63)</f>
        <v>1640.2085365853659</v>
      </c>
      <c r="DA64" s="738">
        <f>CZ64/$CZ$92</f>
        <v>3.9060920376107873E-2</v>
      </c>
    </row>
    <row r="65" spans="1:105" s="1" customFormat="1" ht="13" x14ac:dyDescent="0.3">
      <c r="A65" s="624"/>
      <c r="B65" s="87" t="str">
        <f>'Variante Vorgaben'!$B$176</f>
        <v>Obstbautraktor 4-Rad</v>
      </c>
      <c r="C65" s="44"/>
      <c r="D65" s="623">
        <f>D64</f>
        <v>60</v>
      </c>
      <c r="E65" s="45">
        <f>'Variante Vorgaben'!$D$176*(1+Eingabeseite!$C$27)</f>
        <v>41</v>
      </c>
      <c r="F65" s="149">
        <f>D65*E65</f>
        <v>2460</v>
      </c>
      <c r="G65" s="738">
        <f>F65/$F$92</f>
        <v>0.1023705130373605</v>
      </c>
      <c r="H65" s="865"/>
      <c r="I65" s="87" t="str">
        <f>'Variante Vorgaben'!$B$176</f>
        <v>Obstbautraktor 4-Rad</v>
      </c>
      <c r="J65" s="44"/>
      <c r="K65" s="623">
        <f>K64</f>
        <v>46.442670354538599</v>
      </c>
      <c r="L65" s="45">
        <f>'Variante Vorgaben'!$D$176*(1+Eingabeseite!$C$27)</f>
        <v>41</v>
      </c>
      <c r="M65" s="149">
        <f>K65*L65</f>
        <v>1904.1494845360826</v>
      </c>
      <c r="N65" s="738">
        <f>M65/$M$92</f>
        <v>7.7805229339126258E-2</v>
      </c>
      <c r="O65" s="624"/>
      <c r="P65" s="87" t="str">
        <f>'Variante Vorgaben'!$B$176</f>
        <v>Obstbautraktor 4-Rad</v>
      </c>
      <c r="Q65" s="44"/>
      <c r="R65" s="623">
        <f>R64</f>
        <v>46.289791299974858</v>
      </c>
      <c r="S65" s="45">
        <f>'Variante Vorgaben'!$D$176*(1+Eingabeseite!$C$27)</f>
        <v>41</v>
      </c>
      <c r="T65" s="149">
        <f>R65*S65</f>
        <v>1897.8814432989691</v>
      </c>
      <c r="U65" s="738">
        <f>T65/$T$92</f>
        <v>5.8621147064368377E-2</v>
      </c>
      <c r="V65" s="624"/>
      <c r="W65" s="87" t="str">
        <f>'Variante Vorgaben'!$B$176</f>
        <v>Obstbautraktor 4-Rad</v>
      </c>
      <c r="X65" s="44"/>
      <c r="Y65" s="623">
        <f>Y64</f>
        <v>66.213351772692988</v>
      </c>
      <c r="Z65" s="45">
        <f>'Variante Vorgaben'!$D$176*(1+Eingabeseite!$C$27)</f>
        <v>41</v>
      </c>
      <c r="AA65" s="149">
        <f>Y65*Z65</f>
        <v>2714.7474226804125</v>
      </c>
      <c r="AB65" s="738">
        <f>AA65/$AA$92</f>
        <v>7.4007150206647013E-2</v>
      </c>
      <c r="AC65" s="624"/>
      <c r="AD65" s="87" t="str">
        <f>'Variante Vorgaben'!$B$176</f>
        <v>Obstbautraktor 4-Rad</v>
      </c>
      <c r="AE65" s="44"/>
      <c r="AF65" s="623">
        <f>AF64</f>
        <v>59.869373899924568</v>
      </c>
      <c r="AG65" s="45">
        <f>'Variante Vorgaben'!$D$176*(1+Eingabeseite!$C$27)</f>
        <v>41</v>
      </c>
      <c r="AH65" s="149">
        <f>AF65*AG65</f>
        <v>2454.6443298969075</v>
      </c>
      <c r="AI65" s="738">
        <f>AH65/$AH$92</f>
        <v>6.4729281238566458E-2</v>
      </c>
      <c r="AJ65" s="624"/>
      <c r="AK65" s="87" t="str">
        <f>'Variante Vorgaben'!$B$176</f>
        <v>Obstbautraktor 4-Rad</v>
      </c>
      <c r="AL65" s="44"/>
      <c r="AM65" s="623">
        <f>AM64</f>
        <v>59.869373899924568</v>
      </c>
      <c r="AN65" s="45">
        <f>'Variante Vorgaben'!$D$176*(1+Eingabeseite!$C$27)</f>
        <v>41</v>
      </c>
      <c r="AO65" s="149">
        <f>AM65*AN65</f>
        <v>2454.6443298969075</v>
      </c>
      <c r="AP65" s="738">
        <f>AO65/$AO$92</f>
        <v>6.4963165657776212E-2</v>
      </c>
      <c r="AQ65" s="624"/>
      <c r="AR65" s="87" t="str">
        <f>'Variante Vorgaben'!$B$176</f>
        <v>Obstbautraktor 4-Rad</v>
      </c>
      <c r="AS65" s="44"/>
      <c r="AT65" s="623">
        <f>AT64</f>
        <v>74.869373899924568</v>
      </c>
      <c r="AU65" s="45">
        <f>'Variante Vorgaben'!$D$176*(1+Eingabeseite!$C$27)</f>
        <v>41</v>
      </c>
      <c r="AV65" s="149">
        <f>AT65*AU65</f>
        <v>3069.6443298969075</v>
      </c>
      <c r="AW65" s="738">
        <f>AV65/$AV$92</f>
        <v>7.5873086688534014E-2</v>
      </c>
      <c r="AX65" s="624"/>
      <c r="AY65" s="87" t="str">
        <f>'Variante Vorgaben'!$B$176</f>
        <v>Obstbautraktor 4-Rad</v>
      </c>
      <c r="AZ65" s="44"/>
      <c r="BA65" s="623">
        <f>BA64</f>
        <v>59.869373899924568</v>
      </c>
      <c r="BB65" s="45">
        <f>'Variante Vorgaben'!$D$176*(1+Eingabeseite!$C$27)</f>
        <v>41</v>
      </c>
      <c r="BC65" s="149">
        <f>BA65*BB65</f>
        <v>2454.6443298969075</v>
      </c>
      <c r="BD65" s="738">
        <f>BC65/$BC$92</f>
        <v>6.539839418709123E-2</v>
      </c>
      <c r="BE65" s="624"/>
      <c r="BF65" s="87" t="str">
        <f>'Variante Vorgaben'!$B$176</f>
        <v>Obstbautraktor 4-Rad</v>
      </c>
      <c r="BG65" s="44"/>
      <c r="BH65" s="623">
        <f>BH64</f>
        <v>59.869373899924568</v>
      </c>
      <c r="BI65" s="45">
        <f>'Variante Vorgaben'!$D$176*(1+Eingabeseite!$C$27)</f>
        <v>41</v>
      </c>
      <c r="BJ65" s="149">
        <f>BH65*BI65</f>
        <v>2454.6443298969075</v>
      </c>
      <c r="BK65" s="738">
        <f>BJ65/$BJ$92</f>
        <v>6.5643277232784875E-2</v>
      </c>
      <c r="BL65" s="624"/>
      <c r="BM65" s="87" t="str">
        <f>'Variante Vorgaben'!$B$176</f>
        <v>Obstbautraktor 4-Rad</v>
      </c>
      <c r="BN65" s="44"/>
      <c r="BO65" s="623">
        <f>BO64</f>
        <v>74.869373899924568</v>
      </c>
      <c r="BP65" s="45">
        <f>'Variante Vorgaben'!$D$176*(1+Eingabeseite!$C$27)</f>
        <v>41</v>
      </c>
      <c r="BQ65" s="149">
        <f>BO65*BP65</f>
        <v>3069.6443298969075</v>
      </c>
      <c r="BR65" s="738">
        <f>BQ65/$BQ$92</f>
        <v>7.6621171701353338E-2</v>
      </c>
      <c r="BS65" s="624"/>
      <c r="BT65" s="87" t="str">
        <f>'Variante Vorgaben'!$B$176</f>
        <v>Obstbautraktor 4-Rad</v>
      </c>
      <c r="BU65" s="44"/>
      <c r="BV65" s="623">
        <f>BV64</f>
        <v>59.869373899924568</v>
      </c>
      <c r="BW65" s="45">
        <f>'Variante Vorgaben'!$D$176*(1+Eingabeseite!$C$27)</f>
        <v>41</v>
      </c>
      <c r="BX65" s="149">
        <f>BV65*BW65</f>
        <v>2454.6443298969075</v>
      </c>
      <c r="BY65" s="738">
        <f>BX65/$BX$92</f>
        <v>6.610029467455196E-2</v>
      </c>
      <c r="BZ65" s="624"/>
      <c r="CA65" s="87" t="str">
        <f>'Variante Vorgaben'!$B$176</f>
        <v>Obstbautraktor 4-Rad</v>
      </c>
      <c r="CB65" s="44"/>
      <c r="CC65" s="623">
        <f>CC64</f>
        <v>59.869373899924568</v>
      </c>
      <c r="CD65" s="45">
        <f>'Variante Vorgaben'!$D$176*(1+Eingabeseite!$C$27)</f>
        <v>41</v>
      </c>
      <c r="CE65" s="149">
        <f>CC65*CD65</f>
        <v>2454.6443298969075</v>
      </c>
      <c r="CF65" s="738">
        <f>CE65/$CE$92</f>
        <v>6.6356906439429555E-2</v>
      </c>
      <c r="CG65" s="624"/>
      <c r="CH65" s="87" t="str">
        <f>'Variante Vorgaben'!$B$176</f>
        <v>Obstbautraktor 4-Rad</v>
      </c>
      <c r="CI65" s="44"/>
      <c r="CJ65" s="623">
        <f>CJ64</f>
        <v>73.426703545385976</v>
      </c>
      <c r="CK65" s="45">
        <f>'Variante Vorgaben'!$D$176*(1+Eingabeseite!$C$27)</f>
        <v>41</v>
      </c>
      <c r="CL65" s="149">
        <f>CJ65*CK65</f>
        <v>3010.4948453608249</v>
      </c>
      <c r="CM65" s="738">
        <f>CL65/$CL$92</f>
        <v>7.719511128010012E-2</v>
      </c>
      <c r="CN65" s="624"/>
      <c r="CO65" s="87" t="str">
        <f>'Variante Vorgaben'!$B$176</f>
        <v>Obstbautraktor 4-Rad</v>
      </c>
      <c r="CP65" s="44"/>
      <c r="CQ65" s="623">
        <f>CQ64</f>
        <v>58.426703545385969</v>
      </c>
      <c r="CR65" s="45">
        <f>'Variante Vorgaben'!$D$176*(1+Eingabeseite!$C$27)</f>
        <v>41</v>
      </c>
      <c r="CS65" s="149">
        <f>CQ65*CR65</f>
        <v>2395.4948453608249</v>
      </c>
      <c r="CT65" s="738">
        <f>CS65/$CS$92</f>
        <v>6.6352223939394078E-2</v>
      </c>
      <c r="CU65" s="624"/>
      <c r="CV65" s="87" t="str">
        <f>'Variante Vorgaben'!$B$176</f>
        <v>Obstbautraktor 4-Rad</v>
      </c>
      <c r="CW65" s="44"/>
      <c r="CX65" s="623">
        <f>CX64</f>
        <v>58.426703545385969</v>
      </c>
      <c r="CY65" s="45">
        <f>'Variante Vorgaben'!$D$176*(1+Eingabeseite!$C$27)</f>
        <v>41</v>
      </c>
      <c r="CZ65" s="149">
        <f>CX65*CY65</f>
        <v>2395.4948453608249</v>
      </c>
      <c r="DA65" s="738">
        <f>CZ65/$CZ$92</f>
        <v>5.7047766383909494E-2</v>
      </c>
    </row>
    <row r="66" spans="1:105" s="1" customFormat="1" ht="12.5" x14ac:dyDescent="0.25">
      <c r="A66" s="1318"/>
      <c r="B66" s="145" t="str">
        <f>'Variante Vorgaben'!$B$176</f>
        <v>Obstbautraktor 4-Rad</v>
      </c>
      <c r="C66" s="564">
        <v>10</v>
      </c>
      <c r="D66" s="320"/>
      <c r="E66" s="45">
        <f>'Variante Vorgaben'!$D$176*(1+Eingabeseite!$C$27)</f>
        <v>41</v>
      </c>
      <c r="F66" s="149">
        <f>E66*C66</f>
        <v>410</v>
      </c>
      <c r="G66" s="738">
        <f>F66/$F$92</f>
        <v>1.7061752172893418E-2</v>
      </c>
      <c r="I66" s="145" t="str">
        <f>'Variante Vorgaben'!$B$176</f>
        <v>Obstbautraktor 4-Rad</v>
      </c>
      <c r="J66" s="564">
        <v>10</v>
      </c>
      <c r="K66" s="320"/>
      <c r="L66" s="45">
        <f>'Variante Vorgaben'!$D$176*(1+Eingabeseite!$C$27)</f>
        <v>41</v>
      </c>
      <c r="M66" s="149">
        <f>L66*J66</f>
        <v>410</v>
      </c>
      <c r="N66" s="738"/>
      <c r="P66" s="145" t="str">
        <f>'Variante Vorgaben'!$B$176</f>
        <v>Obstbautraktor 4-Rad</v>
      </c>
      <c r="Q66" s="564">
        <v>10</v>
      </c>
      <c r="R66" s="320"/>
      <c r="S66" s="45">
        <f>'Variante Vorgaben'!$D$176*(1+Eingabeseite!$C$27)</f>
        <v>41</v>
      </c>
      <c r="T66" s="149">
        <f>S66*Q66</f>
        <v>410</v>
      </c>
      <c r="U66" s="738"/>
      <c r="W66" s="145" t="str">
        <f>'Variante Vorgaben'!$B$176</f>
        <v>Obstbautraktor 4-Rad</v>
      </c>
      <c r="X66" s="564">
        <v>10</v>
      </c>
      <c r="Y66" s="320"/>
      <c r="Z66" s="45">
        <f>'Variante Vorgaben'!$D$176*(1+Eingabeseite!$C$27)</f>
        <v>41</v>
      </c>
      <c r="AA66" s="149">
        <f>Z66*X66</f>
        <v>410</v>
      </c>
      <c r="AB66" s="738"/>
      <c r="AD66" s="145" t="str">
        <f>'Variante Vorgaben'!$B$176</f>
        <v>Obstbautraktor 4-Rad</v>
      </c>
      <c r="AE66" s="564">
        <v>10</v>
      </c>
      <c r="AF66" s="320"/>
      <c r="AG66" s="45">
        <f>'Variante Vorgaben'!$D$176*(1+Eingabeseite!$C$27)</f>
        <v>41</v>
      </c>
      <c r="AH66" s="149">
        <f>AG66*AE66</f>
        <v>410</v>
      </c>
      <c r="AI66" s="738"/>
      <c r="AK66" s="145" t="str">
        <f>'Variante Vorgaben'!$B$176</f>
        <v>Obstbautraktor 4-Rad</v>
      </c>
      <c r="AL66" s="564">
        <v>10</v>
      </c>
      <c r="AM66" s="320"/>
      <c r="AN66" s="45">
        <f>'Variante Vorgaben'!$D$176*(1+Eingabeseite!$C$27)</f>
        <v>41</v>
      </c>
      <c r="AO66" s="149">
        <f>AN66*AL66</f>
        <v>410</v>
      </c>
      <c r="AP66" s="738"/>
      <c r="AR66" s="145" t="str">
        <f>'Variante Vorgaben'!$B$176</f>
        <v>Obstbautraktor 4-Rad</v>
      </c>
      <c r="AS66" s="564">
        <v>10</v>
      </c>
      <c r="AT66" s="320"/>
      <c r="AU66" s="45">
        <f>'Variante Vorgaben'!$D$176*(1+Eingabeseite!$C$27)</f>
        <v>41</v>
      </c>
      <c r="AV66" s="149">
        <f>AU66*AS66</f>
        <v>410</v>
      </c>
      <c r="AW66" s="738"/>
      <c r="AY66" s="145" t="str">
        <f>'Variante Vorgaben'!$B$176</f>
        <v>Obstbautraktor 4-Rad</v>
      </c>
      <c r="AZ66" s="564">
        <v>10</v>
      </c>
      <c r="BA66" s="320"/>
      <c r="BB66" s="45">
        <f>'Variante Vorgaben'!$D$176*(1+Eingabeseite!$C$27)</f>
        <v>41</v>
      </c>
      <c r="BC66" s="149">
        <f>BB66*AZ66</f>
        <v>410</v>
      </c>
      <c r="BD66" s="738"/>
      <c r="BF66" s="145" t="str">
        <f>'Variante Vorgaben'!$B$176</f>
        <v>Obstbautraktor 4-Rad</v>
      </c>
      <c r="BG66" s="564">
        <v>10</v>
      </c>
      <c r="BH66" s="320"/>
      <c r="BI66" s="45">
        <f>'Variante Vorgaben'!$D$176*(1+Eingabeseite!$C$27)</f>
        <v>41</v>
      </c>
      <c r="BJ66" s="149">
        <f>BI66*BG66</f>
        <v>410</v>
      </c>
      <c r="BK66" s="738"/>
      <c r="BL66" s="1306"/>
      <c r="BM66" s="145" t="str">
        <f>'Variante Vorgaben'!$B$176</f>
        <v>Obstbautraktor 4-Rad</v>
      </c>
      <c r="BN66" s="564">
        <v>10</v>
      </c>
      <c r="BO66" s="320"/>
      <c r="BP66" s="45">
        <f>'Variante Vorgaben'!$D$176*(1+Eingabeseite!$C$27)</f>
        <v>41</v>
      </c>
      <c r="BQ66" s="149">
        <f>BP66*BN66</f>
        <v>410</v>
      </c>
      <c r="BR66" s="738"/>
      <c r="BS66" s="1306"/>
      <c r="BT66" s="145" t="str">
        <f>'Variante Vorgaben'!$B$176</f>
        <v>Obstbautraktor 4-Rad</v>
      </c>
      <c r="BU66" s="564">
        <v>10</v>
      </c>
      <c r="BV66" s="320"/>
      <c r="BW66" s="45">
        <f>'Variante Vorgaben'!$D$176*(1+Eingabeseite!$C$27)</f>
        <v>41</v>
      </c>
      <c r="BX66" s="149">
        <f>BW66*BU66</f>
        <v>410</v>
      </c>
      <c r="BY66" s="738"/>
      <c r="BZ66" s="1306"/>
      <c r="CA66" s="145" t="str">
        <f>'Variante Vorgaben'!$B$176</f>
        <v>Obstbautraktor 4-Rad</v>
      </c>
      <c r="CB66" s="564">
        <v>10</v>
      </c>
      <c r="CC66" s="320"/>
      <c r="CD66" s="45">
        <f>'Variante Vorgaben'!$D$176*(1+Eingabeseite!$C$27)</f>
        <v>41</v>
      </c>
      <c r="CE66" s="149">
        <f>CD66*CB66</f>
        <v>410</v>
      </c>
      <c r="CF66" s="738"/>
      <c r="CG66" s="1306"/>
      <c r="CH66" s="145" t="str">
        <f>'Variante Vorgaben'!$B$176</f>
        <v>Obstbautraktor 4-Rad</v>
      </c>
      <c r="CI66" s="564">
        <v>10</v>
      </c>
      <c r="CJ66" s="320"/>
      <c r="CK66" s="45">
        <f>'Variante Vorgaben'!$D$176*(1+Eingabeseite!$C$27)</f>
        <v>41</v>
      </c>
      <c r="CL66" s="149">
        <f>CK66*CI66</f>
        <v>410</v>
      </c>
      <c r="CM66" s="738"/>
      <c r="CN66" s="1306"/>
      <c r="CO66" s="145" t="str">
        <f>'Variante Vorgaben'!$B$176</f>
        <v>Obstbautraktor 4-Rad</v>
      </c>
      <c r="CP66" s="564">
        <v>10</v>
      </c>
      <c r="CQ66" s="320"/>
      <c r="CR66" s="45">
        <f>'Variante Vorgaben'!$D$176*(1+Eingabeseite!$C$27)</f>
        <v>41</v>
      </c>
      <c r="CS66" s="149">
        <f>CR66*CP66</f>
        <v>410</v>
      </c>
      <c r="CT66" s="738"/>
      <c r="CU66" s="1306"/>
      <c r="CV66" s="145" t="str">
        <f>'Variante Vorgaben'!$B$176</f>
        <v>Obstbautraktor 4-Rad</v>
      </c>
      <c r="CW66" s="564">
        <v>10</v>
      </c>
      <c r="CX66" s="320"/>
      <c r="CY66" s="45">
        <f>'Variante Vorgaben'!$D$176*(1+Eingabeseite!$C$27)</f>
        <v>41</v>
      </c>
      <c r="CZ66" s="149">
        <f>CY66*CW66</f>
        <v>410</v>
      </c>
      <c r="DA66" s="738"/>
    </row>
    <row r="67" spans="1:105" s="1" customFormat="1" ht="12.5" x14ac:dyDescent="0.25">
      <c r="A67" s="1317"/>
      <c r="B67" s="145" t="str">
        <f>'Variante Vorgaben'!$B$189</f>
        <v>Hebebühne schwer, selbstfahrend, elektrisch Ernte</v>
      </c>
      <c r="C67" s="744">
        <f>D61*E61*'Variante Vorgaben'!$C$189+'Variante Vorgaben'!$C$190*Eingabeseite!$D$31+'Variante Vorgaben'!D97*'Variante Vorgaben'!$C$191</f>
        <v>35</v>
      </c>
      <c r="D67" s="221"/>
      <c r="E67" s="744">
        <f>'Variante Vorgaben'!D189</f>
        <v>17.5</v>
      </c>
      <c r="F67" s="149">
        <f>E67*C67</f>
        <v>612.5</v>
      </c>
      <c r="G67" s="738"/>
      <c r="I67" s="145" t="str">
        <f>'Variante Vorgaben'!$B$189</f>
        <v>Hebebühne schwer, selbstfahrend, elektrisch Ernte</v>
      </c>
      <c r="J67" s="744">
        <f>K61*L61*'Variante Vorgaben'!$C$189+'Variante Vorgaben'!$C$190*Eingabeseite!$D$31+'Variante Vorgaben'!$D$98*'Variante Vorgaben'!$C$191</f>
        <v>36.154136283630876</v>
      </c>
      <c r="L67" s="744">
        <f>'Variante Vorgaben'!$D$189*(1+Eingabeseite!$C$27)</f>
        <v>17.5</v>
      </c>
      <c r="M67" s="149">
        <f>L67*J67</f>
        <v>632.69738496354034</v>
      </c>
      <c r="N67" s="738"/>
      <c r="O67" s="1306"/>
      <c r="P67" s="145" t="str">
        <f>'Variante Vorgaben'!$B$189</f>
        <v>Hebebühne schwer, selbstfahrend, elektrisch Ernte</v>
      </c>
      <c r="Q67" s="744">
        <f>R61*S61*'Variante Vorgaben'!$C$189+'Variante Vorgaben'!$C$190*Eingabeseite!$D$31+'Variante Vorgaben'!$D$96*'Variante Vorgaben'!$C$191</f>
        <v>74.23183303997989</v>
      </c>
      <c r="S67" s="744">
        <f>'Variante Vorgaben'!$D$189*(1+Eingabeseite!$C$27)</f>
        <v>17.5</v>
      </c>
      <c r="T67" s="149">
        <f>S67*Q67</f>
        <v>1299.057078199648</v>
      </c>
      <c r="U67" s="738"/>
      <c r="V67" s="1306"/>
      <c r="W67" s="145" t="str">
        <f>'Variante Vorgaben'!$B$189</f>
        <v>Hebebühne schwer, selbstfahrend, elektrisch Ernte</v>
      </c>
      <c r="X67" s="744">
        <f>Y61*Z61*'Variante Vorgaben'!$C$189+'Variante Vorgaben'!$C$190*Eingabeseite!$D$31+'Variante Vorgaben'!$D$96*'Variante Vorgaben'!$C$191</f>
        <v>75.770681418154396</v>
      </c>
      <c r="Z67" s="744">
        <f>'Variante Vorgaben'!$D$189*(1+Eingabeseite!$C$27)</f>
        <v>17.5</v>
      </c>
      <c r="AA67" s="149">
        <f>Z67*X67</f>
        <v>1325.9869248177019</v>
      </c>
      <c r="AB67" s="738"/>
      <c r="AC67" s="1306"/>
      <c r="AD67" s="145" t="str">
        <f>'Variante Vorgaben'!$B$189</f>
        <v>Hebebühne schwer, selbstfahrend, elektrisch Ernte</v>
      </c>
      <c r="AE67" s="744">
        <f>AF61*AG61*'Variante Vorgaben'!$C$189+'Variante Vorgaben'!$C$190*Eingabeseite!$D$31+'Variante Vorgaben'!$D$96*'Variante Vorgaben'!$C$191</f>
        <v>82.695499119939655</v>
      </c>
      <c r="AG67" s="744">
        <f>'Variante Vorgaben'!$D$189*(1+Eingabeseite!$C$27)</f>
        <v>17.5</v>
      </c>
      <c r="AH67" s="149">
        <f>AG67*AE67</f>
        <v>1447.171234598944</v>
      </c>
      <c r="AI67" s="738"/>
      <c r="AJ67" s="1306"/>
      <c r="AK67" s="145" t="str">
        <f>'Variante Vorgaben'!$B$189</f>
        <v>Hebebühne schwer, selbstfahrend, elektrisch Ernte</v>
      </c>
      <c r="AL67" s="744">
        <f>AM61*AN61*'Variante Vorgaben'!$C$189+'Variante Vorgaben'!$C$190*Eingabeseite!$D$31+'Variante Vorgaben'!$D$96*'Variante Vorgaben'!$C$191</f>
        <v>82.695499119939655</v>
      </c>
      <c r="AN67" s="744">
        <f>'Variante Vorgaben'!$D$189*(1+Eingabeseite!$C$27)</f>
        <v>17.5</v>
      </c>
      <c r="AO67" s="149">
        <f>AN67*AL67</f>
        <v>1447.171234598944</v>
      </c>
      <c r="AP67" s="738"/>
      <c r="AQ67" s="1306"/>
      <c r="AR67" s="145" t="str">
        <f>'Variante Vorgaben'!$B$189</f>
        <v>Hebebühne schwer, selbstfahrend, elektrisch Ernte</v>
      </c>
      <c r="AS67" s="744">
        <f>AT61*AU61*'Variante Vorgaben'!$C$189+'Variante Vorgaben'!$C$190*Eingabeseite!$D$31+'Variante Vorgaben'!$D$96*'Variante Vorgaben'!$C$191</f>
        <v>82.695499119939655</v>
      </c>
      <c r="AU67" s="744">
        <f>'Variante Vorgaben'!$D$189*(1+Eingabeseite!$C$27)</f>
        <v>17.5</v>
      </c>
      <c r="AV67" s="149">
        <f>AU67*AS67</f>
        <v>1447.171234598944</v>
      </c>
      <c r="AW67" s="738"/>
      <c r="AX67" s="1306"/>
      <c r="AY67" s="145" t="str">
        <f>'Variante Vorgaben'!$B$189</f>
        <v>Hebebühne schwer, selbstfahrend, elektrisch Ernte</v>
      </c>
      <c r="AZ67" s="744">
        <f>BA61*BB61*'Variante Vorgaben'!$C$189+'Variante Vorgaben'!$C$190*Eingabeseite!$D$31+'Variante Vorgaben'!$D$96*'Variante Vorgaben'!$C$191</f>
        <v>82.695499119939655</v>
      </c>
      <c r="BB67" s="744">
        <f>'Variante Vorgaben'!$D$189*(1+Eingabeseite!$C$27)</f>
        <v>17.5</v>
      </c>
      <c r="BC67" s="149">
        <f>BB67*AZ67</f>
        <v>1447.171234598944</v>
      </c>
      <c r="BD67" s="738"/>
      <c r="BE67" s="1306"/>
      <c r="BF67" s="145" t="str">
        <f>'Variante Vorgaben'!$B$189</f>
        <v>Hebebühne schwer, selbstfahrend, elektrisch Ernte</v>
      </c>
      <c r="BG67" s="744">
        <f>BH61*BI61*'Variante Vorgaben'!$C$189+'Variante Vorgaben'!$C$190*Eingabeseite!$D$31+'Variante Vorgaben'!$D$96*'Variante Vorgaben'!$C$191</f>
        <v>82.695499119939655</v>
      </c>
      <c r="BI67" s="744">
        <f>'Variante Vorgaben'!$D$189*(1+Eingabeseite!$C$27)</f>
        <v>17.5</v>
      </c>
      <c r="BJ67" s="149">
        <f>BI67*BG67</f>
        <v>1447.171234598944</v>
      </c>
      <c r="BK67" s="738"/>
      <c r="BL67" s="1260"/>
      <c r="BM67" s="145" t="str">
        <f>'Variante Vorgaben'!$B$189</f>
        <v>Hebebühne schwer, selbstfahrend, elektrisch Ernte</v>
      </c>
      <c r="BN67" s="744">
        <f>BO61*BP61*'Variante Vorgaben'!$C$189+'Variante Vorgaben'!$C$190*Eingabeseite!$D$31+'Variante Vorgaben'!$D$96*'Variante Vorgaben'!$C$191</f>
        <v>82.695499119939655</v>
      </c>
      <c r="BP67" s="744">
        <f>'Variante Vorgaben'!$D$189*(1+Eingabeseite!$C$27)</f>
        <v>17.5</v>
      </c>
      <c r="BQ67" s="149">
        <f>BP67*BN67</f>
        <v>1447.171234598944</v>
      </c>
      <c r="BR67" s="738"/>
      <c r="BS67" s="1260"/>
      <c r="BT67" s="145" t="str">
        <f>'Variante Vorgaben'!$B$189</f>
        <v>Hebebühne schwer, selbstfahrend, elektrisch Ernte</v>
      </c>
      <c r="BU67" s="744">
        <f>BV61*BW61*'Variante Vorgaben'!$C$189+'Variante Vorgaben'!$C$190*Eingabeseite!$D$31+'Variante Vorgaben'!$D$96*'Variante Vorgaben'!$C$191</f>
        <v>82.695499119939655</v>
      </c>
      <c r="BW67" s="744">
        <f>'Variante Vorgaben'!$D$189*(1+Eingabeseite!$C$27)</f>
        <v>17.5</v>
      </c>
      <c r="BX67" s="149">
        <f>BW67*BU67</f>
        <v>1447.171234598944</v>
      </c>
      <c r="BY67" s="738"/>
      <c r="BZ67" s="1260"/>
      <c r="CA67" s="145" t="str">
        <f>'Variante Vorgaben'!$B$189</f>
        <v>Hebebühne schwer, selbstfahrend, elektrisch Ernte</v>
      </c>
      <c r="CB67" s="744">
        <f>CC61*CD61*'Variante Vorgaben'!$C$189+'Variante Vorgaben'!$C$190*Eingabeseite!$D$31+'Variante Vorgaben'!$D$96*'Variante Vorgaben'!$C$191</f>
        <v>82.695499119939655</v>
      </c>
      <c r="CD67" s="744">
        <f>'Variante Vorgaben'!$D$189*(1+Eingabeseite!$C$27)</f>
        <v>17.5</v>
      </c>
      <c r="CE67" s="149">
        <f>CD67*CB67</f>
        <v>1447.171234598944</v>
      </c>
      <c r="CF67" s="738"/>
      <c r="CG67" s="1260"/>
      <c r="CH67" s="145" t="str">
        <f>'Variante Vorgaben'!$B$189</f>
        <v>Hebebühne schwer, selbstfahrend, elektrisch Ernte</v>
      </c>
      <c r="CI67" s="744">
        <f>CJ61*CK61*'Variante Vorgaben'!$C$189+'Variante Vorgaben'!$C$190*Eingabeseite!$D$31+'Variante Vorgaben'!$D$96*'Variante Vorgaben'!$C$191</f>
        <v>81.541362836308778</v>
      </c>
      <c r="CK67" s="744">
        <f>'Variante Vorgaben'!$D$189*(1+Eingabeseite!$C$27)</f>
        <v>17.5</v>
      </c>
      <c r="CL67" s="149">
        <f>CK67*CI67</f>
        <v>1426.9738496354037</v>
      </c>
      <c r="CM67" s="738"/>
      <c r="CN67" s="1260"/>
      <c r="CO67" s="145" t="str">
        <f>'Variante Vorgaben'!$B$189</f>
        <v>Hebebühne schwer, selbstfahrend, elektrisch Ernte</v>
      </c>
      <c r="CP67" s="744">
        <f>CQ61*CR61*'Variante Vorgaben'!$C$189+'Variante Vorgaben'!$C$190*Eingabeseite!$D$31+'Variante Vorgaben'!$D$96*'Variante Vorgaben'!$C$191</f>
        <v>81.541362836308778</v>
      </c>
      <c r="CR67" s="744">
        <f>'Variante Vorgaben'!$D$189*(1+Eingabeseite!$C$27)</f>
        <v>17.5</v>
      </c>
      <c r="CS67" s="149">
        <f>CR67*CP67</f>
        <v>1426.9738496354037</v>
      </c>
      <c r="CT67" s="738"/>
      <c r="CV67" s="145" t="str">
        <f>'Variante Vorgaben'!$B$189</f>
        <v>Hebebühne schwer, selbstfahrend, elektrisch Ernte</v>
      </c>
      <c r="CW67" s="744">
        <f>CX61*CY61*'Variante Vorgaben'!$C$189+'Variante Vorgaben'!$C$190*Eingabeseite!$D$31+'Variante Vorgaben'!$D$96*'Variante Vorgaben'!$C$191</f>
        <v>81.541362836308778</v>
      </c>
      <c r="CY67" s="744">
        <f>'Variante Vorgaben'!$D$189*(1+Eingabeseite!$C$27)</f>
        <v>17.5</v>
      </c>
      <c r="CZ67" s="149">
        <f>CY67*CW67</f>
        <v>1426.9738496354037</v>
      </c>
      <c r="DA67" s="738"/>
    </row>
    <row r="68" spans="1:105" s="1" customFormat="1" ht="12.5" x14ac:dyDescent="0.25">
      <c r="A68" s="757"/>
      <c r="B68" s="42" t="str">
        <f>'Variante Vorgaben'!$B$186</f>
        <v>Hackgerät Ladurner</v>
      </c>
      <c r="C68" s="44">
        <f>'Variante Vorgaben'!$E$186</f>
        <v>3</v>
      </c>
      <c r="D68" s="44">
        <f>'Variante Vorgaben'!$C$186</f>
        <v>2</v>
      </c>
      <c r="E68" s="149">
        <f>'Variante Vorgaben'!$D$186*(1+Eingabeseite!$C$27)</f>
        <v>130</v>
      </c>
      <c r="F68" s="46">
        <f>C68*E68</f>
        <v>390</v>
      </c>
      <c r="G68" s="738">
        <f>F68/$F$92</f>
        <v>1.6229471579093737E-2</v>
      </c>
      <c r="H68" s="757"/>
      <c r="I68" s="42" t="str">
        <f>'Variante Vorgaben'!$B$186</f>
        <v>Hackgerät Ladurner</v>
      </c>
      <c r="J68" s="44">
        <f>'Variante Vorgaben'!$E$186</f>
        <v>3</v>
      </c>
      <c r="K68" s="44">
        <f>'Variante Vorgaben'!$C$186</f>
        <v>2</v>
      </c>
      <c r="L68" s="149">
        <f>'Variante Vorgaben'!$D$186*(1+Eingabeseite!$C$27)</f>
        <v>130</v>
      </c>
      <c r="M68" s="46">
        <f>J68*L68</f>
        <v>390</v>
      </c>
      <c r="N68" s="738">
        <f>M68/$M$92</f>
        <v>1.5935744377575538E-2</v>
      </c>
      <c r="O68" s="757"/>
      <c r="P68" s="42" t="str">
        <f>'Variante Vorgaben'!$B$186</f>
        <v>Hackgerät Ladurner</v>
      </c>
      <c r="Q68" s="44">
        <f>'Variante Vorgaben'!$E$186</f>
        <v>3</v>
      </c>
      <c r="R68" s="44">
        <f>'Variante Vorgaben'!$C$186</f>
        <v>2</v>
      </c>
      <c r="S68" s="149">
        <f>'Variante Vorgaben'!$D$186*(1+Eingabeseite!$C$27)</f>
        <v>130</v>
      </c>
      <c r="T68" s="46">
        <f>Q68*S68</f>
        <v>390</v>
      </c>
      <c r="U68" s="738">
        <f>T68/$T$92</f>
        <v>1.2046193631233175E-2</v>
      </c>
      <c r="V68" s="757"/>
      <c r="W68" s="42" t="str">
        <f>'Variante Vorgaben'!$B$186</f>
        <v>Hackgerät Ladurner</v>
      </c>
      <c r="X68" s="44">
        <f>'Variante Vorgaben'!$E$186</f>
        <v>3</v>
      </c>
      <c r="Y68" s="44">
        <f>'Variante Vorgaben'!$C$186</f>
        <v>2</v>
      </c>
      <c r="Z68" s="149">
        <f>'Variante Vorgaben'!$D$186*(1+Eingabeseite!$C$27)</f>
        <v>130</v>
      </c>
      <c r="AA68" s="46">
        <f>X68*Z68</f>
        <v>390</v>
      </c>
      <c r="AB68" s="738">
        <f>AA68/$AA$92</f>
        <v>1.0631850440102671E-2</v>
      </c>
      <c r="AC68" s="757"/>
      <c r="AD68" s="42" t="str">
        <f>'Variante Vorgaben'!$B$186</f>
        <v>Hackgerät Ladurner</v>
      </c>
      <c r="AE68" s="44">
        <f>'Variante Vorgaben'!$E$186</f>
        <v>3</v>
      </c>
      <c r="AF68" s="44">
        <f>'Variante Vorgaben'!$C$186</f>
        <v>2</v>
      </c>
      <c r="AG68" s="149">
        <f>'Variante Vorgaben'!$D$186*(1+Eingabeseite!$C$27)</f>
        <v>130</v>
      </c>
      <c r="AH68" s="46">
        <f>AE68*AG68</f>
        <v>390</v>
      </c>
      <c r="AI68" s="738">
        <f>AH68/$AH$92</f>
        <v>1.0284349294751454E-2</v>
      </c>
      <c r="AJ68" s="757"/>
      <c r="AK68" s="42" t="str">
        <f>'Variante Vorgaben'!$B$186</f>
        <v>Hackgerät Ladurner</v>
      </c>
      <c r="AL68" s="44">
        <f>'Variante Vorgaben'!$E$186</f>
        <v>3</v>
      </c>
      <c r="AM68" s="44">
        <f>'Variante Vorgaben'!$C$186</f>
        <v>2</v>
      </c>
      <c r="AN68" s="149">
        <f>'Variante Vorgaben'!$D$186*(1+Eingabeseite!$C$27)</f>
        <v>130</v>
      </c>
      <c r="AO68" s="46">
        <f>AL68*AN68</f>
        <v>390</v>
      </c>
      <c r="AP68" s="738">
        <f>AO68/$AO$92</f>
        <v>1.0321509433342953E-2</v>
      </c>
      <c r="AQ68" s="757"/>
      <c r="AR68" s="42" t="str">
        <f>'Variante Vorgaben'!$B$186</f>
        <v>Hackgerät Ladurner</v>
      </c>
      <c r="AS68" s="44">
        <f>'Variante Vorgaben'!$E$186</f>
        <v>3</v>
      </c>
      <c r="AT68" s="44">
        <f>'Variante Vorgaben'!$C$186</f>
        <v>2</v>
      </c>
      <c r="AU68" s="149">
        <f>'Variante Vorgaben'!$D$186*(1+Eingabeseite!$C$27)</f>
        <v>130</v>
      </c>
      <c r="AV68" s="46">
        <f>AS68*AU68</f>
        <v>390</v>
      </c>
      <c r="AW68" s="738">
        <f>AV68/$AV$92</f>
        <v>9.6397173836494758E-3</v>
      </c>
      <c r="AX68" s="757"/>
      <c r="AY68" s="42" t="str">
        <f>'Variante Vorgaben'!$B$186</f>
        <v>Hackgerät Ladurner</v>
      </c>
      <c r="AZ68" s="44">
        <f>'Variante Vorgaben'!$E$186</f>
        <v>3</v>
      </c>
      <c r="BA68" s="44">
        <f>'Variante Vorgaben'!$C$186</f>
        <v>2</v>
      </c>
      <c r="BB68" s="149">
        <f>'Variante Vorgaben'!$D$186*(1+Eingabeseite!$C$27)</f>
        <v>130</v>
      </c>
      <c r="BC68" s="46">
        <f>AZ68*BB68</f>
        <v>390</v>
      </c>
      <c r="BD68" s="738">
        <f>BC68/$BC$92</f>
        <v>1.039065962523246E-2</v>
      </c>
      <c r="BE68" s="757"/>
      <c r="BF68" s="42" t="str">
        <f>'Variante Vorgaben'!$B$186</f>
        <v>Hackgerät Ladurner</v>
      </c>
      <c r="BG68" s="44">
        <f>'Variante Vorgaben'!$E$186</f>
        <v>3</v>
      </c>
      <c r="BH68" s="44">
        <f>'Variante Vorgaben'!$C$186</f>
        <v>2</v>
      </c>
      <c r="BI68" s="149">
        <f>'Variante Vorgaben'!$D$186*(1+Eingabeseite!$C$27)</f>
        <v>130</v>
      </c>
      <c r="BJ68" s="46">
        <f>BG68*BI68</f>
        <v>390</v>
      </c>
      <c r="BK68" s="738">
        <f>BJ68/$BJ$92</f>
        <v>1.0429567252971965E-2</v>
      </c>
      <c r="BL68" s="757"/>
      <c r="BM68" s="42" t="str">
        <f>'Variante Vorgaben'!$B$186</f>
        <v>Hackgerät Ladurner</v>
      </c>
      <c r="BN68" s="44">
        <f>'Variante Vorgaben'!$E$186</f>
        <v>3</v>
      </c>
      <c r="BO68" s="44">
        <f>'Variante Vorgaben'!$C$186</f>
        <v>2</v>
      </c>
      <c r="BP68" s="149">
        <f>'Variante Vorgaben'!$D$186*(1+Eingabeseite!$C$27)</f>
        <v>130</v>
      </c>
      <c r="BQ68" s="46">
        <f>BN68*BP68</f>
        <v>390</v>
      </c>
      <c r="BR68" s="738">
        <f>BQ68/$BQ$92</f>
        <v>9.7347619958731129E-3</v>
      </c>
      <c r="BS68" s="757"/>
      <c r="BT68" s="42" t="str">
        <f>'Variante Vorgaben'!$B$186</f>
        <v>Hackgerät Ladurner</v>
      </c>
      <c r="BU68" s="44">
        <f>'Variante Vorgaben'!$E$186</f>
        <v>3</v>
      </c>
      <c r="BV68" s="44">
        <f>'Variante Vorgaben'!$C$186</f>
        <v>2</v>
      </c>
      <c r="BW68" s="149">
        <f>'Variante Vorgaben'!$D$186*(1+Eingabeseite!$C$27)</f>
        <v>130</v>
      </c>
      <c r="BX68" s="46">
        <f>BU68*BW68</f>
        <v>390</v>
      </c>
      <c r="BY68" s="738">
        <f>BX68/$BX$92</f>
        <v>1.0502179321497855E-2</v>
      </c>
      <c r="BZ68" s="757"/>
      <c r="CA68" s="42" t="str">
        <f>'Variante Vorgaben'!$B$186</f>
        <v>Hackgerät Ladurner</v>
      </c>
      <c r="CB68" s="44">
        <f>'Variante Vorgaben'!$E$186</f>
        <v>3</v>
      </c>
      <c r="CC68" s="44">
        <f>'Variante Vorgaben'!$C$186</f>
        <v>2</v>
      </c>
      <c r="CD68" s="149">
        <f>'Variante Vorgaben'!$D$186*(1+Eingabeseite!$C$27)</f>
        <v>130</v>
      </c>
      <c r="CE68" s="46">
        <f>CB68*CD68</f>
        <v>390</v>
      </c>
      <c r="CF68" s="738">
        <f>CE68/$CE$92</f>
        <v>1.0542950437330537E-2</v>
      </c>
      <c r="CG68" s="757"/>
      <c r="CH68" s="42" t="str">
        <f>'Variante Vorgaben'!$B$186</f>
        <v>Hackgerät Ladurner</v>
      </c>
      <c r="CI68" s="44">
        <f>'Variante Vorgaben'!$E$186</f>
        <v>3</v>
      </c>
      <c r="CJ68" s="44">
        <f>'Variante Vorgaben'!$C$186</f>
        <v>2</v>
      </c>
      <c r="CK68" s="149">
        <f>'Variante Vorgaben'!$D$186*(1+Eingabeseite!$C$27)</f>
        <v>130</v>
      </c>
      <c r="CL68" s="46">
        <f>CI68*CK68</f>
        <v>390</v>
      </c>
      <c r="CM68" s="738">
        <f>CL68/$CL$92</f>
        <v>1.0000380318083774E-2</v>
      </c>
      <c r="CN68" s="757"/>
      <c r="CO68" s="42" t="str">
        <f>'Variante Vorgaben'!$B$186</f>
        <v>Hackgerät Ladurner</v>
      </c>
      <c r="CP68" s="44">
        <f>'Variante Vorgaben'!$E$186</f>
        <v>3</v>
      </c>
      <c r="CQ68" s="44">
        <f>'Variante Vorgaben'!$C$186</f>
        <v>2</v>
      </c>
      <c r="CR68" s="149">
        <f>'Variante Vorgaben'!$D$186*(1+Eingabeseite!$C$27)</f>
        <v>130</v>
      </c>
      <c r="CS68" s="46">
        <f>CP68*CR68</f>
        <v>390</v>
      </c>
      <c r="CT68" s="738">
        <f>CS68/$CS$92</f>
        <v>1.080251430575125E-2</v>
      </c>
      <c r="CU68" s="757"/>
      <c r="CV68" s="42" t="str">
        <f>'Variante Vorgaben'!$B$186</f>
        <v>Hackgerät Ladurner</v>
      </c>
      <c r="CW68" s="44">
        <f>'Variante Vorgaben'!$E$186</f>
        <v>3</v>
      </c>
      <c r="CX68" s="44">
        <f>'Variante Vorgaben'!$C$186</f>
        <v>2</v>
      </c>
      <c r="CY68" s="149">
        <f>'Variante Vorgaben'!$D$186*(1+Eingabeseite!$C$27)</f>
        <v>130</v>
      </c>
      <c r="CZ68" s="46">
        <f>CW68*CY68</f>
        <v>390</v>
      </c>
      <c r="DA68" s="738">
        <f>CZ68/$CZ$92</f>
        <v>9.2876964159668111E-3</v>
      </c>
    </row>
    <row r="69" spans="1:105" s="1" customFormat="1" ht="12.5" x14ac:dyDescent="0.25">
      <c r="A69" s="757"/>
      <c r="B69" s="42" t="str">
        <f>'Variante Vorgaben'!$B$187</f>
        <v>Fadengerät Beikrautregulierung zweiseitg</v>
      </c>
      <c r="C69" s="44">
        <f>'Variante Vorgaben'!$E$187</f>
        <v>6</v>
      </c>
      <c r="D69" s="44">
        <f>'Variante Vorgaben'!$C$187</f>
        <v>1</v>
      </c>
      <c r="E69" s="149">
        <f>'Variante Vorgaben'!$D$187</f>
        <v>84</v>
      </c>
      <c r="F69" s="149">
        <f>C69*E69*D69</f>
        <v>504</v>
      </c>
      <c r="G69" s="738"/>
      <c r="H69" s="757"/>
      <c r="I69" s="42" t="str">
        <f>'Variante Vorgaben'!$B$187</f>
        <v>Fadengerät Beikrautregulierung zweiseitg</v>
      </c>
      <c r="J69" s="44">
        <f>'Variante Vorgaben'!$E$187</f>
        <v>6</v>
      </c>
      <c r="K69" s="44">
        <f>'Variante Vorgaben'!$C$187</f>
        <v>1</v>
      </c>
      <c r="L69" s="149">
        <f>'Variante Vorgaben'!$D$187</f>
        <v>84</v>
      </c>
      <c r="M69" s="149">
        <f>J69*L69*K69</f>
        <v>504</v>
      </c>
      <c r="N69" s="738"/>
      <c r="O69" s="757"/>
      <c r="P69" s="42" t="str">
        <f>'Variante Vorgaben'!$B$187</f>
        <v>Fadengerät Beikrautregulierung zweiseitg</v>
      </c>
      <c r="Q69" s="44">
        <f>'Variante Vorgaben'!$E$187</f>
        <v>6</v>
      </c>
      <c r="R69" s="44">
        <f>'Variante Vorgaben'!$C$187</f>
        <v>1</v>
      </c>
      <c r="S69" s="149">
        <f>'Variante Vorgaben'!$D$187</f>
        <v>84</v>
      </c>
      <c r="T69" s="149">
        <f>Q69*S69*R69</f>
        <v>504</v>
      </c>
      <c r="U69" s="738"/>
      <c r="V69" s="757"/>
      <c r="W69" s="42" t="str">
        <f>'Variante Vorgaben'!$B$187</f>
        <v>Fadengerät Beikrautregulierung zweiseitg</v>
      </c>
      <c r="X69" s="44">
        <f>'Variante Vorgaben'!$E$187</f>
        <v>6</v>
      </c>
      <c r="Y69" s="44">
        <f>'Variante Vorgaben'!$C$187</f>
        <v>1</v>
      </c>
      <c r="Z69" s="149">
        <f>'Variante Vorgaben'!$D$187</f>
        <v>84</v>
      </c>
      <c r="AA69" s="149">
        <f>X69*Z69*Y69</f>
        <v>504</v>
      </c>
      <c r="AB69" s="738"/>
      <c r="AC69" s="757"/>
      <c r="AD69" s="42" t="str">
        <f>'Variante Vorgaben'!$B$187</f>
        <v>Fadengerät Beikrautregulierung zweiseitg</v>
      </c>
      <c r="AE69" s="44">
        <f>'Variante Vorgaben'!$E$187</f>
        <v>6</v>
      </c>
      <c r="AF69" s="44">
        <f>'Variante Vorgaben'!$C$187</f>
        <v>1</v>
      </c>
      <c r="AG69" s="149">
        <f>'Variante Vorgaben'!$D$187</f>
        <v>84</v>
      </c>
      <c r="AH69" s="149">
        <f>AE69*AG69*AF69</f>
        <v>504</v>
      </c>
      <c r="AI69" s="738"/>
      <c r="AJ69" s="757"/>
      <c r="AK69" s="42" t="str">
        <f>'Variante Vorgaben'!$B$187</f>
        <v>Fadengerät Beikrautregulierung zweiseitg</v>
      </c>
      <c r="AL69" s="44">
        <f>'Variante Vorgaben'!$E$187</f>
        <v>6</v>
      </c>
      <c r="AM69" s="44">
        <f>'Variante Vorgaben'!$C$187</f>
        <v>1</v>
      </c>
      <c r="AN69" s="149">
        <f>'Variante Vorgaben'!$D$187</f>
        <v>84</v>
      </c>
      <c r="AO69" s="149">
        <f>AL69*AN69*AM69</f>
        <v>504</v>
      </c>
      <c r="AP69" s="738"/>
      <c r="AQ69" s="757"/>
      <c r="AR69" s="42" t="str">
        <f>'Variante Vorgaben'!$B$187</f>
        <v>Fadengerät Beikrautregulierung zweiseitg</v>
      </c>
      <c r="AS69" s="44">
        <f>'Variante Vorgaben'!$E$187</f>
        <v>6</v>
      </c>
      <c r="AT69" s="44">
        <f>'Variante Vorgaben'!$C$187</f>
        <v>1</v>
      </c>
      <c r="AU69" s="149">
        <f>'Variante Vorgaben'!$D$187</f>
        <v>84</v>
      </c>
      <c r="AV69" s="149">
        <f>AS69*AU69*AT69</f>
        <v>504</v>
      </c>
      <c r="AW69" s="738"/>
      <c r="AX69" s="757"/>
      <c r="AY69" s="42" t="str">
        <f>'Variante Vorgaben'!$B$187</f>
        <v>Fadengerät Beikrautregulierung zweiseitg</v>
      </c>
      <c r="AZ69" s="44">
        <f>'Variante Vorgaben'!$E$187</f>
        <v>6</v>
      </c>
      <c r="BA69" s="44">
        <f>'Variante Vorgaben'!$C$187</f>
        <v>1</v>
      </c>
      <c r="BB69" s="149">
        <f>'Variante Vorgaben'!$D$187</f>
        <v>84</v>
      </c>
      <c r="BC69" s="149">
        <f>AZ69*BB69*BA69</f>
        <v>504</v>
      </c>
      <c r="BD69" s="738"/>
      <c r="BE69" s="757"/>
      <c r="BF69" s="42" t="str">
        <f>'Variante Vorgaben'!$B$187</f>
        <v>Fadengerät Beikrautregulierung zweiseitg</v>
      </c>
      <c r="BG69" s="44">
        <f>'Variante Vorgaben'!$E$187</f>
        <v>6</v>
      </c>
      <c r="BH69" s="44">
        <f>'Variante Vorgaben'!$C$187</f>
        <v>1</v>
      </c>
      <c r="BI69" s="149">
        <f>'Variante Vorgaben'!$D$187</f>
        <v>84</v>
      </c>
      <c r="BJ69" s="149">
        <f>BG69*BI69*BH69</f>
        <v>504</v>
      </c>
      <c r="BK69" s="738"/>
      <c r="BL69" s="757"/>
      <c r="BM69" s="42" t="str">
        <f>'Variante Vorgaben'!$B$187</f>
        <v>Fadengerät Beikrautregulierung zweiseitg</v>
      </c>
      <c r="BN69" s="44">
        <f>'Variante Vorgaben'!$E$187</f>
        <v>6</v>
      </c>
      <c r="BO69" s="44">
        <f>'Variante Vorgaben'!$C$187</f>
        <v>1</v>
      </c>
      <c r="BP69" s="149">
        <f>'Variante Vorgaben'!$D$187</f>
        <v>84</v>
      </c>
      <c r="BQ69" s="149">
        <f>BN69*BP69*BO69</f>
        <v>504</v>
      </c>
      <c r="BR69" s="738"/>
      <c r="BS69" s="757"/>
      <c r="BT69" s="42" t="str">
        <f>'Variante Vorgaben'!$B$187</f>
        <v>Fadengerät Beikrautregulierung zweiseitg</v>
      </c>
      <c r="BU69" s="44">
        <f>'Variante Vorgaben'!$E$187</f>
        <v>6</v>
      </c>
      <c r="BV69" s="44">
        <f>'Variante Vorgaben'!$C$187</f>
        <v>1</v>
      </c>
      <c r="BW69" s="149">
        <f>'Variante Vorgaben'!$D$187</f>
        <v>84</v>
      </c>
      <c r="BX69" s="149">
        <f>BU69*BW69*BV69</f>
        <v>504</v>
      </c>
      <c r="BY69" s="738"/>
      <c r="BZ69" s="757"/>
      <c r="CA69" s="42" t="str">
        <f>'Variante Vorgaben'!$B$187</f>
        <v>Fadengerät Beikrautregulierung zweiseitg</v>
      </c>
      <c r="CB69" s="44">
        <f>'Variante Vorgaben'!$E$187</f>
        <v>6</v>
      </c>
      <c r="CC69" s="44">
        <f>'Variante Vorgaben'!$C$187</f>
        <v>1</v>
      </c>
      <c r="CD69" s="149">
        <f>'Variante Vorgaben'!$D$187</f>
        <v>84</v>
      </c>
      <c r="CE69" s="149">
        <f>CB69*CD69*CC69</f>
        <v>504</v>
      </c>
      <c r="CF69" s="738"/>
      <c r="CG69" s="757"/>
      <c r="CH69" s="42" t="str">
        <f>'Variante Vorgaben'!$B$187</f>
        <v>Fadengerät Beikrautregulierung zweiseitg</v>
      </c>
      <c r="CI69" s="44">
        <f>'Variante Vorgaben'!$E$187</f>
        <v>6</v>
      </c>
      <c r="CJ69" s="44">
        <f>'Variante Vorgaben'!$C$187</f>
        <v>1</v>
      </c>
      <c r="CK69" s="149">
        <f>'Variante Vorgaben'!$D$187</f>
        <v>84</v>
      </c>
      <c r="CL69" s="149">
        <f>CI69*CK69*CJ69</f>
        <v>504</v>
      </c>
      <c r="CM69" s="738"/>
      <c r="CN69" s="757"/>
      <c r="CO69" s="42" t="str">
        <f>'Variante Vorgaben'!$B$187</f>
        <v>Fadengerät Beikrautregulierung zweiseitg</v>
      </c>
      <c r="CP69" s="44">
        <f>'Variante Vorgaben'!$E$187</f>
        <v>6</v>
      </c>
      <c r="CQ69" s="44">
        <f>'Variante Vorgaben'!$C$187</f>
        <v>1</v>
      </c>
      <c r="CR69" s="149">
        <f>'Variante Vorgaben'!$D$187</f>
        <v>84</v>
      </c>
      <c r="CS69" s="149">
        <f>CP69*CR69*CQ69</f>
        <v>504</v>
      </c>
      <c r="CT69" s="738"/>
      <c r="CU69" s="757"/>
      <c r="CV69" s="42" t="str">
        <f>'Variante Vorgaben'!$B$187</f>
        <v>Fadengerät Beikrautregulierung zweiseitg</v>
      </c>
      <c r="CW69" s="44">
        <f>'Variante Vorgaben'!$E$187</f>
        <v>6</v>
      </c>
      <c r="CX69" s="44">
        <f>'Variante Vorgaben'!$C$187</f>
        <v>1</v>
      </c>
      <c r="CY69" s="149">
        <f>'Variante Vorgaben'!$D$187</f>
        <v>84</v>
      </c>
      <c r="CZ69" s="149">
        <f>CW69*CY69*CX69</f>
        <v>504</v>
      </c>
      <c r="DA69" s="738"/>
    </row>
    <row r="70" spans="1:105" s="1" customFormat="1" ht="13" thickBot="1" x14ac:dyDescent="0.3">
      <c r="A70" s="757"/>
      <c r="B70" s="42" t="str">
        <f>'Variante Vorgaben'!$B$188</f>
        <v>Diverse Kleingeräte + Mäusevergaser</v>
      </c>
      <c r="C70" s="44"/>
      <c r="D70" s="44"/>
      <c r="E70" s="45"/>
      <c r="F70" s="587">
        <f>'Variante Vorgaben'!$D$188</f>
        <v>500</v>
      </c>
      <c r="G70" s="738"/>
      <c r="H70" s="757"/>
      <c r="I70" s="42" t="str">
        <f>'Variante Vorgaben'!$B$188</f>
        <v>Diverse Kleingeräte + Mäusevergaser</v>
      </c>
      <c r="J70" s="44"/>
      <c r="K70" s="44"/>
      <c r="L70" s="45"/>
      <c r="M70" s="587">
        <f>'Variante Vorgaben'!$D$188</f>
        <v>500</v>
      </c>
      <c r="N70" s="738"/>
      <c r="O70" s="757"/>
      <c r="P70" s="42" t="str">
        <f>'Variante Vorgaben'!$B$188</f>
        <v>Diverse Kleingeräte + Mäusevergaser</v>
      </c>
      <c r="Q70" s="44"/>
      <c r="R70" s="44"/>
      <c r="S70" s="45"/>
      <c r="T70" s="587">
        <f>'Variante Vorgaben'!$D$188</f>
        <v>500</v>
      </c>
      <c r="U70" s="738"/>
      <c r="V70" s="757"/>
      <c r="W70" s="42" t="str">
        <f>'Variante Vorgaben'!$B$188</f>
        <v>Diverse Kleingeräte + Mäusevergaser</v>
      </c>
      <c r="X70" s="44"/>
      <c r="Y70" s="44"/>
      <c r="Z70" s="45"/>
      <c r="AA70" s="587">
        <f>'Variante Vorgaben'!$D$188</f>
        <v>500</v>
      </c>
      <c r="AB70" s="738"/>
      <c r="AC70" s="757"/>
      <c r="AD70" s="42" t="str">
        <f>'Variante Vorgaben'!$B$188</f>
        <v>Diverse Kleingeräte + Mäusevergaser</v>
      </c>
      <c r="AE70" s="44"/>
      <c r="AF70" s="44"/>
      <c r="AG70" s="45"/>
      <c r="AH70" s="587">
        <f>'Variante Vorgaben'!$D$188</f>
        <v>500</v>
      </c>
      <c r="AI70" s="738"/>
      <c r="AJ70" s="757"/>
      <c r="AK70" s="42" t="str">
        <f>'Variante Vorgaben'!$B$188</f>
        <v>Diverse Kleingeräte + Mäusevergaser</v>
      </c>
      <c r="AL70" s="44"/>
      <c r="AM70" s="44"/>
      <c r="AN70" s="45"/>
      <c r="AO70" s="587">
        <f>'Variante Vorgaben'!$D$188</f>
        <v>500</v>
      </c>
      <c r="AP70" s="738"/>
      <c r="AQ70" s="757"/>
      <c r="AR70" s="42" t="str">
        <f>'Variante Vorgaben'!$B$188</f>
        <v>Diverse Kleingeräte + Mäusevergaser</v>
      </c>
      <c r="AS70" s="44"/>
      <c r="AT70" s="44"/>
      <c r="AU70" s="45"/>
      <c r="AV70" s="587">
        <f>'Variante Vorgaben'!$D$188</f>
        <v>500</v>
      </c>
      <c r="AW70" s="738"/>
      <c r="AX70" s="757"/>
      <c r="AY70" s="42" t="str">
        <f>'Variante Vorgaben'!$B$188</f>
        <v>Diverse Kleingeräte + Mäusevergaser</v>
      </c>
      <c r="AZ70" s="44"/>
      <c r="BA70" s="44"/>
      <c r="BB70" s="45"/>
      <c r="BC70" s="587">
        <f>'Variante Vorgaben'!$D$188</f>
        <v>500</v>
      </c>
      <c r="BD70" s="738"/>
      <c r="BE70" s="757"/>
      <c r="BF70" s="42" t="str">
        <f>'Variante Vorgaben'!$B$188</f>
        <v>Diverse Kleingeräte + Mäusevergaser</v>
      </c>
      <c r="BG70" s="44"/>
      <c r="BH70" s="44"/>
      <c r="BI70" s="45"/>
      <c r="BJ70" s="587">
        <f>'Variante Vorgaben'!$D$188</f>
        <v>500</v>
      </c>
      <c r="BK70" s="738"/>
      <c r="BL70" s="757"/>
      <c r="BM70" s="42" t="str">
        <f>'Variante Vorgaben'!$B$188</f>
        <v>Diverse Kleingeräte + Mäusevergaser</v>
      </c>
      <c r="BN70" s="44"/>
      <c r="BO70" s="44"/>
      <c r="BP70" s="45"/>
      <c r="BQ70" s="587">
        <f>'Variante Vorgaben'!$D$188</f>
        <v>500</v>
      </c>
      <c r="BR70" s="738"/>
      <c r="BS70" s="757"/>
      <c r="BT70" s="42" t="str">
        <f>'Variante Vorgaben'!$B$188</f>
        <v>Diverse Kleingeräte + Mäusevergaser</v>
      </c>
      <c r="BU70" s="44"/>
      <c r="BV70" s="44"/>
      <c r="BW70" s="45"/>
      <c r="BX70" s="587">
        <f>'Variante Vorgaben'!$D$188</f>
        <v>500</v>
      </c>
      <c r="BY70" s="738"/>
      <c r="BZ70" s="757"/>
      <c r="CA70" s="42" t="str">
        <f>'Variante Vorgaben'!$B$188</f>
        <v>Diverse Kleingeräte + Mäusevergaser</v>
      </c>
      <c r="CB70" s="44"/>
      <c r="CC70" s="44"/>
      <c r="CD70" s="45"/>
      <c r="CE70" s="587">
        <f>'Variante Vorgaben'!$D$188</f>
        <v>500</v>
      </c>
      <c r="CF70" s="738"/>
      <c r="CG70" s="757"/>
      <c r="CH70" s="42" t="str">
        <f>'Variante Vorgaben'!$B$188</f>
        <v>Diverse Kleingeräte + Mäusevergaser</v>
      </c>
      <c r="CI70" s="44"/>
      <c r="CJ70" s="44"/>
      <c r="CK70" s="45"/>
      <c r="CL70" s="587">
        <f>'Variante Vorgaben'!$D$188</f>
        <v>500</v>
      </c>
      <c r="CM70" s="738"/>
      <c r="CN70" s="757"/>
      <c r="CO70" s="42" t="str">
        <f>'Variante Vorgaben'!$B$188</f>
        <v>Diverse Kleingeräte + Mäusevergaser</v>
      </c>
      <c r="CP70" s="44"/>
      <c r="CQ70" s="44"/>
      <c r="CR70" s="45"/>
      <c r="CS70" s="587">
        <f>'Variante Vorgaben'!$D$188</f>
        <v>500</v>
      </c>
      <c r="CT70" s="738"/>
      <c r="CU70" s="757"/>
      <c r="CV70" s="42" t="str">
        <f>'Variante Vorgaben'!$B$188</f>
        <v>Diverse Kleingeräte + Mäusevergaser</v>
      </c>
      <c r="CW70" s="44"/>
      <c r="CX70" s="44"/>
      <c r="CY70" s="45"/>
      <c r="CZ70" s="587">
        <f>'Variante Vorgaben'!$D$188</f>
        <v>500</v>
      </c>
      <c r="DA70" s="738"/>
    </row>
    <row r="71" spans="1:105" ht="13" x14ac:dyDescent="0.3">
      <c r="A71" s="625"/>
      <c r="B71" s="4"/>
      <c r="C71" s="35"/>
      <c r="D71" s="35"/>
      <c r="E71" s="48"/>
      <c r="F71" s="55">
        <f>SUM(F64:F70)</f>
        <v>8063.5</v>
      </c>
      <c r="G71" s="735">
        <f>F71/$F$92</f>
        <v>0.33555472840518552</v>
      </c>
      <c r="H71" s="625"/>
      <c r="I71" s="4"/>
      <c r="J71" s="35"/>
      <c r="K71" s="35"/>
      <c r="L71" s="48"/>
      <c r="M71" s="55">
        <f>SUM(M64:M70)</f>
        <v>5853.8377231581599</v>
      </c>
      <c r="N71" s="735">
        <f>M71/$M$92</f>
        <v>0.23919297842065959</v>
      </c>
      <c r="O71" s="625"/>
      <c r="P71" s="4"/>
      <c r="Q71" s="35"/>
      <c r="R71" s="35"/>
      <c r="S71" s="48"/>
      <c r="T71" s="83">
        <f>SUM(T64:T70)</f>
        <v>6421.9049849132516</v>
      </c>
      <c r="U71" s="735">
        <f>T71/$T$92</f>
        <v>0.19835772033242716</v>
      </c>
      <c r="V71" s="625"/>
      <c r="W71" s="4"/>
      <c r="X71" s="35"/>
      <c r="Y71" s="35"/>
      <c r="Z71" s="48"/>
      <c r="AA71" s="83">
        <f>SUM(AA64:AA70)</f>
        <v>9074.9886157907968</v>
      </c>
      <c r="AB71" s="735">
        <f>AA71/$AA$92</f>
        <v>0.24739467104800542</v>
      </c>
      <c r="AC71" s="625"/>
      <c r="AD71" s="4"/>
      <c r="AE71" s="35"/>
      <c r="AF71" s="35"/>
      <c r="AG71" s="48"/>
      <c r="AH71" s="55">
        <f>SUM(AH64:AH70)</f>
        <v>7367.0149547397541</v>
      </c>
      <c r="AI71" s="735">
        <f>AH71/$AH$92</f>
        <v>0.19426911552359286</v>
      </c>
      <c r="AJ71" s="625"/>
      <c r="AK71" s="4"/>
      <c r="AL71" s="35"/>
      <c r="AM71" s="35"/>
      <c r="AN71" s="48"/>
      <c r="AO71" s="55">
        <f>SUM(AO64:AO70)</f>
        <v>7367.0149547397541</v>
      </c>
      <c r="AP71" s="735">
        <f>AO71/$AO$92</f>
        <v>0.19497106243826917</v>
      </c>
      <c r="AQ71" s="625"/>
      <c r="AR71" s="4"/>
      <c r="AS71" s="35"/>
      <c r="AT71" s="35"/>
      <c r="AU71" s="48"/>
      <c r="AV71" s="55">
        <f>SUM(AV64:AV70)</f>
        <v>9677.0149547397541</v>
      </c>
      <c r="AW71" s="735">
        <f>AV71/$AV$92</f>
        <v>0.23918894687446349</v>
      </c>
      <c r="AX71" s="625"/>
      <c r="AY71" s="4"/>
      <c r="AZ71" s="35"/>
      <c r="BA71" s="35"/>
      <c r="BB71" s="48"/>
      <c r="BC71" s="55">
        <f>SUM(BC64:BC70)</f>
        <v>7367.0149547397541</v>
      </c>
      <c r="BD71" s="735">
        <f>BC71/$BC$92</f>
        <v>0.19627729448384126</v>
      </c>
      <c r="BE71" s="625"/>
      <c r="BF71" s="4"/>
      <c r="BG71" s="35"/>
      <c r="BH71" s="35"/>
      <c r="BI71" s="48"/>
      <c r="BJ71" s="55">
        <f>SUM(BJ64:BJ70)</f>
        <v>7367.0149547397541</v>
      </c>
      <c r="BK71" s="735">
        <f>BJ71/$BJ$92</f>
        <v>0.19701225108745765</v>
      </c>
      <c r="BL71" s="625"/>
      <c r="BM71" s="4"/>
      <c r="BN71" s="35"/>
      <c r="BO71" s="35"/>
      <c r="BP71" s="48"/>
      <c r="BQ71" s="55">
        <f>SUM(BQ64:BQ70)</f>
        <v>9677.0149547397541</v>
      </c>
      <c r="BR71" s="735">
        <f>BQ71/$BQ$92</f>
        <v>0.2415472754228111</v>
      </c>
      <c r="BS71" s="625"/>
      <c r="BT71" s="4"/>
      <c r="BU71" s="35"/>
      <c r="BV71" s="35"/>
      <c r="BW71" s="48"/>
      <c r="BX71" s="55">
        <f>SUM(BX64:BX70)</f>
        <v>7367.0149547397541</v>
      </c>
      <c r="BY71" s="735">
        <f>BX71/$BX$92</f>
        <v>0.1983838772277777</v>
      </c>
      <c r="BZ71" s="625"/>
      <c r="CA71" s="4"/>
      <c r="CB71" s="35"/>
      <c r="CC71" s="35"/>
      <c r="CD71" s="48"/>
      <c r="CE71" s="55">
        <f>SUM(CE64:CE70)</f>
        <v>7367.0149547397541</v>
      </c>
      <c r="CF71" s="735">
        <f>CE71/$CE$92</f>
        <v>0.19915403471511306</v>
      </c>
      <c r="CG71" s="625"/>
      <c r="CH71" s="4"/>
      <c r="CI71" s="35"/>
      <c r="CJ71" s="35"/>
      <c r="CK71" s="48"/>
      <c r="CL71" s="55">
        <f>SUM(CL64:CL70)</f>
        <v>9576.6772315815942</v>
      </c>
      <c r="CM71" s="735">
        <f>CL71/$CL$92</f>
        <v>0.24556516538294765</v>
      </c>
      <c r="CN71" s="625"/>
      <c r="CO71" s="4"/>
      <c r="CP71" s="35"/>
      <c r="CQ71" s="35"/>
      <c r="CR71" s="48"/>
      <c r="CS71" s="55">
        <f>SUM(CS64:CS70)</f>
        <v>7266.6772315815942</v>
      </c>
      <c r="CT71" s="735">
        <f>CS71/$CS$92</f>
        <v>0.20127790961394121</v>
      </c>
      <c r="CU71" s="625"/>
      <c r="CV71" s="4"/>
      <c r="CW71" s="35"/>
      <c r="CX71" s="35"/>
      <c r="CY71" s="48"/>
      <c r="CZ71" s="55">
        <f>SUM(CZ64:CZ70)</f>
        <v>7266.6772315815942</v>
      </c>
      <c r="DA71" s="735">
        <f>CZ71/$CZ$92</f>
        <v>0.17305305661473847</v>
      </c>
    </row>
    <row r="72" spans="1:105" s="13" customFormat="1" ht="19.5" customHeight="1" x14ac:dyDescent="0.25">
      <c r="B72" s="29"/>
      <c r="C72" s="44"/>
      <c r="D72" s="120" t="s">
        <v>27</v>
      </c>
      <c r="E72" s="307" t="s">
        <v>21</v>
      </c>
      <c r="F72" s="305" t="s">
        <v>22</v>
      </c>
      <c r="G72" s="739"/>
      <c r="I72" s="29"/>
      <c r="J72" s="44"/>
      <c r="K72" s="120" t="s">
        <v>27</v>
      </c>
      <c r="L72" s="307" t="s">
        <v>21</v>
      </c>
      <c r="M72" s="305" t="s">
        <v>22</v>
      </c>
      <c r="N72" s="739"/>
      <c r="P72" s="29"/>
      <c r="Q72" s="44"/>
      <c r="R72" s="120" t="s">
        <v>27</v>
      </c>
      <c r="S72" s="307" t="s">
        <v>21</v>
      </c>
      <c r="T72" s="305" t="s">
        <v>22</v>
      </c>
      <c r="U72" s="739"/>
      <c r="W72" s="29"/>
      <c r="X72" s="44"/>
      <c r="Y72" s="120" t="s">
        <v>27</v>
      </c>
      <c r="Z72" s="307" t="s">
        <v>21</v>
      </c>
      <c r="AA72" s="305" t="s">
        <v>22</v>
      </c>
      <c r="AB72" s="739"/>
      <c r="AD72" s="29"/>
      <c r="AE72" s="44"/>
      <c r="AF72" s="120" t="s">
        <v>27</v>
      </c>
      <c r="AG72" s="307" t="s">
        <v>21</v>
      </c>
      <c r="AH72" s="305" t="s">
        <v>22</v>
      </c>
      <c r="AI72" s="739"/>
      <c r="AK72" s="29"/>
      <c r="AL72" s="44"/>
      <c r="AM72" s="120" t="s">
        <v>27</v>
      </c>
      <c r="AN72" s="307" t="s">
        <v>21</v>
      </c>
      <c r="AO72" s="305" t="s">
        <v>22</v>
      </c>
      <c r="AP72" s="739"/>
      <c r="AR72" s="29"/>
      <c r="AS72" s="44"/>
      <c r="AT72" s="120" t="s">
        <v>27</v>
      </c>
      <c r="AU72" s="307" t="s">
        <v>21</v>
      </c>
      <c r="AV72" s="305" t="s">
        <v>22</v>
      </c>
      <c r="AW72" s="739"/>
      <c r="AY72" s="29"/>
      <c r="AZ72" s="44"/>
      <c r="BA72" s="120" t="s">
        <v>27</v>
      </c>
      <c r="BB72" s="307" t="s">
        <v>21</v>
      </c>
      <c r="BC72" s="305" t="s">
        <v>22</v>
      </c>
      <c r="BD72" s="739"/>
      <c r="BF72" s="29"/>
      <c r="BG72" s="44"/>
      <c r="BH72" s="120" t="s">
        <v>27</v>
      </c>
      <c r="BI72" s="307" t="s">
        <v>21</v>
      </c>
      <c r="BJ72" s="305" t="s">
        <v>22</v>
      </c>
      <c r="BK72" s="739"/>
      <c r="BM72" s="29"/>
      <c r="BN72" s="44"/>
      <c r="BO72" s="120" t="s">
        <v>27</v>
      </c>
      <c r="BP72" s="307" t="s">
        <v>21</v>
      </c>
      <c r="BQ72" s="305" t="s">
        <v>22</v>
      </c>
      <c r="BR72" s="739"/>
      <c r="BT72" s="29"/>
      <c r="BU72" s="44"/>
      <c r="BV72" s="120" t="s">
        <v>27</v>
      </c>
      <c r="BW72" s="307" t="s">
        <v>21</v>
      </c>
      <c r="BX72" s="305" t="s">
        <v>22</v>
      </c>
      <c r="BY72" s="739"/>
      <c r="CA72" s="29"/>
      <c r="CB72" s="44"/>
      <c r="CC72" s="120" t="s">
        <v>27</v>
      </c>
      <c r="CD72" s="307" t="s">
        <v>21</v>
      </c>
      <c r="CE72" s="305" t="s">
        <v>22</v>
      </c>
      <c r="CF72" s="739"/>
      <c r="CH72" s="29"/>
      <c r="CI72" s="44"/>
      <c r="CJ72" s="120" t="s">
        <v>27</v>
      </c>
      <c r="CK72" s="307" t="s">
        <v>21</v>
      </c>
      <c r="CL72" s="305" t="s">
        <v>22</v>
      </c>
      <c r="CM72" s="739"/>
      <c r="CO72" s="29"/>
      <c r="CP72" s="44"/>
      <c r="CQ72" s="120" t="s">
        <v>27</v>
      </c>
      <c r="CR72" s="307" t="s">
        <v>21</v>
      </c>
      <c r="CS72" s="305" t="s">
        <v>22</v>
      </c>
      <c r="CT72" s="739"/>
      <c r="CV72" s="29"/>
      <c r="CW72" s="44"/>
      <c r="CX72" s="120" t="s">
        <v>27</v>
      </c>
      <c r="CY72" s="307" t="s">
        <v>21</v>
      </c>
      <c r="CZ72" s="305" t="s">
        <v>22</v>
      </c>
      <c r="DA72" s="739"/>
    </row>
    <row r="73" spans="1:105" s="19" customFormat="1" ht="15.75" customHeight="1" x14ac:dyDescent="0.3">
      <c r="A73" s="41" t="s">
        <v>62</v>
      </c>
      <c r="B73" s="42" t="s">
        <v>29</v>
      </c>
      <c r="C73" s="44"/>
      <c r="D73" s="368">
        <f>C58*D58</f>
        <v>1</v>
      </c>
      <c r="E73" s="45">
        <f>'Variante Vorgaben'!$C$36</f>
        <v>32.700000000000003</v>
      </c>
      <c r="F73" s="46">
        <f t="shared" ref="F73:F76" si="30">D73*E73</f>
        <v>32.700000000000003</v>
      </c>
      <c r="G73" s="738">
        <f t="shared" ref="G73:G86" si="31">F73/$F$92</f>
        <v>1.360778770862475E-3</v>
      </c>
      <c r="H73" s="41" t="s">
        <v>62</v>
      </c>
      <c r="I73" s="42" t="s">
        <v>29</v>
      </c>
      <c r="J73" s="44"/>
      <c r="K73" s="368">
        <f>J58*K58</f>
        <v>1</v>
      </c>
      <c r="L73" s="45">
        <f>'Variante Vorgaben'!$C$36</f>
        <v>32.700000000000003</v>
      </c>
      <c r="M73" s="46">
        <f t="shared" ref="M73:M78" si="32">K73*L73</f>
        <v>32.700000000000003</v>
      </c>
      <c r="N73" s="738">
        <f t="shared" ref="N73:N81" si="33">M73/$M$92</f>
        <v>1.3361508747351798E-3</v>
      </c>
      <c r="O73" s="41" t="s">
        <v>62</v>
      </c>
      <c r="P73" s="42" t="s">
        <v>29</v>
      </c>
      <c r="Q73" s="44"/>
      <c r="R73" s="368">
        <f>Q58*R58</f>
        <v>1</v>
      </c>
      <c r="S73" s="45">
        <f>'Variante Vorgaben'!$C$36</f>
        <v>32.700000000000003</v>
      </c>
      <c r="T73" s="46">
        <f t="shared" ref="T73:T78" si="34">R73*S73</f>
        <v>32.700000000000003</v>
      </c>
      <c r="U73" s="738">
        <f t="shared" ref="U73:U86" si="35">T73/$T$92</f>
        <v>1.0100270044649355E-3</v>
      </c>
      <c r="V73" s="41" t="s">
        <v>62</v>
      </c>
      <c r="W73" s="42" t="s">
        <v>29</v>
      </c>
      <c r="X73" s="44"/>
      <c r="Y73" s="368">
        <f>X58*Y58</f>
        <v>2</v>
      </c>
      <c r="Z73" s="45">
        <f>'Variante Vorgaben'!$C$36</f>
        <v>32.700000000000003</v>
      </c>
      <c r="AA73" s="46">
        <f t="shared" ref="AA73:AA78" si="36">Y73*Z73</f>
        <v>65.400000000000006</v>
      </c>
      <c r="AB73" s="738">
        <f t="shared" ref="AB73:AB86" si="37">AA73/$AA$92</f>
        <v>1.7828795353402942E-3</v>
      </c>
      <c r="AC73" s="41" t="s">
        <v>62</v>
      </c>
      <c r="AD73" s="42" t="s">
        <v>29</v>
      </c>
      <c r="AE73" s="44"/>
      <c r="AF73" s="368">
        <f>AE58*AF58</f>
        <v>2</v>
      </c>
      <c r="AG73" s="45">
        <f>'Variante Vorgaben'!$C$36</f>
        <v>32.700000000000003</v>
      </c>
      <c r="AH73" s="46">
        <f t="shared" ref="AH73:AH78" si="38">AF73*AG73</f>
        <v>65.400000000000006</v>
      </c>
      <c r="AI73" s="738">
        <f>AH73/$AH$92</f>
        <v>1.7246062663506287E-3</v>
      </c>
      <c r="AJ73" s="41" t="s">
        <v>62</v>
      </c>
      <c r="AK73" s="42" t="s">
        <v>29</v>
      </c>
      <c r="AL73" s="44"/>
      <c r="AM73" s="368">
        <f>AL58*AM58</f>
        <v>2</v>
      </c>
      <c r="AN73" s="45">
        <f>'Variante Vorgaben'!$C$36</f>
        <v>32.700000000000003</v>
      </c>
      <c r="AO73" s="46">
        <f t="shared" ref="AO73:AO78" si="39">AM73*AN73</f>
        <v>65.400000000000006</v>
      </c>
      <c r="AP73" s="738">
        <f>AO73/$AO$92</f>
        <v>1.7308377357452029E-3</v>
      </c>
      <c r="AQ73" s="41" t="s">
        <v>62</v>
      </c>
      <c r="AR73" s="42" t="s">
        <v>29</v>
      </c>
      <c r="AS73" s="44"/>
      <c r="AT73" s="368">
        <f>AS58*AT58</f>
        <v>2</v>
      </c>
      <c r="AU73" s="45">
        <f>'Variante Vorgaben'!$C$36</f>
        <v>32.700000000000003</v>
      </c>
      <c r="AV73" s="46">
        <f t="shared" ref="AV73:AV78" si="40">AT73*AU73</f>
        <v>65.400000000000006</v>
      </c>
      <c r="AW73" s="738">
        <f t="shared" ref="AW73:AW86" si="41">AV73/$AV$92</f>
        <v>1.6165064535658355E-3</v>
      </c>
      <c r="AX73" s="41" t="s">
        <v>62</v>
      </c>
      <c r="AY73" s="42" t="s">
        <v>29</v>
      </c>
      <c r="AZ73" s="44"/>
      <c r="BA73" s="368">
        <f>AZ58*BA58</f>
        <v>2</v>
      </c>
      <c r="BB73" s="45">
        <f>'Variante Vorgaben'!$C$36</f>
        <v>32.700000000000003</v>
      </c>
      <c r="BC73" s="46">
        <f t="shared" ref="BC73:BC78" si="42">BA73*BB73</f>
        <v>65.400000000000006</v>
      </c>
      <c r="BD73" s="738">
        <f t="shared" ref="BD73:BD86" si="43">BC73/$BC$92</f>
        <v>1.7424336910005203E-3</v>
      </c>
      <c r="BE73" s="41" t="s">
        <v>62</v>
      </c>
      <c r="BF73" s="42" t="s">
        <v>29</v>
      </c>
      <c r="BG73" s="44"/>
      <c r="BH73" s="368">
        <f>BG58*BH58</f>
        <v>2</v>
      </c>
      <c r="BI73" s="45">
        <f>'Variante Vorgaben'!$C$36</f>
        <v>32.700000000000003</v>
      </c>
      <c r="BJ73" s="46">
        <f t="shared" ref="BJ73:BJ78" si="44">BH73*BI73</f>
        <v>65.400000000000006</v>
      </c>
      <c r="BK73" s="738">
        <f t="shared" ref="BK73:BK86" si="45">BJ73/$BJ$92</f>
        <v>1.7489582008829913E-3</v>
      </c>
      <c r="BL73" s="41" t="s">
        <v>62</v>
      </c>
      <c r="BM73" s="42" t="s">
        <v>29</v>
      </c>
      <c r="BN73" s="44"/>
      <c r="BO73" s="368">
        <f>BN58*BO58</f>
        <v>2</v>
      </c>
      <c r="BP73" s="45">
        <f>'Variante Vorgaben'!$C$36</f>
        <v>32.700000000000003</v>
      </c>
      <c r="BQ73" s="46">
        <f t="shared" ref="BQ73:BQ78" si="46">BO73*BP73</f>
        <v>65.400000000000006</v>
      </c>
      <c r="BR73" s="738">
        <f t="shared" ref="BR73:BR86" si="47">BQ73/$BQ$92</f>
        <v>1.6324447039233374E-3</v>
      </c>
      <c r="BS73" s="41" t="s">
        <v>62</v>
      </c>
      <c r="BT73" s="42" t="s">
        <v>29</v>
      </c>
      <c r="BU73" s="44"/>
      <c r="BV73" s="368">
        <f>BU58*BV58</f>
        <v>2</v>
      </c>
      <c r="BW73" s="45">
        <f>'Variante Vorgaben'!$C$36</f>
        <v>32.700000000000003</v>
      </c>
      <c r="BX73" s="46">
        <f t="shared" ref="BX73:BX78" si="48">BV73*BW73</f>
        <v>65.400000000000006</v>
      </c>
      <c r="BY73" s="738">
        <f t="shared" ref="BY73:BY86" si="49">BX73/$BX$92</f>
        <v>1.7611346862204098E-3</v>
      </c>
      <c r="BZ73" s="41" t="s">
        <v>62</v>
      </c>
      <c r="CA73" s="42" t="s">
        <v>29</v>
      </c>
      <c r="CB73" s="44"/>
      <c r="CC73" s="368">
        <f>CB58*CC58</f>
        <v>2</v>
      </c>
      <c r="CD73" s="45">
        <f>'Variante Vorgaben'!$C$36</f>
        <v>32.700000000000003</v>
      </c>
      <c r="CE73" s="46">
        <f t="shared" ref="CE73:CE78" si="50">CC73*CD73</f>
        <v>65.400000000000006</v>
      </c>
      <c r="CF73" s="738">
        <f t="shared" ref="CF73:CF86" si="51">CE73/$CE$92</f>
        <v>1.7679716887215825E-3</v>
      </c>
      <c r="CG73" s="41" t="s">
        <v>62</v>
      </c>
      <c r="CH73" s="42" t="s">
        <v>29</v>
      </c>
      <c r="CI73" s="44"/>
      <c r="CJ73" s="368">
        <f>CI58*CJ58</f>
        <v>2</v>
      </c>
      <c r="CK73" s="45">
        <f>'Variante Vorgaben'!$C$36</f>
        <v>32.700000000000003</v>
      </c>
      <c r="CL73" s="46">
        <f t="shared" ref="CL73:CL78" si="52">CJ73*CK73</f>
        <v>65.400000000000006</v>
      </c>
      <c r="CM73" s="738">
        <f t="shared" ref="CM73:CM86" si="53">CL73/$CL$92</f>
        <v>1.6769868533402022E-3</v>
      </c>
      <c r="CN73" s="41" t="s">
        <v>62</v>
      </c>
      <c r="CO73" s="42" t="s">
        <v>29</v>
      </c>
      <c r="CP73" s="44"/>
      <c r="CQ73" s="368">
        <f>CP58*CQ58</f>
        <v>2</v>
      </c>
      <c r="CR73" s="45">
        <f>'Variante Vorgaben'!$C$36</f>
        <v>32.700000000000003</v>
      </c>
      <c r="CS73" s="46">
        <f t="shared" ref="CS73:CS78" si="54">CQ73*CR73</f>
        <v>65.400000000000006</v>
      </c>
      <c r="CT73" s="738">
        <f t="shared" ref="CT73:CT86" si="55">CS73/$CS$92</f>
        <v>1.8114985528105945E-3</v>
      </c>
      <c r="CU73" s="41" t="s">
        <v>62</v>
      </c>
      <c r="CV73" s="42" t="s">
        <v>29</v>
      </c>
      <c r="CW73" s="44"/>
      <c r="CX73" s="368">
        <f>CW58*CX58</f>
        <v>2</v>
      </c>
      <c r="CY73" s="45">
        <f>'Variante Vorgaben'!$C$36</f>
        <v>32.700000000000003</v>
      </c>
      <c r="CZ73" s="46">
        <f t="shared" ref="CZ73:CZ78" si="56">CX73*CY73</f>
        <v>65.400000000000006</v>
      </c>
      <c r="DA73" s="738">
        <f t="shared" ref="DA73:DA80" si="57">CZ73/$CZ$92</f>
        <v>1.5574752451390499E-3</v>
      </c>
    </row>
    <row r="74" spans="1:105" s="1" customFormat="1" ht="13" x14ac:dyDescent="0.3">
      <c r="A74" s="250"/>
      <c r="B74" s="42" t="s">
        <v>151</v>
      </c>
      <c r="C74" s="19"/>
      <c r="D74" s="40">
        <f>((C56*D56)+(C57*D57))+'Variante Vorgaben'!$B$96+'Variante Vorgaben'!$C$96</f>
        <v>71</v>
      </c>
      <c r="E74" s="45">
        <f>'Variante Vorgaben'!$C$36</f>
        <v>32.700000000000003</v>
      </c>
      <c r="F74" s="46">
        <f t="shared" si="30"/>
        <v>2321.7000000000003</v>
      </c>
      <c r="G74" s="738">
        <f t="shared" si="31"/>
        <v>9.661529273123573E-2</v>
      </c>
      <c r="H74" s="41"/>
      <c r="I74" s="42" t="s">
        <v>151</v>
      </c>
      <c r="J74" s="19"/>
      <c r="K74" s="40">
        <f>((J56*K56)+(J57*K57))+'Variante Vorgaben'!$B$96+'Variante Vorgaben'!$C$96</f>
        <v>71</v>
      </c>
      <c r="L74" s="45">
        <f>'Variante Vorgaben'!$C$36</f>
        <v>32.700000000000003</v>
      </c>
      <c r="M74" s="46">
        <f t="shared" si="32"/>
        <v>2321.7000000000003</v>
      </c>
      <c r="N74" s="738">
        <f t="shared" si="33"/>
        <v>9.4866712106197779E-2</v>
      </c>
      <c r="O74" s="250"/>
      <c r="P74" s="42" t="s">
        <v>151</v>
      </c>
      <c r="Q74" s="19"/>
      <c r="R74" s="40">
        <f>((Q56*R56)+(Q57*R57))+'Variante Vorgaben'!$B$96+'Variante Vorgaben'!$C$96</f>
        <v>67</v>
      </c>
      <c r="S74" s="45">
        <f>'Variante Vorgaben'!$C$36</f>
        <v>32.700000000000003</v>
      </c>
      <c r="T74" s="46">
        <f t="shared" si="34"/>
        <v>2190.9</v>
      </c>
      <c r="U74" s="738">
        <f t="shared" si="35"/>
        <v>6.7671809299150676E-2</v>
      </c>
      <c r="V74" s="250"/>
      <c r="W74" s="42" t="s">
        <v>151</v>
      </c>
      <c r="X74" s="19"/>
      <c r="Y74" s="40">
        <f>((X56*Y56)+(X57*Y57))+'Variante Vorgaben'!$B$96+'Variante Vorgaben'!$C$96</f>
        <v>67</v>
      </c>
      <c r="Z74" s="45">
        <f>'Variante Vorgaben'!$C$36</f>
        <v>32.700000000000003</v>
      </c>
      <c r="AA74" s="46">
        <f t="shared" si="36"/>
        <v>2190.9</v>
      </c>
      <c r="AB74" s="738">
        <f t="shared" si="37"/>
        <v>5.9726464433899853E-2</v>
      </c>
      <c r="AC74" s="250"/>
      <c r="AD74" s="42" t="s">
        <v>151</v>
      </c>
      <c r="AE74" s="19"/>
      <c r="AF74" s="40">
        <f>((AE56*AF56)+(AE57*AF57))+'Variante Vorgaben'!$B$96+'Variante Vorgaben'!$C$96</f>
        <v>67</v>
      </c>
      <c r="AG74" s="45">
        <f>'Variante Vorgaben'!$C$36</f>
        <v>32.700000000000003</v>
      </c>
      <c r="AH74" s="46">
        <f t="shared" si="38"/>
        <v>2190.9</v>
      </c>
      <c r="AI74" s="738">
        <f>AH74/$AH$92</f>
        <v>5.7774309922746056E-2</v>
      </c>
      <c r="AJ74" s="250"/>
      <c r="AK74" s="42" t="s">
        <v>151</v>
      </c>
      <c r="AL74" s="19"/>
      <c r="AM74" s="40">
        <f>((AL56*AM56)+(AL57*AM57))+'Variante Vorgaben'!$B$96+'Variante Vorgaben'!$C$96</f>
        <v>67</v>
      </c>
      <c r="AN74" s="45">
        <f>'Variante Vorgaben'!$C$36</f>
        <v>32.700000000000003</v>
      </c>
      <c r="AO74" s="46">
        <f t="shared" si="39"/>
        <v>2190.9</v>
      </c>
      <c r="AP74" s="738">
        <f>AO74/$AO$92</f>
        <v>5.7983064147464299E-2</v>
      </c>
      <c r="AQ74" s="250"/>
      <c r="AR74" s="42" t="s">
        <v>151</v>
      </c>
      <c r="AS74" s="19"/>
      <c r="AT74" s="40">
        <f>((AS56*AT56)+(AS57*AT57))+'Variante Vorgaben'!$B$96+'Variante Vorgaben'!$C$96</f>
        <v>67</v>
      </c>
      <c r="AU74" s="45">
        <f>'Variante Vorgaben'!$C$36</f>
        <v>32.700000000000003</v>
      </c>
      <c r="AV74" s="46">
        <f t="shared" si="40"/>
        <v>2190.9</v>
      </c>
      <c r="AW74" s="738">
        <f t="shared" si="41"/>
        <v>5.4152966194455483E-2</v>
      </c>
      <c r="AX74" s="250"/>
      <c r="AY74" s="42" t="s">
        <v>151</v>
      </c>
      <c r="AZ74" s="19"/>
      <c r="BA74" s="40">
        <f>((AZ56*BA56)+(AZ57*BA57))+'Variante Vorgaben'!$B$96+'Variante Vorgaben'!$C$96</f>
        <v>67</v>
      </c>
      <c r="BB74" s="45">
        <f>'Variante Vorgaben'!$C$36</f>
        <v>32.700000000000003</v>
      </c>
      <c r="BC74" s="46">
        <f t="shared" si="42"/>
        <v>2190.9</v>
      </c>
      <c r="BD74" s="738">
        <f t="shared" si="43"/>
        <v>5.8371528648517426E-2</v>
      </c>
      <c r="BE74" s="250"/>
      <c r="BF74" s="42" t="s">
        <v>151</v>
      </c>
      <c r="BG74" s="19"/>
      <c r="BH74" s="40">
        <f>((BG56*BH56)+(BG57*BH57))+'Variante Vorgaben'!$B$96+'Variante Vorgaben'!$C$96</f>
        <v>67</v>
      </c>
      <c r="BI74" s="45">
        <f>'Variante Vorgaben'!$C$36</f>
        <v>32.700000000000003</v>
      </c>
      <c r="BJ74" s="46">
        <f t="shared" si="44"/>
        <v>2190.9</v>
      </c>
      <c r="BK74" s="738">
        <f t="shared" si="45"/>
        <v>5.8590099729580208E-2</v>
      </c>
      <c r="BL74" s="250"/>
      <c r="BM74" s="42" t="s">
        <v>151</v>
      </c>
      <c r="BN74" s="19"/>
      <c r="BO74" s="40">
        <f>((BN56*BO56)+(BN57*BO57))+'Variante Vorgaben'!$B$96+'Variante Vorgaben'!$C$96</f>
        <v>67</v>
      </c>
      <c r="BP74" s="45">
        <f>'Variante Vorgaben'!$C$36</f>
        <v>32.700000000000003</v>
      </c>
      <c r="BQ74" s="46">
        <f t="shared" si="46"/>
        <v>2190.9</v>
      </c>
      <c r="BR74" s="738">
        <f t="shared" si="47"/>
        <v>5.4686897581431804E-2</v>
      </c>
      <c r="BS74" s="250"/>
      <c r="BT74" s="42" t="s">
        <v>151</v>
      </c>
      <c r="BU74" s="19"/>
      <c r="BV74" s="40">
        <f>((BU56*BV56)+(BU57*BV57))+'Variante Vorgaben'!$B$96+'Variante Vorgaben'!$C$96</f>
        <v>67</v>
      </c>
      <c r="BW74" s="45">
        <f>'Variante Vorgaben'!$C$36</f>
        <v>32.700000000000003</v>
      </c>
      <c r="BX74" s="46">
        <f t="shared" si="48"/>
        <v>2190.9</v>
      </c>
      <c r="BY74" s="738">
        <f t="shared" si="49"/>
        <v>5.8998011988383725E-2</v>
      </c>
      <c r="BZ74" s="250"/>
      <c r="CA74" s="42" t="s">
        <v>151</v>
      </c>
      <c r="CB74" s="19"/>
      <c r="CC74" s="40">
        <f>((CB56*CC56)+(CB57*CC57))+'Variante Vorgaben'!$B$96+'Variante Vorgaben'!$C$96</f>
        <v>67</v>
      </c>
      <c r="CD74" s="45">
        <f>'Variante Vorgaben'!$C$36</f>
        <v>32.700000000000003</v>
      </c>
      <c r="CE74" s="46">
        <f t="shared" si="50"/>
        <v>2190.9</v>
      </c>
      <c r="CF74" s="738">
        <f t="shared" si="51"/>
        <v>5.9227051572173013E-2</v>
      </c>
      <c r="CG74" s="250"/>
      <c r="CH74" s="42" t="s">
        <v>151</v>
      </c>
      <c r="CI74" s="19"/>
      <c r="CJ74" s="40">
        <f>((CI56*CJ56)+(CI57*CJ57))+'Variante Vorgaben'!$B$96+'Variante Vorgaben'!$C$96</f>
        <v>67</v>
      </c>
      <c r="CK74" s="45">
        <f>'Variante Vorgaben'!$C$36</f>
        <v>32.700000000000003</v>
      </c>
      <c r="CL74" s="46">
        <f t="shared" si="52"/>
        <v>2190.9</v>
      </c>
      <c r="CM74" s="738">
        <f t="shared" si="53"/>
        <v>5.6179059586896771E-2</v>
      </c>
      <c r="CN74" s="250"/>
      <c r="CO74" s="42" t="s">
        <v>151</v>
      </c>
      <c r="CP74" s="19"/>
      <c r="CQ74" s="40">
        <f>((CP56*CQ56)+(CP57*CQ57))+'Variante Vorgaben'!$B$96+'Variante Vorgaben'!$C$96</f>
        <v>67</v>
      </c>
      <c r="CR74" s="45">
        <f>'Variante Vorgaben'!$C$36</f>
        <v>32.700000000000003</v>
      </c>
      <c r="CS74" s="46">
        <f t="shared" si="54"/>
        <v>2190.9</v>
      </c>
      <c r="CT74" s="738">
        <f t="shared" si="55"/>
        <v>6.0685201519154915E-2</v>
      </c>
      <c r="CU74" s="250"/>
      <c r="CV74" s="42" t="s">
        <v>151</v>
      </c>
      <c r="CW74" s="19"/>
      <c r="CX74" s="40">
        <f>((CW56*CX56)+(CW57*CX57))+'Variante Vorgaben'!$B$96+'Variante Vorgaben'!$C$96</f>
        <v>67</v>
      </c>
      <c r="CY74" s="45">
        <f>'Variante Vorgaben'!$C$36</f>
        <v>32.700000000000003</v>
      </c>
      <c r="CZ74" s="46">
        <f t="shared" si="56"/>
        <v>2190.9</v>
      </c>
      <c r="DA74" s="738">
        <f t="shared" si="57"/>
        <v>5.2175420712158173E-2</v>
      </c>
    </row>
    <row r="75" spans="1:105" s="1" customFormat="1" ht="13" x14ac:dyDescent="0.3">
      <c r="A75" s="250"/>
      <c r="B75" s="42" t="str">
        <f>'Variante Vorgaben'!$D$93</f>
        <v>Baumerziehung 
(Sommer+Winter)</v>
      </c>
      <c r="C75" s="44"/>
      <c r="D75" s="40">
        <f>'Variante Vorgaben'!D97</f>
        <v>50</v>
      </c>
      <c r="E75" s="45">
        <f>'Variante Vorgaben'!$C$36</f>
        <v>32.700000000000003</v>
      </c>
      <c r="F75" s="46">
        <f t="shared" si="30"/>
        <v>1635.0000000000002</v>
      </c>
      <c r="G75" s="738">
        <f t="shared" si="31"/>
        <v>6.8038938543123761E-2</v>
      </c>
      <c r="H75" s="41"/>
      <c r="I75" s="42" t="str">
        <f>'Variante Vorgaben'!$D$93</f>
        <v>Baumerziehung 
(Sommer+Winter)</v>
      </c>
      <c r="J75" s="44"/>
      <c r="K75" s="40">
        <f>'Variante Vorgaben'!D98</f>
        <v>50</v>
      </c>
      <c r="L75" s="45">
        <f>'Variante Vorgaben'!$C$36</f>
        <v>32.700000000000003</v>
      </c>
      <c r="M75" s="46">
        <f t="shared" si="32"/>
        <v>1635.0000000000002</v>
      </c>
      <c r="N75" s="738">
        <f t="shared" si="33"/>
        <v>6.6807543736758998E-2</v>
      </c>
      <c r="O75" s="250"/>
      <c r="P75" s="42" t="str">
        <f>'Variante Vorgaben'!$D$93</f>
        <v>Baumerziehung 
(Sommer+Winter)</v>
      </c>
      <c r="Q75" s="44"/>
      <c r="R75" s="40">
        <f>'Variante Vorgaben'!D96</f>
        <v>120</v>
      </c>
      <c r="S75" s="45">
        <f>'Variante Vorgaben'!$C$36</f>
        <v>32.700000000000003</v>
      </c>
      <c r="T75" s="46">
        <f t="shared" si="34"/>
        <v>3924.0000000000005</v>
      </c>
      <c r="U75" s="738">
        <f t="shared" si="35"/>
        <v>0.12120324053579226</v>
      </c>
      <c r="V75" s="250"/>
      <c r="W75" s="42" t="str">
        <f>'Variante Vorgaben'!$D$93</f>
        <v>Baumerziehung 
(Sommer+Winter)</v>
      </c>
      <c r="X75" s="44"/>
      <c r="Y75" s="40">
        <f>'Variante Vorgaben'!$D$96</f>
        <v>120</v>
      </c>
      <c r="Z75" s="45">
        <f>'Variante Vorgaben'!$C$36</f>
        <v>32.700000000000003</v>
      </c>
      <c r="AA75" s="46">
        <f t="shared" si="36"/>
        <v>3924.0000000000005</v>
      </c>
      <c r="AB75" s="738">
        <f t="shared" si="37"/>
        <v>0.10697277212041766</v>
      </c>
      <c r="AC75" s="250"/>
      <c r="AD75" s="42" t="str">
        <f>'Variante Vorgaben'!$D$93</f>
        <v>Baumerziehung 
(Sommer+Winter)</v>
      </c>
      <c r="AE75" s="44"/>
      <c r="AF75" s="40">
        <f>'Variante Vorgaben'!$D$96</f>
        <v>120</v>
      </c>
      <c r="AG75" s="45">
        <f>'Variante Vorgaben'!$C$36</f>
        <v>32.700000000000003</v>
      </c>
      <c r="AH75" s="46">
        <f t="shared" si="38"/>
        <v>3924.0000000000005</v>
      </c>
      <c r="AI75" s="738">
        <f>AH75/$AH$92</f>
        <v>0.10347637598103773</v>
      </c>
      <c r="AJ75" s="250"/>
      <c r="AK75" s="42" t="str">
        <f>'Variante Vorgaben'!$D$93</f>
        <v>Baumerziehung 
(Sommer+Winter)</v>
      </c>
      <c r="AL75" s="44"/>
      <c r="AM75" s="40">
        <f>'Variante Vorgaben'!$D$96</f>
        <v>120</v>
      </c>
      <c r="AN75" s="45">
        <f>'Variante Vorgaben'!$C$36</f>
        <v>32.700000000000003</v>
      </c>
      <c r="AO75" s="46">
        <f t="shared" si="39"/>
        <v>3924.0000000000005</v>
      </c>
      <c r="AP75" s="738">
        <f>AO75/$AO$92</f>
        <v>0.10385026414471218</v>
      </c>
      <c r="AQ75" s="250"/>
      <c r="AR75" s="42" t="str">
        <f>'Variante Vorgaben'!$D$93</f>
        <v>Baumerziehung 
(Sommer+Winter)</v>
      </c>
      <c r="AS75" s="44"/>
      <c r="AT75" s="40">
        <f>'Variante Vorgaben'!$D$96</f>
        <v>120</v>
      </c>
      <c r="AU75" s="45">
        <f>'Variante Vorgaben'!$C$36</f>
        <v>32.700000000000003</v>
      </c>
      <c r="AV75" s="46">
        <f t="shared" si="40"/>
        <v>3924.0000000000005</v>
      </c>
      <c r="AW75" s="738">
        <f t="shared" si="41"/>
        <v>9.6990387213950133E-2</v>
      </c>
      <c r="AX75" s="250"/>
      <c r="AY75" s="42" t="str">
        <f>'Variante Vorgaben'!$D$93</f>
        <v>Baumerziehung 
(Sommer+Winter)</v>
      </c>
      <c r="AZ75" s="44"/>
      <c r="BA75" s="40">
        <f>'Variante Vorgaben'!$D$96</f>
        <v>120</v>
      </c>
      <c r="BB75" s="45">
        <f>'Variante Vorgaben'!$C$36</f>
        <v>32.700000000000003</v>
      </c>
      <c r="BC75" s="46">
        <f t="shared" si="42"/>
        <v>3924.0000000000005</v>
      </c>
      <c r="BD75" s="738">
        <f t="shared" si="43"/>
        <v>0.10454602146003122</v>
      </c>
      <c r="BE75" s="250"/>
      <c r="BF75" s="42" t="str">
        <f>'Variante Vorgaben'!$D$93</f>
        <v>Baumerziehung 
(Sommer+Winter)</v>
      </c>
      <c r="BG75" s="44"/>
      <c r="BH75" s="40">
        <f>'Variante Vorgaben'!$D$96</f>
        <v>120</v>
      </c>
      <c r="BI75" s="45">
        <f>'Variante Vorgaben'!$C$36</f>
        <v>32.700000000000003</v>
      </c>
      <c r="BJ75" s="46">
        <f t="shared" si="44"/>
        <v>3924.0000000000005</v>
      </c>
      <c r="BK75" s="738">
        <f t="shared" si="45"/>
        <v>0.10493749205297948</v>
      </c>
      <c r="BL75" s="250"/>
      <c r="BM75" s="42" t="str">
        <f>'Variante Vorgaben'!$D$93</f>
        <v>Baumerziehung 
(Sommer+Winter)</v>
      </c>
      <c r="BN75" s="44"/>
      <c r="BO75" s="40">
        <f>'Variante Vorgaben'!$D$96</f>
        <v>120</v>
      </c>
      <c r="BP75" s="45">
        <f>'Variante Vorgaben'!$C$36</f>
        <v>32.700000000000003</v>
      </c>
      <c r="BQ75" s="46">
        <f t="shared" si="46"/>
        <v>3924.0000000000005</v>
      </c>
      <c r="BR75" s="738">
        <f t="shared" si="47"/>
        <v>9.7946682235400248E-2</v>
      </c>
      <c r="BS75" s="250"/>
      <c r="BT75" s="42" t="str">
        <f>'Variante Vorgaben'!$D$93</f>
        <v>Baumerziehung 
(Sommer+Winter)</v>
      </c>
      <c r="BU75" s="44"/>
      <c r="BV75" s="40">
        <f>'Variante Vorgaben'!$D$96</f>
        <v>120</v>
      </c>
      <c r="BW75" s="45">
        <f>'Variante Vorgaben'!$C$36</f>
        <v>32.700000000000003</v>
      </c>
      <c r="BX75" s="46">
        <f t="shared" si="48"/>
        <v>3924.0000000000005</v>
      </c>
      <c r="BY75" s="738">
        <f t="shared" si="49"/>
        <v>0.10566808117322458</v>
      </c>
      <c r="BZ75" s="250"/>
      <c r="CA75" s="42" t="str">
        <f>'Variante Vorgaben'!$D$93</f>
        <v>Baumerziehung 
(Sommer+Winter)</v>
      </c>
      <c r="CB75" s="44"/>
      <c r="CC75" s="40">
        <f>'Variante Vorgaben'!$D$96</f>
        <v>120</v>
      </c>
      <c r="CD75" s="45">
        <f>'Variante Vorgaben'!$C$36</f>
        <v>32.700000000000003</v>
      </c>
      <c r="CE75" s="46">
        <f t="shared" si="50"/>
        <v>3924.0000000000005</v>
      </c>
      <c r="CF75" s="738">
        <f t="shared" si="51"/>
        <v>0.10607830132329496</v>
      </c>
      <c r="CG75" s="250"/>
      <c r="CH75" s="42" t="str">
        <f>'Variante Vorgaben'!$D$93</f>
        <v>Baumerziehung 
(Sommer+Winter)</v>
      </c>
      <c r="CI75" s="44"/>
      <c r="CJ75" s="40">
        <f>'Variante Vorgaben'!$D$96</f>
        <v>120</v>
      </c>
      <c r="CK75" s="45">
        <f>'Variante Vorgaben'!$C$36</f>
        <v>32.700000000000003</v>
      </c>
      <c r="CL75" s="46">
        <f t="shared" si="52"/>
        <v>3924.0000000000005</v>
      </c>
      <c r="CM75" s="738">
        <f t="shared" si="53"/>
        <v>0.10061921120041213</v>
      </c>
      <c r="CN75" s="250"/>
      <c r="CO75" s="42" t="str">
        <f>'Variante Vorgaben'!$D$93</f>
        <v>Baumerziehung 
(Sommer+Winter)</v>
      </c>
      <c r="CP75" s="44"/>
      <c r="CQ75" s="40">
        <f>'Variante Vorgaben'!$D$96</f>
        <v>120</v>
      </c>
      <c r="CR75" s="45">
        <f>'Variante Vorgaben'!$C$36</f>
        <v>32.700000000000003</v>
      </c>
      <c r="CS75" s="46">
        <f t="shared" si="54"/>
        <v>3924.0000000000005</v>
      </c>
      <c r="CT75" s="738">
        <f t="shared" si="55"/>
        <v>0.10868991316863567</v>
      </c>
      <c r="CU75" s="250"/>
      <c r="CV75" s="42" t="str">
        <f>'Variante Vorgaben'!$D$93</f>
        <v>Baumerziehung 
(Sommer+Winter)</v>
      </c>
      <c r="CW75" s="44"/>
      <c r="CX75" s="40">
        <f>'Variante Vorgaben'!$D$96</f>
        <v>120</v>
      </c>
      <c r="CY75" s="45">
        <f>'Variante Vorgaben'!$C$36</f>
        <v>32.700000000000003</v>
      </c>
      <c r="CZ75" s="46">
        <f t="shared" si="56"/>
        <v>3924.0000000000005</v>
      </c>
      <c r="DA75" s="738">
        <f t="shared" si="57"/>
        <v>9.3448514708343006E-2</v>
      </c>
    </row>
    <row r="76" spans="1:105" s="1" customFormat="1" ht="13" x14ac:dyDescent="0.3">
      <c r="A76" s="41"/>
      <c r="B76" s="42" t="s">
        <v>96</v>
      </c>
      <c r="C76" s="44"/>
      <c r="D76" s="368">
        <f>(C62*D62)+(C63*D63)</f>
        <v>7</v>
      </c>
      <c r="E76" s="45">
        <f>'Variante Vorgaben'!$C$36</f>
        <v>32.700000000000003</v>
      </c>
      <c r="F76" s="46">
        <f t="shared" si="30"/>
        <v>228.90000000000003</v>
      </c>
      <c r="G76" s="738">
        <f t="shared" si="31"/>
        <v>9.5254513960373252E-3</v>
      </c>
      <c r="H76" s="41"/>
      <c r="I76" s="42" t="s">
        <v>96</v>
      </c>
      <c r="J76" s="44"/>
      <c r="K76" s="368">
        <f>(J62*K62)+(J63*K63)</f>
        <v>7</v>
      </c>
      <c r="L76" s="45">
        <f>'Variante Vorgaben'!$C$36</f>
        <v>32.700000000000003</v>
      </c>
      <c r="M76" s="46">
        <f t="shared" si="32"/>
        <v>228.90000000000003</v>
      </c>
      <c r="N76" s="738">
        <f t="shared" si="33"/>
        <v>9.3530561231462608E-3</v>
      </c>
      <c r="O76" s="41"/>
      <c r="P76" s="42" t="s">
        <v>96</v>
      </c>
      <c r="Q76" s="44"/>
      <c r="R76" s="368">
        <f>(Q62*R62)+(Q63*R63)</f>
        <v>7</v>
      </c>
      <c r="S76" s="45">
        <f>'Variante Vorgaben'!$C$36</f>
        <v>32.700000000000003</v>
      </c>
      <c r="T76" s="46">
        <f t="shared" si="34"/>
        <v>228.90000000000003</v>
      </c>
      <c r="U76" s="738">
        <f t="shared" si="35"/>
        <v>7.0701890312545486E-3</v>
      </c>
      <c r="V76" s="41"/>
      <c r="W76" s="42" t="s">
        <v>96</v>
      </c>
      <c r="X76" s="44"/>
      <c r="Y76" s="368">
        <f>(X62*Y62)+(X63*Y63)</f>
        <v>9</v>
      </c>
      <c r="Z76" s="45">
        <f>'Variante Vorgaben'!$C$36</f>
        <v>32.700000000000003</v>
      </c>
      <c r="AA76" s="46">
        <f t="shared" si="36"/>
        <v>294.3</v>
      </c>
      <c r="AB76" s="738">
        <f t="shared" si="37"/>
        <v>8.0229579090313231E-3</v>
      </c>
      <c r="AC76" s="41"/>
      <c r="AD76" s="42" t="s">
        <v>96</v>
      </c>
      <c r="AE76" s="44"/>
      <c r="AF76" s="368">
        <f>(AE62*AF62)+(AE63*AF63)</f>
        <v>9</v>
      </c>
      <c r="AG76" s="45">
        <f>'Variante Vorgaben'!$C$36</f>
        <v>32.700000000000003</v>
      </c>
      <c r="AH76" s="46">
        <f t="shared" si="38"/>
        <v>294.3</v>
      </c>
      <c r="AI76" s="738">
        <f>AH76/$AH$92</f>
        <v>7.7607281985778293E-3</v>
      </c>
      <c r="AJ76" s="41"/>
      <c r="AK76" s="42" t="s">
        <v>96</v>
      </c>
      <c r="AL76" s="44"/>
      <c r="AM76" s="368">
        <f>(AL62*AM62)+(AL63*AM63)</f>
        <v>9</v>
      </c>
      <c r="AN76" s="45">
        <f>'Variante Vorgaben'!$C$36</f>
        <v>32.700000000000003</v>
      </c>
      <c r="AO76" s="46">
        <f t="shared" si="39"/>
        <v>294.3</v>
      </c>
      <c r="AP76" s="738">
        <f>AO76/$AO$92</f>
        <v>7.7887698108534131E-3</v>
      </c>
      <c r="AQ76" s="41"/>
      <c r="AR76" s="42" t="s">
        <v>96</v>
      </c>
      <c r="AS76" s="44"/>
      <c r="AT76" s="368">
        <f>(AS62*AT62)+(AS63*AT63)</f>
        <v>9</v>
      </c>
      <c r="AU76" s="45">
        <f>'Variante Vorgaben'!$C$36</f>
        <v>32.700000000000003</v>
      </c>
      <c r="AV76" s="46">
        <f t="shared" si="40"/>
        <v>294.3</v>
      </c>
      <c r="AW76" s="738">
        <f t="shared" si="41"/>
        <v>7.2742790410462591E-3</v>
      </c>
      <c r="AX76" s="41"/>
      <c r="AY76" s="42" t="s">
        <v>96</v>
      </c>
      <c r="AZ76" s="44"/>
      <c r="BA76" s="368">
        <f>(AZ62*BA62)+(AZ63*BA63)</f>
        <v>9</v>
      </c>
      <c r="BB76" s="45">
        <f>'Variante Vorgaben'!$C$36</f>
        <v>32.700000000000003</v>
      </c>
      <c r="BC76" s="46">
        <f t="shared" si="42"/>
        <v>294.3</v>
      </c>
      <c r="BD76" s="738">
        <f t="shared" si="43"/>
        <v>7.8409516095023415E-3</v>
      </c>
      <c r="BE76" s="41"/>
      <c r="BF76" s="42" t="s">
        <v>96</v>
      </c>
      <c r="BG76" s="44"/>
      <c r="BH76" s="368">
        <f>(BG62*BH62)+(BG63*BH63)</f>
        <v>9</v>
      </c>
      <c r="BI76" s="45">
        <f>'Variante Vorgaben'!$C$36</f>
        <v>32.700000000000003</v>
      </c>
      <c r="BJ76" s="46">
        <f t="shared" si="44"/>
        <v>294.3</v>
      </c>
      <c r="BK76" s="738">
        <f t="shared" si="45"/>
        <v>7.8703119039734599E-3</v>
      </c>
      <c r="BL76" s="41"/>
      <c r="BM76" s="42" t="s">
        <v>96</v>
      </c>
      <c r="BN76" s="44"/>
      <c r="BO76" s="368">
        <f>(BN62*BO62)+(BN63*BO63)</f>
        <v>9</v>
      </c>
      <c r="BP76" s="45">
        <f>'Variante Vorgaben'!$C$36</f>
        <v>32.700000000000003</v>
      </c>
      <c r="BQ76" s="46">
        <f t="shared" si="46"/>
        <v>294.3</v>
      </c>
      <c r="BR76" s="738">
        <f t="shared" si="47"/>
        <v>7.3460011676550179E-3</v>
      </c>
      <c r="BS76" s="41"/>
      <c r="BT76" s="42" t="s">
        <v>96</v>
      </c>
      <c r="BU76" s="44"/>
      <c r="BV76" s="368">
        <f>(BU62*BV62)+(BU63*BV63)</f>
        <v>9</v>
      </c>
      <c r="BW76" s="45">
        <f>'Variante Vorgaben'!$C$36</f>
        <v>32.700000000000003</v>
      </c>
      <c r="BX76" s="46">
        <f t="shared" si="48"/>
        <v>294.3</v>
      </c>
      <c r="BY76" s="738">
        <f t="shared" si="49"/>
        <v>7.9251060879918442E-3</v>
      </c>
      <c r="BZ76" s="41"/>
      <c r="CA76" s="42" t="s">
        <v>96</v>
      </c>
      <c r="CB76" s="44"/>
      <c r="CC76" s="368">
        <f>(CB62*CC62)+(CB63*CC63)</f>
        <v>9</v>
      </c>
      <c r="CD76" s="45">
        <f>'Variante Vorgaben'!$C$36</f>
        <v>32.700000000000003</v>
      </c>
      <c r="CE76" s="46">
        <f t="shared" si="50"/>
        <v>294.3</v>
      </c>
      <c r="CF76" s="738">
        <f t="shared" si="51"/>
        <v>7.9558725992471217E-3</v>
      </c>
      <c r="CG76" s="41"/>
      <c r="CH76" s="42" t="s">
        <v>96</v>
      </c>
      <c r="CI76" s="44"/>
      <c r="CJ76" s="368">
        <f>(CI62*CJ62)+(CI63*CJ63)</f>
        <v>9</v>
      </c>
      <c r="CK76" s="45">
        <f>'Variante Vorgaben'!$C$36</f>
        <v>32.700000000000003</v>
      </c>
      <c r="CL76" s="46">
        <f t="shared" si="52"/>
        <v>294.3</v>
      </c>
      <c r="CM76" s="738">
        <f t="shared" si="53"/>
        <v>7.54644084003091E-3</v>
      </c>
      <c r="CN76" s="41"/>
      <c r="CO76" s="42" t="s">
        <v>96</v>
      </c>
      <c r="CP76" s="44"/>
      <c r="CQ76" s="368">
        <f>(CP62*CQ62)+(CP63*CQ63)</f>
        <v>9</v>
      </c>
      <c r="CR76" s="45">
        <f>'Variante Vorgaben'!$C$36</f>
        <v>32.700000000000003</v>
      </c>
      <c r="CS76" s="46">
        <f t="shared" si="54"/>
        <v>294.3</v>
      </c>
      <c r="CT76" s="738">
        <f t="shared" si="55"/>
        <v>8.1517434876476752E-3</v>
      </c>
      <c r="CU76" s="41"/>
      <c r="CV76" s="42" t="s">
        <v>96</v>
      </c>
      <c r="CW76" s="44"/>
      <c r="CX76" s="368">
        <f>(CW62*CX62)+(CW63*CX63)</f>
        <v>9</v>
      </c>
      <c r="CY76" s="45">
        <f>'Variante Vorgaben'!$C$36</f>
        <v>32.700000000000003</v>
      </c>
      <c r="CZ76" s="46">
        <f t="shared" si="56"/>
        <v>294.3</v>
      </c>
      <c r="DA76" s="738">
        <f t="shared" si="57"/>
        <v>7.0086386031257249E-3</v>
      </c>
    </row>
    <row r="77" spans="1:105" s="1" customFormat="1" ht="13" x14ac:dyDescent="0.3">
      <c r="A77" s="41"/>
      <c r="B77" s="321" t="str">
        <f>'Variante Vorgaben'!E93</f>
        <v>Behangsregulierung (von Hand)</v>
      </c>
      <c r="C77" s="19"/>
      <c r="D77" s="40">
        <f>'Variante Vorgaben'!$E$97</f>
        <v>100</v>
      </c>
      <c r="E77" s="45">
        <f>'Variante Vorgaben'!$C$37</f>
        <v>22.5</v>
      </c>
      <c r="F77" s="46">
        <f>D77*E77</f>
        <v>2250</v>
      </c>
      <c r="G77" s="738">
        <f t="shared" si="31"/>
        <v>9.3631566802463873E-2</v>
      </c>
      <c r="H77" s="41"/>
      <c r="I77" s="321" t="str">
        <f>'Variante Vorgaben'!$E$93</f>
        <v>Behangsregulierung (von Hand)</v>
      </c>
      <c r="J77" s="19"/>
      <c r="K77" s="40">
        <f>'Variante Vorgaben'!E98</f>
        <v>200</v>
      </c>
      <c r="L77" s="45">
        <f>'Variante Vorgaben'!$C$37</f>
        <v>22.5</v>
      </c>
      <c r="M77" s="46">
        <f t="shared" si="32"/>
        <v>4500</v>
      </c>
      <c r="N77" s="738">
        <f t="shared" si="33"/>
        <v>0.18387397358741006</v>
      </c>
      <c r="O77" s="41"/>
      <c r="P77" s="321" t="str">
        <f>'Variante Vorgaben'!$E$93</f>
        <v>Behangsregulierung (von Hand)</v>
      </c>
      <c r="Q77" s="19"/>
      <c r="R77" s="40">
        <f>'Variante Vorgaben'!$E$96</f>
        <v>200</v>
      </c>
      <c r="S77" s="45">
        <f>'Variante Vorgaben'!$C$37</f>
        <v>22.5</v>
      </c>
      <c r="T77" s="46">
        <f t="shared" si="34"/>
        <v>4500</v>
      </c>
      <c r="U77" s="738">
        <f t="shared" si="35"/>
        <v>0.13899454189884433</v>
      </c>
      <c r="V77" s="41"/>
      <c r="W77" s="321" t="str">
        <f>'Variante Vorgaben'!$E$93</f>
        <v>Behangsregulierung (von Hand)</v>
      </c>
      <c r="X77" s="19"/>
      <c r="Y77" s="40">
        <f>'Variante Vorgaben'!$E$96</f>
        <v>200</v>
      </c>
      <c r="Z77" s="45">
        <f>'Variante Vorgaben'!$C$37</f>
        <v>22.5</v>
      </c>
      <c r="AA77" s="46">
        <f t="shared" si="36"/>
        <v>4500</v>
      </c>
      <c r="AB77" s="738">
        <f t="shared" si="37"/>
        <v>0.12267519738580006</v>
      </c>
      <c r="AC77" s="41"/>
      <c r="AD77" s="321" t="str">
        <f>'Variante Vorgaben'!$E$93</f>
        <v>Behangsregulierung (von Hand)</v>
      </c>
      <c r="AE77" s="19"/>
      <c r="AF77" s="40">
        <f>'Variante Vorgaben'!$E$96</f>
        <v>200</v>
      </c>
      <c r="AG77" s="45">
        <f>'Variante Vorgaben'!$C$37</f>
        <v>22.5</v>
      </c>
      <c r="AH77" s="46">
        <f t="shared" si="38"/>
        <v>4500</v>
      </c>
      <c r="AI77" s="738">
        <f>AH77/$AH$92</f>
        <v>0.11866556878559371</v>
      </c>
      <c r="AJ77" s="41"/>
      <c r="AK77" s="321" t="str">
        <f>'Variante Vorgaben'!$E$93</f>
        <v>Behangsregulierung (von Hand)</v>
      </c>
      <c r="AL77" s="19"/>
      <c r="AM77" s="40">
        <f>'Variante Vorgaben'!$E$96</f>
        <v>200</v>
      </c>
      <c r="AN77" s="45">
        <f>'Variante Vorgaben'!$C$37</f>
        <v>22.5</v>
      </c>
      <c r="AO77" s="46">
        <f t="shared" si="39"/>
        <v>4500</v>
      </c>
      <c r="AP77" s="738">
        <f>AO77/$AO$92</f>
        <v>0.11909433961549561</v>
      </c>
      <c r="AQ77" s="41"/>
      <c r="AR77" s="321" t="str">
        <f>'Variante Vorgaben'!$E$93</f>
        <v>Behangsregulierung (von Hand)</v>
      </c>
      <c r="AS77" s="19"/>
      <c r="AT77" s="40">
        <f>'Variante Vorgaben'!$E$96</f>
        <v>200</v>
      </c>
      <c r="AU77" s="45">
        <f>'Variante Vorgaben'!$C$37</f>
        <v>22.5</v>
      </c>
      <c r="AV77" s="46">
        <f t="shared" si="40"/>
        <v>4500</v>
      </c>
      <c r="AW77" s="738">
        <f t="shared" si="41"/>
        <v>0.11122750827287857</v>
      </c>
      <c r="AX77" s="41"/>
      <c r="AY77" s="321" t="str">
        <f>'Variante Vorgaben'!$E$93</f>
        <v>Behangsregulierung (von Hand)</v>
      </c>
      <c r="AZ77" s="19"/>
      <c r="BA77" s="40">
        <f>'Variante Vorgaben'!$E$96</f>
        <v>200</v>
      </c>
      <c r="BB77" s="45">
        <f>'Variante Vorgaben'!$C$37</f>
        <v>22.5</v>
      </c>
      <c r="BC77" s="46">
        <f t="shared" si="42"/>
        <v>4500</v>
      </c>
      <c r="BD77" s="738">
        <f t="shared" si="43"/>
        <v>0.11989222644498991</v>
      </c>
      <c r="BE77" s="41"/>
      <c r="BF77" s="321" t="str">
        <f>'Variante Vorgaben'!$E$93</f>
        <v>Behangsregulierung (von Hand)</v>
      </c>
      <c r="BG77" s="19"/>
      <c r="BH77" s="40">
        <f>'Variante Vorgaben'!$E$96</f>
        <v>200</v>
      </c>
      <c r="BI77" s="45">
        <f>'Variante Vorgaben'!$C$37</f>
        <v>22.5</v>
      </c>
      <c r="BJ77" s="46">
        <f t="shared" si="44"/>
        <v>4500</v>
      </c>
      <c r="BK77" s="738">
        <f t="shared" si="45"/>
        <v>0.12034116061121498</v>
      </c>
      <c r="BL77" s="41"/>
      <c r="BM77" s="321" t="str">
        <f>'Variante Vorgaben'!$E$93</f>
        <v>Behangsregulierung (von Hand)</v>
      </c>
      <c r="BN77" s="19"/>
      <c r="BO77" s="40">
        <f>'Variante Vorgaben'!$E$96</f>
        <v>200</v>
      </c>
      <c r="BP77" s="45">
        <f>'Variante Vorgaben'!$C$37</f>
        <v>22.5</v>
      </c>
      <c r="BQ77" s="46">
        <f t="shared" si="46"/>
        <v>4500</v>
      </c>
      <c r="BR77" s="738">
        <f t="shared" si="47"/>
        <v>0.11232417687545899</v>
      </c>
      <c r="BS77" s="41"/>
      <c r="BT77" s="321" t="str">
        <f>'Variante Vorgaben'!$E$93</f>
        <v>Behangsregulierung (von Hand)</v>
      </c>
      <c r="BU77" s="19"/>
      <c r="BV77" s="40">
        <f>'Variante Vorgaben'!$E$96</f>
        <v>200</v>
      </c>
      <c r="BW77" s="45">
        <f>'Variante Vorgaben'!$C$37</f>
        <v>22.5</v>
      </c>
      <c r="BX77" s="46">
        <f t="shared" si="48"/>
        <v>4500</v>
      </c>
      <c r="BY77" s="738">
        <f t="shared" si="49"/>
        <v>0.1211789921711291</v>
      </c>
      <c r="BZ77" s="41"/>
      <c r="CA77" s="321" t="str">
        <f>'Variante Vorgaben'!$E$93</f>
        <v>Behangsregulierung (von Hand)</v>
      </c>
      <c r="CB77" s="19"/>
      <c r="CC77" s="40">
        <f>'Variante Vorgaben'!$E$96</f>
        <v>200</v>
      </c>
      <c r="CD77" s="45">
        <f>'Variante Vorgaben'!$C$37</f>
        <v>22.5</v>
      </c>
      <c r="CE77" s="46">
        <f t="shared" si="50"/>
        <v>4500</v>
      </c>
      <c r="CF77" s="738">
        <f t="shared" si="51"/>
        <v>0.12164942812304466</v>
      </c>
      <c r="CG77" s="41"/>
      <c r="CH77" s="321" t="str">
        <f>'Variante Vorgaben'!$E$93</f>
        <v>Behangsregulierung (von Hand)</v>
      </c>
      <c r="CI77" s="19"/>
      <c r="CJ77" s="40">
        <f>'Variante Vorgaben'!$E$96</f>
        <v>200</v>
      </c>
      <c r="CK77" s="45">
        <f>'Variante Vorgaben'!$C$37</f>
        <v>22.5</v>
      </c>
      <c r="CL77" s="46">
        <f t="shared" si="52"/>
        <v>4500</v>
      </c>
      <c r="CM77" s="738">
        <f t="shared" si="53"/>
        <v>0.11538900367019739</v>
      </c>
      <c r="CN77" s="41"/>
      <c r="CO77" s="321" t="str">
        <f>'Variante Vorgaben'!$E$93</f>
        <v>Behangsregulierung (von Hand)</v>
      </c>
      <c r="CP77" s="19"/>
      <c r="CQ77" s="40">
        <f>'Variante Vorgaben'!$E$96</f>
        <v>200</v>
      </c>
      <c r="CR77" s="45">
        <f>'Variante Vorgaben'!$C$37</f>
        <v>22.5</v>
      </c>
      <c r="CS77" s="46">
        <f t="shared" si="54"/>
        <v>4500</v>
      </c>
      <c r="CT77" s="738">
        <f t="shared" si="55"/>
        <v>0.12464439583559135</v>
      </c>
      <c r="CU77" s="41"/>
      <c r="CV77" s="321" t="str">
        <f>'Variante Vorgaben'!$E$93</f>
        <v>Behangsregulierung (von Hand)</v>
      </c>
      <c r="CW77" s="19"/>
      <c r="CX77" s="40">
        <f>'Variante Vorgaben'!$E$96</f>
        <v>200</v>
      </c>
      <c r="CY77" s="45">
        <f>'Variante Vorgaben'!$C$37</f>
        <v>22.5</v>
      </c>
      <c r="CZ77" s="46">
        <f t="shared" si="56"/>
        <v>4500</v>
      </c>
      <c r="DA77" s="738">
        <f t="shared" si="57"/>
        <v>0.10716572787654013</v>
      </c>
    </row>
    <row r="78" spans="1:105" s="1" customFormat="1" ht="13" x14ac:dyDescent="0.3">
      <c r="A78" s="41"/>
      <c r="B78" s="321" t="s">
        <v>684</v>
      </c>
      <c r="C78" s="19"/>
      <c r="D78" s="40">
        <f>C68*D68+C69*D69</f>
        <v>12</v>
      </c>
      <c r="E78" s="45">
        <f>'Variante Vorgaben'!$C$32</f>
        <v>41.4</v>
      </c>
      <c r="F78" s="46">
        <f>D78*E78</f>
        <v>496.79999999999995</v>
      </c>
      <c r="G78" s="738"/>
      <c r="H78" s="41"/>
      <c r="I78" s="321" t="s">
        <v>684</v>
      </c>
      <c r="J78" s="19"/>
      <c r="K78" s="40">
        <f>J68*K68+J69*K69</f>
        <v>12</v>
      </c>
      <c r="L78" s="45">
        <f>'Variante Vorgaben'!$C$32</f>
        <v>41.4</v>
      </c>
      <c r="M78" s="46">
        <f t="shared" si="32"/>
        <v>496.79999999999995</v>
      </c>
      <c r="N78" s="738"/>
      <c r="O78" s="41"/>
      <c r="P78" s="321" t="s">
        <v>684</v>
      </c>
      <c r="Q78" s="19"/>
      <c r="R78" s="40">
        <f>Q68*R68+Q69*R69</f>
        <v>12</v>
      </c>
      <c r="S78" s="45">
        <f>'Variante Vorgaben'!$C$32</f>
        <v>41.4</v>
      </c>
      <c r="T78" s="46">
        <f t="shared" si="34"/>
        <v>496.79999999999995</v>
      </c>
      <c r="U78" s="738"/>
      <c r="V78" s="41"/>
      <c r="W78" s="321" t="s">
        <v>684</v>
      </c>
      <c r="X78" s="19"/>
      <c r="Y78" s="40">
        <f>X68*Y68+X69*Y69</f>
        <v>12</v>
      </c>
      <c r="Z78" s="45">
        <f>'Variante Vorgaben'!$C$32</f>
        <v>41.4</v>
      </c>
      <c r="AA78" s="46">
        <f t="shared" si="36"/>
        <v>496.79999999999995</v>
      </c>
      <c r="AB78" s="738"/>
      <c r="AC78" s="41"/>
      <c r="AD78" s="321" t="s">
        <v>684</v>
      </c>
      <c r="AE78" s="19"/>
      <c r="AF78" s="40">
        <f>AE68*AF68+AE69*AF69</f>
        <v>12</v>
      </c>
      <c r="AG78" s="45">
        <f>'Variante Vorgaben'!$C$32</f>
        <v>41.4</v>
      </c>
      <c r="AH78" s="46">
        <f t="shared" si="38"/>
        <v>496.79999999999995</v>
      </c>
      <c r="AI78" s="738"/>
      <c r="AJ78" s="41"/>
      <c r="AK78" s="321" t="s">
        <v>684</v>
      </c>
      <c r="AL78" s="19"/>
      <c r="AM78" s="40">
        <f>AL68*AM68+AL69*AM69</f>
        <v>12</v>
      </c>
      <c r="AN78" s="45">
        <f>'Variante Vorgaben'!$C$32</f>
        <v>41.4</v>
      </c>
      <c r="AO78" s="46">
        <f t="shared" si="39"/>
        <v>496.79999999999995</v>
      </c>
      <c r="AP78" s="738"/>
      <c r="AQ78" s="41"/>
      <c r="AR78" s="321" t="s">
        <v>684</v>
      </c>
      <c r="AS78" s="19"/>
      <c r="AT78" s="40">
        <f>AS68*AT68+AS69*AT69</f>
        <v>12</v>
      </c>
      <c r="AU78" s="45">
        <f>'Variante Vorgaben'!$C$32</f>
        <v>41.4</v>
      </c>
      <c r="AV78" s="46">
        <f t="shared" si="40"/>
        <v>496.79999999999995</v>
      </c>
      <c r="AW78" s="738"/>
      <c r="AX78" s="41"/>
      <c r="AY78" s="321" t="s">
        <v>684</v>
      </c>
      <c r="AZ78" s="19"/>
      <c r="BA78" s="40">
        <f>AZ68*BA68+AZ69*BA69</f>
        <v>12</v>
      </c>
      <c r="BB78" s="45">
        <f>'Variante Vorgaben'!$C$32</f>
        <v>41.4</v>
      </c>
      <c r="BC78" s="46">
        <f t="shared" si="42"/>
        <v>496.79999999999995</v>
      </c>
      <c r="BD78" s="738"/>
      <c r="BE78" s="41"/>
      <c r="BF78" s="321" t="s">
        <v>684</v>
      </c>
      <c r="BG78" s="19"/>
      <c r="BH78" s="40">
        <f>BG68*BH68+BG69*BH69</f>
        <v>12</v>
      </c>
      <c r="BI78" s="45">
        <f>'Variante Vorgaben'!$C$32</f>
        <v>41.4</v>
      </c>
      <c r="BJ78" s="46">
        <f t="shared" si="44"/>
        <v>496.79999999999995</v>
      </c>
      <c r="BK78" s="738"/>
      <c r="BL78" s="41"/>
      <c r="BM78" s="321" t="s">
        <v>684</v>
      </c>
      <c r="BN78" s="19"/>
      <c r="BO78" s="40">
        <f>BN68*BO68+BN69*BO69</f>
        <v>12</v>
      </c>
      <c r="BP78" s="45">
        <f>'Variante Vorgaben'!$C$32</f>
        <v>41.4</v>
      </c>
      <c r="BQ78" s="46">
        <f t="shared" si="46"/>
        <v>496.79999999999995</v>
      </c>
      <c r="BR78" s="738"/>
      <c r="BS78" s="41"/>
      <c r="BT78" s="321" t="s">
        <v>684</v>
      </c>
      <c r="BU78" s="19"/>
      <c r="BV78" s="40">
        <f>BU68*BV68+BU69*BV69</f>
        <v>12</v>
      </c>
      <c r="BW78" s="45">
        <f>'Variante Vorgaben'!$C$32</f>
        <v>41.4</v>
      </c>
      <c r="BX78" s="46">
        <f t="shared" si="48"/>
        <v>496.79999999999995</v>
      </c>
      <c r="BY78" s="738"/>
      <c r="BZ78" s="41"/>
      <c r="CA78" s="321" t="s">
        <v>684</v>
      </c>
      <c r="CB78" s="19"/>
      <c r="CC78" s="40">
        <f>CB68*CC68+CB69*CC69</f>
        <v>12</v>
      </c>
      <c r="CD78" s="45">
        <f>'Variante Vorgaben'!$C$32</f>
        <v>41.4</v>
      </c>
      <c r="CE78" s="46">
        <f t="shared" si="50"/>
        <v>496.79999999999995</v>
      </c>
      <c r="CF78" s="738"/>
      <c r="CG78" s="41"/>
      <c r="CH78" s="321" t="s">
        <v>684</v>
      </c>
      <c r="CI78" s="19"/>
      <c r="CJ78" s="40">
        <f>CI68*CJ68+CI69*CJ69</f>
        <v>12</v>
      </c>
      <c r="CK78" s="45">
        <f>'Variante Vorgaben'!$C$32</f>
        <v>41.4</v>
      </c>
      <c r="CL78" s="46">
        <f t="shared" si="52"/>
        <v>496.79999999999995</v>
      </c>
      <c r="CM78" s="738"/>
      <c r="CN78" s="41"/>
      <c r="CO78" s="321" t="s">
        <v>684</v>
      </c>
      <c r="CP78" s="19"/>
      <c r="CQ78" s="40">
        <f>CP68*CQ68+CP69*CQ69</f>
        <v>12</v>
      </c>
      <c r="CR78" s="45">
        <f>'Variante Vorgaben'!$C$32</f>
        <v>41.4</v>
      </c>
      <c r="CS78" s="46">
        <f t="shared" si="54"/>
        <v>496.79999999999995</v>
      </c>
      <c r="CT78" s="738"/>
      <c r="CU78" s="41"/>
      <c r="CV78" s="321" t="s">
        <v>684</v>
      </c>
      <c r="CW78" s="19"/>
      <c r="CX78" s="40">
        <f>CW68*CX68+CW69*CX69</f>
        <v>12</v>
      </c>
      <c r="CY78" s="45">
        <f>'Variante Vorgaben'!$C$32</f>
        <v>41.4</v>
      </c>
      <c r="CZ78" s="46">
        <f t="shared" si="56"/>
        <v>496.79999999999995</v>
      </c>
      <c r="DA78" s="738"/>
    </row>
    <row r="79" spans="1:105" s="1" customFormat="1" ht="13" x14ac:dyDescent="0.3">
      <c r="A79" s="41"/>
      <c r="B79" s="321" t="s">
        <v>407</v>
      </c>
      <c r="C79" s="273">
        <f>'Variante Vorgaben'!$C$233</f>
        <v>1</v>
      </c>
      <c r="D79" s="923">
        <v>15</v>
      </c>
      <c r="E79" s="45">
        <f>'Variante Vorgaben'!$C$37</f>
        <v>22.5</v>
      </c>
      <c r="F79" s="46">
        <f>C79*D79*E79</f>
        <v>337.5</v>
      </c>
      <c r="G79" s="739">
        <f t="shared" si="31"/>
        <v>1.404473502036958E-2</v>
      </c>
      <c r="H79" s="41"/>
      <c r="I79" s="321" t="s">
        <v>407</v>
      </c>
      <c r="J79" s="273">
        <f>'Variante Vorgaben'!$C$233</f>
        <v>1</v>
      </c>
      <c r="K79" s="923">
        <v>15</v>
      </c>
      <c r="L79" s="45">
        <f>'Variante Vorgaben'!$C$37</f>
        <v>22.5</v>
      </c>
      <c r="M79" s="46">
        <f>J79*K79*L79</f>
        <v>337.5</v>
      </c>
      <c r="N79" s="738">
        <f t="shared" si="33"/>
        <v>1.3790548019055755E-2</v>
      </c>
      <c r="O79" s="41"/>
      <c r="P79" s="321" t="s">
        <v>407</v>
      </c>
      <c r="Q79" s="273">
        <f>'Variante Vorgaben'!$C$233</f>
        <v>1</v>
      </c>
      <c r="R79" s="923">
        <v>15</v>
      </c>
      <c r="S79" s="45">
        <f>'Variante Vorgaben'!$C$37</f>
        <v>22.5</v>
      </c>
      <c r="T79" s="46">
        <f>Q79*R79*S79</f>
        <v>337.5</v>
      </c>
      <c r="U79" s="738">
        <f t="shared" si="35"/>
        <v>1.0424590642413325E-2</v>
      </c>
      <c r="V79" s="41"/>
      <c r="W79" s="321" t="s">
        <v>407</v>
      </c>
      <c r="X79" s="273">
        <f>'Variante Vorgaben'!$C$233</f>
        <v>1</v>
      </c>
      <c r="Y79" s="923">
        <v>15</v>
      </c>
      <c r="Z79" s="45">
        <f>'Variante Vorgaben'!$C$37</f>
        <v>22.5</v>
      </c>
      <c r="AA79" s="46">
        <f>X79*Y79*Z79</f>
        <v>337.5</v>
      </c>
      <c r="AB79" s="738">
        <f t="shared" si="37"/>
        <v>9.2006398039350037E-3</v>
      </c>
      <c r="AC79" s="41"/>
      <c r="AD79" s="321" t="s">
        <v>407</v>
      </c>
      <c r="AE79" s="273">
        <f>'Variante Vorgaben'!$C$233</f>
        <v>1</v>
      </c>
      <c r="AF79" s="923">
        <v>15</v>
      </c>
      <c r="AG79" s="45">
        <f>'Variante Vorgaben'!$C$37</f>
        <v>22.5</v>
      </c>
      <c r="AH79" s="46">
        <f>AE79*AF79*AG79</f>
        <v>337.5</v>
      </c>
      <c r="AI79" s="739"/>
      <c r="AJ79" s="41"/>
      <c r="AK79" s="321" t="s">
        <v>407</v>
      </c>
      <c r="AL79" s="273">
        <f>'Variante Vorgaben'!$C$233</f>
        <v>1</v>
      </c>
      <c r="AM79" s="923">
        <v>15</v>
      </c>
      <c r="AN79" s="45">
        <f>'Variante Vorgaben'!$C$37</f>
        <v>22.5</v>
      </c>
      <c r="AO79" s="46">
        <f>AL79*AM79*AN79</f>
        <v>337.5</v>
      </c>
      <c r="AP79" s="739"/>
      <c r="AQ79" s="41"/>
      <c r="AR79" s="321" t="s">
        <v>407</v>
      </c>
      <c r="AS79" s="273">
        <f>'Variante Vorgaben'!$C$233</f>
        <v>1</v>
      </c>
      <c r="AT79" s="923">
        <v>15</v>
      </c>
      <c r="AU79" s="45">
        <f>'Variante Vorgaben'!$C$37</f>
        <v>22.5</v>
      </c>
      <c r="AV79" s="46">
        <f>AS79*AT79*AU79</f>
        <v>337.5</v>
      </c>
      <c r="AW79" s="738">
        <f t="shared" si="41"/>
        <v>8.3420631204658927E-3</v>
      </c>
      <c r="AX79" s="41"/>
      <c r="AY79" s="321" t="s">
        <v>407</v>
      </c>
      <c r="AZ79" s="273">
        <f>'Variante Vorgaben'!$C$233</f>
        <v>1</v>
      </c>
      <c r="BA79" s="923">
        <v>15</v>
      </c>
      <c r="BB79" s="45">
        <f>'Variante Vorgaben'!$C$37</f>
        <v>22.5</v>
      </c>
      <c r="BC79" s="46">
        <f>AZ79*BA79*BB79</f>
        <v>337.5</v>
      </c>
      <c r="BD79" s="738">
        <f t="shared" si="43"/>
        <v>8.991916983374244E-3</v>
      </c>
      <c r="BE79" s="41"/>
      <c r="BF79" s="321" t="s">
        <v>407</v>
      </c>
      <c r="BG79" s="273">
        <f>'Variante Vorgaben'!$C$233</f>
        <v>1</v>
      </c>
      <c r="BH79" s="923">
        <v>15</v>
      </c>
      <c r="BI79" s="45">
        <f>'Variante Vorgaben'!$C$37</f>
        <v>22.5</v>
      </c>
      <c r="BJ79" s="46">
        <f>BG79*BH79*BI79</f>
        <v>337.5</v>
      </c>
      <c r="BK79" s="738">
        <f t="shared" si="45"/>
        <v>9.0255870458411241E-3</v>
      </c>
      <c r="BL79" s="41"/>
      <c r="BM79" s="321" t="s">
        <v>407</v>
      </c>
      <c r="BN79" s="273">
        <f>'Variante Vorgaben'!$C$233</f>
        <v>1</v>
      </c>
      <c r="BO79" s="923">
        <v>15</v>
      </c>
      <c r="BP79" s="45">
        <f>'Variante Vorgaben'!$C$37</f>
        <v>22.5</v>
      </c>
      <c r="BQ79" s="46">
        <f>BN79*BO79*BP79</f>
        <v>337.5</v>
      </c>
      <c r="BR79" s="738">
        <f t="shared" si="47"/>
        <v>8.4243132656594243E-3</v>
      </c>
      <c r="BS79" s="41"/>
      <c r="BT79" s="321" t="s">
        <v>407</v>
      </c>
      <c r="BU79" s="273">
        <f>'Variante Vorgaben'!$C$233</f>
        <v>1</v>
      </c>
      <c r="BV79" s="923">
        <v>15</v>
      </c>
      <c r="BW79" s="45">
        <f>'Variante Vorgaben'!$C$37</f>
        <v>22.5</v>
      </c>
      <c r="BX79" s="46">
        <f>BU79*BV79*BW79</f>
        <v>337.5</v>
      </c>
      <c r="BY79" s="738">
        <f t="shared" si="49"/>
        <v>9.0884244128346826E-3</v>
      </c>
      <c r="BZ79" s="41"/>
      <c r="CA79" s="321" t="s">
        <v>407</v>
      </c>
      <c r="CB79" s="273">
        <f>'Variante Vorgaben'!$C$233</f>
        <v>1</v>
      </c>
      <c r="CC79" s="923">
        <v>15</v>
      </c>
      <c r="CD79" s="45">
        <f>'Variante Vorgaben'!$C$37</f>
        <v>22.5</v>
      </c>
      <c r="CE79" s="46">
        <f>CB79*CC79*CD79</f>
        <v>337.5</v>
      </c>
      <c r="CF79" s="738">
        <f t="shared" si="51"/>
        <v>9.1237071092283486E-3</v>
      </c>
      <c r="CG79" s="41"/>
      <c r="CH79" s="321" t="s">
        <v>407</v>
      </c>
      <c r="CI79" s="273">
        <f>'Variante Vorgaben'!$C$233</f>
        <v>1</v>
      </c>
      <c r="CJ79" s="923">
        <v>15</v>
      </c>
      <c r="CK79" s="45">
        <f>'Variante Vorgaben'!$C$37</f>
        <v>22.5</v>
      </c>
      <c r="CL79" s="46">
        <f>CI79*CJ79*CK79</f>
        <v>337.5</v>
      </c>
      <c r="CM79" s="738">
        <f t="shared" si="53"/>
        <v>8.6541752752648041E-3</v>
      </c>
      <c r="CN79" s="41"/>
      <c r="CO79" s="321" t="s">
        <v>407</v>
      </c>
      <c r="CP79" s="273">
        <f>'Variante Vorgaben'!$C$233</f>
        <v>1</v>
      </c>
      <c r="CQ79" s="923">
        <v>15</v>
      </c>
      <c r="CR79" s="45">
        <f>'Variante Vorgaben'!$C$37</f>
        <v>22.5</v>
      </c>
      <c r="CS79" s="46">
        <f>CP79*CQ79*CR79</f>
        <v>337.5</v>
      </c>
      <c r="CT79" s="738">
        <f t="shared" si="55"/>
        <v>9.348329687669351E-3</v>
      </c>
      <c r="CU79" s="41"/>
      <c r="CV79" s="321" t="s">
        <v>407</v>
      </c>
      <c r="CW79" s="273">
        <f>'Variante Vorgaben'!$C$233</f>
        <v>1</v>
      </c>
      <c r="CX79" s="923">
        <v>15</v>
      </c>
      <c r="CY79" s="45">
        <f>'Variante Vorgaben'!$C$37</f>
        <v>22.5</v>
      </c>
      <c r="CZ79" s="46">
        <f>CW79*CX79*CY79</f>
        <v>337.5</v>
      </c>
      <c r="DA79" s="738">
        <f t="shared" si="57"/>
        <v>8.037429590740509E-3</v>
      </c>
    </row>
    <row r="80" spans="1:105" s="1" customFormat="1" ht="13" x14ac:dyDescent="0.3">
      <c r="A80" s="41"/>
      <c r="B80" s="321" t="s">
        <v>408</v>
      </c>
      <c r="C80" s="273">
        <f>'Variante Vorgaben'!$C$233</f>
        <v>1</v>
      </c>
      <c r="D80" s="923">
        <v>10</v>
      </c>
      <c r="E80" s="45">
        <f>'Variante Vorgaben'!$C$37</f>
        <v>22.5</v>
      </c>
      <c r="F80" s="46">
        <f>C80*D80*E80</f>
        <v>225</v>
      </c>
      <c r="G80" s="739">
        <f t="shared" si="31"/>
        <v>9.3631566802463862E-3</v>
      </c>
      <c r="H80" s="41"/>
      <c r="I80" s="321" t="s">
        <v>408</v>
      </c>
      <c r="J80" s="273">
        <f>'Variante Vorgaben'!$C$233</f>
        <v>1</v>
      </c>
      <c r="K80" s="923">
        <v>10</v>
      </c>
      <c r="L80" s="45">
        <f>'Variante Vorgaben'!$C$37</f>
        <v>22.5</v>
      </c>
      <c r="M80" s="46">
        <f>J80*K80*L80</f>
        <v>225</v>
      </c>
      <c r="N80" s="738">
        <f t="shared" si="33"/>
        <v>9.1936986793705027E-3</v>
      </c>
      <c r="O80" s="41"/>
      <c r="P80" s="321" t="s">
        <v>408</v>
      </c>
      <c r="Q80" s="273">
        <f>'Variante Vorgaben'!$C$233</f>
        <v>1</v>
      </c>
      <c r="R80" s="923">
        <v>10</v>
      </c>
      <c r="S80" s="45">
        <f>'Variante Vorgaben'!$C$37</f>
        <v>22.5</v>
      </c>
      <c r="T80" s="46">
        <f>Q80*R80*S80</f>
        <v>225</v>
      </c>
      <c r="U80" s="738">
        <f t="shared" si="35"/>
        <v>6.9497270949422166E-3</v>
      </c>
      <c r="V80" s="41"/>
      <c r="W80" s="321" t="s">
        <v>408</v>
      </c>
      <c r="X80" s="273">
        <f>'Variante Vorgaben'!$C$233</f>
        <v>1</v>
      </c>
      <c r="Y80" s="923">
        <v>10</v>
      </c>
      <c r="Z80" s="45">
        <f>'Variante Vorgaben'!$C$37</f>
        <v>22.5</v>
      </c>
      <c r="AA80" s="46">
        <f>X80*Y80*Z80</f>
        <v>225</v>
      </c>
      <c r="AB80" s="738">
        <f t="shared" si="37"/>
        <v>6.1337598692900027E-3</v>
      </c>
      <c r="AC80" s="41"/>
      <c r="AD80" s="321" t="s">
        <v>408</v>
      </c>
      <c r="AE80" s="273">
        <f>'Variante Vorgaben'!$C$233</f>
        <v>1</v>
      </c>
      <c r="AF80" s="923">
        <v>10</v>
      </c>
      <c r="AG80" s="45">
        <f>'Variante Vorgaben'!$C$37</f>
        <v>22.5</v>
      </c>
      <c r="AH80" s="46">
        <f>AE80*AF80*AG80</f>
        <v>225</v>
      </c>
      <c r="AI80" s="739"/>
      <c r="AJ80" s="41"/>
      <c r="AK80" s="321" t="s">
        <v>408</v>
      </c>
      <c r="AL80" s="273">
        <f>'Variante Vorgaben'!$C$233</f>
        <v>1</v>
      </c>
      <c r="AM80" s="923">
        <v>10</v>
      </c>
      <c r="AN80" s="45">
        <f>'Variante Vorgaben'!$C$37</f>
        <v>22.5</v>
      </c>
      <c r="AO80" s="46">
        <f>AL80*AM80*AN80</f>
        <v>225</v>
      </c>
      <c r="AP80" s="739"/>
      <c r="AQ80" s="41"/>
      <c r="AR80" s="321" t="s">
        <v>408</v>
      </c>
      <c r="AS80" s="273">
        <f>'Variante Vorgaben'!$C$233</f>
        <v>1</v>
      </c>
      <c r="AT80" s="923">
        <v>10</v>
      </c>
      <c r="AU80" s="45">
        <f>'Variante Vorgaben'!$C$37</f>
        <v>22.5</v>
      </c>
      <c r="AV80" s="46">
        <f>AS80*AT80*AU80</f>
        <v>225</v>
      </c>
      <c r="AW80" s="738">
        <f t="shared" si="41"/>
        <v>5.5613754136439285E-3</v>
      </c>
      <c r="AX80" s="41"/>
      <c r="AY80" s="321" t="s">
        <v>408</v>
      </c>
      <c r="AZ80" s="273">
        <f>'Variante Vorgaben'!$C$233</f>
        <v>1</v>
      </c>
      <c r="BA80" s="923">
        <v>10</v>
      </c>
      <c r="BB80" s="45">
        <f>'Variante Vorgaben'!$C$37</f>
        <v>22.5</v>
      </c>
      <c r="BC80" s="46">
        <f>AZ80*BA80*BB80</f>
        <v>225</v>
      </c>
      <c r="BD80" s="738">
        <f t="shared" si="43"/>
        <v>5.9946113222494957E-3</v>
      </c>
      <c r="BE80" s="41"/>
      <c r="BF80" s="321" t="s">
        <v>408</v>
      </c>
      <c r="BG80" s="273">
        <f>'Variante Vorgaben'!$C$233</f>
        <v>1</v>
      </c>
      <c r="BH80" s="923">
        <v>10</v>
      </c>
      <c r="BI80" s="45">
        <f>'Variante Vorgaben'!$C$37</f>
        <v>22.5</v>
      </c>
      <c r="BJ80" s="46">
        <f>BG80*BH80*BI80</f>
        <v>225</v>
      </c>
      <c r="BK80" s="738">
        <f t="shared" si="45"/>
        <v>6.0170580305607497E-3</v>
      </c>
      <c r="BL80" s="41"/>
      <c r="BM80" s="321" t="s">
        <v>408</v>
      </c>
      <c r="BN80" s="273">
        <f>'Variante Vorgaben'!$C$233</f>
        <v>1</v>
      </c>
      <c r="BO80" s="923">
        <v>10</v>
      </c>
      <c r="BP80" s="45">
        <f>'Variante Vorgaben'!$C$37</f>
        <v>22.5</v>
      </c>
      <c r="BQ80" s="46">
        <f>BN80*BO80*BP80</f>
        <v>225</v>
      </c>
      <c r="BR80" s="738">
        <f t="shared" si="47"/>
        <v>5.6162088437729492E-3</v>
      </c>
      <c r="BS80" s="41"/>
      <c r="BT80" s="321" t="s">
        <v>408</v>
      </c>
      <c r="BU80" s="273">
        <f>'Variante Vorgaben'!$C$233</f>
        <v>1</v>
      </c>
      <c r="BV80" s="923">
        <v>10</v>
      </c>
      <c r="BW80" s="45">
        <f>'Variante Vorgaben'!$C$37</f>
        <v>22.5</v>
      </c>
      <c r="BX80" s="46">
        <f>BU80*BV80*BW80</f>
        <v>225</v>
      </c>
      <c r="BY80" s="738">
        <f t="shared" si="49"/>
        <v>6.0589496085564553E-3</v>
      </c>
      <c r="BZ80" s="41"/>
      <c r="CA80" s="321" t="s">
        <v>408</v>
      </c>
      <c r="CB80" s="273">
        <f>'Variante Vorgaben'!$C$233</f>
        <v>1</v>
      </c>
      <c r="CC80" s="923">
        <v>10</v>
      </c>
      <c r="CD80" s="45">
        <f>'Variante Vorgaben'!$C$37</f>
        <v>22.5</v>
      </c>
      <c r="CE80" s="46">
        <f>CB80*CC80*CD80</f>
        <v>225</v>
      </c>
      <c r="CF80" s="738">
        <f t="shared" si="51"/>
        <v>6.0824714061522333E-3</v>
      </c>
      <c r="CG80" s="41"/>
      <c r="CH80" s="321" t="s">
        <v>408</v>
      </c>
      <c r="CI80" s="273">
        <f>'Variante Vorgaben'!$C$233</f>
        <v>1</v>
      </c>
      <c r="CJ80" s="923">
        <v>10</v>
      </c>
      <c r="CK80" s="45">
        <f>'Variante Vorgaben'!$C$37</f>
        <v>22.5</v>
      </c>
      <c r="CL80" s="46">
        <f>CI80*CJ80*CK80</f>
        <v>225</v>
      </c>
      <c r="CM80" s="738">
        <f t="shared" si="53"/>
        <v>5.7694501835098694E-3</v>
      </c>
      <c r="CN80" s="41"/>
      <c r="CO80" s="321" t="s">
        <v>408</v>
      </c>
      <c r="CP80" s="273">
        <f>'Variante Vorgaben'!$C$233</f>
        <v>1</v>
      </c>
      <c r="CQ80" s="923">
        <v>10</v>
      </c>
      <c r="CR80" s="45">
        <f>'Variante Vorgaben'!$C$37</f>
        <v>22.5</v>
      </c>
      <c r="CS80" s="46">
        <f>CP80*CQ80*CR80</f>
        <v>225</v>
      </c>
      <c r="CT80" s="738">
        <f t="shared" si="55"/>
        <v>6.2322197917795679E-3</v>
      </c>
      <c r="CU80" s="41"/>
      <c r="CV80" s="321" t="s">
        <v>408</v>
      </c>
      <c r="CW80" s="273">
        <f>'Variante Vorgaben'!$C$233</f>
        <v>1</v>
      </c>
      <c r="CX80" s="923">
        <v>10</v>
      </c>
      <c r="CY80" s="45">
        <f>'Variante Vorgaben'!$C$37</f>
        <v>22.5</v>
      </c>
      <c r="CZ80" s="46">
        <f>CW80*CX80*CY80</f>
        <v>225</v>
      </c>
      <c r="DA80" s="738">
        <f t="shared" si="57"/>
        <v>5.358286393827006E-3</v>
      </c>
    </row>
    <row r="81" spans="1:115" s="1" customFormat="1" ht="13" x14ac:dyDescent="0.3">
      <c r="A81" s="41"/>
      <c r="B81" t="s">
        <v>484</v>
      </c>
      <c r="C81" s="6">
        <f>'Variante Vorgaben'!$C$239</f>
        <v>1</v>
      </c>
      <c r="D81" s="44">
        <f>'Variante Vorgaben'!$C$241</f>
        <v>10</v>
      </c>
      <c r="E81" s="45">
        <f>'Variante Vorgaben'!$C$36</f>
        <v>32.700000000000003</v>
      </c>
      <c r="F81" s="46">
        <f>C81*D81*E81</f>
        <v>327</v>
      </c>
      <c r="G81" s="739">
        <f t="shared" si="31"/>
        <v>1.3607787708624749E-2</v>
      </c>
      <c r="H81" s="41"/>
      <c r="I81" t="str">
        <f>$B$81</f>
        <v>Kontrolle Bewässerung</v>
      </c>
      <c r="J81" s="6">
        <f>'Variante Vorgaben'!$C$239</f>
        <v>1</v>
      </c>
      <c r="K81" s="44">
        <f>'Variante Vorgaben'!$C$241</f>
        <v>10</v>
      </c>
      <c r="L81" s="45">
        <f>'Variante Vorgaben'!$C$36</f>
        <v>32.700000000000003</v>
      </c>
      <c r="M81" s="46">
        <f>J81*K81*L81</f>
        <v>327</v>
      </c>
      <c r="N81" s="738">
        <f t="shared" si="33"/>
        <v>1.3361508747351798E-2</v>
      </c>
      <c r="O81" s="41"/>
      <c r="P81" t="str">
        <f>$B$81</f>
        <v>Kontrolle Bewässerung</v>
      </c>
      <c r="Q81" s="6">
        <f>'Variante Vorgaben'!$C$239</f>
        <v>1</v>
      </c>
      <c r="R81" s="44">
        <f>'Variante Vorgaben'!$C$241</f>
        <v>10</v>
      </c>
      <c r="S81" s="45">
        <f>'Variante Vorgaben'!$C$36</f>
        <v>32.700000000000003</v>
      </c>
      <c r="T81" s="46">
        <f>Q81*R81*S81</f>
        <v>327</v>
      </c>
      <c r="U81" s="738">
        <f t="shared" si="35"/>
        <v>1.0100270044649353E-2</v>
      </c>
      <c r="V81" s="41"/>
      <c r="W81" t="str">
        <f>$B$81</f>
        <v>Kontrolle Bewässerung</v>
      </c>
      <c r="X81" s="6">
        <f>'Variante Vorgaben'!$C$239</f>
        <v>1</v>
      </c>
      <c r="Y81" s="44">
        <f>'Variante Vorgaben'!$C$241</f>
        <v>10</v>
      </c>
      <c r="Z81" s="45">
        <f>'Variante Vorgaben'!$C$36</f>
        <v>32.700000000000003</v>
      </c>
      <c r="AA81" s="46">
        <f>X81*Y81*Z81</f>
        <v>327</v>
      </c>
      <c r="AB81" s="738">
        <f t="shared" si="37"/>
        <v>8.9143976767014702E-3</v>
      </c>
      <c r="AC81" s="41"/>
      <c r="AD81" t="str">
        <f>$B$81</f>
        <v>Kontrolle Bewässerung</v>
      </c>
      <c r="AE81" s="6">
        <f>'Variante Vorgaben'!$C$239</f>
        <v>1</v>
      </c>
      <c r="AF81" s="44">
        <f>'Variante Vorgaben'!$C$241</f>
        <v>10</v>
      </c>
      <c r="AG81" s="45">
        <f>'Variante Vorgaben'!$C$36</f>
        <v>32.700000000000003</v>
      </c>
      <c r="AH81" s="46">
        <f>AE81*AF81*AG81</f>
        <v>327</v>
      </c>
      <c r="AI81" s="739">
        <f>AH81/$F$92</f>
        <v>1.3607787708624749E-2</v>
      </c>
      <c r="AJ81" s="41"/>
      <c r="AK81" t="str">
        <f>$B$81</f>
        <v>Kontrolle Bewässerung</v>
      </c>
      <c r="AL81" s="6">
        <f>'Variante Vorgaben'!$C$239</f>
        <v>1</v>
      </c>
      <c r="AM81" s="44">
        <f>'Variante Vorgaben'!$C$241</f>
        <v>10</v>
      </c>
      <c r="AN81" s="45">
        <f>'Variante Vorgaben'!$C$36</f>
        <v>32.700000000000003</v>
      </c>
      <c r="AO81" s="46">
        <f>AL81*AM81*AN81</f>
        <v>327</v>
      </c>
      <c r="AP81" s="739">
        <f>AO81/$F$92</f>
        <v>1.3607787708624749E-2</v>
      </c>
      <c r="AQ81" s="41"/>
      <c r="AR81" t="str">
        <f>$B$81</f>
        <v>Kontrolle Bewässerung</v>
      </c>
      <c r="AS81" s="6">
        <f>'Variante Vorgaben'!$C$239</f>
        <v>1</v>
      </c>
      <c r="AT81" s="44">
        <f>'Variante Vorgaben'!$C$241</f>
        <v>10</v>
      </c>
      <c r="AU81" s="45">
        <f>'Variante Vorgaben'!$C$36</f>
        <v>32.700000000000003</v>
      </c>
      <c r="AV81" s="46">
        <f>AS81*AT81*AU81</f>
        <v>327</v>
      </c>
      <c r="AW81" s="738">
        <f t="shared" si="41"/>
        <v>8.0825322678291754E-3</v>
      </c>
      <c r="AX81" s="41"/>
      <c r="AY81" t="str">
        <f>$B$81</f>
        <v>Kontrolle Bewässerung</v>
      </c>
      <c r="AZ81" s="6">
        <f>'Variante Vorgaben'!$C$239</f>
        <v>1</v>
      </c>
      <c r="BA81" s="44">
        <f>'Variante Vorgaben'!$C$241</f>
        <v>10</v>
      </c>
      <c r="BB81" s="45">
        <f>'Variante Vorgaben'!$C$36</f>
        <v>32.700000000000003</v>
      </c>
      <c r="BC81" s="46">
        <f>AZ81*BA81*BB81</f>
        <v>327</v>
      </c>
      <c r="BD81" s="738">
        <f t="shared" si="43"/>
        <v>8.7121684550026009E-3</v>
      </c>
      <c r="BE81" s="41"/>
      <c r="BF81" t="str">
        <f>$B$81</f>
        <v>Kontrolle Bewässerung</v>
      </c>
      <c r="BG81" s="6">
        <f>'Variante Vorgaben'!$C$239</f>
        <v>1</v>
      </c>
      <c r="BH81" s="44">
        <f>'Variante Vorgaben'!$C$241</f>
        <v>10</v>
      </c>
      <c r="BI81" s="45">
        <f>'Variante Vorgaben'!$C$36</f>
        <v>32.700000000000003</v>
      </c>
      <c r="BJ81" s="46">
        <f>BG81*BH81*BI81</f>
        <v>327</v>
      </c>
      <c r="BK81" s="738">
        <f t="shared" si="45"/>
        <v>8.7447910044149563E-3</v>
      </c>
      <c r="BL81" s="41"/>
      <c r="BM81" t="str">
        <f>$B$81</f>
        <v>Kontrolle Bewässerung</v>
      </c>
      <c r="BN81" s="6">
        <f>'Variante Vorgaben'!$C$239</f>
        <v>1</v>
      </c>
      <c r="BO81" s="44">
        <f>'Variante Vorgaben'!$C$241</f>
        <v>10</v>
      </c>
      <c r="BP81" s="45">
        <f>'Variante Vorgaben'!$C$36</f>
        <v>32.700000000000003</v>
      </c>
      <c r="BQ81" s="46">
        <f>BN81*BO81*BP81</f>
        <v>327</v>
      </c>
      <c r="BR81" s="738">
        <f t="shared" si="47"/>
        <v>8.1622235196166862E-3</v>
      </c>
      <c r="BS81" s="41"/>
      <c r="BT81" t="str">
        <f>$B$81</f>
        <v>Kontrolle Bewässerung</v>
      </c>
      <c r="BU81" s="6">
        <f>'Variante Vorgaben'!$C$239</f>
        <v>1</v>
      </c>
      <c r="BV81" s="44">
        <f>'Variante Vorgaben'!$C$241</f>
        <v>10</v>
      </c>
      <c r="BW81" s="45">
        <f>'Variante Vorgaben'!$C$36</f>
        <v>32.700000000000003</v>
      </c>
      <c r="BX81" s="46">
        <f>BU81*BV81*BW81</f>
        <v>327</v>
      </c>
      <c r="BY81" s="738">
        <f t="shared" si="49"/>
        <v>8.8056734311020481E-3</v>
      </c>
      <c r="BZ81" s="41"/>
      <c r="CA81" t="str">
        <f>$B$81</f>
        <v>Kontrolle Bewässerung</v>
      </c>
      <c r="CB81" s="6">
        <f>'Variante Vorgaben'!$C$239</f>
        <v>1</v>
      </c>
      <c r="CC81" s="44">
        <f>'Variante Vorgaben'!$C$241</f>
        <v>10</v>
      </c>
      <c r="CD81" s="45">
        <f>'Variante Vorgaben'!$C$36</f>
        <v>32.700000000000003</v>
      </c>
      <c r="CE81" s="46">
        <f>CB81*CC81*CD81</f>
        <v>327</v>
      </c>
      <c r="CF81" s="738">
        <f t="shared" si="51"/>
        <v>8.8398584436079116E-3</v>
      </c>
      <c r="CG81" s="41"/>
      <c r="CH81" t="str">
        <f>$B$81</f>
        <v>Kontrolle Bewässerung</v>
      </c>
      <c r="CI81" s="6">
        <f>'Variante Vorgaben'!$C$239</f>
        <v>1</v>
      </c>
      <c r="CJ81" s="44">
        <f>'Variante Vorgaben'!$C$241</f>
        <v>10</v>
      </c>
      <c r="CK81" s="45">
        <f>'Variante Vorgaben'!$C$36</f>
        <v>32.700000000000003</v>
      </c>
      <c r="CL81" s="46">
        <f>CI81*CJ81*CK81</f>
        <v>327</v>
      </c>
      <c r="CM81" s="738">
        <f t="shared" si="53"/>
        <v>8.3849342667010104E-3</v>
      </c>
      <c r="CN81" s="41"/>
      <c r="CO81" t="str">
        <f>$B$81</f>
        <v>Kontrolle Bewässerung</v>
      </c>
      <c r="CP81" s="6">
        <f>'Variante Vorgaben'!$C$239</f>
        <v>1</v>
      </c>
      <c r="CQ81" s="44">
        <f>'Variante Vorgaben'!$C$241</f>
        <v>10</v>
      </c>
      <c r="CR81" s="45">
        <f>'Variante Vorgaben'!$C$36</f>
        <v>32.700000000000003</v>
      </c>
      <c r="CS81" s="46">
        <f>CP81*CQ81*CR81</f>
        <v>327</v>
      </c>
      <c r="CT81" s="738">
        <f t="shared" si="55"/>
        <v>9.0574927640529723E-3</v>
      </c>
      <c r="CU81" s="41"/>
      <c r="CV81" t="str">
        <f>$B$81</f>
        <v>Kontrolle Bewässerung</v>
      </c>
      <c r="CW81" s="6">
        <f>'Variante Vorgaben'!$C$239</f>
        <v>1</v>
      </c>
      <c r="CX81" s="44">
        <f>'Variante Vorgaben'!$C$241</f>
        <v>10</v>
      </c>
      <c r="CY81" s="45">
        <f>'Variante Vorgaben'!$C$36</f>
        <v>32.700000000000003</v>
      </c>
      <c r="CZ81" s="46">
        <f>CW81*CX81*CY81</f>
        <v>327</v>
      </c>
      <c r="DA81" s="739">
        <f>CZ81/$F$92</f>
        <v>1.3607787708624749E-2</v>
      </c>
    </row>
    <row r="82" spans="1:115" s="1" customFormat="1" ht="13.5" thickBot="1" x14ac:dyDescent="0.35">
      <c r="A82" s="41"/>
      <c r="B82" t="s">
        <v>485</v>
      </c>
      <c r="C82" s="6">
        <f>'Variante Vorgaben'!$C$239</f>
        <v>1</v>
      </c>
      <c r="D82" s="44">
        <f>'Variante Vorgaben'!$C$242</f>
        <v>4</v>
      </c>
      <c r="E82" s="45">
        <f>'Variante Vorgaben'!$C$36</f>
        <v>32.700000000000003</v>
      </c>
      <c r="F82" s="474">
        <f>C82*D82*E82</f>
        <v>130.80000000000001</v>
      </c>
      <c r="G82" s="739">
        <f t="shared" si="31"/>
        <v>5.4431150834498999E-3</v>
      </c>
      <c r="H82" s="41"/>
      <c r="I82" t="str">
        <f>$B$82</f>
        <v>Spühlung Bewässerung</v>
      </c>
      <c r="J82" s="6">
        <f>'Variante Vorgaben'!$C$239</f>
        <v>1</v>
      </c>
      <c r="K82" s="44">
        <f>'Variante Vorgaben'!$C$242</f>
        <v>4</v>
      </c>
      <c r="L82" s="45">
        <f>'Variante Vorgaben'!$C$36</f>
        <v>32.700000000000003</v>
      </c>
      <c r="M82" s="474">
        <f>J82*K82*L82</f>
        <v>130.80000000000001</v>
      </c>
      <c r="N82" s="739">
        <f>M82/$F$92</f>
        <v>5.4431150834498999E-3</v>
      </c>
      <c r="O82" s="41"/>
      <c r="P82" t="str">
        <f>$B$82</f>
        <v>Spühlung Bewässerung</v>
      </c>
      <c r="Q82" s="6">
        <f>'Variante Vorgaben'!$C$239</f>
        <v>1</v>
      </c>
      <c r="R82" s="44">
        <f>'Variante Vorgaben'!$C$242</f>
        <v>4</v>
      </c>
      <c r="S82" s="45">
        <f>'Variante Vorgaben'!$C$36</f>
        <v>32.700000000000003</v>
      </c>
      <c r="T82" s="474">
        <f>Q82*R82*S82</f>
        <v>130.80000000000001</v>
      </c>
      <c r="U82" s="738">
        <f t="shared" si="35"/>
        <v>4.0401080178597421E-3</v>
      </c>
      <c r="V82" s="41"/>
      <c r="W82" t="str">
        <f>$B$82</f>
        <v>Spühlung Bewässerung</v>
      </c>
      <c r="X82" s="6">
        <f>'Variante Vorgaben'!$C$239</f>
        <v>1</v>
      </c>
      <c r="Y82" s="44">
        <f>'Variante Vorgaben'!$C$242</f>
        <v>4</v>
      </c>
      <c r="Z82" s="45">
        <f>'Variante Vorgaben'!$C$36</f>
        <v>32.700000000000003</v>
      </c>
      <c r="AA82" s="474">
        <f>X82*Y82*Z82</f>
        <v>130.80000000000001</v>
      </c>
      <c r="AB82" s="738">
        <f t="shared" si="37"/>
        <v>3.5657590706805885E-3</v>
      </c>
      <c r="AC82" s="41"/>
      <c r="AD82" t="str">
        <f>$B$82</f>
        <v>Spühlung Bewässerung</v>
      </c>
      <c r="AE82" s="6">
        <f>'Variante Vorgaben'!$C$239</f>
        <v>1</v>
      </c>
      <c r="AF82" s="44">
        <f>'Variante Vorgaben'!$C$242</f>
        <v>4</v>
      </c>
      <c r="AG82" s="45">
        <f>'Variante Vorgaben'!$C$36</f>
        <v>32.700000000000003</v>
      </c>
      <c r="AH82" s="474">
        <f>AE82*AF82*AG82</f>
        <v>130.80000000000001</v>
      </c>
      <c r="AI82" s="739">
        <f>AH82/$F$92</f>
        <v>5.4431150834498999E-3</v>
      </c>
      <c r="AJ82" s="41"/>
      <c r="AK82" t="str">
        <f>$B$82</f>
        <v>Spühlung Bewässerung</v>
      </c>
      <c r="AL82" s="6">
        <f>'Variante Vorgaben'!$C$239</f>
        <v>1</v>
      </c>
      <c r="AM82" s="44">
        <f>'Variante Vorgaben'!$C$242</f>
        <v>4</v>
      </c>
      <c r="AN82" s="45">
        <f>'Variante Vorgaben'!$C$36</f>
        <v>32.700000000000003</v>
      </c>
      <c r="AO82" s="474">
        <f>AL82*AM82*AN82</f>
        <v>130.80000000000001</v>
      </c>
      <c r="AP82" s="739">
        <f>AO82/$F$92</f>
        <v>5.4431150834498999E-3</v>
      </c>
      <c r="AQ82" s="41"/>
      <c r="AR82" t="str">
        <f>$B$82</f>
        <v>Spühlung Bewässerung</v>
      </c>
      <c r="AS82" s="6">
        <f>'Variante Vorgaben'!$C$239</f>
        <v>1</v>
      </c>
      <c r="AT82" s="44">
        <f>'Variante Vorgaben'!$C$242</f>
        <v>4</v>
      </c>
      <c r="AU82" s="45">
        <f>'Variante Vorgaben'!$C$36</f>
        <v>32.700000000000003</v>
      </c>
      <c r="AV82" s="474">
        <f>AS82*AT82*AU82</f>
        <v>130.80000000000001</v>
      </c>
      <c r="AW82" s="738">
        <f t="shared" si="41"/>
        <v>3.2330129071316709E-3</v>
      </c>
      <c r="AX82" s="41"/>
      <c r="AY82" t="str">
        <f>$B$82</f>
        <v>Spühlung Bewässerung</v>
      </c>
      <c r="AZ82" s="6">
        <f>'Variante Vorgaben'!$C$239</f>
        <v>1</v>
      </c>
      <c r="BA82" s="44">
        <f>'Variante Vorgaben'!$C$242</f>
        <v>4</v>
      </c>
      <c r="BB82" s="45">
        <f>'Variante Vorgaben'!$C$36</f>
        <v>32.700000000000003</v>
      </c>
      <c r="BC82" s="474">
        <f>AZ82*BA82*BB82</f>
        <v>130.80000000000001</v>
      </c>
      <c r="BD82" s="738">
        <f t="shared" si="43"/>
        <v>3.4848673820010406E-3</v>
      </c>
      <c r="BE82" s="41"/>
      <c r="BF82" t="str">
        <f>$B$82</f>
        <v>Spühlung Bewässerung</v>
      </c>
      <c r="BG82" s="6">
        <f>'Variante Vorgaben'!$C$239</f>
        <v>1</v>
      </c>
      <c r="BH82" s="44">
        <f>'Variante Vorgaben'!$C$242</f>
        <v>4</v>
      </c>
      <c r="BI82" s="45">
        <f>'Variante Vorgaben'!$C$36</f>
        <v>32.700000000000003</v>
      </c>
      <c r="BJ82" s="474">
        <f>BG82*BH82*BI82</f>
        <v>130.80000000000001</v>
      </c>
      <c r="BK82" s="738">
        <f t="shared" si="45"/>
        <v>3.4979164017659827E-3</v>
      </c>
      <c r="BL82" s="41"/>
      <c r="BM82" t="str">
        <f>$B$82</f>
        <v>Spühlung Bewässerung</v>
      </c>
      <c r="BN82" s="6">
        <f>'Variante Vorgaben'!$C$239</f>
        <v>1</v>
      </c>
      <c r="BO82" s="44">
        <f>'Variante Vorgaben'!$C$242</f>
        <v>4</v>
      </c>
      <c r="BP82" s="45">
        <f>'Variante Vorgaben'!$C$36</f>
        <v>32.700000000000003</v>
      </c>
      <c r="BQ82" s="474">
        <f>BN82*BO82*BP82</f>
        <v>130.80000000000001</v>
      </c>
      <c r="BR82" s="738">
        <f t="shared" si="47"/>
        <v>3.2648894078466748E-3</v>
      </c>
      <c r="BS82" s="41"/>
      <c r="BT82" t="str">
        <f>$B$82</f>
        <v>Spühlung Bewässerung</v>
      </c>
      <c r="BU82" s="6">
        <f>'Variante Vorgaben'!$C$239</f>
        <v>1</v>
      </c>
      <c r="BV82" s="44">
        <f>'Variante Vorgaben'!$C$242</f>
        <v>4</v>
      </c>
      <c r="BW82" s="45">
        <f>'Variante Vorgaben'!$C$36</f>
        <v>32.700000000000003</v>
      </c>
      <c r="BX82" s="474">
        <f>BU82*BV82*BW82</f>
        <v>130.80000000000001</v>
      </c>
      <c r="BY82" s="738">
        <f t="shared" si="49"/>
        <v>3.5222693724408197E-3</v>
      </c>
      <c r="BZ82" s="41"/>
      <c r="CA82" t="str">
        <f>$B$82</f>
        <v>Spühlung Bewässerung</v>
      </c>
      <c r="CB82" s="6">
        <f>'Variante Vorgaben'!$C$239</f>
        <v>1</v>
      </c>
      <c r="CC82" s="44">
        <f>'Variante Vorgaben'!$C$242</f>
        <v>4</v>
      </c>
      <c r="CD82" s="45">
        <f>'Variante Vorgaben'!$C$36</f>
        <v>32.700000000000003</v>
      </c>
      <c r="CE82" s="474">
        <f>CB82*CC82*CD82</f>
        <v>130.80000000000001</v>
      </c>
      <c r="CF82" s="738">
        <f t="shared" si="51"/>
        <v>3.535943377443165E-3</v>
      </c>
      <c r="CG82" s="41"/>
      <c r="CH82" t="str">
        <f>$B$82</f>
        <v>Spühlung Bewässerung</v>
      </c>
      <c r="CI82" s="6">
        <f>'Variante Vorgaben'!$C$239</f>
        <v>1</v>
      </c>
      <c r="CJ82" s="44">
        <f>'Variante Vorgaben'!$C$242</f>
        <v>4</v>
      </c>
      <c r="CK82" s="45">
        <f>'Variante Vorgaben'!$C$36</f>
        <v>32.700000000000003</v>
      </c>
      <c r="CL82" s="474">
        <f>CI82*CJ82*CK82</f>
        <v>130.80000000000001</v>
      </c>
      <c r="CM82" s="738">
        <f t="shared" si="53"/>
        <v>3.3539737066804044E-3</v>
      </c>
      <c r="CN82" s="41"/>
      <c r="CO82" t="str">
        <f>$B$82</f>
        <v>Spühlung Bewässerung</v>
      </c>
      <c r="CP82" s="6">
        <f>'Variante Vorgaben'!$C$239</f>
        <v>1</v>
      </c>
      <c r="CQ82" s="44">
        <f>'Variante Vorgaben'!$C$242</f>
        <v>4</v>
      </c>
      <c r="CR82" s="45">
        <f>'Variante Vorgaben'!$C$36</f>
        <v>32.700000000000003</v>
      </c>
      <c r="CS82" s="474">
        <f>CP82*CQ82*CR82</f>
        <v>130.80000000000001</v>
      </c>
      <c r="CT82" s="738">
        <f t="shared" si="55"/>
        <v>3.6229971056211891E-3</v>
      </c>
      <c r="CU82" s="41"/>
      <c r="CV82" t="str">
        <f>$B$82</f>
        <v>Spühlung Bewässerung</v>
      </c>
      <c r="CW82" s="6">
        <f>'Variante Vorgaben'!$C$239</f>
        <v>1</v>
      </c>
      <c r="CX82" s="44">
        <f>'Variante Vorgaben'!$C$242</f>
        <v>4</v>
      </c>
      <c r="CY82" s="45">
        <f>'Variante Vorgaben'!$C$36</f>
        <v>32.700000000000003</v>
      </c>
      <c r="CZ82" s="474">
        <f>CW82*CX82*CY82</f>
        <v>130.80000000000001</v>
      </c>
      <c r="DA82" s="739">
        <f>CZ82/$F$92</f>
        <v>5.4431150834498999E-3</v>
      </c>
    </row>
    <row r="83" spans="1:115" s="1" customFormat="1" ht="13" x14ac:dyDescent="0.3">
      <c r="A83" s="3"/>
      <c r="B83" s="299"/>
      <c r="D83" s="36"/>
      <c r="E83" s="48"/>
      <c r="F83" s="1063">
        <f>SUM(F73:F82)</f>
        <v>7985.4000000000005</v>
      </c>
      <c r="G83" s="739">
        <f t="shared" si="31"/>
        <v>0.3323046726863978</v>
      </c>
      <c r="H83" s="3"/>
      <c r="I83" s="299"/>
      <c r="K83" s="36"/>
      <c r="L83" s="48"/>
      <c r="M83" s="1062">
        <f>SUM(M73:M82)</f>
        <v>10235.399999999998</v>
      </c>
      <c r="N83" s="735"/>
      <c r="O83" s="3"/>
      <c r="P83" s="299"/>
      <c r="R83" s="36"/>
      <c r="S83" s="48"/>
      <c r="T83" s="134">
        <f>SUM(T73:T82)</f>
        <v>12393.599999999999</v>
      </c>
      <c r="U83" s="738">
        <f t="shared" si="35"/>
        <v>0.38280950099500372</v>
      </c>
      <c r="V83" s="3"/>
      <c r="W83" s="299"/>
      <c r="Y83" s="36"/>
      <c r="Z83" s="48"/>
      <c r="AA83" s="134">
        <f>SUM(AA73:AA82)</f>
        <v>12491.7</v>
      </c>
      <c r="AB83" s="738">
        <f t="shared" si="37"/>
        <v>0.34053816959648858</v>
      </c>
      <c r="AC83" s="3"/>
      <c r="AD83" s="299"/>
      <c r="AF83" s="36"/>
      <c r="AG83" s="48"/>
      <c r="AH83" s="134">
        <f>SUM(AH73:AH82)</f>
        <v>12491.7</v>
      </c>
      <c r="AI83" s="735"/>
      <c r="AJ83" s="3"/>
      <c r="AK83" s="299"/>
      <c r="AM83" s="36"/>
      <c r="AN83" s="48"/>
      <c r="AO83" s="1063">
        <f>SUM(AO73:AO82)</f>
        <v>12491.7</v>
      </c>
      <c r="AP83" s="735"/>
      <c r="AQ83" s="3"/>
      <c r="AR83" s="299"/>
      <c r="AT83" s="36"/>
      <c r="AU83" s="48"/>
      <c r="AV83" s="1063">
        <f>SUM(AV73:AV82)</f>
        <v>12491.7</v>
      </c>
      <c r="AW83" s="738">
        <f t="shared" si="41"/>
        <v>0.30876014779829275</v>
      </c>
      <c r="AX83" s="3"/>
      <c r="AY83" s="299"/>
      <c r="BA83" s="36"/>
      <c r="BB83" s="48"/>
      <c r="BC83" s="1063">
        <f>SUM(BC73:BC82)</f>
        <v>12491.7</v>
      </c>
      <c r="BD83" s="738">
        <f t="shared" si="43"/>
        <v>0.3328128277961957</v>
      </c>
      <c r="BE83" s="3"/>
      <c r="BF83" s="299"/>
      <c r="BH83" s="36"/>
      <c r="BI83" s="48"/>
      <c r="BJ83" s="1063">
        <f>SUM(BJ73:BJ82)</f>
        <v>12491.7</v>
      </c>
      <c r="BK83" s="738">
        <f t="shared" si="45"/>
        <v>0.33405903911269208</v>
      </c>
      <c r="BL83" s="3"/>
      <c r="BM83" s="299"/>
      <c r="BO83" s="36"/>
      <c r="BP83" s="48"/>
      <c r="BQ83" s="1063">
        <f>SUM(BQ73:BQ82)</f>
        <v>12491.7</v>
      </c>
      <c r="BR83" s="738">
        <f t="shared" si="47"/>
        <v>0.31180442672781583</v>
      </c>
      <c r="BS83" s="3"/>
      <c r="BT83" s="299"/>
      <c r="BV83" s="36"/>
      <c r="BW83" s="48"/>
      <c r="BX83" s="1063">
        <f>SUM(BX73:BX82)</f>
        <v>12491.7</v>
      </c>
      <c r="BY83" s="738">
        <f t="shared" si="49"/>
        <v>0.33638480366757634</v>
      </c>
      <c r="BZ83" s="3"/>
      <c r="CA83" s="299"/>
      <c r="CC83" s="36"/>
      <c r="CD83" s="48"/>
      <c r="CE83" s="1063">
        <f>SUM(CE73:CE82)</f>
        <v>12491.7</v>
      </c>
      <c r="CF83" s="738">
        <f t="shared" si="51"/>
        <v>0.33769070250769712</v>
      </c>
      <c r="CG83" s="3"/>
      <c r="CH83" s="299"/>
      <c r="CJ83" s="36"/>
      <c r="CK83" s="48"/>
      <c r="CL83" s="1063">
        <f>SUM(CL73:CL82)</f>
        <v>12491.7</v>
      </c>
      <c r="CM83" s="738">
        <f t="shared" si="53"/>
        <v>0.32031218158822328</v>
      </c>
      <c r="CN83" s="3"/>
      <c r="CO83" s="299"/>
      <c r="CQ83" s="36"/>
      <c r="CR83" s="48"/>
      <c r="CS83" s="134">
        <f>SUM(CS73:CS82)</f>
        <v>12491.7</v>
      </c>
      <c r="CT83" s="738">
        <f t="shared" si="55"/>
        <v>0.34600453321321256</v>
      </c>
      <c r="CU83" s="3"/>
      <c r="CV83" s="299"/>
      <c r="CX83" s="36"/>
      <c r="CY83" s="48"/>
      <c r="CZ83" s="1063">
        <f>SUM(CZ73:CZ82)</f>
        <v>12491.7</v>
      </c>
      <c r="DA83" s="735"/>
    </row>
    <row r="84" spans="1:115" s="1" customFormat="1" ht="13" x14ac:dyDescent="0.3">
      <c r="A84" s="41" t="s">
        <v>343</v>
      </c>
      <c r="B84" s="756" t="str">
        <f>'Variante Vorgaben'!H73</f>
        <v>baumfallend</v>
      </c>
      <c r="C84" s="764">
        <f>'Variante Vorgaben'!$H$89</f>
        <v>97</v>
      </c>
      <c r="D84" s="47">
        <f>(D9+D10+('Variante Vorgaben'!$D$89*D13))/C84</f>
        <v>0</v>
      </c>
      <c r="E84" s="45">
        <f>'Variante Vorgaben'!$C$35</f>
        <v>22.754999999999999</v>
      </c>
      <c r="F84" s="46">
        <f>D84*E84</f>
        <v>0</v>
      </c>
      <c r="G84" s="738">
        <f t="shared" si="31"/>
        <v>0</v>
      </c>
      <c r="H84" s="41" t="s">
        <v>343</v>
      </c>
      <c r="I84" s="756" t="s">
        <v>344</v>
      </c>
      <c r="J84" s="764">
        <f>'Variante Vorgaben'!$H$89</f>
        <v>97</v>
      </c>
      <c r="K84" s="47">
        <f>(K9+K10+('Variante Vorgaben'!$D$89*K13))/J84</f>
        <v>23.082725672617556</v>
      </c>
      <c r="L84" s="45">
        <f>'Variante Vorgaben'!$C$35</f>
        <v>22.754999999999999</v>
      </c>
      <c r="M84" s="46">
        <f>K84*L84</f>
        <v>525.24742268041246</v>
      </c>
      <c r="N84" s="738">
        <f>M84/$M$92</f>
        <v>2.1462073494398527E-2</v>
      </c>
      <c r="O84" s="41" t="s">
        <v>343</v>
      </c>
      <c r="P84" s="756" t="s">
        <v>344</v>
      </c>
      <c r="Q84" s="764">
        <f>'Variante Vorgaben'!$H$89</f>
        <v>97</v>
      </c>
      <c r="R84" s="47">
        <f>(R9+R10+('Variante Vorgaben'!$D$89*R13))/Q84</f>
        <v>84.636660799597692</v>
      </c>
      <c r="S84" s="45">
        <f>'Variante Vorgaben'!$C$35</f>
        <v>22.754999999999999</v>
      </c>
      <c r="T84" s="46">
        <f>R84*S84</f>
        <v>1925.9072164948454</v>
      </c>
      <c r="U84" s="738">
        <f t="shared" si="35"/>
        <v>5.9486798065862101E-2</v>
      </c>
      <c r="V84" s="41" t="s">
        <v>343</v>
      </c>
      <c r="W84" s="756" t="s">
        <v>344</v>
      </c>
      <c r="X84" s="764">
        <f>'Variante Vorgaben'!$H$89</f>
        <v>97</v>
      </c>
      <c r="Y84" s="47">
        <f>(Y9+Y10+('Variante Vorgaben'!$D$89*Y13))/X84</f>
        <v>115.41362836308777</v>
      </c>
      <c r="Z84" s="45">
        <f>'Variante Vorgaben'!$C$35</f>
        <v>22.754999999999999</v>
      </c>
      <c r="AA84" s="46">
        <f>Y84*Z84</f>
        <v>2626.2371134020618</v>
      </c>
      <c r="AB84" s="738">
        <f t="shared" si="37"/>
        <v>7.1594256948558158E-2</v>
      </c>
      <c r="AC84" s="41" t="s">
        <v>343</v>
      </c>
      <c r="AD84" s="756" t="s">
        <v>344</v>
      </c>
      <c r="AE84" s="764">
        <f>'Variante Vorgaben'!$H$89</f>
        <v>97</v>
      </c>
      <c r="AF84" s="47">
        <f>(AF9+AF10+('Variante Vorgaben'!$D$89*AF13))/AE84</f>
        <v>253.90998239879306</v>
      </c>
      <c r="AG84" s="45">
        <f>'Variante Vorgaben'!$C$35</f>
        <v>22.754999999999999</v>
      </c>
      <c r="AH84" s="46">
        <f>AF84*AG84</f>
        <v>5777.7216494845361</v>
      </c>
      <c r="AI84" s="738">
        <f>AH84/$AH$92</f>
        <v>0.15235925018242694</v>
      </c>
      <c r="AJ84" s="41" t="s">
        <v>343</v>
      </c>
      <c r="AK84" s="756" t="s">
        <v>344</v>
      </c>
      <c r="AL84" s="764">
        <f>'Variante Vorgaben'!$H$89</f>
        <v>97</v>
      </c>
      <c r="AM84" s="47">
        <f>(AM9+AM10+('Variante Vorgaben'!$D$89*AM13))/AL84</f>
        <v>253.90998239879306</v>
      </c>
      <c r="AN84" s="45">
        <f>'Variante Vorgaben'!$C$35</f>
        <v>22.754999999999999</v>
      </c>
      <c r="AO84" s="46">
        <f>AM84*AN84</f>
        <v>5777.7216494845361</v>
      </c>
      <c r="AP84" s="738">
        <f>AO84/$AO$92</f>
        <v>0.15290976540611395</v>
      </c>
      <c r="AQ84" s="41" t="s">
        <v>343</v>
      </c>
      <c r="AR84" s="756" t="s">
        <v>344</v>
      </c>
      <c r="AS84" s="764">
        <f>'Variante Vorgaben'!$H$89</f>
        <v>97</v>
      </c>
      <c r="AT84" s="47">
        <f>(AT9+AT10+('Variante Vorgaben'!$D$89*AT13))/AS84</f>
        <v>253.90998239879306</v>
      </c>
      <c r="AU84" s="45">
        <f>'Variante Vorgaben'!$C$35</f>
        <v>22.754999999999999</v>
      </c>
      <c r="AV84" s="46">
        <f>AT84*AU84</f>
        <v>5777.7216494845361</v>
      </c>
      <c r="AW84" s="738">
        <f t="shared" si="41"/>
        <v>0.14280924057031796</v>
      </c>
      <c r="AX84" s="41" t="s">
        <v>343</v>
      </c>
      <c r="AY84" s="756" t="s">
        <v>344</v>
      </c>
      <c r="AZ84" s="764">
        <f>'Variante Vorgaben'!$H$89</f>
        <v>97</v>
      </c>
      <c r="BA84" s="47">
        <f>(BA9+BA10+('Variante Vorgaben'!$D$89*BA13))/AZ84</f>
        <v>253.90998239879306</v>
      </c>
      <c r="BB84" s="45">
        <f>'Variante Vorgaben'!$C$35</f>
        <v>22.754999999999999</v>
      </c>
      <c r="BC84" s="46">
        <f>BA84*BB84</f>
        <v>5777.7216494845361</v>
      </c>
      <c r="BD84" s="738">
        <f t="shared" si="43"/>
        <v>0.15393420274136016</v>
      </c>
      <c r="BE84" s="41" t="s">
        <v>343</v>
      </c>
      <c r="BF84" s="756" t="s">
        <v>344</v>
      </c>
      <c r="BG84" s="764">
        <f>'Variante Vorgaben'!$H$89</f>
        <v>97</v>
      </c>
      <c r="BH84" s="47">
        <f>(BH9+BH10+('Variante Vorgaben'!$D$89*BH13))/BG84</f>
        <v>253.90998239879306</v>
      </c>
      <c r="BI84" s="45">
        <f>'Variante Vorgaben'!$C$35</f>
        <v>22.754999999999999</v>
      </c>
      <c r="BJ84" s="46">
        <f>BH84*BI84</f>
        <v>5777.7216494845361</v>
      </c>
      <c r="BK84" s="738">
        <f t="shared" si="45"/>
        <v>0.15451060644166945</v>
      </c>
      <c r="BL84" s="41" t="s">
        <v>343</v>
      </c>
      <c r="BM84" s="756" t="s">
        <v>344</v>
      </c>
      <c r="BN84" s="764">
        <f>'Variante Vorgaben'!$H$89</f>
        <v>97</v>
      </c>
      <c r="BO84" s="47">
        <f>(BO9+BO10+('Variante Vorgaben'!$D$89*BO13))/BN84</f>
        <v>253.90998239879306</v>
      </c>
      <c r="BP84" s="45">
        <f>'Variante Vorgaben'!$C$35</f>
        <v>22.754999999999999</v>
      </c>
      <c r="BQ84" s="46">
        <f>BO84*BP84</f>
        <v>5777.7216494845361</v>
      </c>
      <c r="BR84" s="738">
        <f t="shared" si="47"/>
        <v>0.14421729522085994</v>
      </c>
      <c r="BS84" s="41" t="s">
        <v>343</v>
      </c>
      <c r="BT84" s="756" t="s">
        <v>344</v>
      </c>
      <c r="BU84" s="764">
        <f>'Variante Vorgaben'!$H$89</f>
        <v>97</v>
      </c>
      <c r="BV84" s="47">
        <f>(BV9+BV10+('Variante Vorgaben'!$D$89*BV13))/BU84</f>
        <v>253.90998239879306</v>
      </c>
      <c r="BW84" s="45">
        <f>'Variante Vorgaben'!$C$35</f>
        <v>22.754999999999999</v>
      </c>
      <c r="BX84" s="46">
        <f>BV84*BW84</f>
        <v>5777.7216494845361</v>
      </c>
      <c r="BY84" s="738">
        <f t="shared" si="49"/>
        <v>0.15558633033996661</v>
      </c>
      <c r="BZ84" s="41" t="s">
        <v>343</v>
      </c>
      <c r="CA84" s="756" t="s">
        <v>344</v>
      </c>
      <c r="CB84" s="764">
        <f>'Variante Vorgaben'!$H$89</f>
        <v>97</v>
      </c>
      <c r="CC84" s="47">
        <f>(CC9+CC10+('Variante Vorgaben'!$D$89*CC13))/CB84</f>
        <v>253.90998239879306</v>
      </c>
      <c r="CD84" s="45">
        <f>'Variante Vorgaben'!$C$35</f>
        <v>22.754999999999999</v>
      </c>
      <c r="CE84" s="46">
        <f>CC84*CD84</f>
        <v>5777.7216494845361</v>
      </c>
      <c r="CF84" s="738">
        <f t="shared" si="51"/>
        <v>0.15619034100309515</v>
      </c>
      <c r="CG84" s="41" t="s">
        <v>343</v>
      </c>
      <c r="CH84" s="756" t="s">
        <v>344</v>
      </c>
      <c r="CI84" s="764">
        <f>'Variante Vorgaben'!$H$89</f>
        <v>97</v>
      </c>
      <c r="CJ84" s="47">
        <f>(CJ9+CJ10+('Variante Vorgaben'!$D$89*CJ13))/CI84</f>
        <v>230.82725672617553</v>
      </c>
      <c r="CK84" s="45">
        <f>'Variante Vorgaben'!$C$35</f>
        <v>22.754999999999999</v>
      </c>
      <c r="CL84" s="46">
        <f>CJ84*CK84</f>
        <v>5252.4742268041236</v>
      </c>
      <c r="CM84" s="738">
        <f t="shared" si="53"/>
        <v>0.13468394840762626</v>
      </c>
      <c r="CN84" s="41" t="s">
        <v>343</v>
      </c>
      <c r="CO84" s="756" t="s">
        <v>344</v>
      </c>
      <c r="CP84" s="764">
        <f>'Variante Vorgaben'!$H$89</f>
        <v>97</v>
      </c>
      <c r="CQ84" s="47">
        <f>(CQ9+CQ10+('Variante Vorgaben'!$D$89*CQ13))/CP84</f>
        <v>230.82725672617553</v>
      </c>
      <c r="CR84" s="45">
        <f>'Variante Vorgaben'!$C$35</f>
        <v>22.754999999999999</v>
      </c>
      <c r="CS84" s="46">
        <f>CQ84*CR84</f>
        <v>5252.4742268041236</v>
      </c>
      <c r="CT84" s="738">
        <f t="shared" si="55"/>
        <v>0.14548699480933663</v>
      </c>
      <c r="CU84" s="41" t="s">
        <v>343</v>
      </c>
      <c r="CV84" s="756" t="s">
        <v>344</v>
      </c>
      <c r="CW84" s="764">
        <f>'Variante Vorgaben'!$H$89</f>
        <v>97</v>
      </c>
      <c r="CX84" s="47">
        <f>(CX9+CX10+('Variante Vorgaben'!$D$89*CX13))/CW84</f>
        <v>230.82725672617553</v>
      </c>
      <c r="CY84" s="45">
        <f>'Variante Vorgaben'!$C$35</f>
        <v>22.754999999999999</v>
      </c>
      <c r="CZ84" s="46">
        <f>CX84*CY84</f>
        <v>5252.4742268041236</v>
      </c>
      <c r="DA84" s="738">
        <f>CZ84/$CZ$92</f>
        <v>0.12508560525960694</v>
      </c>
    </row>
    <row r="85" spans="1:115" s="1" customFormat="1" ht="13.5" thickBot="1" x14ac:dyDescent="0.35">
      <c r="A85" s="41"/>
      <c r="B85" s="42" t="s">
        <v>95</v>
      </c>
      <c r="C85" s="44"/>
      <c r="D85" s="733">
        <f>'Variante Vorgaben'!F97+'Variante Vorgaben'!G97</f>
        <v>20</v>
      </c>
      <c r="E85" s="45">
        <f>'Variante Vorgaben'!$C$32</f>
        <v>41.4</v>
      </c>
      <c r="F85" s="474">
        <f>D85*E85</f>
        <v>828</v>
      </c>
      <c r="G85" s="738">
        <f t="shared" si="31"/>
        <v>3.4456416583306705E-2</v>
      </c>
      <c r="H85" s="41"/>
      <c r="I85" s="42" t="s">
        <v>95</v>
      </c>
      <c r="J85" s="44"/>
      <c r="K85" s="733">
        <f>'Variante Vorgaben'!F98+'Variante Vorgaben'!G98</f>
        <v>20</v>
      </c>
      <c r="L85" s="45">
        <f>'Variante Vorgaben'!$C$32</f>
        <v>41.4</v>
      </c>
      <c r="M85" s="474">
        <f>K85*L85</f>
        <v>828</v>
      </c>
      <c r="N85" s="738">
        <f>M85/$M$92</f>
        <v>3.3832811140083449E-2</v>
      </c>
      <c r="O85" s="41"/>
      <c r="P85" s="42" t="s">
        <v>95</v>
      </c>
      <c r="Q85" s="44"/>
      <c r="R85" s="733">
        <f>'Variante Vorgaben'!$F$96+'Variante Vorgaben'!$G$96</f>
        <v>40</v>
      </c>
      <c r="S85" s="45">
        <f>'Variante Vorgaben'!$C$32</f>
        <v>41.4</v>
      </c>
      <c r="T85" s="474">
        <f>R85*S85</f>
        <v>1656</v>
      </c>
      <c r="U85" s="738">
        <f t="shared" si="35"/>
        <v>5.1149991418774708E-2</v>
      </c>
      <c r="V85" s="41"/>
      <c r="W85" s="42" t="s">
        <v>95</v>
      </c>
      <c r="X85" s="44"/>
      <c r="Y85" s="733">
        <f>'Variante Vorgaben'!$F$96+'Variante Vorgaben'!$G$96</f>
        <v>40</v>
      </c>
      <c r="Z85" s="45">
        <f>'Variante Vorgaben'!$C$32</f>
        <v>41.4</v>
      </c>
      <c r="AA85" s="474">
        <f>Y85*Z85</f>
        <v>1656</v>
      </c>
      <c r="AB85" s="738">
        <f t="shared" si="37"/>
        <v>4.5144472637974421E-2</v>
      </c>
      <c r="AC85" s="41"/>
      <c r="AD85" s="42" t="s">
        <v>95</v>
      </c>
      <c r="AE85" s="44"/>
      <c r="AF85" s="733">
        <f>'Variante Vorgaben'!$F$96+'Variante Vorgaben'!$G$96</f>
        <v>40</v>
      </c>
      <c r="AG85" s="45">
        <f>'Variante Vorgaben'!$C$32</f>
        <v>41.4</v>
      </c>
      <c r="AH85" s="474">
        <f>AF85*AG85</f>
        <v>1656</v>
      </c>
      <c r="AI85" s="738">
        <f>AH85/$AH$92</f>
        <v>4.3668929313098487E-2</v>
      </c>
      <c r="AJ85" s="41"/>
      <c r="AK85" s="42" t="s">
        <v>95</v>
      </c>
      <c r="AL85" s="44"/>
      <c r="AM85" s="733">
        <f>'Variante Vorgaben'!$F$96+'Variante Vorgaben'!$G$96</f>
        <v>40</v>
      </c>
      <c r="AN85" s="45">
        <f>'Variante Vorgaben'!$C$32</f>
        <v>41.4</v>
      </c>
      <c r="AO85" s="474">
        <f>AM85*AN85</f>
        <v>1656</v>
      </c>
      <c r="AP85" s="738">
        <f>AO85/$AO$92</f>
        <v>4.3826716978502385E-2</v>
      </c>
      <c r="AQ85" s="41"/>
      <c r="AR85" s="42" t="s">
        <v>95</v>
      </c>
      <c r="AS85" s="44"/>
      <c r="AT85" s="733">
        <f>'Variante Vorgaben'!$F$96+'Variante Vorgaben'!$G$96</f>
        <v>40</v>
      </c>
      <c r="AU85" s="45">
        <f>'Variante Vorgaben'!$C$32</f>
        <v>41.4</v>
      </c>
      <c r="AV85" s="474">
        <f>AT85*AU85</f>
        <v>1656</v>
      </c>
      <c r="AW85" s="738">
        <f t="shared" si="41"/>
        <v>4.0931723044419312E-2</v>
      </c>
      <c r="AX85" s="41"/>
      <c r="AY85" s="42" t="s">
        <v>95</v>
      </c>
      <c r="AZ85" s="44"/>
      <c r="BA85" s="733">
        <f>'Variante Vorgaben'!$F$96+'Variante Vorgaben'!$G$96</f>
        <v>40</v>
      </c>
      <c r="BB85" s="45">
        <f>'Variante Vorgaben'!$C$32</f>
        <v>41.4</v>
      </c>
      <c r="BC85" s="474">
        <f>BA85*BB85</f>
        <v>1656</v>
      </c>
      <c r="BD85" s="738">
        <f t="shared" si="43"/>
        <v>4.4120339331756291E-2</v>
      </c>
      <c r="BE85" s="41"/>
      <c r="BF85" s="42" t="s">
        <v>95</v>
      </c>
      <c r="BG85" s="44"/>
      <c r="BH85" s="733">
        <f>'Variante Vorgaben'!$F$96+'Variante Vorgaben'!$G$96</f>
        <v>40</v>
      </c>
      <c r="BI85" s="45">
        <f>'Variante Vorgaben'!$C$32</f>
        <v>41.4</v>
      </c>
      <c r="BJ85" s="474">
        <f>BH85*BI85</f>
        <v>1656</v>
      </c>
      <c r="BK85" s="738">
        <f t="shared" si="45"/>
        <v>4.4285547104927117E-2</v>
      </c>
      <c r="BL85" s="41"/>
      <c r="BM85" s="42" t="s">
        <v>95</v>
      </c>
      <c r="BN85" s="44"/>
      <c r="BO85" s="733">
        <f>'Variante Vorgaben'!$F$96+'Variante Vorgaben'!$G$96</f>
        <v>40</v>
      </c>
      <c r="BP85" s="45">
        <f>'Variante Vorgaben'!$C$32</f>
        <v>41.4</v>
      </c>
      <c r="BQ85" s="474">
        <f>BO85*BP85</f>
        <v>1656</v>
      </c>
      <c r="BR85" s="738">
        <f t="shared" si="47"/>
        <v>4.1335297090168907E-2</v>
      </c>
      <c r="BS85" s="41"/>
      <c r="BT85" s="42" t="s">
        <v>95</v>
      </c>
      <c r="BU85" s="44"/>
      <c r="BV85" s="733">
        <f>'Variante Vorgaben'!$F$96+'Variante Vorgaben'!$G$96</f>
        <v>40</v>
      </c>
      <c r="BW85" s="45">
        <f>'Variante Vorgaben'!$C$32</f>
        <v>41.4</v>
      </c>
      <c r="BX85" s="474">
        <f>BV85*BW85</f>
        <v>1656</v>
      </c>
      <c r="BY85" s="738">
        <f t="shared" si="49"/>
        <v>4.4593869118975511E-2</v>
      </c>
      <c r="BZ85" s="41"/>
      <c r="CA85" s="42" t="s">
        <v>95</v>
      </c>
      <c r="CB85" s="44"/>
      <c r="CC85" s="733">
        <f>'Variante Vorgaben'!$F$96+'Variante Vorgaben'!$G$96</f>
        <v>40</v>
      </c>
      <c r="CD85" s="45">
        <f>'Variante Vorgaben'!$C$32</f>
        <v>41.4</v>
      </c>
      <c r="CE85" s="474">
        <f>CC85*CD85</f>
        <v>1656</v>
      </c>
      <c r="CF85" s="738">
        <f t="shared" si="51"/>
        <v>4.4766989549280434E-2</v>
      </c>
      <c r="CG85" s="41"/>
      <c r="CH85" s="42" t="s">
        <v>95</v>
      </c>
      <c r="CI85" s="44"/>
      <c r="CJ85" s="733">
        <f>'Variante Vorgaben'!$F$96+'Variante Vorgaben'!$G$96</f>
        <v>40</v>
      </c>
      <c r="CK85" s="45">
        <f>'Variante Vorgaben'!$C$32</f>
        <v>41.4</v>
      </c>
      <c r="CL85" s="474">
        <f>CJ85*CK85</f>
        <v>1656</v>
      </c>
      <c r="CM85" s="738">
        <f t="shared" si="53"/>
        <v>4.2463153350632638E-2</v>
      </c>
      <c r="CN85" s="41"/>
      <c r="CO85" s="42" t="s">
        <v>95</v>
      </c>
      <c r="CP85" s="44"/>
      <c r="CQ85" s="733">
        <f>'Variante Vorgaben'!$F$96+'Variante Vorgaben'!$G$96</f>
        <v>40</v>
      </c>
      <c r="CR85" s="45">
        <f>'Variante Vorgaben'!$C$32</f>
        <v>41.4</v>
      </c>
      <c r="CS85" s="474">
        <f>CQ85*CR85</f>
        <v>1656</v>
      </c>
      <c r="CT85" s="738">
        <f t="shared" si="55"/>
        <v>4.5869137667497617E-2</v>
      </c>
      <c r="CU85" s="41"/>
      <c r="CV85" s="42" t="s">
        <v>95</v>
      </c>
      <c r="CW85" s="44"/>
      <c r="CX85" s="733">
        <f>'Variante Vorgaben'!$F$96+'Variante Vorgaben'!$G$96</f>
        <v>40</v>
      </c>
      <c r="CY85" s="45">
        <f>'Variante Vorgaben'!$C$32</f>
        <v>41.4</v>
      </c>
      <c r="CZ85" s="474">
        <f>CX85*CY85</f>
        <v>1656</v>
      </c>
      <c r="DA85" s="738">
        <f>CZ85/$CZ$92</f>
        <v>3.9436987858566766E-2</v>
      </c>
    </row>
    <row r="86" spans="1:115" s="1" customFormat="1" ht="13" x14ac:dyDescent="0.3">
      <c r="A86" s="111" t="s">
        <v>84</v>
      </c>
      <c r="B86" s="300">
        <f>('Variante Vorgaben'!$F$34*D77)+('Variante Vorgaben'!$F$34*D84)</f>
        <v>85</v>
      </c>
      <c r="C86" s="111" t="s">
        <v>82</v>
      </c>
      <c r="D86" s="301">
        <f>SUM(D73:D85)</f>
        <v>300</v>
      </c>
      <c r="E86" s="48"/>
      <c r="F86" s="55">
        <f>SUM(F84:F85)</f>
        <v>828</v>
      </c>
      <c r="G86" s="735">
        <f t="shared" si="31"/>
        <v>3.4456416583306705E-2</v>
      </c>
      <c r="H86" s="111" t="s">
        <v>84</v>
      </c>
      <c r="I86" s="300">
        <f>('Variante Vorgaben'!$F$34*K77)+('Variante Vorgaben'!$F$34*K84)</f>
        <v>189.62031682172491</v>
      </c>
      <c r="J86" s="111" t="s">
        <v>82</v>
      </c>
      <c r="K86" s="301">
        <f>SUM(K73:K85)</f>
        <v>423.08272567261758</v>
      </c>
      <c r="L86" s="48"/>
      <c r="M86" s="55">
        <f>SUM(M84:M85)</f>
        <v>1353.2474226804125</v>
      </c>
      <c r="N86" s="735">
        <f>M86/$M$92</f>
        <v>5.5294884634481976E-2</v>
      </c>
      <c r="O86" s="111" t="s">
        <v>84</v>
      </c>
      <c r="P86" s="300">
        <f>('Variante Vorgaben'!$F$34*R77)+('Variante Vorgaben'!$F$34*R84)</f>
        <v>241.94116167965802</v>
      </c>
      <c r="Q86" s="111" t="s">
        <v>82</v>
      </c>
      <c r="R86" s="301">
        <f>SUM(R73:R85)</f>
        <v>570.63666079959773</v>
      </c>
      <c r="S86" s="48"/>
      <c r="T86" s="55">
        <f>SUM(T84:T85)</f>
        <v>3581.9072164948457</v>
      </c>
      <c r="U86" s="735">
        <f t="shared" si="35"/>
        <v>0.11063678948463682</v>
      </c>
      <c r="V86" s="111" t="s">
        <v>84</v>
      </c>
      <c r="W86" s="300">
        <f>('Variante Vorgaben'!$F$34*Y77)+('Variante Vorgaben'!$F$34*Y84)</f>
        <v>268.10158410862459</v>
      </c>
      <c r="X86" s="111" t="s">
        <v>82</v>
      </c>
      <c r="Y86" s="301">
        <f>SUM(Y73:Y85)</f>
        <v>604.41362836308781</v>
      </c>
      <c r="Z86" s="48"/>
      <c r="AA86" s="55">
        <f>SUM(AA84:AA85)</f>
        <v>4282.2371134020614</v>
      </c>
      <c r="AB86" s="735">
        <f t="shared" si="37"/>
        <v>0.11673872958653256</v>
      </c>
      <c r="AC86" s="111" t="s">
        <v>84</v>
      </c>
      <c r="AD86" s="300">
        <f>('Variante Vorgaben'!$F$34*AF77)+('Variante Vorgaben'!$F$34*AF84)</f>
        <v>385.82348503897413</v>
      </c>
      <c r="AE86" s="111" t="s">
        <v>82</v>
      </c>
      <c r="AF86" s="301">
        <f>SUM(AF73:AF85)</f>
        <v>742.90998239879309</v>
      </c>
      <c r="AG86" s="48"/>
      <c r="AH86" s="55">
        <f>SUM(AH84:AH85)</f>
        <v>7433.7216494845361</v>
      </c>
      <c r="AI86" s="735">
        <f>AH86/$AH$92</f>
        <v>0.19602817949552542</v>
      </c>
      <c r="AJ86" s="111" t="s">
        <v>84</v>
      </c>
      <c r="AK86" s="300">
        <f>('Variante Vorgaben'!$F$34*AM77)+('Variante Vorgaben'!$F$34*AM84)</f>
        <v>385.82348503897413</v>
      </c>
      <c r="AL86" s="111" t="s">
        <v>82</v>
      </c>
      <c r="AM86" s="301">
        <f>SUM(AM73:AM85)</f>
        <v>742.90998239879309</v>
      </c>
      <c r="AN86" s="48"/>
      <c r="AO86" s="55">
        <f>SUM(AO84:AO85)</f>
        <v>7433.7216494845361</v>
      </c>
      <c r="AP86" s="735">
        <f>AO86/$AO$92</f>
        <v>0.19673648238461633</v>
      </c>
      <c r="AQ86" s="111" t="s">
        <v>84</v>
      </c>
      <c r="AR86" s="300">
        <f>('Variante Vorgaben'!$F$34*AT77)+('Variante Vorgaben'!$F$34*AT84)</f>
        <v>385.82348503897413</v>
      </c>
      <c r="AS86" s="111" t="s">
        <v>82</v>
      </c>
      <c r="AT86" s="301">
        <f>SUM(AT73:AT85)</f>
        <v>742.90998239879309</v>
      </c>
      <c r="AU86" s="48"/>
      <c r="AV86" s="55">
        <f>SUM(AV84:AV85)</f>
        <v>7433.7216494845361</v>
      </c>
      <c r="AW86" s="735">
        <f t="shared" si="41"/>
        <v>0.1837409636147373</v>
      </c>
      <c r="AX86" s="111" t="s">
        <v>84</v>
      </c>
      <c r="AY86" s="300">
        <f>('Variante Vorgaben'!$F$34*BA77)+('Variante Vorgaben'!$F$34*BA84)</f>
        <v>385.82348503897413</v>
      </c>
      <c r="AZ86" s="111" t="s">
        <v>82</v>
      </c>
      <c r="BA86" s="301">
        <f>SUM(BA73:BA85)</f>
        <v>742.90998239879309</v>
      </c>
      <c r="BB86" s="48"/>
      <c r="BC86" s="55">
        <f>SUM(BC84:BC85)</f>
        <v>7433.7216494845361</v>
      </c>
      <c r="BD86" s="735">
        <f t="shared" si="43"/>
        <v>0.19805454207311643</v>
      </c>
      <c r="BE86" s="111" t="s">
        <v>84</v>
      </c>
      <c r="BF86" s="300">
        <f>('Variante Vorgaben'!$F$34*BH77)+('Variante Vorgaben'!$F$34*BH84)</f>
        <v>385.82348503897413</v>
      </c>
      <c r="BG86" s="111" t="s">
        <v>82</v>
      </c>
      <c r="BH86" s="301">
        <f>SUM(BH73:BH85)</f>
        <v>742.90998239879309</v>
      </c>
      <c r="BI86" s="48"/>
      <c r="BJ86" s="55">
        <f>SUM(BJ84:BJ85)</f>
        <v>7433.7216494845361</v>
      </c>
      <c r="BK86" s="735">
        <f t="shared" si="45"/>
        <v>0.19879615354659658</v>
      </c>
      <c r="BL86" s="111" t="s">
        <v>84</v>
      </c>
      <c r="BM86" s="300">
        <f>('Variante Vorgaben'!$F$34*BO77)+('Variante Vorgaben'!$F$34*BO84)</f>
        <v>385.82348503897413</v>
      </c>
      <c r="BN86" s="111" t="s">
        <v>82</v>
      </c>
      <c r="BO86" s="301">
        <f>SUM(BO73:BO85)</f>
        <v>742.90998239879309</v>
      </c>
      <c r="BP86" s="48"/>
      <c r="BQ86" s="55">
        <f>SUM(BQ84:BQ85)</f>
        <v>7433.7216494845361</v>
      </c>
      <c r="BR86" s="735">
        <f t="shared" si="47"/>
        <v>0.18555259231102883</v>
      </c>
      <c r="BS86" s="111" t="s">
        <v>84</v>
      </c>
      <c r="BT86" s="300">
        <f>('Variante Vorgaben'!$F$34*BV77)+('Variante Vorgaben'!$F$34*BV84)</f>
        <v>385.82348503897413</v>
      </c>
      <c r="BU86" s="111" t="s">
        <v>82</v>
      </c>
      <c r="BV86" s="301">
        <f>SUM(BV73:BV85)</f>
        <v>742.90998239879309</v>
      </c>
      <c r="BW86" s="48"/>
      <c r="BX86" s="55">
        <f>SUM(BX84:BX85)</f>
        <v>7433.7216494845361</v>
      </c>
      <c r="BY86" s="735">
        <f t="shared" si="49"/>
        <v>0.20018019945894211</v>
      </c>
      <c r="BZ86" s="111" t="s">
        <v>84</v>
      </c>
      <c r="CA86" s="300">
        <f>('Variante Vorgaben'!$F$34*CC77)+('Variante Vorgaben'!$F$34*CC84)</f>
        <v>385.82348503897413</v>
      </c>
      <c r="CB86" s="111" t="s">
        <v>82</v>
      </c>
      <c r="CC86" s="301">
        <f>SUM(CC73:CC85)</f>
        <v>742.90998239879309</v>
      </c>
      <c r="CD86" s="48"/>
      <c r="CE86" s="55">
        <f>SUM(CE84:CE85)</f>
        <v>7433.7216494845361</v>
      </c>
      <c r="CF86" s="735">
        <f t="shared" si="51"/>
        <v>0.20095733055237558</v>
      </c>
      <c r="CG86" s="111" t="s">
        <v>84</v>
      </c>
      <c r="CH86" s="300">
        <f>('Variante Vorgaben'!$F$34*CJ77)+('Variante Vorgaben'!$F$34*CJ84)</f>
        <v>366.20316821724919</v>
      </c>
      <c r="CI86" s="111" t="s">
        <v>82</v>
      </c>
      <c r="CJ86" s="301">
        <f>SUM(CJ73:CJ85)</f>
        <v>719.82725672617551</v>
      </c>
      <c r="CK86" s="48"/>
      <c r="CL86" s="55">
        <f>SUM(CL84:CL85)</f>
        <v>6908.4742268041236</v>
      </c>
      <c r="CM86" s="735">
        <f t="shared" si="53"/>
        <v>0.1771471017582589</v>
      </c>
      <c r="CN86" s="111" t="s">
        <v>84</v>
      </c>
      <c r="CO86" s="300">
        <f>('Variante Vorgaben'!$F$34*CQ77)+('Variante Vorgaben'!$F$34*CQ84)</f>
        <v>366.20316821724919</v>
      </c>
      <c r="CP86" s="111" t="s">
        <v>82</v>
      </c>
      <c r="CQ86" s="301">
        <f>SUM(CQ73:CQ85)</f>
        <v>719.82725672617551</v>
      </c>
      <c r="CR86" s="48"/>
      <c r="CS86" s="55">
        <f>SUM(CS84:CS85)</f>
        <v>6908.4742268041236</v>
      </c>
      <c r="CT86" s="735">
        <f t="shared" si="55"/>
        <v>0.19135613247683425</v>
      </c>
      <c r="CU86" s="111" t="s">
        <v>84</v>
      </c>
      <c r="CV86" s="300">
        <f>('Variante Vorgaben'!$F$34*CX77)+('Variante Vorgaben'!$F$34*CX84)</f>
        <v>366.20316821724919</v>
      </c>
      <c r="CW86" s="111" t="s">
        <v>82</v>
      </c>
      <c r="CX86" s="301">
        <f>SUM(CX73:CX85)</f>
        <v>719.82725672617551</v>
      </c>
      <c r="CY86" s="48"/>
      <c r="CZ86" s="55">
        <f>SUM(CZ84:CZ85)</f>
        <v>6908.4742268041236</v>
      </c>
      <c r="DA86" s="735">
        <f>CZ86/$CZ$92</f>
        <v>0.16452259311817372</v>
      </c>
    </row>
    <row r="87" spans="1:115" s="1" customFormat="1" ht="13" x14ac:dyDescent="0.3">
      <c r="A87" s="756"/>
      <c r="B87" s="765"/>
      <c r="C87" s="756"/>
      <c r="D87" s="766"/>
      <c r="E87" s="45"/>
      <c r="F87" s="83"/>
      <c r="G87" s="738"/>
      <c r="H87" s="756"/>
      <c r="I87" s="765"/>
      <c r="J87" s="756"/>
      <c r="K87" s="766"/>
      <c r="L87" s="45"/>
      <c r="M87" s="83"/>
      <c r="N87" s="738"/>
      <c r="O87" s="756"/>
      <c r="P87" s="765"/>
      <c r="Q87" s="756"/>
      <c r="R87" s="766"/>
      <c r="S87" s="45"/>
      <c r="T87" s="83"/>
      <c r="U87" s="738"/>
      <c r="V87" s="756"/>
      <c r="W87" s="765"/>
      <c r="X87" s="756"/>
      <c r="Y87" s="766"/>
      <c r="Z87" s="45"/>
      <c r="AA87" s="83"/>
      <c r="AB87" s="738"/>
      <c r="AC87" s="756"/>
      <c r="AD87" s="765"/>
      <c r="AE87" s="756"/>
      <c r="AF87" s="766"/>
      <c r="AG87" s="45"/>
      <c r="AH87" s="83"/>
      <c r="AI87" s="738"/>
      <c r="AJ87" s="756"/>
      <c r="AK87" s="765"/>
      <c r="AL87" s="756"/>
      <c r="AM87" s="766"/>
      <c r="AN87" s="45"/>
      <c r="AO87" s="83"/>
      <c r="AP87" s="738"/>
      <c r="AQ87" s="756"/>
      <c r="AR87" s="765"/>
      <c r="AS87" s="756"/>
      <c r="AT87" s="766"/>
      <c r="AU87" s="45"/>
      <c r="AV87" s="83"/>
      <c r="AW87" s="738"/>
      <c r="AX87" s="756"/>
      <c r="AY87" s="765"/>
      <c r="AZ87" s="756"/>
      <c r="BA87" s="766"/>
      <c r="BB87" s="45"/>
      <c r="BC87" s="83"/>
      <c r="BD87" s="738"/>
      <c r="BE87" s="756"/>
      <c r="BF87" s="765"/>
      <c r="BG87" s="756"/>
      <c r="BH87" s="766"/>
      <c r="BI87" s="45"/>
      <c r="BJ87" s="83"/>
      <c r="BK87" s="738"/>
      <c r="BL87" s="756"/>
      <c r="BM87" s="765"/>
      <c r="BN87" s="756"/>
      <c r="BO87" s="766"/>
      <c r="BP87" s="45"/>
      <c r="BQ87" s="83"/>
      <c r="BR87" s="738"/>
      <c r="BS87" s="756"/>
      <c r="BT87" s="765"/>
      <c r="BU87" s="756"/>
      <c r="BV87" s="766"/>
      <c r="BW87" s="45"/>
      <c r="BX87" s="83"/>
      <c r="BY87" s="738"/>
      <c r="BZ87" s="756"/>
      <c r="CA87" s="765"/>
      <c r="CB87" s="756"/>
      <c r="CC87" s="766"/>
      <c r="CD87" s="45"/>
      <c r="CE87" s="83"/>
      <c r="CF87" s="738"/>
      <c r="CG87" s="756"/>
      <c r="CH87" s="765"/>
      <c r="CI87" s="756"/>
      <c r="CJ87" s="766"/>
      <c r="CK87" s="45"/>
      <c r="CL87" s="83"/>
      <c r="CM87" s="738"/>
      <c r="CN87" s="756"/>
      <c r="CO87" s="765"/>
      <c r="CP87" s="756"/>
      <c r="CQ87" s="766"/>
      <c r="CR87" s="45"/>
      <c r="CS87" s="83"/>
      <c r="CT87" s="738"/>
      <c r="CU87" s="756"/>
      <c r="CV87" s="765"/>
      <c r="CW87" s="756"/>
      <c r="CX87" s="766"/>
      <c r="CY87" s="45"/>
      <c r="CZ87" s="83"/>
      <c r="DA87" s="738"/>
    </row>
    <row r="88" spans="1:115" s="1" customFormat="1" ht="18" customHeight="1" x14ac:dyDescent="0.3">
      <c r="A88" s="41" t="s">
        <v>66</v>
      </c>
      <c r="B88" s="42" t="s">
        <v>63</v>
      </c>
      <c r="C88" s="44"/>
      <c r="D88" s="44"/>
      <c r="E88" s="45"/>
      <c r="F88" s="46">
        <f>'Variante Vorgaben'!$C$42</f>
        <v>660</v>
      </c>
      <c r="G88" s="738">
        <f>F88/$F$92</f>
        <v>2.7465259595389403E-2</v>
      </c>
      <c r="H88" s="41" t="s">
        <v>66</v>
      </c>
      <c r="I88" s="42" t="s">
        <v>63</v>
      </c>
      <c r="J88" s="44"/>
      <c r="K88" s="44"/>
      <c r="L88" s="45"/>
      <c r="M88" s="46">
        <f>'Variante Vorgaben'!$C$42</f>
        <v>660</v>
      </c>
      <c r="N88" s="738">
        <f>M88/$M$92</f>
        <v>2.6968182792820143E-2</v>
      </c>
      <c r="O88" s="41" t="s">
        <v>66</v>
      </c>
      <c r="P88" s="42" t="s">
        <v>63</v>
      </c>
      <c r="Q88" s="44"/>
      <c r="R88" s="44"/>
      <c r="S88" s="45"/>
      <c r="T88" s="46">
        <f>'Variante Vorgaben'!$C$42</f>
        <v>660</v>
      </c>
      <c r="U88" s="738">
        <f>T88/$T$92</f>
        <v>2.0385866145163835E-2</v>
      </c>
      <c r="V88" s="41" t="s">
        <v>66</v>
      </c>
      <c r="W88" s="42" t="s">
        <v>63</v>
      </c>
      <c r="X88" s="44"/>
      <c r="Y88" s="44"/>
      <c r="Z88" s="45"/>
      <c r="AA88" s="46">
        <f>'Variante Vorgaben'!$C$42</f>
        <v>660</v>
      </c>
      <c r="AB88" s="738">
        <f>AA88/$AA$92</f>
        <v>1.7992362283250674E-2</v>
      </c>
      <c r="AC88" s="41" t="s">
        <v>66</v>
      </c>
      <c r="AD88" s="42" t="s">
        <v>63</v>
      </c>
      <c r="AE88" s="44"/>
      <c r="AF88" s="44"/>
      <c r="AG88" s="45"/>
      <c r="AH88" s="46">
        <f>'Variante Vorgaben'!$C$42</f>
        <v>660</v>
      </c>
      <c r="AI88" s="738">
        <f>AH88/$AH$92</f>
        <v>1.7404283421887077E-2</v>
      </c>
      <c r="AJ88" s="41" t="s">
        <v>66</v>
      </c>
      <c r="AK88" s="42" t="s">
        <v>63</v>
      </c>
      <c r="AL88" s="44"/>
      <c r="AM88" s="44"/>
      <c r="AN88" s="45"/>
      <c r="AO88" s="46">
        <f>'Variante Vorgaben'!$C$42</f>
        <v>660</v>
      </c>
      <c r="AP88" s="738">
        <f>AO88/$AO$92</f>
        <v>1.746716981027269E-2</v>
      </c>
      <c r="AQ88" s="41" t="s">
        <v>66</v>
      </c>
      <c r="AR88" s="42" t="s">
        <v>63</v>
      </c>
      <c r="AS88" s="44"/>
      <c r="AT88" s="44"/>
      <c r="AU88" s="45"/>
      <c r="AV88" s="46">
        <f>'Variante Vorgaben'!$C$42</f>
        <v>660</v>
      </c>
      <c r="AW88" s="738">
        <f>AV88/$AV$92</f>
        <v>1.6313367880022189E-2</v>
      </c>
      <c r="AX88" s="41" t="s">
        <v>66</v>
      </c>
      <c r="AY88" s="42" t="s">
        <v>63</v>
      </c>
      <c r="AZ88" s="44"/>
      <c r="BA88" s="44"/>
      <c r="BB88" s="45"/>
      <c r="BC88" s="46">
        <f>'Variante Vorgaben'!$C$42</f>
        <v>660</v>
      </c>
      <c r="BD88" s="738">
        <f>BC88/$BC$92</f>
        <v>1.7584193211931855E-2</v>
      </c>
      <c r="BE88" s="41" t="s">
        <v>66</v>
      </c>
      <c r="BF88" s="42" t="s">
        <v>63</v>
      </c>
      <c r="BG88" s="44"/>
      <c r="BH88" s="44"/>
      <c r="BI88" s="45"/>
      <c r="BJ88" s="46">
        <f>'Variante Vorgaben'!$C$42</f>
        <v>660</v>
      </c>
      <c r="BK88" s="738">
        <f>BJ88/$BJ$92</f>
        <v>1.7650036889644866E-2</v>
      </c>
      <c r="BL88" s="41" t="s">
        <v>66</v>
      </c>
      <c r="BM88" s="42" t="s">
        <v>63</v>
      </c>
      <c r="BN88" s="44"/>
      <c r="BO88" s="44"/>
      <c r="BP88" s="45"/>
      <c r="BQ88" s="46">
        <f>'Variante Vorgaben'!$C$42</f>
        <v>660</v>
      </c>
      <c r="BR88" s="738">
        <f>BQ88/$BQ$92</f>
        <v>1.6474212608400651E-2</v>
      </c>
      <c r="BS88" s="41" t="s">
        <v>66</v>
      </c>
      <c r="BT88" s="42" t="s">
        <v>63</v>
      </c>
      <c r="BU88" s="44"/>
      <c r="BV88" s="44"/>
      <c r="BW88" s="45"/>
      <c r="BX88" s="46">
        <f>'Variante Vorgaben'!$C$42</f>
        <v>660</v>
      </c>
      <c r="BY88" s="738">
        <f>BX88/$BX$92</f>
        <v>1.7772918851765601E-2</v>
      </c>
      <c r="BZ88" s="41" t="s">
        <v>66</v>
      </c>
      <c r="CA88" s="42" t="s">
        <v>63</v>
      </c>
      <c r="CB88" s="44"/>
      <c r="CC88" s="44"/>
      <c r="CD88" s="45"/>
      <c r="CE88" s="46">
        <f>'Variante Vorgaben'!$C$42</f>
        <v>660</v>
      </c>
      <c r="CF88" s="738">
        <f>CE88/$CE$92</f>
        <v>1.7841916124713218E-2</v>
      </c>
      <c r="CG88" s="41" t="s">
        <v>66</v>
      </c>
      <c r="CH88" s="42" t="s">
        <v>63</v>
      </c>
      <c r="CI88" s="44"/>
      <c r="CJ88" s="44"/>
      <c r="CK88" s="45"/>
      <c r="CL88" s="46">
        <f>'Variante Vorgaben'!$C$42</f>
        <v>660</v>
      </c>
      <c r="CM88" s="738">
        <f>CL88/$CL$92</f>
        <v>1.6923720538295616E-2</v>
      </c>
      <c r="CN88" s="41" t="s">
        <v>66</v>
      </c>
      <c r="CO88" s="42" t="s">
        <v>63</v>
      </c>
      <c r="CP88" s="44"/>
      <c r="CQ88" s="44"/>
      <c r="CR88" s="45"/>
      <c r="CS88" s="46">
        <f>'Variante Vorgaben'!$C$42</f>
        <v>660</v>
      </c>
      <c r="CT88" s="738">
        <f>CS88/$CS$92</f>
        <v>1.8281178055886731E-2</v>
      </c>
      <c r="CU88" s="41" t="s">
        <v>66</v>
      </c>
      <c r="CV88" s="42" t="s">
        <v>63</v>
      </c>
      <c r="CW88" s="44"/>
      <c r="CX88" s="44"/>
      <c r="CY88" s="45"/>
      <c r="CZ88" s="46">
        <f>'Variante Vorgaben'!$C$42</f>
        <v>660</v>
      </c>
      <c r="DA88" s="738">
        <f>CZ88/$CZ$92</f>
        <v>1.5717640088559217E-2</v>
      </c>
    </row>
    <row r="89" spans="1:115" s="1" customFormat="1" ht="13" thickBot="1" x14ac:dyDescent="0.3">
      <c r="A89" s="19"/>
      <c r="B89" s="19" t="s">
        <v>154</v>
      </c>
      <c r="C89" s="767">
        <f>'Variante Vorgaben'!$C$41</f>
        <v>0.6</v>
      </c>
      <c r="D89" s="768">
        <f>'Variante Vorgaben'!$C$40</f>
        <v>1.4999999999999999E-2</v>
      </c>
      <c r="E89" s="149">
        <f>(F95)*(-1)</f>
        <v>124765.91649999999</v>
      </c>
      <c r="F89" s="587">
        <f>D89*E89*C89</f>
        <v>1122.8932484999998</v>
      </c>
      <c r="G89" s="738">
        <f>F89/$F$92</f>
        <v>4.6728112981761508E-2</v>
      </c>
      <c r="H89" s="19"/>
      <c r="I89" s="19" t="s">
        <v>154</v>
      </c>
      <c r="J89" s="767">
        <f>'Variante Vorgaben'!$C$41</f>
        <v>0.6</v>
      </c>
      <c r="K89" s="768">
        <f>'Variante Vorgaben'!$C$40</f>
        <v>1.4999999999999999E-2</v>
      </c>
      <c r="L89" s="149">
        <f>(M95)*(-1)</f>
        <v>146096.27374849998</v>
      </c>
      <c r="M89" s="587">
        <f>K89*L89*J89</f>
        <v>1314.8664637364998</v>
      </c>
      <c r="N89" s="738">
        <f>M89/$M$92</f>
        <v>5.3726604760901429E-2</v>
      </c>
      <c r="O89" s="19"/>
      <c r="P89" s="19" t="s">
        <v>154</v>
      </c>
      <c r="Q89" s="767">
        <f>'Variante Vorgaben'!$C$41</f>
        <v>0.6</v>
      </c>
      <c r="R89" s="768">
        <f>'Variante Vorgaben'!$C$40</f>
        <v>1.4999999999999999E-2</v>
      </c>
      <c r="S89" s="149">
        <f>(T95)*(-1)</f>
        <v>163288.51397760111</v>
      </c>
      <c r="T89" s="587">
        <f>R89*S89*Q89</f>
        <v>1469.5966257984098</v>
      </c>
      <c r="U89" s="738">
        <f>T89/$T$92</f>
        <v>4.5392424395319403E-2</v>
      </c>
      <c r="V89" s="19"/>
      <c r="W89" s="19" t="s">
        <v>154</v>
      </c>
      <c r="X89" s="767">
        <f>'Variante Vorgaben'!$C$41</f>
        <v>0.6</v>
      </c>
      <c r="Y89" s="768">
        <f>'Variante Vorgaben'!$C$40</f>
        <v>1.4999999999999999E-2</v>
      </c>
      <c r="Z89" s="149">
        <f>(AA95)*(-1)</f>
        <v>176166.7250023894</v>
      </c>
      <c r="AA89" s="587">
        <f>Y89*Z89*X89</f>
        <v>1585.5005250215047</v>
      </c>
      <c r="AB89" s="738">
        <f>AA89/$AA$92</f>
        <v>4.3222575524956154E-2</v>
      </c>
      <c r="AC89" s="19"/>
      <c r="AD89" s="19" t="s">
        <v>154</v>
      </c>
      <c r="AE89" s="767">
        <f>'Variante Vorgaben'!$C$41</f>
        <v>0.6</v>
      </c>
      <c r="AF89" s="768">
        <f>'Variante Vorgaben'!$C$40</f>
        <v>1.4999999999999999E-2</v>
      </c>
      <c r="AG89" s="149">
        <f>(AH95)*(-1)</f>
        <v>187243.73707322564</v>
      </c>
      <c r="AH89" s="587">
        <f>AF89*AG89*AE89</f>
        <v>1685.1936336590306</v>
      </c>
      <c r="AI89" s="738">
        <f>AH89/$AH$92</f>
        <v>4.4438769122668954E-2</v>
      </c>
      <c r="AJ89" s="19"/>
      <c r="AK89" s="19" t="s">
        <v>154</v>
      </c>
      <c r="AL89" s="767">
        <f>'Variante Vorgaben'!$C$41</f>
        <v>0.6</v>
      </c>
      <c r="AM89" s="768">
        <f>'Variante Vorgaben'!$C$40</f>
        <v>1.4999999999999999E-2</v>
      </c>
      <c r="AN89" s="149">
        <f>(AO95)*(-1)</f>
        <v>172073.95330523705</v>
      </c>
      <c r="AO89" s="587">
        <f>AM89*AN89*AL89</f>
        <v>1548.6655797471333</v>
      </c>
      <c r="AP89" s="738">
        <f>AO89/$AO$92</f>
        <v>4.0986067667829661E-2</v>
      </c>
      <c r="AQ89" s="19"/>
      <c r="AR89" s="19" t="s">
        <v>154</v>
      </c>
      <c r="AS89" s="767">
        <f>'Variante Vorgaben'!$C$41</f>
        <v>0.6</v>
      </c>
      <c r="AT89" s="768">
        <f>'Variante Vorgaben'!$C$40</f>
        <v>1.4999999999999999E-2</v>
      </c>
      <c r="AU89" s="149">
        <f>(AV95)*(-1)</f>
        <v>156767.64148333657</v>
      </c>
      <c r="AV89" s="587">
        <f>AT89*AU89*AS89</f>
        <v>1410.9087733500289</v>
      </c>
      <c r="AW89" s="738">
        <f>AV89/$AV$92</f>
        <v>3.4873748280014959E-2</v>
      </c>
      <c r="AX89" s="19"/>
      <c r="AY89" s="19" t="s">
        <v>154</v>
      </c>
      <c r="AZ89" s="767">
        <f>'Variante Vorgaben'!$C$41</f>
        <v>0.6</v>
      </c>
      <c r="BA89" s="768">
        <f>'Variante Vorgaben'!$C$40</f>
        <v>1.4999999999999999E-2</v>
      </c>
      <c r="BB89" s="149">
        <f>(BC95)*(-1)</f>
        <v>144133.77618972788</v>
      </c>
      <c r="BC89" s="587">
        <f>BA89*BB89*AZ89</f>
        <v>1297.2039857075508</v>
      </c>
      <c r="BD89" s="738">
        <f>BC89/$BC$92</f>
        <v>3.4561038666620698E-2</v>
      </c>
      <c r="BE89" s="19"/>
      <c r="BF89" s="19" t="s">
        <v>154</v>
      </c>
      <c r="BG89" s="767">
        <f>'Variante Vorgaben'!$C$41</f>
        <v>0.6</v>
      </c>
      <c r="BH89" s="768">
        <f>'Variante Vorgaben'!$C$40</f>
        <v>1.4999999999999999E-2</v>
      </c>
      <c r="BI89" s="149">
        <f>(BJ95)*(-1)</f>
        <v>128576.00277378781</v>
      </c>
      <c r="BJ89" s="587">
        <f>BH89*BI89*BG89</f>
        <v>1157.1840249640902</v>
      </c>
      <c r="BK89" s="738">
        <f>BJ89/$BJ$92</f>
        <v>3.0945970801096841E-2</v>
      </c>
      <c r="BL89" s="19"/>
      <c r="BM89" s="19" t="s">
        <v>154</v>
      </c>
      <c r="BN89" s="767">
        <f>'Variante Vorgaben'!$C$41</f>
        <v>0.6</v>
      </c>
      <c r="BO89" s="768">
        <f>'Variante Vorgaben'!$C$40</f>
        <v>1.4999999999999999E-2</v>
      </c>
      <c r="BP89" s="149">
        <f>(BQ95)*(-1)</f>
        <v>112878.20939710429</v>
      </c>
      <c r="BQ89" s="587">
        <f>BO89*BP89*BN89</f>
        <v>1015.9038845739385</v>
      </c>
      <c r="BR89" s="738">
        <f>BQ89/$BQ$92</f>
        <v>2.5357903915410877E-2</v>
      </c>
      <c r="BS89" s="19"/>
      <c r="BT89" s="19" t="s">
        <v>154</v>
      </c>
      <c r="BU89" s="767">
        <f>'Variante Vorgaben'!$C$41</f>
        <v>0.6</v>
      </c>
      <c r="BV89" s="768">
        <f>'Variante Vorgaben'!$C$40</f>
        <v>1.4999999999999999E-2</v>
      </c>
      <c r="BW89" s="149">
        <f>(BX95)*(-1)</f>
        <v>99849.339214719526</v>
      </c>
      <c r="BX89" s="587">
        <f>BV89*BW89*BU89</f>
        <v>898.64405293247569</v>
      </c>
      <c r="BY89" s="738">
        <f>BX89/$BX$92</f>
        <v>2.4199284589985822E-2</v>
      </c>
      <c r="BZ89" s="19"/>
      <c r="CA89" s="19" t="s">
        <v>154</v>
      </c>
      <c r="CB89" s="767">
        <f>'Variante Vorgaben'!$C$41</f>
        <v>0.6</v>
      </c>
      <c r="CC89" s="768">
        <f>'Variante Vorgaben'!$C$40</f>
        <v>1.4999999999999999E-2</v>
      </c>
      <c r="CD89" s="149">
        <f>(CE95)*(-1)</f>
        <v>83893.005866004372</v>
      </c>
      <c r="CE89" s="587">
        <f>CC89*CD89*CB89</f>
        <v>755.03705279403937</v>
      </c>
      <c r="CF89" s="738">
        <f>CE89/$CE$92</f>
        <v>2.0411072374245325E-2</v>
      </c>
      <c r="CG89" s="19"/>
      <c r="CH89" s="19" t="s">
        <v>154</v>
      </c>
      <c r="CI89" s="767">
        <f>'Variante Vorgaben'!$C$41</f>
        <v>0.6</v>
      </c>
      <c r="CJ89" s="768">
        <f>'Variante Vorgaben'!$C$40</f>
        <v>1.4999999999999999E-2</v>
      </c>
      <c r="CK89" s="149">
        <f>(CL95)*(-1)</f>
        <v>67793.065517150797</v>
      </c>
      <c r="CL89" s="587">
        <f>CJ89*CK89*CI89</f>
        <v>610.13758965435716</v>
      </c>
      <c r="CM89" s="738">
        <f>CL89/$CL$92</f>
        <v>1.5645148571544892E-2</v>
      </c>
      <c r="CN89" s="19"/>
      <c r="CO89" s="19" t="s">
        <v>154</v>
      </c>
      <c r="CP89" s="767">
        <f>'Variante Vorgaben'!$C$41</f>
        <v>0.6</v>
      </c>
      <c r="CQ89" s="768">
        <f>'Variante Vorgaben'!$C$40</f>
        <v>1.4999999999999999E-2</v>
      </c>
      <c r="CR89" s="149">
        <f>(CS95)*(-1)</f>
        <v>58281.143308642007</v>
      </c>
      <c r="CS89" s="587">
        <f>CQ89*CR89*CP89</f>
        <v>524.53028977777797</v>
      </c>
      <c r="CT89" s="738">
        <f>CS89/$CS$92</f>
        <v>1.4528835792626399E-2</v>
      </c>
      <c r="CU89" s="19"/>
      <c r="CV89" s="19" t="s">
        <v>154</v>
      </c>
      <c r="CW89" s="767">
        <f>'Variante Vorgaben'!$C$41</f>
        <v>0.6</v>
      </c>
      <c r="CX89" s="768">
        <f>'Variante Vorgaben'!$C$40</f>
        <v>1.4999999999999999E-2</v>
      </c>
      <c r="CY89" s="149">
        <f>(CZ95)*(-1)</f>
        <v>45873.410465567758</v>
      </c>
      <c r="CZ89" s="587">
        <f>CX89*CY89*CW89</f>
        <v>412.86069419010983</v>
      </c>
      <c r="DA89" s="738">
        <f>CZ89/$CZ$92</f>
        <v>9.8321148454437249E-3</v>
      </c>
    </row>
    <row r="90" spans="1:115" s="1" customFormat="1" ht="13" x14ac:dyDescent="0.3">
      <c r="A90" s="19"/>
      <c r="B90" s="19"/>
      <c r="C90" s="767"/>
      <c r="D90" s="768"/>
      <c r="E90" s="295"/>
      <c r="F90" s="85">
        <f>SUM(F88:F89)</f>
        <v>1782.8932484999998</v>
      </c>
      <c r="G90" s="735">
        <f>F90/$F$92</f>
        <v>7.4193372577150904E-2</v>
      </c>
      <c r="H90" s="19"/>
      <c r="I90" s="19"/>
      <c r="J90" s="767"/>
      <c r="K90" s="768"/>
      <c r="L90" s="295"/>
      <c r="M90" s="85">
        <f>SUM(M88:M89)</f>
        <v>1974.8664637364998</v>
      </c>
      <c r="N90" s="735">
        <f>M90/$M$92</f>
        <v>8.0694787553721573E-2</v>
      </c>
      <c r="O90" s="19"/>
      <c r="P90" s="19"/>
      <c r="Q90" s="767"/>
      <c r="R90" s="768"/>
      <c r="S90" s="295"/>
      <c r="T90" s="85">
        <f>SUM(T88:T89)</f>
        <v>2129.5966257984101</v>
      </c>
      <c r="U90" s="735">
        <f>T90/$T$92</f>
        <v>6.5778290540483245E-2</v>
      </c>
      <c r="V90" s="19"/>
      <c r="W90" s="19"/>
      <c r="X90" s="767"/>
      <c r="Y90" s="768"/>
      <c r="Z90" s="295"/>
      <c r="AA90" s="85">
        <f>SUM(AA88:AA89)</f>
        <v>2245.5005250215045</v>
      </c>
      <c r="AB90" s="735">
        <f>AA90/$AA$92</f>
        <v>6.1214937808206825E-2</v>
      </c>
      <c r="AC90" s="19"/>
      <c r="AD90" s="19"/>
      <c r="AE90" s="767"/>
      <c r="AF90" s="768"/>
      <c r="AG90" s="295"/>
      <c r="AH90" s="85">
        <f>SUM(AH88:AH89)</f>
        <v>2345.1936336590306</v>
      </c>
      <c r="AI90" s="735">
        <f>AH90/$AH$92</f>
        <v>6.1843052544556035E-2</v>
      </c>
      <c r="AJ90" s="19"/>
      <c r="AK90" s="19"/>
      <c r="AL90" s="767"/>
      <c r="AM90" s="768"/>
      <c r="AN90" s="295"/>
      <c r="AO90" s="85">
        <f>SUM(AO88:AO89)</f>
        <v>2208.6655797471331</v>
      </c>
      <c r="AP90" s="735">
        <f>AO90/$AO$92</f>
        <v>5.8453237478102348E-2</v>
      </c>
      <c r="AQ90" s="19"/>
      <c r="AR90" s="19"/>
      <c r="AS90" s="767"/>
      <c r="AT90" s="768"/>
      <c r="AU90" s="295"/>
      <c r="AV90" s="85">
        <f>SUM(AV88:AV89)</f>
        <v>2070.9087733500292</v>
      </c>
      <c r="AW90" s="735">
        <f>AV90/$AV$92</f>
        <v>5.1187116160037155E-2</v>
      </c>
      <c r="AX90" s="19"/>
      <c r="AY90" s="19"/>
      <c r="AZ90" s="767"/>
      <c r="BA90" s="768"/>
      <c r="BB90" s="295"/>
      <c r="BC90" s="85">
        <f>SUM(BC88:BC89)</f>
        <v>1957.2039857075508</v>
      </c>
      <c r="BD90" s="735">
        <f>BC90/$BC$92</f>
        <v>5.214523187855255E-2</v>
      </c>
      <c r="BE90" s="19"/>
      <c r="BF90" s="19"/>
      <c r="BG90" s="767"/>
      <c r="BH90" s="768"/>
      <c r="BI90" s="295"/>
      <c r="BJ90" s="85">
        <f>SUM(BJ88:BJ89)</f>
        <v>1817.1840249640902</v>
      </c>
      <c r="BK90" s="735">
        <f>BJ90/$BJ$92</f>
        <v>4.859600769074171E-2</v>
      </c>
      <c r="BL90" s="19"/>
      <c r="BM90" s="19"/>
      <c r="BN90" s="767"/>
      <c r="BO90" s="768"/>
      <c r="BP90" s="295"/>
      <c r="BQ90" s="85">
        <f>SUM(BQ88:BQ89)</f>
        <v>1675.9038845739385</v>
      </c>
      <c r="BR90" s="735">
        <f>BQ90/$BQ$92</f>
        <v>4.1832116523811531E-2</v>
      </c>
      <c r="BS90" s="19"/>
      <c r="BT90" s="19"/>
      <c r="BU90" s="767"/>
      <c r="BV90" s="768"/>
      <c r="BW90" s="295"/>
      <c r="BX90" s="85">
        <f>SUM(BX88:BX89)</f>
        <v>1558.6440529324757</v>
      </c>
      <c r="BY90" s="735">
        <f>BX90/$BX$92</f>
        <v>4.197220344175142E-2</v>
      </c>
      <c r="BZ90" s="19"/>
      <c r="CA90" s="19"/>
      <c r="CB90" s="767"/>
      <c r="CC90" s="768"/>
      <c r="CD90" s="295"/>
      <c r="CE90" s="85">
        <f>SUM(CE88:CE89)</f>
        <v>1415.0370527940395</v>
      </c>
      <c r="CF90" s="735">
        <f>CE90/$CE$92</f>
        <v>3.8252988498958543E-2</v>
      </c>
      <c r="CG90" s="19"/>
      <c r="CH90" s="19"/>
      <c r="CI90" s="767"/>
      <c r="CJ90" s="768"/>
      <c r="CK90" s="295"/>
      <c r="CL90" s="85">
        <f>SUM(CL88:CL89)</f>
        <v>1270.1375896543573</v>
      </c>
      <c r="CM90" s="735">
        <f>CL90/$CL$92</f>
        <v>3.2568869109840512E-2</v>
      </c>
      <c r="CN90" s="19"/>
      <c r="CO90" s="19"/>
      <c r="CP90" s="767"/>
      <c r="CQ90" s="768"/>
      <c r="CR90" s="295"/>
      <c r="CS90" s="85">
        <f>SUM(CS88:CS89)</f>
        <v>1184.5302897777779</v>
      </c>
      <c r="CT90" s="735">
        <f>CS90/$CS$92</f>
        <v>3.2810013848513127E-2</v>
      </c>
      <c r="CU90" s="19"/>
      <c r="CV90" s="19"/>
      <c r="CW90" s="767"/>
      <c r="CX90" s="768"/>
      <c r="CY90" s="295"/>
      <c r="CZ90" s="85">
        <f>SUM(CZ88:CZ89)</f>
        <v>1072.8606941901098</v>
      </c>
      <c r="DA90" s="735">
        <f>CZ90/$CZ$92</f>
        <v>2.5549754934002942E-2</v>
      </c>
    </row>
    <row r="91" spans="1:115" s="16" customFormat="1" ht="15.5" x14ac:dyDescent="0.35">
      <c r="A91" s="600" t="s">
        <v>35</v>
      </c>
      <c r="B91" s="606"/>
      <c r="C91" s="626"/>
      <c r="D91" s="607"/>
      <c r="E91" s="608"/>
      <c r="F91" s="688">
        <f>F54+F71+F83+F86+F90</f>
        <v>18809.793248500002</v>
      </c>
      <c r="G91" s="740">
        <f>F91/$F$92</f>
        <v>0.78275129470553861</v>
      </c>
      <c r="H91" s="600" t="s">
        <v>35</v>
      </c>
      <c r="I91" s="606"/>
      <c r="J91" s="626"/>
      <c r="K91" s="607"/>
      <c r="L91" s="608"/>
      <c r="M91" s="688">
        <f>M90+M86+M71+M54+M83</f>
        <v>19567.351609575071</v>
      </c>
      <c r="N91" s="740">
        <f>M91/$M$92</f>
        <v>0.79953926511879392</v>
      </c>
      <c r="O91" s="600" t="s">
        <v>35</v>
      </c>
      <c r="P91" s="606"/>
      <c r="Q91" s="626"/>
      <c r="R91" s="607"/>
      <c r="S91" s="608"/>
      <c r="T91" s="688">
        <f>T90+T86+T71+T54+T83</f>
        <v>24677.008827206504</v>
      </c>
      <c r="U91" s="740">
        <f>T91/$T$92</f>
        <v>0.76221545274917901</v>
      </c>
      <c r="V91" s="600" t="s">
        <v>35</v>
      </c>
      <c r="W91" s="606"/>
      <c r="X91" s="626"/>
      <c r="Y91" s="607"/>
      <c r="Z91" s="608"/>
      <c r="AA91" s="688">
        <f>AA90+AA86+AA71+AA54+AA83</f>
        <v>28244.426254214362</v>
      </c>
      <c r="AB91" s="740">
        <f>AA91/$AA$92</f>
        <v>0.76997568128542671</v>
      </c>
      <c r="AC91" s="600" t="s">
        <v>35</v>
      </c>
      <c r="AD91" s="606"/>
      <c r="AE91" s="626"/>
      <c r="AF91" s="607"/>
      <c r="AG91" s="608"/>
      <c r="AH91" s="688">
        <f>AH90+AH86+AH71+AH54+AH83</f>
        <v>29787.630237883324</v>
      </c>
      <c r="AI91" s="740">
        <f>AH91/$AH$92</f>
        <v>0.78550357443408325</v>
      </c>
      <c r="AJ91" s="600" t="s">
        <v>35</v>
      </c>
      <c r="AK91" s="606"/>
      <c r="AL91" s="626"/>
      <c r="AM91" s="607"/>
      <c r="AN91" s="608"/>
      <c r="AO91" s="688">
        <f>AO90+AO86+AO71+AO54+AO83</f>
        <v>29651.102183971427</v>
      </c>
      <c r="AP91" s="740">
        <f>AO91/$AO$92</f>
        <v>0.78472854077147924</v>
      </c>
      <c r="AQ91" s="600" t="s">
        <v>35</v>
      </c>
      <c r="AR91" s="606"/>
      <c r="AS91" s="626"/>
      <c r="AT91" s="607"/>
      <c r="AU91" s="608"/>
      <c r="AV91" s="688">
        <f>AV90+AV86+AV71+AV54+AV83</f>
        <v>31823.345377574322</v>
      </c>
      <c r="AW91" s="740">
        <f>AV91/$AV$92</f>
        <v>0.78658475805662664</v>
      </c>
      <c r="AX91" s="600" t="s">
        <v>35</v>
      </c>
      <c r="AY91" s="606"/>
      <c r="AZ91" s="626"/>
      <c r="BA91" s="607"/>
      <c r="BB91" s="608"/>
      <c r="BC91" s="688">
        <f>BC90+BC86+BC71+BC54+BC83</f>
        <v>29399.640589931842</v>
      </c>
      <c r="BD91" s="740">
        <f>BC91/$BC$92</f>
        <v>0.78328630377987229</v>
      </c>
      <c r="BE91" s="600" t="s">
        <v>35</v>
      </c>
      <c r="BF91" s="606"/>
      <c r="BG91" s="626"/>
      <c r="BH91" s="607"/>
      <c r="BI91" s="608"/>
      <c r="BJ91" s="688">
        <f>BJ90+BJ86+BJ71+BJ54+BJ83</f>
        <v>29259.620629188383</v>
      </c>
      <c r="BK91" s="740">
        <f>BJ91/$BJ$92</f>
        <v>0.7824748234578619</v>
      </c>
      <c r="BL91" s="600" t="s">
        <v>35</v>
      </c>
      <c r="BM91" s="606"/>
      <c r="BN91" s="626"/>
      <c r="BO91" s="607"/>
      <c r="BP91" s="608"/>
      <c r="BQ91" s="688">
        <f>BQ90+BQ86+BQ71+BQ54+BQ83</f>
        <v>31428.340488798229</v>
      </c>
      <c r="BR91" s="740">
        <f>BQ91/$BQ$92</f>
        <v>0.78448055021464924</v>
      </c>
      <c r="BS91" s="600" t="s">
        <v>35</v>
      </c>
      <c r="BT91" s="606"/>
      <c r="BU91" s="626"/>
      <c r="BV91" s="607"/>
      <c r="BW91" s="608"/>
      <c r="BX91" s="688">
        <f>BX90+BX86+BX71+BX54+BX83</f>
        <v>29001.080657156766</v>
      </c>
      <c r="BY91" s="740">
        <f>BX91/$BX$92</f>
        <v>0.78096038353508523</v>
      </c>
      <c r="BZ91" s="600" t="s">
        <v>35</v>
      </c>
      <c r="CA91" s="606"/>
      <c r="CB91" s="626"/>
      <c r="CC91" s="607"/>
      <c r="CD91" s="608"/>
      <c r="CE91" s="688">
        <f>CE90+CE86+CE71+CE54+CE83</f>
        <v>28857.47365701833</v>
      </c>
      <c r="CF91" s="740">
        <f>CE91/$CE$92</f>
        <v>0.78011003721157912</v>
      </c>
      <c r="CG91" s="600" t="s">
        <v>35</v>
      </c>
      <c r="CH91" s="606"/>
      <c r="CI91" s="626"/>
      <c r="CJ91" s="607"/>
      <c r="CK91" s="608"/>
      <c r="CL91" s="688">
        <f>CL90+CL86+CL71+CL54+CL83</f>
        <v>30396.989048040075</v>
      </c>
      <c r="CM91" s="740">
        <f>CL91/$CL$92</f>
        <v>0.77943961796161021</v>
      </c>
      <c r="CN91" s="600" t="s">
        <v>35</v>
      </c>
      <c r="CO91" s="606"/>
      <c r="CP91" s="626"/>
      <c r="CQ91" s="607"/>
      <c r="CR91" s="608"/>
      <c r="CS91" s="688">
        <f>CS90+CS86+CS71+CS54+CS83</f>
        <v>28001.381748163498</v>
      </c>
      <c r="CT91" s="740">
        <f>CS91/$CS$92</f>
        <v>0.77560340234702085</v>
      </c>
      <c r="CU91" s="600" t="s">
        <v>35</v>
      </c>
      <c r="CV91" s="606"/>
      <c r="CW91" s="626"/>
      <c r="CX91" s="607"/>
      <c r="CY91" s="608"/>
      <c r="CZ91" s="688">
        <f>CZ90+CZ86+CZ71+CZ54+CZ83</f>
        <v>27889.712152575827</v>
      </c>
      <c r="DA91" s="740">
        <f>CZ91/$CZ$92</f>
        <v>0.66418251179955001</v>
      </c>
    </row>
    <row r="92" spans="1:115" s="308" customFormat="1" ht="20" x14ac:dyDescent="0.4">
      <c r="A92" s="594" t="s">
        <v>251</v>
      </c>
      <c r="B92" s="627"/>
      <c r="C92" s="628"/>
      <c r="D92" s="629"/>
      <c r="E92" s="630"/>
      <c r="F92" s="598">
        <f>F91+F53</f>
        <v>24030.357248500004</v>
      </c>
      <c r="G92" s="328">
        <f>F92/$F$92</f>
        <v>1</v>
      </c>
      <c r="H92" s="594" t="s">
        <v>237</v>
      </c>
      <c r="I92" s="627"/>
      <c r="J92" s="628"/>
      <c r="K92" s="629"/>
      <c r="L92" s="630"/>
      <c r="M92" s="598">
        <f>M91+M53</f>
        <v>24473.284131540175</v>
      </c>
      <c r="N92" s="328">
        <f>M92/$M$92</f>
        <v>1</v>
      </c>
      <c r="O92" s="594" t="s">
        <v>238</v>
      </c>
      <c r="P92" s="627"/>
      <c r="Q92" s="628"/>
      <c r="R92" s="629"/>
      <c r="S92" s="630"/>
      <c r="T92" s="598">
        <f>T91+T53</f>
        <v>32375.372000398063</v>
      </c>
      <c r="U92" s="328">
        <f>T92/$T$92</f>
        <v>1</v>
      </c>
      <c r="V92" s="594" t="s">
        <v>239</v>
      </c>
      <c r="W92" s="627"/>
      <c r="X92" s="628"/>
      <c r="Y92" s="629"/>
      <c r="Z92" s="630"/>
      <c r="AA92" s="598">
        <f>AA91+AA53</f>
        <v>36682.231583031353</v>
      </c>
      <c r="AB92" s="328">
        <f>AA92/$AA$92</f>
        <v>1</v>
      </c>
      <c r="AC92" s="594" t="s">
        <v>240</v>
      </c>
      <c r="AD92" s="627"/>
      <c r="AE92" s="628"/>
      <c r="AF92" s="629"/>
      <c r="AG92" s="630"/>
      <c r="AH92" s="598">
        <f>AH91+AH53</f>
        <v>37921.699158840682</v>
      </c>
      <c r="AI92" s="328">
        <f>AH92/$AH$92</f>
        <v>1</v>
      </c>
      <c r="AJ92" s="594" t="s">
        <v>241</v>
      </c>
      <c r="AK92" s="627"/>
      <c r="AL92" s="628"/>
      <c r="AM92" s="629"/>
      <c r="AN92" s="630"/>
      <c r="AO92" s="598">
        <f>AO91+AO53</f>
        <v>37785.171104928784</v>
      </c>
      <c r="AP92" s="328">
        <f>AO92/$AO$92</f>
        <v>1</v>
      </c>
      <c r="AQ92" s="594" t="s">
        <v>242</v>
      </c>
      <c r="AR92" s="627"/>
      <c r="AS92" s="628"/>
      <c r="AT92" s="629"/>
      <c r="AU92" s="630"/>
      <c r="AV92" s="598">
        <f>AV91+AV53</f>
        <v>40457.61763322058</v>
      </c>
      <c r="AW92" s="328">
        <f>AV92/$AV$92</f>
        <v>1</v>
      </c>
      <c r="AX92" s="594" t="s">
        <v>243</v>
      </c>
      <c r="AY92" s="627"/>
      <c r="AZ92" s="628"/>
      <c r="BA92" s="629"/>
      <c r="BB92" s="630"/>
      <c r="BC92" s="598">
        <f>BC91+BC53</f>
        <v>37533.709510889203</v>
      </c>
      <c r="BD92" s="328">
        <f>BC92/$BC$92</f>
        <v>1</v>
      </c>
      <c r="BE92" s="594" t="s">
        <v>244</v>
      </c>
      <c r="BF92" s="627"/>
      <c r="BG92" s="628"/>
      <c r="BH92" s="629"/>
      <c r="BI92" s="630"/>
      <c r="BJ92" s="598">
        <f>BJ91+BJ53</f>
        <v>37393.68955014574</v>
      </c>
      <c r="BK92" s="328">
        <f>BJ92/$BJ$92</f>
        <v>1</v>
      </c>
      <c r="BL92" s="594" t="s">
        <v>245</v>
      </c>
      <c r="BM92" s="627"/>
      <c r="BN92" s="628"/>
      <c r="BO92" s="629"/>
      <c r="BP92" s="630"/>
      <c r="BQ92" s="598">
        <f>BQ91+BQ53</f>
        <v>40062.612744444486</v>
      </c>
      <c r="BR92" s="328">
        <f>BQ92/$BQ$92</f>
        <v>1</v>
      </c>
      <c r="BS92" s="594" t="s">
        <v>246</v>
      </c>
      <c r="BT92" s="627"/>
      <c r="BU92" s="628"/>
      <c r="BV92" s="629"/>
      <c r="BW92" s="630"/>
      <c r="BX92" s="598">
        <f>BX91+BX53</f>
        <v>37135.149578114128</v>
      </c>
      <c r="BY92" s="328">
        <f>BX92/$BX$92</f>
        <v>1</v>
      </c>
      <c r="BZ92" s="594" t="s">
        <v>247</v>
      </c>
      <c r="CA92" s="627"/>
      <c r="CB92" s="628"/>
      <c r="CC92" s="629"/>
      <c r="CD92" s="630"/>
      <c r="CE92" s="598">
        <f>CE91+CE53</f>
        <v>36991.542577975692</v>
      </c>
      <c r="CF92" s="328">
        <f>CE92/$CE$92</f>
        <v>1</v>
      </c>
      <c r="CG92" s="594" t="s">
        <v>248</v>
      </c>
      <c r="CH92" s="627"/>
      <c r="CI92" s="628"/>
      <c r="CJ92" s="629"/>
      <c r="CK92" s="630"/>
      <c r="CL92" s="598">
        <f>CL91+CL53</f>
        <v>38998.516815881456</v>
      </c>
      <c r="CM92" s="328">
        <f>CL92/$CL$92</f>
        <v>1</v>
      </c>
      <c r="CN92" s="594" t="s">
        <v>249</v>
      </c>
      <c r="CO92" s="627"/>
      <c r="CP92" s="628"/>
      <c r="CQ92" s="629"/>
      <c r="CR92" s="630"/>
      <c r="CS92" s="598">
        <f>CS91+CS53</f>
        <v>36102.706181315982</v>
      </c>
      <c r="CT92" s="328">
        <f>CS92/$CS$92</f>
        <v>1</v>
      </c>
      <c r="CU92" s="594" t="s">
        <v>250</v>
      </c>
      <c r="CV92" s="627"/>
      <c r="CW92" s="628"/>
      <c r="CX92" s="629"/>
      <c r="CY92" s="630"/>
      <c r="CZ92" s="598">
        <f>CZ91+CZ53+CV98</f>
        <v>41991.036585728303</v>
      </c>
      <c r="DA92" s="328">
        <f>CZ92/$CZ$92</f>
        <v>1</v>
      </c>
    </row>
    <row r="93" spans="1:115" s="16" customFormat="1" ht="15.5" x14ac:dyDescent="0.35">
      <c r="A93" s="309" t="s">
        <v>215</v>
      </c>
      <c r="F93" s="310">
        <f>F16</f>
        <v>2700</v>
      </c>
      <c r="G93" s="311"/>
      <c r="H93" s="309" t="s">
        <v>215</v>
      </c>
      <c r="M93" s="310">
        <f>M16</f>
        <v>7281.0439024390253</v>
      </c>
      <c r="N93" s="311"/>
      <c r="O93" s="309" t="s">
        <v>215</v>
      </c>
      <c r="T93" s="310">
        <f>T16</f>
        <v>19497.160975609753</v>
      </c>
      <c r="U93" s="311"/>
      <c r="V93" s="309" t="s">
        <v>215</v>
      </c>
      <c r="AA93" s="310">
        <f>AA16</f>
        <v>25605.219512195119</v>
      </c>
      <c r="AB93" s="311"/>
      <c r="AC93" s="309" t="s">
        <v>215</v>
      </c>
      <c r="AH93" s="310">
        <f>AH16</f>
        <v>53091.482926829267</v>
      </c>
      <c r="AI93" s="311"/>
      <c r="AJ93" s="309" t="s">
        <v>215</v>
      </c>
      <c r="AO93" s="310">
        <f>AO16</f>
        <v>53091.482926829267</v>
      </c>
      <c r="AP93" s="311"/>
      <c r="AQ93" s="309" t="s">
        <v>215</v>
      </c>
      <c r="AV93" s="310">
        <f>AV16</f>
        <v>53091.482926829267</v>
      </c>
      <c r="AW93" s="311"/>
      <c r="AX93" s="309" t="s">
        <v>215</v>
      </c>
      <c r="BC93" s="310">
        <f>BC16</f>
        <v>53091.482926829267</v>
      </c>
      <c r="BD93" s="311"/>
      <c r="BE93" s="309" t="s">
        <v>215</v>
      </c>
      <c r="BJ93" s="310">
        <f>BJ16</f>
        <v>53091.482926829267</v>
      </c>
      <c r="BK93" s="311"/>
      <c r="BL93" s="309" t="s">
        <v>215</v>
      </c>
      <c r="BQ93" s="310">
        <f>BQ16</f>
        <v>53091.482926829267</v>
      </c>
      <c r="BR93" s="311"/>
      <c r="BS93" s="309" t="s">
        <v>215</v>
      </c>
      <c r="BX93" s="310">
        <f>BX16</f>
        <v>53091.482926829267</v>
      </c>
      <c r="BY93" s="311"/>
      <c r="BZ93" s="309" t="s">
        <v>215</v>
      </c>
      <c r="CE93" s="310">
        <f>CE16</f>
        <v>53091.482926829267</v>
      </c>
      <c r="CF93" s="311"/>
      <c r="CG93" s="309" t="s">
        <v>215</v>
      </c>
      <c r="CL93" s="310">
        <f>CL16</f>
        <v>48510.439024390238</v>
      </c>
      <c r="CM93" s="311"/>
      <c r="CN93" s="309" t="s">
        <v>215</v>
      </c>
      <c r="CS93" s="310">
        <f>CS16</f>
        <v>48510.439024390238</v>
      </c>
      <c r="CT93" s="311"/>
      <c r="CU93" s="309" t="s">
        <v>215</v>
      </c>
      <c r="CZ93" s="310">
        <f>CZ16</f>
        <v>48510.439024390238</v>
      </c>
      <c r="DA93" s="311"/>
    </row>
    <row r="94" spans="1:115" s="16" customFormat="1" ht="15.5" x14ac:dyDescent="0.35">
      <c r="A94" s="309" t="s">
        <v>221</v>
      </c>
      <c r="F94" s="310">
        <f>F93-F92</f>
        <v>-21330.357248500004</v>
      </c>
      <c r="G94" s="311"/>
      <c r="H94" s="309" t="s">
        <v>221</v>
      </c>
      <c r="M94" s="310">
        <f>M93-M92</f>
        <v>-17192.240229101149</v>
      </c>
      <c r="N94" s="311"/>
      <c r="O94" s="309" t="s">
        <v>221</v>
      </c>
      <c r="T94" s="310">
        <f>T93-T92</f>
        <v>-12878.21102478831</v>
      </c>
      <c r="U94" s="311"/>
      <c r="V94" s="309" t="s">
        <v>221</v>
      </c>
      <c r="AA94" s="310">
        <f>AA93-AA92</f>
        <v>-11077.012070836234</v>
      </c>
      <c r="AB94" s="311"/>
      <c r="AC94" s="309" t="s">
        <v>221</v>
      </c>
      <c r="AH94" s="310">
        <f>AH93-AH92</f>
        <v>15169.783767988585</v>
      </c>
      <c r="AI94" s="311"/>
      <c r="AJ94" s="309" t="s">
        <v>221</v>
      </c>
      <c r="AO94" s="310">
        <f>AO93-AO92</f>
        <v>15306.311821900483</v>
      </c>
      <c r="AP94" s="311"/>
      <c r="AQ94" s="309" t="s">
        <v>221</v>
      </c>
      <c r="AV94" s="310">
        <f>AV93-AV92</f>
        <v>12633.865293608687</v>
      </c>
      <c r="AW94" s="311"/>
      <c r="AX94" s="309" t="s">
        <v>221</v>
      </c>
      <c r="BC94" s="310">
        <f>BC93-BC92</f>
        <v>15557.773415940064</v>
      </c>
      <c r="BD94" s="311"/>
      <c r="BE94" s="309" t="s">
        <v>221</v>
      </c>
      <c r="BJ94" s="310">
        <f>BJ93-BJ92</f>
        <v>15697.793376683527</v>
      </c>
      <c r="BK94" s="311"/>
      <c r="BL94" s="309" t="s">
        <v>221</v>
      </c>
      <c r="BQ94" s="310">
        <f>BQ93-BQ92</f>
        <v>13028.87018238478</v>
      </c>
      <c r="BR94" s="311"/>
      <c r="BS94" s="309" t="s">
        <v>221</v>
      </c>
      <c r="BX94" s="310">
        <f>BX93-BX92</f>
        <v>15956.333348715139</v>
      </c>
      <c r="BY94" s="311"/>
      <c r="BZ94" s="309" t="s">
        <v>221</v>
      </c>
      <c r="CE94" s="310">
        <f>CE93-CE92</f>
        <v>16099.940348853575</v>
      </c>
      <c r="CF94" s="311"/>
      <c r="CG94" s="309" t="s">
        <v>221</v>
      </c>
      <c r="CL94" s="310">
        <f>CL93-CL92</f>
        <v>9511.9222085087822</v>
      </c>
      <c r="CM94" s="311"/>
      <c r="CN94" s="309" t="s">
        <v>221</v>
      </c>
      <c r="CS94" s="310">
        <f>CS93-CS92</f>
        <v>12407.732843074256</v>
      </c>
      <c r="CT94" s="311"/>
      <c r="CU94" s="309" t="s">
        <v>221</v>
      </c>
      <c r="CZ94" s="310">
        <f>CZ93-CZ92</f>
        <v>6519.4024386619349</v>
      </c>
      <c r="DA94" s="311"/>
    </row>
    <row r="95" spans="1:115" s="23" customFormat="1" ht="18.5" thickBot="1" x14ac:dyDescent="0.45">
      <c r="A95" s="291" t="s">
        <v>405</v>
      </c>
      <c r="B95" s="104"/>
      <c r="C95" s="260"/>
      <c r="D95" s="260"/>
      <c r="E95" s="360"/>
      <c r="F95" s="769">
        <f>'Variante Erstellung'!E155*(-1)</f>
        <v>-124765.91649999999</v>
      </c>
      <c r="G95" s="333"/>
      <c r="H95" s="291" t="s">
        <v>222</v>
      </c>
      <c r="I95" s="104"/>
      <c r="J95" s="260"/>
      <c r="K95" s="260"/>
      <c r="L95" s="360"/>
      <c r="M95" s="769">
        <f>F96</f>
        <v>-146096.27374849998</v>
      </c>
      <c r="N95" s="333"/>
      <c r="O95" s="291" t="s">
        <v>223</v>
      </c>
      <c r="P95" s="104"/>
      <c r="Q95" s="260"/>
      <c r="R95" s="260"/>
      <c r="S95" s="360"/>
      <c r="T95" s="769">
        <f>M96</f>
        <v>-163288.51397760111</v>
      </c>
      <c r="U95" s="333"/>
      <c r="V95" s="291" t="s">
        <v>224</v>
      </c>
      <c r="W95" s="104"/>
      <c r="X95" s="260"/>
      <c r="Y95" s="260"/>
      <c r="Z95" s="360"/>
      <c r="AA95" s="769">
        <f>T96</f>
        <v>-176166.7250023894</v>
      </c>
      <c r="AB95" s="333"/>
      <c r="AC95" s="291" t="s">
        <v>225</v>
      </c>
      <c r="AD95" s="104"/>
      <c r="AE95" s="260"/>
      <c r="AF95" s="260"/>
      <c r="AG95" s="360"/>
      <c r="AH95" s="769">
        <f>AA96</f>
        <v>-187243.73707322564</v>
      </c>
      <c r="AI95" s="333"/>
      <c r="AJ95" s="291" t="s">
        <v>226</v>
      </c>
      <c r="AK95" s="104"/>
      <c r="AL95" s="260"/>
      <c r="AM95" s="260"/>
      <c r="AN95" s="360"/>
      <c r="AO95" s="769">
        <f>AH96</f>
        <v>-172073.95330523705</v>
      </c>
      <c r="AP95" s="333"/>
      <c r="AQ95" s="291" t="s">
        <v>227</v>
      </c>
      <c r="AR95" s="104"/>
      <c r="AS95" s="260"/>
      <c r="AT95" s="260"/>
      <c r="AU95" s="360"/>
      <c r="AV95" s="769">
        <f>AO96</f>
        <v>-156767.64148333657</v>
      </c>
      <c r="AW95" s="333"/>
      <c r="AX95" s="291" t="s">
        <v>228</v>
      </c>
      <c r="AY95" s="104"/>
      <c r="AZ95" s="260"/>
      <c r="BA95" s="260"/>
      <c r="BB95" s="360"/>
      <c r="BC95" s="769">
        <f>AV96</f>
        <v>-144133.77618972788</v>
      </c>
      <c r="BD95" s="333"/>
      <c r="BE95" s="291" t="s">
        <v>229</v>
      </c>
      <c r="BF95" s="104"/>
      <c r="BG95" s="260"/>
      <c r="BH95" s="260"/>
      <c r="BI95" s="360"/>
      <c r="BJ95" s="769">
        <f>BC96</f>
        <v>-128576.00277378781</v>
      </c>
      <c r="BK95" s="333"/>
      <c r="BL95" s="291" t="s">
        <v>230</v>
      </c>
      <c r="BM95" s="104"/>
      <c r="BN95" s="260"/>
      <c r="BO95" s="260"/>
      <c r="BP95" s="360"/>
      <c r="BQ95" s="769">
        <f>BJ96</f>
        <v>-112878.20939710429</v>
      </c>
      <c r="BR95" s="333"/>
      <c r="BS95" s="291" t="s">
        <v>231</v>
      </c>
      <c r="BT95" s="104"/>
      <c r="BU95" s="260"/>
      <c r="BV95" s="260"/>
      <c r="BW95" s="360"/>
      <c r="BX95" s="769">
        <f>BQ96</f>
        <v>-99849.339214719526</v>
      </c>
      <c r="BY95" s="333"/>
      <c r="BZ95" s="291" t="s">
        <v>232</v>
      </c>
      <c r="CA95" s="104"/>
      <c r="CB95" s="260"/>
      <c r="CC95" s="260"/>
      <c r="CD95" s="360"/>
      <c r="CE95" s="769">
        <f>BX96</f>
        <v>-83893.005866004372</v>
      </c>
      <c r="CF95" s="333"/>
      <c r="CG95" s="291" t="s">
        <v>233</v>
      </c>
      <c r="CH95" s="104"/>
      <c r="CI95" s="260"/>
      <c r="CJ95" s="260"/>
      <c r="CK95" s="360"/>
      <c r="CL95" s="769">
        <f>CE96</f>
        <v>-67793.065517150797</v>
      </c>
      <c r="CM95" s="333"/>
      <c r="CN95" s="291" t="s">
        <v>234</v>
      </c>
      <c r="CO95" s="104"/>
      <c r="CP95" s="260"/>
      <c r="CQ95" s="260"/>
      <c r="CR95" s="360"/>
      <c r="CS95" s="769">
        <f>CL96</f>
        <v>-58281.143308642007</v>
      </c>
      <c r="CT95" s="333"/>
      <c r="CU95" s="291" t="s">
        <v>235</v>
      </c>
      <c r="CV95" s="104"/>
      <c r="CW95" s="260"/>
      <c r="CX95" s="260"/>
      <c r="CY95" s="360"/>
      <c r="CZ95" s="769">
        <f>CS96</f>
        <v>-45873.410465567758</v>
      </c>
      <c r="DA95" s="333"/>
    </row>
    <row r="96" spans="1:115" s="323" customFormat="1" ht="24" customHeight="1" x14ac:dyDescent="0.4">
      <c r="A96" s="322" t="s">
        <v>222</v>
      </c>
      <c r="F96" s="324">
        <f>F95-F92+F93</f>
        <v>-146096.27374849998</v>
      </c>
      <c r="G96" s="329"/>
      <c r="H96" s="322" t="s">
        <v>223</v>
      </c>
      <c r="M96" s="324">
        <f>((M92)*(-1))+M95+M93</f>
        <v>-163288.51397760111</v>
      </c>
      <c r="N96" s="329"/>
      <c r="O96" s="322" t="s">
        <v>224</v>
      </c>
      <c r="T96" s="324">
        <f>((T92)*(-1))+T95+T93</f>
        <v>-176166.7250023894</v>
      </c>
      <c r="U96" s="329"/>
      <c r="V96" s="322" t="s">
        <v>225</v>
      </c>
      <c r="AA96" s="324">
        <f>((AA92)*(-1))+AA95+AA93</f>
        <v>-187243.73707322564</v>
      </c>
      <c r="AB96" s="329"/>
      <c r="AC96" s="322" t="s">
        <v>226</v>
      </c>
      <c r="AH96" s="324">
        <f>((AH92)*(-1))+AH95+AH93</f>
        <v>-172073.95330523705</v>
      </c>
      <c r="AI96" s="329"/>
      <c r="AJ96" s="322" t="s">
        <v>227</v>
      </c>
      <c r="AO96" s="324">
        <f>((AO92)*(-1))+AO95+AO93</f>
        <v>-156767.64148333657</v>
      </c>
      <c r="AP96" s="329"/>
      <c r="AQ96" s="322" t="s">
        <v>228</v>
      </c>
      <c r="AV96" s="324">
        <f>((AV92)*(-1))+AV95+AV93</f>
        <v>-144133.77618972788</v>
      </c>
      <c r="AW96" s="329"/>
      <c r="AX96" s="322" t="s">
        <v>229</v>
      </c>
      <c r="BC96" s="324">
        <f>((BC92)*(-1))+BC95+BC93</f>
        <v>-128576.00277378781</v>
      </c>
      <c r="BD96" s="329"/>
      <c r="BE96" s="322" t="s">
        <v>230</v>
      </c>
      <c r="BJ96" s="324">
        <f>((BJ92)*(-1))+BJ95+BJ93</f>
        <v>-112878.20939710429</v>
      </c>
      <c r="BK96" s="329"/>
      <c r="BL96" s="322" t="s">
        <v>231</v>
      </c>
      <c r="BQ96" s="324">
        <f>((BQ92)*(-1))+BQ95+BQ93</f>
        <v>-99849.339214719526</v>
      </c>
      <c r="BR96" s="329"/>
      <c r="BS96" s="322" t="s">
        <v>232</v>
      </c>
      <c r="BX96" s="324">
        <f>((BX92)*(-1))+BX95+BX93</f>
        <v>-83893.005866004372</v>
      </c>
      <c r="BY96" s="329"/>
      <c r="BZ96" s="322" t="s">
        <v>233</v>
      </c>
      <c r="CE96" s="324">
        <f>((CE92)*(-1))+CE95+CE93</f>
        <v>-67793.065517150797</v>
      </c>
      <c r="CF96" s="329"/>
      <c r="CG96" s="322" t="s">
        <v>234</v>
      </c>
      <c r="CL96" s="324">
        <f>((CL92)*(-1))+CL95+CL93</f>
        <v>-58281.143308642007</v>
      </c>
      <c r="CM96" s="329"/>
      <c r="CN96" s="322" t="s">
        <v>235</v>
      </c>
      <c r="CS96" s="324">
        <f>((CS92)*(-1))+CS95+CS93</f>
        <v>-45873.410465567758</v>
      </c>
      <c r="CT96" s="329"/>
      <c r="CU96" s="322" t="s">
        <v>236</v>
      </c>
      <c r="CZ96" s="324">
        <f>((CZ92)*(-1))+CZ95+CZ93</f>
        <v>-39354.008026905831</v>
      </c>
      <c r="DA96" s="329"/>
      <c r="DB96" s="316"/>
      <c r="DC96" s="316"/>
      <c r="DD96" s="316"/>
      <c r="DE96" s="316"/>
      <c r="DF96" s="316"/>
      <c r="DG96" s="319"/>
      <c r="DH96" s="319"/>
      <c r="DI96" s="319"/>
      <c r="DJ96" s="319"/>
      <c r="DK96" s="319"/>
    </row>
    <row r="97" spans="1:105" s="327" customFormat="1" ht="15.5" x14ac:dyDescent="0.35">
      <c r="A97" s="325" t="s">
        <v>64</v>
      </c>
      <c r="B97" s="325"/>
      <c r="C97" s="326"/>
      <c r="D97" s="326"/>
      <c r="E97" s="326"/>
      <c r="F97" s="326">
        <f>F96*(-1)</f>
        <v>146096.27374849998</v>
      </c>
      <c r="G97" s="326"/>
      <c r="H97" s="325" t="s">
        <v>64</v>
      </c>
      <c r="I97" s="325"/>
      <c r="J97" s="326"/>
      <c r="K97" s="326"/>
      <c r="L97" s="326"/>
      <c r="M97" s="326">
        <f>M96*(-1)</f>
        <v>163288.51397760111</v>
      </c>
      <c r="N97" s="326"/>
      <c r="O97" s="325" t="s">
        <v>64</v>
      </c>
      <c r="P97" s="325"/>
      <c r="Q97" s="326"/>
      <c r="R97" s="326"/>
      <c r="S97" s="326"/>
      <c r="T97" s="326">
        <f>T96*(-1)</f>
        <v>176166.7250023894</v>
      </c>
      <c r="U97" s="326"/>
      <c r="V97" s="325" t="s">
        <v>64</v>
      </c>
      <c r="W97" s="325"/>
      <c r="X97" s="326"/>
      <c r="Y97" s="326"/>
      <c r="Z97" s="326"/>
      <c r="AA97" s="326">
        <f>T97-($T$97/'Variante Vorgaben'!$B$29)</f>
        <v>161486.16458552363</v>
      </c>
      <c r="AB97" s="326"/>
      <c r="AC97" s="325" t="s">
        <v>64</v>
      </c>
      <c r="AD97" s="325"/>
      <c r="AE97" s="326"/>
      <c r="AF97" s="326"/>
      <c r="AG97" s="326"/>
      <c r="AH97" s="326">
        <f>AA97-($T$97/'Variante Vorgaben'!$B$29)</f>
        <v>146805.60416865785</v>
      </c>
      <c r="AI97" s="326"/>
      <c r="AJ97" s="325" t="s">
        <v>64</v>
      </c>
      <c r="AK97" s="325"/>
      <c r="AL97" s="326"/>
      <c r="AM97" s="326"/>
      <c r="AN97" s="326"/>
      <c r="AO97" s="326">
        <f>AH97-($T$97/'Variante Vorgaben'!$B$29)</f>
        <v>132125.04375179208</v>
      </c>
      <c r="AP97" s="326"/>
      <c r="AQ97" s="325" t="s">
        <v>64</v>
      </c>
      <c r="AR97" s="325"/>
      <c r="AS97" s="326"/>
      <c r="AT97" s="326"/>
      <c r="AU97" s="326"/>
      <c r="AV97" s="326">
        <f>AO97-($T$97/'Variante Vorgaben'!$B$29)</f>
        <v>117444.48333492629</v>
      </c>
      <c r="AW97" s="326"/>
      <c r="AX97" s="325" t="s">
        <v>64</v>
      </c>
      <c r="AY97" s="325"/>
      <c r="AZ97" s="326"/>
      <c r="BA97" s="326"/>
      <c r="BB97" s="326"/>
      <c r="BC97" s="326">
        <f>AV97-($T$97/'Variante Vorgaben'!$B$29)</f>
        <v>102763.9229180605</v>
      </c>
      <c r="BD97" s="326"/>
      <c r="BE97" s="325" t="s">
        <v>64</v>
      </c>
      <c r="BF97" s="325"/>
      <c r="BG97" s="326"/>
      <c r="BH97" s="326"/>
      <c r="BI97" s="326"/>
      <c r="BJ97" s="326">
        <f>BC97-($T$97/'Variante Vorgaben'!$B$29)</f>
        <v>88083.362501194715</v>
      </c>
      <c r="BK97" s="326"/>
      <c r="BL97" s="325" t="s">
        <v>64</v>
      </c>
      <c r="BM97" s="325"/>
      <c r="BN97" s="326"/>
      <c r="BO97" s="326"/>
      <c r="BP97" s="326"/>
      <c r="BQ97" s="326">
        <f>BJ97-($T$97/'Variante Vorgaben'!$B$29)</f>
        <v>73402.802084328927</v>
      </c>
      <c r="BR97" s="326"/>
      <c r="BS97" s="325" t="s">
        <v>64</v>
      </c>
      <c r="BT97" s="325"/>
      <c r="BU97" s="326"/>
      <c r="BV97" s="326"/>
      <c r="BW97" s="326"/>
      <c r="BX97" s="326">
        <f>BQ97-($T$97/'Variante Vorgaben'!$B$29)</f>
        <v>58722.241667463146</v>
      </c>
      <c r="BY97" s="326"/>
      <c r="BZ97" s="325" t="s">
        <v>64</v>
      </c>
      <c r="CA97" s="325"/>
      <c r="CB97" s="326"/>
      <c r="CC97" s="326"/>
      <c r="CD97" s="326"/>
      <c r="CE97" s="326">
        <f>BX97-($T$97/'Variante Vorgaben'!$B$29)</f>
        <v>44041.681250597365</v>
      </c>
      <c r="CF97" s="326"/>
      <c r="CG97" s="325" t="s">
        <v>64</v>
      </c>
      <c r="CH97" s="325"/>
      <c r="CI97" s="326"/>
      <c r="CJ97" s="326"/>
      <c r="CK97" s="326"/>
      <c r="CL97" s="326">
        <f>CE97-($T$97/'Variante Vorgaben'!$B$29)</f>
        <v>29361.120833731584</v>
      </c>
      <c r="CM97" s="326"/>
      <c r="CN97" s="325" t="s">
        <v>64</v>
      </c>
      <c r="CO97" s="325"/>
      <c r="CP97" s="326"/>
      <c r="CQ97" s="326"/>
      <c r="CR97" s="326"/>
      <c r="CS97" s="326">
        <f>CL97-($T$97/'Variante Vorgaben'!$B$29)</f>
        <v>14680.560416865801</v>
      </c>
      <c r="CT97" s="326"/>
      <c r="CU97" s="325" t="s">
        <v>64</v>
      </c>
      <c r="CV97" s="325"/>
      <c r="CW97" s="326"/>
      <c r="CX97" s="326"/>
      <c r="CY97" s="326"/>
      <c r="CZ97" s="326">
        <f>CS97-($T$97/'Variante Vorgaben'!$B$29)</f>
        <v>1.8189894035458565E-11</v>
      </c>
      <c r="DA97" s="326"/>
    </row>
    <row r="98" spans="1:105" x14ac:dyDescent="0.3">
      <c r="A98"/>
      <c r="B98"/>
      <c r="C98"/>
      <c r="D98"/>
      <c r="E98"/>
      <c r="F98"/>
      <c r="G98"/>
      <c r="H98" s="212"/>
      <c r="I98"/>
      <c r="O98" s="224"/>
      <c r="P98" s="17"/>
      <c r="Q98" s="17"/>
      <c r="R98" s="17"/>
      <c r="S98" s="17"/>
      <c r="T98" s="112"/>
      <c r="CU98" s="334" t="s">
        <v>130</v>
      </c>
      <c r="CV98" s="146">
        <f>'Variante Vorgaben'!C38</f>
        <v>6000</v>
      </c>
    </row>
  </sheetData>
  <mergeCells count="90">
    <mergeCell ref="DA7:DA8"/>
    <mergeCell ref="BK7:BK8"/>
    <mergeCell ref="BR7:BR8"/>
    <mergeCell ref="BY7:BY8"/>
    <mergeCell ref="CF7:CF8"/>
    <mergeCell ref="CP7:CQ7"/>
    <mergeCell ref="CI7:CJ7"/>
    <mergeCell ref="CM7:CM8"/>
    <mergeCell ref="CT7:CT8"/>
    <mergeCell ref="CW7:CX7"/>
    <mergeCell ref="BN7:BO7"/>
    <mergeCell ref="BU7:BV7"/>
    <mergeCell ref="CB7:CC7"/>
    <mergeCell ref="BG7:BH7"/>
    <mergeCell ref="Q7:R7"/>
    <mergeCell ref="X7:Y7"/>
    <mergeCell ref="AE7:AF7"/>
    <mergeCell ref="N7:N8"/>
    <mergeCell ref="U7:U8"/>
    <mergeCell ref="AB7:AB8"/>
    <mergeCell ref="AI7:AI8"/>
    <mergeCell ref="AP7:AP8"/>
    <mergeCell ref="AW7:AW8"/>
    <mergeCell ref="BD7:BD8"/>
    <mergeCell ref="AL7:AM7"/>
    <mergeCell ref="AS7:AT7"/>
    <mergeCell ref="AZ7:BA7"/>
    <mergeCell ref="AZ6:BD6"/>
    <mergeCell ref="CI6:CM6"/>
    <mergeCell ref="CP6:CT6"/>
    <mergeCell ref="CW6:DA6"/>
    <mergeCell ref="BG6:BK6"/>
    <mergeCell ref="BN6:BR6"/>
    <mergeCell ref="BU6:BY6"/>
    <mergeCell ref="CB6:CF6"/>
    <mergeCell ref="Q6:U6"/>
    <mergeCell ref="X6:AB6"/>
    <mergeCell ref="AE6:AI6"/>
    <mergeCell ref="AL6:AP6"/>
    <mergeCell ref="AS6:AW6"/>
    <mergeCell ref="A42:A44"/>
    <mergeCell ref="J6:N6"/>
    <mergeCell ref="J7:K7"/>
    <mergeCell ref="H42:H44"/>
    <mergeCell ref="C7:D7"/>
    <mergeCell ref="C6:G6"/>
    <mergeCell ref="G7:G8"/>
    <mergeCell ref="A24:A30"/>
    <mergeCell ref="A31:A36"/>
    <mergeCell ref="H24:H30"/>
    <mergeCell ref="H31:H36"/>
    <mergeCell ref="AJ42:AJ44"/>
    <mergeCell ref="AQ42:AQ44"/>
    <mergeCell ref="V42:V44"/>
    <mergeCell ref="AC42:AC44"/>
    <mergeCell ref="O42:O44"/>
    <mergeCell ref="AX42:AX44"/>
    <mergeCell ref="BE42:BE44"/>
    <mergeCell ref="AX24:AX29"/>
    <mergeCell ref="BE24:BE29"/>
    <mergeCell ref="BE31:BE36"/>
    <mergeCell ref="BZ42:BZ44"/>
    <mergeCell ref="CG42:CG44"/>
    <mergeCell ref="CN42:CN44"/>
    <mergeCell ref="CU42:CU44"/>
    <mergeCell ref="BL42:BL44"/>
    <mergeCell ref="BS42:BS44"/>
    <mergeCell ref="CU24:CU29"/>
    <mergeCell ref="O24:O29"/>
    <mergeCell ref="V24:V29"/>
    <mergeCell ref="AC24:AC29"/>
    <mergeCell ref="AJ24:AJ29"/>
    <mergeCell ref="AQ24:AQ29"/>
    <mergeCell ref="BL24:BL29"/>
    <mergeCell ref="BS24:BS29"/>
    <mergeCell ref="BZ24:BZ29"/>
    <mergeCell ref="CG24:CG29"/>
    <mergeCell ref="CN24:CN29"/>
    <mergeCell ref="CU31:CU36"/>
    <mergeCell ref="O31:O36"/>
    <mergeCell ref="V31:V36"/>
    <mergeCell ref="AC31:AC36"/>
    <mergeCell ref="AJ31:AJ36"/>
    <mergeCell ref="AQ31:AQ36"/>
    <mergeCell ref="AX31:AX36"/>
    <mergeCell ref="BL31:BL36"/>
    <mergeCell ref="BS31:BS36"/>
    <mergeCell ref="BZ31:BZ36"/>
    <mergeCell ref="CG31:CG36"/>
    <mergeCell ref="CN31:CN36"/>
  </mergeCells>
  <phoneticPr fontId="0" type="noConversion"/>
  <pageMargins left="0.78740157499999996" right="0.78740157499999996" top="0.984251969" bottom="0.984251969" header="0.4921259845" footer="0.4921259845"/>
  <pageSetup paperSize="9" orientation="portrait" r:id="rId1"/>
  <headerFooter alignWithMargins="0">
    <oddHeader>&amp;LArbokost BIO 2008/09&amp;REsther Bravin, ACW</oddHeader>
  </headerFooter>
  <colBreaks count="4" manualBreakCount="4">
    <brk id="7" max="1048575" man="1"/>
    <brk id="14" max="1048575" man="1"/>
    <brk id="21" max="1048575" man="1"/>
    <brk id="42" max="1048575"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tandardErtragsphase1">
    <tabColor indexed="8"/>
  </sheetPr>
  <dimension ref="A1:M216"/>
  <sheetViews>
    <sheetView topLeftCell="A40" zoomScaleNormal="100" workbookViewId="0">
      <selection activeCell="C51" sqref="C51"/>
    </sheetView>
  </sheetViews>
  <sheetFormatPr baseColWidth="10" defaultRowHeight="12.5" x14ac:dyDescent="0.25"/>
  <cols>
    <col min="1" max="1" width="32.81640625" customWidth="1"/>
    <col min="2" max="2" width="27" customWidth="1"/>
    <col min="3" max="3" width="15.81640625" customWidth="1"/>
    <col min="4" max="4" width="14.1796875" customWidth="1"/>
    <col min="5" max="5" width="18.54296875" customWidth="1"/>
    <col min="6" max="6" width="20.7265625" customWidth="1"/>
    <col min="7" max="7" width="10.81640625" style="1" customWidth="1"/>
    <col min="8" max="8" width="10.54296875" customWidth="1"/>
    <col min="9" max="9" width="15.36328125" customWidth="1"/>
    <col min="10" max="10" width="23.36328125" style="10" bestFit="1" customWidth="1"/>
    <col min="11" max="11" width="11.36328125" style="14" customWidth="1"/>
    <col min="12" max="12" width="14.1796875" bestFit="1" customWidth="1"/>
  </cols>
  <sheetData>
    <row r="1" spans="1:11" ht="42.75" customHeight="1" x14ac:dyDescent="0.35">
      <c r="A1" s="1287" t="str">
        <f>'Variante Erstellung'!$A$1</f>
        <v>Arbokost 2023</v>
      </c>
      <c r="B1" s="1284" t="str">
        <f>'Variante Standjahre'!B1</f>
        <v>BIO- Tafelapfel, Gala auf M9, 3000 Bäume /ha</v>
      </c>
      <c r="C1" s="773"/>
      <c r="D1" s="774"/>
      <c r="E1" s="775"/>
      <c r="F1" s="776"/>
      <c r="G1" s="777"/>
      <c r="J1"/>
      <c r="K1"/>
    </row>
    <row r="2" spans="1:11" ht="23.25" customHeight="1" x14ac:dyDescent="0.35">
      <c r="A2" s="993" t="s">
        <v>469</v>
      </c>
      <c r="B2" s="1012"/>
      <c r="C2" s="773"/>
      <c r="D2" s="774"/>
      <c r="E2" s="775"/>
      <c r="F2" s="776"/>
      <c r="G2" s="777"/>
      <c r="J2"/>
      <c r="K2"/>
    </row>
    <row r="3" spans="1:11" ht="18" customHeight="1" x14ac:dyDescent="0.8">
      <c r="A3" s="818"/>
      <c r="B3" s="1012"/>
      <c r="C3" s="773"/>
      <c r="D3" s="774"/>
      <c r="E3" s="775"/>
      <c r="F3" s="776"/>
      <c r="G3" s="777"/>
      <c r="J3"/>
      <c r="K3"/>
    </row>
    <row r="4" spans="1:11" ht="18.75" customHeight="1" x14ac:dyDescent="0.25">
      <c r="A4" s="838"/>
      <c r="B4" s="839">
        <f>'Variante Vorgaben'!B24</f>
        <v>3000</v>
      </c>
      <c r="C4" s="991"/>
      <c r="D4" s="991"/>
      <c r="E4" s="991"/>
      <c r="F4" s="1027" t="s">
        <v>451</v>
      </c>
      <c r="G4" s="564"/>
      <c r="H4" s="1"/>
      <c r="I4" s="1"/>
    </row>
    <row r="5" spans="1:11" ht="25" x14ac:dyDescent="0.5">
      <c r="A5" s="1446" t="s">
        <v>431</v>
      </c>
      <c r="B5" s="1446"/>
      <c r="C5" s="1446"/>
      <c r="D5" s="1446"/>
      <c r="E5" s="1446"/>
      <c r="F5" s="1446"/>
      <c r="G5" s="1447"/>
    </row>
    <row r="6" spans="1:11" s="1" customFormat="1" ht="20" x14ac:dyDescent="0.4">
      <c r="A6" s="19"/>
      <c r="B6" s="275"/>
      <c r="C6" s="19"/>
      <c r="D6" s="840"/>
      <c r="E6" s="841"/>
      <c r="F6" s="841"/>
      <c r="G6" s="842"/>
      <c r="J6" s="35"/>
      <c r="K6" s="124"/>
    </row>
    <row r="7" spans="1:11" s="1" customFormat="1" ht="15.5" x14ac:dyDescent="0.35">
      <c r="A7" s="19"/>
      <c r="B7" s="19"/>
      <c r="C7" s="1440" t="s">
        <v>361</v>
      </c>
      <c r="D7" s="1440"/>
      <c r="E7" s="843" t="s">
        <v>362</v>
      </c>
      <c r="F7" s="811" t="s">
        <v>363</v>
      </c>
      <c r="G7" s="1430" t="s">
        <v>364</v>
      </c>
      <c r="I7" s="2"/>
      <c r="J7" s="35"/>
      <c r="K7" s="124"/>
    </row>
    <row r="8" spans="1:11" s="1" customFormat="1" x14ac:dyDescent="0.25">
      <c r="C8" s="185" t="s">
        <v>70</v>
      </c>
      <c r="D8" s="185" t="s">
        <v>55</v>
      </c>
      <c r="E8" s="225" t="s">
        <v>156</v>
      </c>
      <c r="F8" s="844" t="s">
        <v>22</v>
      </c>
      <c r="G8" s="1448"/>
      <c r="J8" s="35"/>
      <c r="K8" s="124"/>
    </row>
    <row r="9" spans="1:11" s="1" customFormat="1" ht="13" x14ac:dyDescent="0.3">
      <c r="A9" s="75"/>
      <c r="B9" s="87" t="str">
        <f>'Variante Vorgaben'!B50</f>
        <v>Tafeläpfel BIO</v>
      </c>
      <c r="C9" s="82">
        <f>D9/$B$4</f>
        <v>6.205000000000001</v>
      </c>
      <c r="D9" s="47">
        <f>D13*G9</f>
        <v>18615.000000000004</v>
      </c>
      <c r="E9" s="45">
        <f>'Variante Vorgaben'!B68</f>
        <v>2.3999999999999995</v>
      </c>
      <c r="F9" s="46">
        <f>D9*E9</f>
        <v>44676</v>
      </c>
      <c r="G9" s="61">
        <f>'Variante Vorgaben'!B89</f>
        <v>0.73000000000000009</v>
      </c>
      <c r="J9" s="35"/>
      <c r="K9" s="124"/>
    </row>
    <row r="10" spans="1:11" s="1" customFormat="1" ht="13" x14ac:dyDescent="0.3">
      <c r="B10" s="75" t="str">
        <f>'Variante Vorgaben'!C50</f>
        <v>Kochobst BIO</v>
      </c>
      <c r="C10" s="82">
        <f>D10/$B$4</f>
        <v>0.42499999999999999</v>
      </c>
      <c r="D10" s="47">
        <f>$D$13*G10</f>
        <v>1275</v>
      </c>
      <c r="E10" s="45">
        <f>'Variante Vorgaben'!C68</f>
        <v>0.59999999999999987</v>
      </c>
      <c r="F10" s="46">
        <f>D10*E10</f>
        <v>764.99999999999989</v>
      </c>
      <c r="G10" s="61">
        <f>'Variante Vorgaben'!C89</f>
        <v>4.9999999999999996E-2</v>
      </c>
      <c r="J10" s="35"/>
      <c r="K10" s="124"/>
    </row>
    <row r="11" spans="1:11" s="19" customFormat="1" ht="13" x14ac:dyDescent="0.3">
      <c r="A11" s="145"/>
      <c r="B11" s="87" t="str">
        <f>'Variante Vorgaben'!D50</f>
        <v>Mostobst BIO</v>
      </c>
      <c r="C11" s="82">
        <f>D11/$B$4</f>
        <v>1.5299999999999998</v>
      </c>
      <c r="D11" s="47">
        <f>D13*G11</f>
        <v>4589.9999999999991</v>
      </c>
      <c r="E11" s="45">
        <f>'Variante Vorgaben'!D68</f>
        <v>0.33</v>
      </c>
      <c r="F11" s="46">
        <f>D11*E11</f>
        <v>1514.6999999999998</v>
      </c>
      <c r="G11" s="61">
        <f>'Variante Vorgaben'!G89</f>
        <v>0.17999999999999997</v>
      </c>
      <c r="J11" s="44"/>
      <c r="K11" s="131"/>
    </row>
    <row r="12" spans="1:11" s="19" customFormat="1" ht="13.5" thickBot="1" x14ac:dyDescent="0.35">
      <c r="A12" s="145"/>
      <c r="B12" s="87" t="str">
        <f>Eingabeseite!A14</f>
        <v>Sortierabgang faul</v>
      </c>
      <c r="C12" s="845">
        <f>D12/$B$4</f>
        <v>0.34</v>
      </c>
      <c r="D12" s="262">
        <f>D13*G12</f>
        <v>1020</v>
      </c>
      <c r="E12" s="395">
        <f>'Variante Vorgaben'!E68</f>
        <v>0</v>
      </c>
      <c r="F12" s="474">
        <f>D12*E12</f>
        <v>0</v>
      </c>
      <c r="G12" s="846">
        <f>'Variante Vorgaben'!F89</f>
        <v>0.04</v>
      </c>
      <c r="J12" s="44"/>
      <c r="K12" s="131"/>
    </row>
    <row r="13" spans="1:11" s="1" customFormat="1" ht="14.25" customHeight="1" x14ac:dyDescent="0.3">
      <c r="B13" s="87"/>
      <c r="C13" s="59">
        <f>SUM(C9:C12)</f>
        <v>8.5</v>
      </c>
      <c r="D13" s="313">
        <f>'Variante Vorgaben'!F68</f>
        <v>25500</v>
      </c>
      <c r="E13" s="60">
        <f>F13/D13</f>
        <v>1.8413999999999999</v>
      </c>
      <c r="F13" s="83">
        <f>SUM(F9:F12)</f>
        <v>46955.7</v>
      </c>
      <c r="G13" s="61">
        <f>SUM(G8:G12)</f>
        <v>1</v>
      </c>
      <c r="I13" s="8"/>
      <c r="J13" s="35"/>
      <c r="K13" s="124"/>
    </row>
    <row r="14" spans="1:11" s="1" customFormat="1" ht="19.5" customHeight="1" x14ac:dyDescent="0.3">
      <c r="B14" s="87"/>
      <c r="C14" s="59"/>
      <c r="D14" s="313"/>
      <c r="E14" s="60"/>
      <c r="F14" s="83"/>
      <c r="G14" s="61"/>
      <c r="I14" s="8"/>
      <c r="J14" s="35"/>
      <c r="K14" s="124"/>
    </row>
    <row r="15" spans="1:11" s="1" customFormat="1" ht="12.25" customHeight="1" thickBot="1" x14ac:dyDescent="0.35">
      <c r="A15" s="41"/>
      <c r="B15" s="87" t="str">
        <f>'Variante Vorgaben'!A39</f>
        <v>Direktzahlungen ÖLN + BIO</v>
      </c>
      <c r="C15" s="58"/>
      <c r="D15" s="59"/>
      <c r="E15" s="60"/>
      <c r="F15" s="634">
        <f>'Variante Vorgaben'!C39</f>
        <v>2700</v>
      </c>
      <c r="G15" s="61"/>
      <c r="I15" s="343"/>
      <c r="J15" s="35"/>
      <c r="K15" s="124"/>
    </row>
    <row r="16" spans="1:11" ht="24" customHeight="1" x14ac:dyDescent="0.5">
      <c r="A16" s="847" t="s">
        <v>365</v>
      </c>
      <c r="B16" s="831"/>
      <c r="C16" s="831"/>
      <c r="D16" s="831"/>
      <c r="E16" s="831"/>
      <c r="F16" s="598">
        <f>SUM(F13:F15)</f>
        <v>49655.7</v>
      </c>
      <c r="G16" s="831"/>
    </row>
    <row r="17" spans="1:8" ht="24" customHeight="1" x14ac:dyDescent="0.3">
      <c r="A17" s="41" t="s">
        <v>29</v>
      </c>
      <c r="B17" s="42"/>
      <c r="C17" s="185" t="s">
        <v>11</v>
      </c>
      <c r="D17" s="185" t="s">
        <v>137</v>
      </c>
      <c r="E17" s="225" t="s">
        <v>56</v>
      </c>
      <c r="F17" s="848" t="s">
        <v>13</v>
      </c>
      <c r="G17" s="185" t="s">
        <v>57</v>
      </c>
    </row>
    <row r="18" spans="1:8" ht="13" x14ac:dyDescent="0.3">
      <c r="A18" s="41"/>
      <c r="B18" s="1171" t="str">
        <f>'Variante Vorgaben'!$B$103</f>
        <v>BIORGA N (12%)</v>
      </c>
      <c r="C18" s="753">
        <f>'Variante Vorgaben'!$B$115</f>
        <v>1</v>
      </c>
      <c r="D18" s="106">
        <f>'Variante Vorgaben'!$B$114</f>
        <v>500</v>
      </c>
      <c r="E18" s="107">
        <f>'Variante Vorgaben'!$B$104</f>
        <v>1.22</v>
      </c>
      <c r="F18" s="30">
        <f>C18*D18*E18</f>
        <v>610</v>
      </c>
      <c r="G18" s="135">
        <f>F18/$F$102</f>
        <v>1.1752312527085095E-2</v>
      </c>
    </row>
    <row r="19" spans="1:8" ht="13" x14ac:dyDescent="0.3">
      <c r="A19" s="17"/>
      <c r="B19" s="1171" t="str">
        <f>'Variante Vorgaben'!$C$103</f>
        <v>Organisches Dünger (Kompost) Trockensubstanz</v>
      </c>
      <c r="C19" s="1269">
        <f>('Variante Vorgaben'!C109/3)</f>
        <v>5</v>
      </c>
      <c r="D19" s="106">
        <f>'Variante Vorgaben'!$C$114</f>
        <v>25000</v>
      </c>
      <c r="E19" s="107">
        <f>'Variante Vorgaben'!$C$104</f>
        <v>0.02</v>
      </c>
      <c r="F19" s="30">
        <f>D19*E19/3</f>
        <v>166.66666666666666</v>
      </c>
      <c r="G19" s="135">
        <f>F19/$F$102</f>
        <v>3.2110143516625943E-3</v>
      </c>
    </row>
    <row r="20" spans="1:8" ht="13.5" thickBot="1" x14ac:dyDescent="0.35">
      <c r="A20" s="17"/>
      <c r="B20" s="1171" t="str">
        <f>'Variante Vorgaben'!$E$103</f>
        <v>Magnesiumkalk Dolomit (18%)</v>
      </c>
      <c r="C20" s="741">
        <f>'Variante Vorgaben'!$E$115</f>
        <v>1</v>
      </c>
      <c r="D20" s="1175">
        <f>'Variante Vorgaben'!$E$114</f>
        <v>100</v>
      </c>
      <c r="E20" s="1174">
        <f>'Variante Vorgaben'!$E$104</f>
        <v>0.43</v>
      </c>
      <c r="F20" s="763">
        <f>C20*D20*E20</f>
        <v>43</v>
      </c>
      <c r="G20" s="135"/>
    </row>
    <row r="21" spans="1:8" ht="13" x14ac:dyDescent="0.3">
      <c r="A21" s="72"/>
      <c r="B21" s="29"/>
      <c r="C21" s="216">
        <f>SUM(C18:C20)</f>
        <v>7</v>
      </c>
      <c r="D21" s="11"/>
      <c r="E21" s="107"/>
      <c r="F21" s="112">
        <f>SUM(F18:F20)</f>
        <v>819.66666666666663</v>
      </c>
      <c r="G21" s="555">
        <f>F21/$F$102</f>
        <v>1.5791768581476639E-2</v>
      </c>
    </row>
    <row r="22" spans="1:8" ht="13" x14ac:dyDescent="0.3">
      <c r="A22" s="72" t="s">
        <v>347</v>
      </c>
      <c r="B22" s="29" t="s">
        <v>437</v>
      </c>
      <c r="C22" s="11"/>
      <c r="D22" s="11"/>
      <c r="E22" s="107"/>
      <c r="F22" s="107"/>
      <c r="G22" s="135"/>
    </row>
    <row r="23" spans="1:8" ht="18.75" customHeight="1" x14ac:dyDescent="0.25">
      <c r="A23" s="1417" t="s">
        <v>298</v>
      </c>
      <c r="B23" s="13" t="str">
        <f>'Variante Vorgaben'!$B119</f>
        <v>Tonerde (Myko Sin)</v>
      </c>
      <c r="C23" s="11">
        <f>'Variante Vorgaben'!$C119</f>
        <v>6</v>
      </c>
      <c r="D23" s="296">
        <f>'Variante Vorgaben'!$D$119</f>
        <v>8</v>
      </c>
      <c r="E23" s="1299">
        <f>'Variante Vorgaben'!$E$119*(1+Eingabeseite!$C$28)</f>
        <v>9.7279999999999998</v>
      </c>
      <c r="F23" s="30">
        <f>C23*D23*E23</f>
        <v>466.94399999999996</v>
      </c>
      <c r="G23" s="135">
        <f>F23/$F$102</f>
        <v>8.9961833125364304E-3</v>
      </c>
    </row>
    <row r="24" spans="1:8" x14ac:dyDescent="0.25">
      <c r="A24" s="1417"/>
      <c r="B24" s="13" t="str">
        <f>'Variante Vorgaben'!$B120</f>
        <v xml:space="preserve">Netzschwefel (Stullin) </v>
      </c>
      <c r="C24" s="11">
        <f>'Variante Vorgaben'!$C120</f>
        <v>10</v>
      </c>
      <c r="D24" s="1184">
        <f>'Variante Vorgaben'!$D$120</f>
        <v>12</v>
      </c>
      <c r="E24" s="1301">
        <f>'Variante Vorgaben'!$E$120*(1+Eingabeseite!$C$28)</f>
        <v>2.98</v>
      </c>
      <c r="F24" s="30">
        <f t="shared" ref="F24:F28" si="0">C24*D24*E24</f>
        <v>357.6</v>
      </c>
      <c r="G24" s="135">
        <f t="shared" ref="G24:G55" si="1">F24/$F$102</f>
        <v>6.889552392927263E-3</v>
      </c>
    </row>
    <row r="25" spans="1:8" x14ac:dyDescent="0.25">
      <c r="A25" s="1417"/>
      <c r="B25" s="13" t="str">
        <f>'Variante Vorgaben'!$B121</f>
        <v>Kaliumbicarbonat (Armicarb)</v>
      </c>
      <c r="C25" s="11">
        <f>'Variante Vorgaben'!$C121</f>
        <v>6</v>
      </c>
      <c r="D25" s="1184">
        <f>'Variante Vorgaben'!$D$121</f>
        <v>4.8</v>
      </c>
      <c r="E25" s="1299">
        <f>'Variante Vorgaben'!$E$121*(1+Eingabeseite!$C$28)</f>
        <v>17</v>
      </c>
      <c r="F25" s="30">
        <f t="shared" si="0"/>
        <v>489.59999999999997</v>
      </c>
      <c r="G25" s="135">
        <f t="shared" si="1"/>
        <v>9.4326757594440369E-3</v>
      </c>
    </row>
    <row r="26" spans="1:8" x14ac:dyDescent="0.25">
      <c r="A26" s="1417"/>
      <c r="B26" s="13" t="str">
        <f>'Variante Vorgaben'!$B122</f>
        <v>Kupfer (Airone WG)</v>
      </c>
      <c r="C26" s="11">
        <f>'Variante Vorgaben'!$C122</f>
        <v>2</v>
      </c>
      <c r="D26" s="1184">
        <f>'Variante Vorgaben'!$D$122</f>
        <v>3</v>
      </c>
      <c r="E26" s="1299">
        <f>'Variante Vorgaben'!$E$122*(1+Eingabeseite!$C$28)</f>
        <v>24.5</v>
      </c>
      <c r="F26" s="30">
        <f t="shared" si="0"/>
        <v>147</v>
      </c>
      <c r="G26" s="135">
        <f t="shared" si="1"/>
        <v>2.8321146581664083E-3</v>
      </c>
    </row>
    <row r="27" spans="1:8" x14ac:dyDescent="0.25">
      <c r="A27" s="1417"/>
      <c r="B27" s="13" t="str">
        <f>'Variante Vorgaben'!$B123</f>
        <v>Schwefelkalk (Curatio)</v>
      </c>
      <c r="C27" s="11">
        <f>'Variante Vorgaben'!$C123</f>
        <v>5</v>
      </c>
      <c r="D27" s="1184">
        <f>'Variante Vorgaben'!$D$123</f>
        <v>18</v>
      </c>
      <c r="E27" s="1299">
        <f>'Variante Vorgaben'!$E$123*(1+Eingabeseite!$C$28)</f>
        <v>3.9450000000000003</v>
      </c>
      <c r="F27" s="30">
        <f t="shared" si="0"/>
        <v>355.05</v>
      </c>
      <c r="G27" s="135">
        <f t="shared" si="1"/>
        <v>6.8404238733468245E-3</v>
      </c>
    </row>
    <row r="28" spans="1:8" x14ac:dyDescent="0.25">
      <c r="A28" s="1417"/>
      <c r="B28" s="13" t="str">
        <f>'Variante Vorgaben'!$B124</f>
        <v>Laminarin (Vacciplant)</v>
      </c>
      <c r="C28" s="11">
        <f>'Variante Vorgaben'!$C124</f>
        <v>5</v>
      </c>
      <c r="D28" s="1184">
        <f>'Variante Vorgaben'!$D$124</f>
        <v>0.75</v>
      </c>
      <c r="E28" s="1299">
        <f>'Variante Vorgaben'!$E124*(1+Eingabeseite!$C$28)</f>
        <v>45</v>
      </c>
      <c r="F28" s="30">
        <f t="shared" si="0"/>
        <v>168.75</v>
      </c>
      <c r="G28" s="135">
        <f t="shared" si="1"/>
        <v>3.2511520310583766E-3</v>
      </c>
    </row>
    <row r="29" spans="1:8" x14ac:dyDescent="0.25">
      <c r="A29" s="105" t="str">
        <f>'Variante Vorgaben'!$A$125</f>
        <v>Feuerbrandmittel</v>
      </c>
      <c r="B29" s="995" t="str">
        <f>'Variante Vorgaben'!$B$125</f>
        <v>Hefepräparat (Blossom protect)</v>
      </c>
      <c r="C29" s="11">
        <f>'Variante Vorgaben'!$C$125</f>
        <v>2</v>
      </c>
      <c r="D29" s="296">
        <f>'Variante Vorgaben'!$D$125</f>
        <v>1.5</v>
      </c>
      <c r="E29" s="1299">
        <f>'Variante Vorgaben'!$E125*(1+Eingabeseite!$C$28)</f>
        <v>86.600000000000009</v>
      </c>
      <c r="F29" s="30">
        <f>C29*D29*E29</f>
        <v>259.8</v>
      </c>
      <c r="G29" s="135">
        <f t="shared" si="1"/>
        <v>5.0053291713716523E-3</v>
      </c>
    </row>
    <row r="30" spans="1:8" ht="13" x14ac:dyDescent="0.3">
      <c r="A30" s="1442" t="s">
        <v>676</v>
      </c>
      <c r="B30" s="13" t="str">
        <f>'Variante Vorgaben'!$B$126</f>
        <v>Neem (NeemAzal T/S)</v>
      </c>
      <c r="C30" s="11">
        <f>'Variante Vorgaben'!$C126</f>
        <v>1</v>
      </c>
      <c r="D30" s="1184">
        <f>'Variante Vorgaben'!$D$126</f>
        <v>4.8</v>
      </c>
      <c r="E30" s="1299">
        <f>'Variante Vorgaben'!$E126*(1+Eingabeseite!$C$28)</f>
        <v>89.1</v>
      </c>
      <c r="F30" s="30">
        <f>C30*D30*E30</f>
        <v>427.67999999999995</v>
      </c>
      <c r="G30" s="135">
        <f t="shared" si="1"/>
        <v>8.2397197075143487E-3</v>
      </c>
      <c r="H30" s="49"/>
    </row>
    <row r="31" spans="1:8" x14ac:dyDescent="0.25">
      <c r="A31" s="1442"/>
      <c r="B31" s="13" t="str">
        <f>'Variante Vorgaben'!$B$127</f>
        <v>Pyrethrum</v>
      </c>
      <c r="C31" s="11">
        <f>'Variante Vorgaben'!$C127</f>
        <v>1</v>
      </c>
      <c r="D31" s="1184">
        <f>'Variante Vorgaben'!$D127</f>
        <v>0.5</v>
      </c>
      <c r="E31" s="1299">
        <f>'Variante Vorgaben'!$E127*(1+Eingabeseite!$C$28)</f>
        <v>250.04000000000002</v>
      </c>
      <c r="F31" s="30">
        <f>C31*D31*E31</f>
        <v>125.02000000000001</v>
      </c>
      <c r="G31" s="135">
        <f t="shared" si="1"/>
        <v>2.4086460854691456E-3</v>
      </c>
    </row>
    <row r="32" spans="1:8" x14ac:dyDescent="0.25">
      <c r="A32" s="1442"/>
      <c r="B32" s="13" t="str">
        <f>'Variante Vorgaben'!$B$128</f>
        <v>Schmierseife (Natural)</v>
      </c>
      <c r="C32" s="11">
        <f>'Variante Vorgaben'!$C128</f>
        <v>1</v>
      </c>
      <c r="D32" s="1184">
        <f>'Variante Vorgaben'!$D128</f>
        <v>20</v>
      </c>
      <c r="E32" s="1299">
        <f>'Variante Vorgaben'!$E128*(1+Eingabeseite!$C$28)</f>
        <v>13.419999999999998</v>
      </c>
      <c r="F32" s="30">
        <f>C32*D32*E32</f>
        <v>268.39999999999998</v>
      </c>
      <c r="G32" s="135">
        <f t="shared" si="1"/>
        <v>5.1710175119174416E-3</v>
      </c>
    </row>
    <row r="33" spans="1:11" x14ac:dyDescent="0.25">
      <c r="A33" s="1442"/>
      <c r="B33" s="13" t="s">
        <v>659</v>
      </c>
      <c r="C33" s="11">
        <f>'Variante Vorgaben'!$C129</f>
        <v>10</v>
      </c>
      <c r="D33" s="1184">
        <f>'Variante Vorgaben'!$D129</f>
        <v>0.1</v>
      </c>
      <c r="E33" s="1299">
        <f>'Variante Vorgaben'!$E129*(1+Eingabeseite!$C$28)</f>
        <v>573.6</v>
      </c>
      <c r="F33" s="30">
        <f t="shared" ref="F33:F36" si="2">C33*D33*E33</f>
        <v>573.6</v>
      </c>
      <c r="G33" s="135">
        <f t="shared" si="1"/>
        <v>1.1051026992681985E-2</v>
      </c>
    </row>
    <row r="34" spans="1:11" x14ac:dyDescent="0.25">
      <c r="A34" s="1442"/>
      <c r="B34" s="13" t="s">
        <v>669</v>
      </c>
      <c r="C34" s="11">
        <f>'Variante Vorgaben'!$C130</f>
        <v>1</v>
      </c>
      <c r="D34" s="1184">
        <f>'Variante Vorgaben'!$D130</f>
        <v>3.5</v>
      </c>
      <c r="E34" s="1299">
        <f>'Variante Vorgaben'!$E130*(1+Eingabeseite!$C$28)</f>
        <v>222</v>
      </c>
      <c r="F34" s="30">
        <f t="shared" si="2"/>
        <v>777</v>
      </c>
      <c r="G34" s="135">
        <f t="shared" si="1"/>
        <v>1.4969748907451015E-2</v>
      </c>
    </row>
    <row r="35" spans="1:11" x14ac:dyDescent="0.25">
      <c r="A35" s="1442"/>
      <c r="B35" s="13" t="s">
        <v>670</v>
      </c>
      <c r="C35" s="11">
        <f>'Variante Vorgaben'!$C131</f>
        <v>1</v>
      </c>
      <c r="D35" s="1184">
        <f>'Variante Vorgaben'!$D131</f>
        <v>50</v>
      </c>
      <c r="E35" s="1299">
        <f>'Variante Vorgaben'!$E131*(1+Eingabeseite!$C$28)</f>
        <v>3.7833999999999999</v>
      </c>
      <c r="F35" s="30">
        <f t="shared" si="2"/>
        <v>189.17</v>
      </c>
      <c r="G35" s="135">
        <f t="shared" si="1"/>
        <v>3.6445655094240778E-3</v>
      </c>
    </row>
    <row r="36" spans="1:11" ht="13" thickBot="1" x14ac:dyDescent="0.3">
      <c r="A36" s="995" t="str">
        <f>'Variante Vorgaben'!A132</f>
        <v>Verwirrung</v>
      </c>
      <c r="B36" s="13" t="str">
        <f>'Variante Vorgaben'!B132</f>
        <v>Insektenlockstoff (Isomate CLR Max Andermatt)</v>
      </c>
      <c r="C36" s="772">
        <f>'Variante Vorgaben'!$C132</f>
        <v>1</v>
      </c>
      <c r="D36" s="1378">
        <f>'Variante Vorgaben'!$D132</f>
        <v>750</v>
      </c>
      <c r="E36" s="1379">
        <f>'Variante Vorgaben'!$E132*(1+Eingabeseite!$C$28)</f>
        <v>0.59599999999999997</v>
      </c>
      <c r="F36" s="763">
        <f t="shared" si="2"/>
        <v>447</v>
      </c>
      <c r="G36" s="135">
        <f t="shared" si="1"/>
        <v>8.6119404911590772E-3</v>
      </c>
    </row>
    <row r="37" spans="1:11" ht="13" x14ac:dyDescent="0.3">
      <c r="A37" s="615" t="s">
        <v>140</v>
      </c>
      <c r="B37" s="303">
        <f>'Variante Vorgaben'!B133</f>
        <v>26</v>
      </c>
      <c r="C37" s="618">
        <f>SUM(C23:C36)</f>
        <v>52</v>
      </c>
      <c r="D37" s="44"/>
      <c r="E37" s="45"/>
      <c r="F37" s="83">
        <f>SUM(F23:F36)*0.9</f>
        <v>4547.3526000000002</v>
      </c>
      <c r="G37" s="135">
        <f t="shared" si="1"/>
        <v>8.7609686764021283E-2</v>
      </c>
      <c r="I37" s="37"/>
    </row>
    <row r="38" spans="1:11" s="1" customFormat="1" ht="13" x14ac:dyDescent="0.3">
      <c r="A38" s="145" t="str">
        <f>'Variante Hagel'!A75</f>
        <v>Hagelversicherung</v>
      </c>
      <c r="B38" s="303">
        <f>Eingabeseite!D32</f>
        <v>0</v>
      </c>
      <c r="C38" s="618">
        <f>'Variante Hagel'!D78</f>
        <v>0.112</v>
      </c>
      <c r="D38" s="47">
        <f>'Variante Hagel'!C93*(1+Eingabeseite!C32)</f>
        <v>44675.999999999978</v>
      </c>
      <c r="E38" s="45">
        <f>'Variante Hagel'!E78</f>
        <v>0.8</v>
      </c>
      <c r="F38" s="83">
        <f>B38*C38*D38*E38</f>
        <v>0</v>
      </c>
      <c r="G38" s="135">
        <f t="shared" si="1"/>
        <v>0</v>
      </c>
      <c r="J38" s="35"/>
      <c r="K38" s="124"/>
    </row>
    <row r="39" spans="1:11" s="1" customFormat="1" ht="13" x14ac:dyDescent="0.3">
      <c r="A39" s="87" t="str">
        <f>'Standard Standjahre'!$CN$41</f>
        <v>Bewässerung</v>
      </c>
      <c r="B39" s="145" t="str">
        <f>'Standard Standjahre'!$CO$41</f>
        <v>Wasser</v>
      </c>
      <c r="C39" s="829">
        <f>'Variante Vorgaben'!$C$237</f>
        <v>1</v>
      </c>
      <c r="D39" s="1263">
        <f>'Variante Vorgaben'!$C$243</f>
        <v>500</v>
      </c>
      <c r="E39" s="1264">
        <f>'Variante Vorgaben'!$C$236</f>
        <v>2</v>
      </c>
      <c r="F39" s="83">
        <f>C39*D39*E39</f>
        <v>1000</v>
      </c>
      <c r="G39" s="135">
        <f t="shared" si="1"/>
        <v>1.9266086109975565E-2</v>
      </c>
      <c r="J39" s="35"/>
      <c r="K39" s="124"/>
    </row>
    <row r="40" spans="1:11" s="69" customFormat="1" ht="13" x14ac:dyDescent="0.3">
      <c r="A40" s="234" t="s">
        <v>366</v>
      </c>
      <c r="B40" s="849"/>
      <c r="C40" s="220"/>
      <c r="D40" s="850"/>
      <c r="E40" s="219"/>
      <c r="F40" s="85"/>
      <c r="G40" s="135">
        <f t="shared" si="1"/>
        <v>0</v>
      </c>
      <c r="J40" s="269"/>
      <c r="K40" s="696"/>
    </row>
    <row r="41" spans="1:11" s="69" customFormat="1" x14ac:dyDescent="0.25">
      <c r="A41" s="1417" t="s">
        <v>631</v>
      </c>
      <c r="B41" s="19" t="s">
        <v>602</v>
      </c>
      <c r="C41" s="19"/>
      <c r="D41" s="1054" t="s">
        <v>136</v>
      </c>
      <c r="E41" s="1055">
        <f>'Variante Vorgaben'!$G$38+'Variante Vorgaben'!$G$40+'Variante Vorgaben'!G48</f>
        <v>468</v>
      </c>
      <c r="F41" s="1055">
        <f>E41</f>
        <v>468</v>
      </c>
      <c r="G41" s="135">
        <f t="shared" si="1"/>
        <v>9.0165282994685656E-3</v>
      </c>
      <c r="J41" s="269"/>
      <c r="K41" s="696"/>
    </row>
    <row r="42" spans="1:11" s="69" customFormat="1" x14ac:dyDescent="0.25">
      <c r="A42" s="1417"/>
      <c r="B42" s="19" t="str">
        <f>'Variante Vorgaben'!$F$39</f>
        <v>Mostobst</v>
      </c>
      <c r="C42" s="19"/>
      <c r="D42" s="1054" t="s">
        <v>58</v>
      </c>
      <c r="E42" s="45">
        <f>'Variante Vorgaben'!$G$39</f>
        <v>1.1499999999999999</v>
      </c>
      <c r="F42" s="149">
        <f>E42*D11/100</f>
        <v>52.784999999999982</v>
      </c>
      <c r="G42" s="135">
        <f t="shared" si="1"/>
        <v>1.0169603553150598E-3</v>
      </c>
      <c r="J42" s="269"/>
      <c r="K42" s="696"/>
    </row>
    <row r="43" spans="1:11" s="69" customFormat="1" x14ac:dyDescent="0.25">
      <c r="A43" s="1417"/>
      <c r="B43" s="19" t="s">
        <v>603</v>
      </c>
      <c r="C43" s="19"/>
      <c r="D43" s="42" t="str">
        <f>D42</f>
        <v>pro 100 kg</v>
      </c>
      <c r="E43" s="45">
        <f>'Variante Vorgaben'!$G$41</f>
        <v>0.85</v>
      </c>
      <c r="F43" s="149">
        <f>E43*D13/100</f>
        <v>216.75</v>
      </c>
      <c r="G43" s="135">
        <f t="shared" si="1"/>
        <v>4.1759241643372037E-3</v>
      </c>
      <c r="J43" s="269"/>
      <c r="K43" s="696"/>
    </row>
    <row r="44" spans="1:11" s="69" customFormat="1" x14ac:dyDescent="0.25">
      <c r="A44" s="756" t="str">
        <f>'Variante Vorgaben'!E43</f>
        <v>Gebindekosten</v>
      </c>
      <c r="B44" s="697" t="str">
        <f>'Variante Vorgaben'!F43</f>
        <v>Tafelobst</v>
      </c>
      <c r="C44" s="145"/>
      <c r="D44" s="145" t="s">
        <v>58</v>
      </c>
      <c r="E44" s="698">
        <f>'Variante Vorgaben'!G43</f>
        <v>0</v>
      </c>
      <c r="F44" s="149">
        <f>($D$9+$D$10)/100*E44</f>
        <v>0</v>
      </c>
      <c r="G44" s="135">
        <f t="shared" si="1"/>
        <v>0</v>
      </c>
      <c r="J44" s="269"/>
      <c r="K44" s="696"/>
    </row>
    <row r="45" spans="1:11" s="69" customFormat="1" x14ac:dyDescent="0.25">
      <c r="A45" s="756" t="str">
        <f>'Variante Vorgaben'!E44</f>
        <v>Sortierkosten</v>
      </c>
      <c r="B45" s="145" t="str">
        <f>'Variante Vorgaben'!F44</f>
        <v>Tafelobst</v>
      </c>
      <c r="C45" s="145"/>
      <c r="D45" s="145" t="s">
        <v>58</v>
      </c>
      <c r="E45" s="219">
        <f>'Variante Vorgaben'!G44</f>
        <v>0</v>
      </c>
      <c r="F45" s="149">
        <f>($D$9+$D$10)/100*E45</f>
        <v>0</v>
      </c>
      <c r="G45" s="135">
        <f t="shared" si="1"/>
        <v>0</v>
      </c>
      <c r="J45" s="269"/>
      <c r="K45" s="696"/>
    </row>
    <row r="46" spans="1:11" s="69" customFormat="1" x14ac:dyDescent="0.25">
      <c r="A46" s="756"/>
      <c r="B46" s="145" t="str">
        <f>'Variante Vorgaben'!F45</f>
        <v>Abgang</v>
      </c>
      <c r="C46" s="145"/>
      <c r="D46" s="145" t="s">
        <v>58</v>
      </c>
      <c r="E46" s="219">
        <f>'Variante Vorgaben'!G45</f>
        <v>12</v>
      </c>
      <c r="F46" s="149">
        <f>(E46/100)*('Variante Vorgaben'!D89*D11)</f>
        <v>66.096000000000004</v>
      </c>
      <c r="G46" s="135">
        <f t="shared" si="1"/>
        <v>1.2734112275249452E-3</v>
      </c>
      <c r="J46" s="269"/>
      <c r="K46" s="696"/>
    </row>
    <row r="47" spans="1:11" s="69" customFormat="1" x14ac:dyDescent="0.25">
      <c r="A47" s="756" t="str">
        <f>'Variante Vorgaben'!$E$46</f>
        <v>Bürsten</v>
      </c>
      <c r="B47" s="19"/>
      <c r="C47" s="19"/>
      <c r="D47" s="19" t="s">
        <v>58</v>
      </c>
      <c r="E47" s="45">
        <f>'Variante Vorgaben'!$G$46*Eingabeseite!$D$16</f>
        <v>0</v>
      </c>
      <c r="F47" s="149">
        <f>($D$9*E47)/100</f>
        <v>0</v>
      </c>
      <c r="G47" s="135">
        <f t="shared" si="1"/>
        <v>0</v>
      </c>
      <c r="J47" s="269"/>
      <c r="K47" s="696"/>
    </row>
    <row r="48" spans="1:11" s="69" customFormat="1" ht="13" thickBot="1" x14ac:dyDescent="0.3">
      <c r="A48" s="756" t="str">
        <f>'Variante Vorgaben'!$E$47</f>
        <v>Heisswassertauchen</v>
      </c>
      <c r="B48" s="19"/>
      <c r="C48" s="19"/>
      <c r="D48" s="19" t="s">
        <v>58</v>
      </c>
      <c r="E48" s="45">
        <f>'Variante Vorgaben'!$G$47*Eingabeseite!$D$17</f>
        <v>0</v>
      </c>
      <c r="F48" s="587">
        <f>($D$9*E48)/100</f>
        <v>0</v>
      </c>
      <c r="G48" s="135">
        <f t="shared" si="1"/>
        <v>0</v>
      </c>
      <c r="J48" s="269"/>
      <c r="K48" s="696"/>
    </row>
    <row r="49" spans="1:13" s="69" customFormat="1" ht="13" x14ac:dyDescent="0.3">
      <c r="A49" s="1"/>
      <c r="B49" s="19"/>
      <c r="C49" s="19"/>
      <c r="D49" s="19"/>
      <c r="E49" s="45"/>
      <c r="F49" s="83">
        <f>SUM(F41:F48)</f>
        <v>803.63099999999997</v>
      </c>
      <c r="G49" s="135">
        <f>F49/$F$102</f>
        <v>1.5482824046645773E-2</v>
      </c>
      <c r="J49" s="269"/>
      <c r="K49" s="696"/>
    </row>
    <row r="50" spans="1:13" s="69" customFormat="1" ht="13" x14ac:dyDescent="0.3">
      <c r="A50" s="617"/>
      <c r="B50" s="145"/>
      <c r="C50" s="145"/>
      <c r="D50" s="145"/>
      <c r="E50" s="219"/>
      <c r="F50" s="85"/>
      <c r="G50" s="135"/>
      <c r="J50" s="269"/>
      <c r="K50" s="696"/>
    </row>
    <row r="51" spans="1:13" s="69" customFormat="1" ht="32.5" customHeight="1" x14ac:dyDescent="0.25">
      <c r="A51" s="851" t="s">
        <v>194</v>
      </c>
      <c r="B51" s="852" t="s">
        <v>304</v>
      </c>
      <c r="C51" s="853">
        <f>'Variante Standjahre'!T97</f>
        <v>176166.7250023894</v>
      </c>
      <c r="D51" s="854">
        <f>'Variante Vorgaben'!B29</f>
        <v>12</v>
      </c>
      <c r="E51" s="855"/>
      <c r="F51" s="853">
        <f>C51/D51</f>
        <v>14680.560416865783</v>
      </c>
      <c r="G51" s="135">
        <f t="shared" si="1"/>
        <v>0.28283694113403496</v>
      </c>
      <c r="J51" s="269"/>
      <c r="K51" s="696"/>
    </row>
    <row r="52" spans="1:13" s="69" customFormat="1" ht="18.75" customHeight="1" x14ac:dyDescent="0.25">
      <c r="A52" s="851"/>
      <c r="B52" s="852"/>
      <c r="C52" s="853"/>
      <c r="D52" s="854"/>
      <c r="E52" s="855"/>
      <c r="F52" s="853"/>
      <c r="G52" s="135"/>
      <c r="J52" s="269"/>
      <c r="K52" s="696"/>
    </row>
    <row r="53" spans="1:13" s="69" customFormat="1" ht="21.25" customHeight="1" x14ac:dyDescent="0.3">
      <c r="A53" s="87" t="s">
        <v>175</v>
      </c>
      <c r="B53" s="856" t="s">
        <v>367</v>
      </c>
      <c r="C53" s="760"/>
      <c r="D53" s="756"/>
      <c r="E53" s="761"/>
      <c r="F53" s="85">
        <f>'Variante Vorgaben'!E210</f>
        <v>600</v>
      </c>
      <c r="G53" s="135">
        <f t="shared" si="1"/>
        <v>1.155965166598534E-2</v>
      </c>
      <c r="J53" s="269"/>
      <c r="K53" s="696"/>
    </row>
    <row r="54" spans="1:13" s="69" customFormat="1" ht="11" customHeight="1" x14ac:dyDescent="0.3">
      <c r="A54" s="87"/>
      <c r="B54" s="856"/>
      <c r="C54" s="760"/>
      <c r="D54" s="756"/>
      <c r="E54" s="761"/>
      <c r="F54" s="85"/>
      <c r="G54" s="135"/>
      <c r="J54" s="269"/>
      <c r="K54" s="696"/>
    </row>
    <row r="55" spans="1:13" s="69" customFormat="1" ht="21.25" customHeight="1" x14ac:dyDescent="0.3">
      <c r="A55" s="87"/>
      <c r="B55" s="760" t="s">
        <v>131</v>
      </c>
      <c r="C55" s="760"/>
      <c r="D55" s="756"/>
      <c r="E55" s="761">
        <f>(PMT('Variante Vorgaben'!C40,'Variante Vorgaben'!B29,'Variante Vorgaben'!C38))*(-1)</f>
        <v>550.07995743737365</v>
      </c>
      <c r="F55" s="85">
        <f>E55</f>
        <v>550.07995743737365</v>
      </c>
      <c r="G55" s="135">
        <f t="shared" si="1"/>
        <v>1.0597887827360136E-2</v>
      </c>
      <c r="J55" s="269"/>
      <c r="K55" s="696"/>
    </row>
    <row r="56" spans="1:13" s="69" customFormat="1" ht="21.25" customHeight="1" x14ac:dyDescent="0.3">
      <c r="A56" s="75"/>
      <c r="B56" s="281"/>
      <c r="C56" s="281"/>
      <c r="D56" s="111"/>
      <c r="E56" s="282"/>
      <c r="F56" s="134"/>
      <c r="G56" s="135"/>
      <c r="J56" s="269"/>
      <c r="K56" s="696"/>
    </row>
    <row r="57" spans="1:13" s="16" customFormat="1" ht="27" customHeight="1" x14ac:dyDescent="0.4">
      <c r="A57" s="594" t="s">
        <v>214</v>
      </c>
      <c r="B57" s="627"/>
      <c r="C57" s="699"/>
      <c r="D57" s="699"/>
      <c r="E57" s="700"/>
      <c r="F57" s="598">
        <f>F53+F51+F49+F21+F55+F37</f>
        <v>22001.290640969826</v>
      </c>
      <c r="G57" s="1043">
        <f>F57/$F$102</f>
        <v>0.42387876001952418</v>
      </c>
      <c r="J57" s="123"/>
      <c r="K57" s="127"/>
    </row>
    <row r="58" spans="1:13" ht="18.75" customHeight="1" x14ac:dyDescent="0.35">
      <c r="A58" s="17" t="s">
        <v>181</v>
      </c>
      <c r="B58" s="13"/>
      <c r="C58" s="150" t="s">
        <v>59</v>
      </c>
      <c r="D58" s="762">
        <f>'Variante Vorgaben'!C206</f>
        <v>10</v>
      </c>
      <c r="E58" s="45">
        <f>'Variante Vorgaben'!D206</f>
        <v>15</v>
      </c>
      <c r="F58" s="287">
        <f>D58*E58</f>
        <v>150</v>
      </c>
      <c r="G58" s="555">
        <f>F58/$F$102</f>
        <v>2.8899129164963351E-3</v>
      </c>
      <c r="J58" s="1449"/>
      <c r="K58" s="1449"/>
      <c r="L58" s="1444"/>
      <c r="M58" s="1444"/>
    </row>
    <row r="59" spans="1:13" s="1" customFormat="1" ht="18.75" customHeight="1" x14ac:dyDescent="0.3">
      <c r="A59" s="41"/>
      <c r="B59" s="19"/>
      <c r="C59" s="150"/>
      <c r="D59" s="762"/>
      <c r="E59" s="45"/>
      <c r="F59" s="83"/>
      <c r="G59" s="135"/>
      <c r="J59" s="269"/>
      <c r="K59" s="269"/>
      <c r="L59" s="35"/>
      <c r="M59" s="35"/>
    </row>
    <row r="60" spans="1:13" ht="18" customHeight="1" x14ac:dyDescent="0.3">
      <c r="C60" s="38" t="s">
        <v>11</v>
      </c>
      <c r="D60" s="120" t="s">
        <v>105</v>
      </c>
      <c r="E60" s="304" t="s">
        <v>106</v>
      </c>
      <c r="F60" s="305" t="s">
        <v>22</v>
      </c>
      <c r="G60" s="135"/>
      <c r="J60" s="38" t="s">
        <v>414</v>
      </c>
      <c r="K60" s="144" t="s">
        <v>82</v>
      </c>
      <c r="L60" s="1"/>
      <c r="M60" s="143"/>
    </row>
    <row r="61" spans="1:13" s="1" customFormat="1" ht="13" x14ac:dyDescent="0.3">
      <c r="A61" s="41" t="s">
        <v>98</v>
      </c>
      <c r="B61" s="145" t="str">
        <f>'Variante Vorgaben'!B179</f>
        <v>Anbaugebläsepritze 1000 l</v>
      </c>
      <c r="C61" s="460">
        <f>C37-B37-C36</f>
        <v>25</v>
      </c>
      <c r="D61" s="40">
        <f>'Variante Vorgaben'!C179</f>
        <v>1</v>
      </c>
      <c r="E61" s="45">
        <f>'Variante Vorgaben'!$D$179*(1+Eingabeseite!$C$27)</f>
        <v>37</v>
      </c>
      <c r="F61" s="46">
        <f>C61*E61</f>
        <v>925</v>
      </c>
      <c r="G61" s="135">
        <f>F61/$F$102</f>
        <v>1.7821129651727399E-2</v>
      </c>
      <c r="J61" s="694">
        <f>'Variante Vorgaben'!G179</f>
        <v>0</v>
      </c>
      <c r="K61" s="124">
        <f>C61*J61</f>
        <v>0</v>
      </c>
      <c r="L61" s="343"/>
    </row>
    <row r="62" spans="1:13" s="1" customFormat="1" ht="13" x14ac:dyDescent="0.3">
      <c r="A62" s="41"/>
      <c r="B62" s="145" t="str">
        <f>'Variante Vorgaben'!B180</f>
        <v>Fadengerät Behangsregulierung</v>
      </c>
      <c r="C62" s="221">
        <f>'Variante Vorgaben'!E180</f>
        <v>2</v>
      </c>
      <c r="D62" s="221">
        <f>'Variante Vorgaben'!C180</f>
        <v>1</v>
      </c>
      <c r="E62" s="1382">
        <f>'Variante Vorgaben'!$D$180*(1+Eingabeseite!$C$27)</f>
        <v>57</v>
      </c>
      <c r="F62" s="46">
        <f>C62*D62*E62</f>
        <v>114</v>
      </c>
      <c r="G62" s="135"/>
      <c r="J62" s="694"/>
      <c r="K62" s="124"/>
      <c r="L62" s="343"/>
    </row>
    <row r="63" spans="1:13" s="1" customFormat="1" ht="13" x14ac:dyDescent="0.3">
      <c r="A63" s="41"/>
      <c r="B63" s="145" t="str">
        <f>'Variante Vorgaben'!B181</f>
        <v>Düngerstreuer Einkasten 2.5 m</v>
      </c>
      <c r="C63" s="1196">
        <f>C21-C19</f>
        <v>2</v>
      </c>
      <c r="D63" s="40">
        <f>'Variante Vorgaben'!C181</f>
        <v>1</v>
      </c>
      <c r="E63" s="45">
        <f>'Variante Vorgaben'!$D$181*(1+Eingabeseite!$C$27)</f>
        <v>18</v>
      </c>
      <c r="F63" s="46">
        <f>C63*E63</f>
        <v>36</v>
      </c>
      <c r="G63" s="135">
        <f>F63/$F$102</f>
        <v>6.9357909995912035E-4</v>
      </c>
      <c r="J63" s="694">
        <f>'Variante Vorgaben'!G181</f>
        <v>0</v>
      </c>
      <c r="K63" s="124">
        <f>C63*J63</f>
        <v>0</v>
      </c>
      <c r="L63" s="343"/>
    </row>
    <row r="64" spans="1:13" s="1" customFormat="1" ht="13" x14ac:dyDescent="0.3">
      <c r="A64" s="41"/>
      <c r="B64" s="145" t="str">
        <f>'Variante Vorgaben'!B182</f>
        <v>Kompoststreuer für Obstanlagen, um 3m³</v>
      </c>
      <c r="C64" s="1196">
        <f>C19</f>
        <v>5</v>
      </c>
      <c r="D64" s="40">
        <f>'Variante Vorgaben'!C182</f>
        <v>1</v>
      </c>
      <c r="E64" s="1385">
        <f>'Variante Vorgaben'!D182</f>
        <v>113</v>
      </c>
      <c r="F64" s="46">
        <f>C64*D64*E64</f>
        <v>565</v>
      </c>
      <c r="G64" s="135"/>
      <c r="J64" s="694"/>
      <c r="K64" s="124"/>
      <c r="L64" s="343"/>
    </row>
    <row r="65" spans="1:12" s="1" customFormat="1" ht="13" x14ac:dyDescent="0.3">
      <c r="A65" s="41"/>
      <c r="B65" s="145" t="str">
        <f>'Variante Vorgaben'!B183</f>
        <v>Erntewagen 4 Grosskisten</v>
      </c>
      <c r="C65" s="621">
        <f>'Variante Vorgaben'!C183</f>
        <v>960</v>
      </c>
      <c r="D65" s="19"/>
      <c r="E65" s="620">
        <f>'Variante Vorgaben'!$D$183*(1+Eingabeseite!$C$27)</f>
        <v>9</v>
      </c>
      <c r="F65" s="46">
        <f>D66*E65</f>
        <v>215.15625000000003</v>
      </c>
      <c r="G65" s="135">
        <f>F65/$F$102</f>
        <v>4.1452188395994308E-3</v>
      </c>
      <c r="J65" s="694">
        <f>'Variante Vorgaben'!G183</f>
        <v>1.57</v>
      </c>
      <c r="K65" s="124">
        <f>D66*J65</f>
        <v>37.532812500000006</v>
      </c>
      <c r="L65" s="343"/>
    </row>
    <row r="66" spans="1:12" s="1" customFormat="1" ht="13" x14ac:dyDescent="0.3">
      <c r="A66" s="41"/>
      <c r="B66" s="298" t="s">
        <v>208</v>
      </c>
      <c r="C66" s="622">
        <f>'Variante Vorgaben'!E183</f>
        <v>4</v>
      </c>
      <c r="D66" s="336">
        <f>((D9+D10)+('Variante Vorgaben'!D89*D13))/C65</f>
        <v>23.906250000000004</v>
      </c>
      <c r="E66" s="338">
        <f>C65/C91/C66*(1+Eingabeseite!$C$27)</f>
        <v>2.4742268041237114</v>
      </c>
      <c r="F66" s="46"/>
      <c r="G66" s="135"/>
      <c r="J66" s="35"/>
      <c r="K66" s="131"/>
      <c r="L66" s="701"/>
    </row>
    <row r="67" spans="1:12" s="1" customFormat="1" ht="13" x14ac:dyDescent="0.3">
      <c r="A67" s="41"/>
      <c r="B67" s="145" t="str">
        <f>'Variante Vorgaben'!B184</f>
        <v>Sichelmulchgerät mit beids. Schwenkarm</v>
      </c>
      <c r="C67" s="221">
        <f>'Variante Vorgaben'!E184</f>
        <v>7</v>
      </c>
      <c r="D67" s="40">
        <f>'Variante Vorgaben'!C184</f>
        <v>1</v>
      </c>
      <c r="E67" s="45">
        <f>'Variante Vorgaben'!$D$184*(1+Eingabeseite!$C$27)</f>
        <v>41</v>
      </c>
      <c r="F67" s="46">
        <f>C67*E67</f>
        <v>287</v>
      </c>
      <c r="G67" s="135">
        <f>F67/$F$102</f>
        <v>5.5293667135629873E-3</v>
      </c>
      <c r="J67" s="694">
        <f>'Variante Vorgaben'!G184</f>
        <v>0</v>
      </c>
      <c r="K67" s="131">
        <f>C67*J67</f>
        <v>0</v>
      </c>
      <c r="L67" s="701"/>
    </row>
    <row r="68" spans="1:12" s="1" customFormat="1" ht="13.5" thickBot="1" x14ac:dyDescent="0.35">
      <c r="A68" s="41"/>
      <c r="B68" s="145" t="str">
        <f>'Variante Vorgaben'!B185</f>
        <v>Schnittholzhacker</v>
      </c>
      <c r="C68" s="221">
        <f>'Variante Vorgaben'!E185</f>
        <v>1</v>
      </c>
      <c r="D68" s="733">
        <f>'Variante Vorgaben'!C185</f>
        <v>2</v>
      </c>
      <c r="E68" s="45">
        <f>'Variante Vorgaben'!$D$185*(1+Eingabeseite!$C$27)</f>
        <v>68.3</v>
      </c>
      <c r="F68" s="474">
        <f>E68*C68</f>
        <v>68.3</v>
      </c>
      <c r="G68" s="135">
        <f>F68/$F$102</f>
        <v>1.3158736813113311E-3</v>
      </c>
      <c r="J68" s="694">
        <f>'Variante Vorgaben'!G185</f>
        <v>29.05</v>
      </c>
      <c r="K68" s="131">
        <f>C68*J68</f>
        <v>29.05</v>
      </c>
      <c r="L68" s="701"/>
    </row>
    <row r="69" spans="1:12" s="1" customFormat="1" ht="13" x14ac:dyDescent="0.3">
      <c r="A69" s="41"/>
      <c r="B69" s="145" t="s">
        <v>107</v>
      </c>
      <c r="C69" s="221"/>
      <c r="D69" s="623">
        <f>(C61*D61)+(C63*D63)+(D66*E66*'Variante Vorgaben'!H176)+(C67*D67)+(C68*D68)+C62*D62+(C73*D73)</f>
        <v>58.787371134020617</v>
      </c>
      <c r="E69" s="45"/>
      <c r="F69" s="85">
        <f>SUM(F61:F68)</f>
        <v>2210.4562500000002</v>
      </c>
      <c r="G69" s="135">
        <f>F69/$F$102</f>
        <v>4.2586840454833678E-2</v>
      </c>
      <c r="J69" s="694"/>
      <c r="K69" s="131"/>
      <c r="L69" s="701"/>
    </row>
    <row r="70" spans="1:12" s="1" customFormat="1" ht="13" x14ac:dyDescent="0.3">
      <c r="A70" s="865"/>
      <c r="B70" s="87" t="str">
        <f>'Variante Vorgaben'!B176</f>
        <v>Obstbautraktor 4-Rad</v>
      </c>
      <c r="C70" s="44"/>
      <c r="D70" s="623">
        <f>D69</f>
        <v>58.787371134020617</v>
      </c>
      <c r="E70" s="45">
        <f>'Variante Vorgaben'!$D$176*(1+Eingabeseite!$C$27)</f>
        <v>41</v>
      </c>
      <c r="F70" s="149">
        <f>D70*E70</f>
        <v>2410.2822164948452</v>
      </c>
      <c r="G70" s="135">
        <f>F70/$F$102</f>
        <v>4.6436704732332461E-2</v>
      </c>
      <c r="H70" s="639"/>
      <c r="I70" s="1" t="s">
        <v>108</v>
      </c>
      <c r="J70" s="264">
        <f>'Variante Vorgaben'!G193</f>
        <v>0</v>
      </c>
      <c r="K70" s="131">
        <f>D70*J70</f>
        <v>0</v>
      </c>
      <c r="L70" s="701"/>
    </row>
    <row r="71" spans="1:12" s="1" customFormat="1" ht="13" x14ac:dyDescent="0.3">
      <c r="A71" s="1260" t="s">
        <v>406</v>
      </c>
      <c r="B71" s="145" t="str">
        <f>'Variante Vorgaben'!$B$176</f>
        <v>Obstbautraktor 4-Rad</v>
      </c>
      <c r="C71" s="564">
        <v>10</v>
      </c>
      <c r="D71" s="623"/>
      <c r="E71" s="45">
        <f>'Variante Vorgaben'!$D$176*(1+Eingabeseite!$C$27)</f>
        <v>41</v>
      </c>
      <c r="F71" s="149">
        <f>E71*C71</f>
        <v>410</v>
      </c>
      <c r="G71" s="135">
        <f>F71/$F$102</f>
        <v>7.8990953050899829E-3</v>
      </c>
      <c r="H71" s="639"/>
      <c r="J71" s="264"/>
      <c r="K71" s="131"/>
      <c r="L71" s="701"/>
    </row>
    <row r="72" spans="1:12" s="1" customFormat="1" x14ac:dyDescent="0.25">
      <c r="A72" s="1260"/>
      <c r="B72" s="145" t="str">
        <f>'Variante Vorgaben'!$B$189</f>
        <v>Hebebühne schwer, selbstfahrend, elektrisch Ernte</v>
      </c>
      <c r="C72" s="221"/>
      <c r="D72" s="1386">
        <f>'Variante Vorgaben'!$D$189</f>
        <v>17.5</v>
      </c>
      <c r="E72" s="744">
        <f>C66*D66*'Variante Vorgaben'!$C$189+'Variante Vorgaben'!$C$190*Eingabeseite!$D$31+'Variante Vorgaben'!$D$96*'Variante Vorgaben'!$C$191</f>
        <v>89.125</v>
      </c>
      <c r="F72" s="149">
        <f>E72*D72</f>
        <v>1559.6875</v>
      </c>
      <c r="G72" s="135">
        <f t="shared" ref="G72:G74" si="3">F72/$F$102</f>
        <v>3.0049073679652517E-2</v>
      </c>
      <c r="H72" s="639"/>
      <c r="J72" s="264"/>
      <c r="K72" s="131"/>
      <c r="L72" s="701"/>
    </row>
    <row r="73" spans="1:12" s="1" customFormat="1" x14ac:dyDescent="0.25">
      <c r="A73" s="1260"/>
      <c r="B73" s="42" t="str">
        <f>'Variante Vorgaben'!B186</f>
        <v>Hackgerät Ladurner</v>
      </c>
      <c r="C73" s="44">
        <f>'Variante Vorgaben'!$E$186</f>
        <v>3</v>
      </c>
      <c r="D73" s="44">
        <f>'Variante Vorgaben'!$C$186</f>
        <v>2</v>
      </c>
      <c r="E73" s="1387">
        <f>'Variante Vorgaben'!$D$186*(1+Eingabeseite!$C$27)</f>
        <v>130</v>
      </c>
      <c r="F73" s="149">
        <f>C73*E73</f>
        <v>390</v>
      </c>
      <c r="G73" s="135">
        <f t="shared" si="3"/>
        <v>7.5137735828904708E-3</v>
      </c>
      <c r="H73" s="639"/>
      <c r="J73" s="264"/>
      <c r="K73" s="131"/>
      <c r="L73" s="701"/>
    </row>
    <row r="74" spans="1:12" s="1" customFormat="1" x14ac:dyDescent="0.25">
      <c r="A74" s="1307"/>
      <c r="B74" s="42" t="str">
        <f>'Variante Vorgaben'!$B$187</f>
        <v>Fadengerät Beikrautregulierung zweiseitg</v>
      </c>
      <c r="C74" s="44">
        <f>'Variante Vorgaben'!$E$187</f>
        <v>6</v>
      </c>
      <c r="D74" s="44">
        <f>'Variante Vorgaben'!$C$187</f>
        <v>1</v>
      </c>
      <c r="E74" s="1386">
        <f>'Variante Vorgaben'!$D$187</f>
        <v>84</v>
      </c>
      <c r="F74" s="149">
        <f>C74*D74*E74</f>
        <v>504</v>
      </c>
      <c r="G74" s="135">
        <f t="shared" si="3"/>
        <v>9.7101073994276844E-3</v>
      </c>
      <c r="H74" s="639"/>
      <c r="J74" s="264"/>
      <c r="K74" s="131"/>
      <c r="L74" s="701"/>
    </row>
    <row r="75" spans="1:12" s="1" customFormat="1" ht="13" thickBot="1" x14ac:dyDescent="0.3">
      <c r="A75" s="757"/>
      <c r="B75" s="1" t="str">
        <f>'Variante Vorgaben'!B188</f>
        <v>Diverse Kleingeräte + Mäusevergaser</v>
      </c>
      <c r="F75" s="587">
        <f>'Variante Vorgaben'!D188</f>
        <v>500</v>
      </c>
      <c r="G75" s="135">
        <f>E73/$F$102</f>
        <v>2.5045911942968234E-3</v>
      </c>
      <c r="J75" s="35"/>
      <c r="K75" s="342">
        <f>SUM(K61:K70)</f>
        <v>66.582812500000003</v>
      </c>
      <c r="L75" s="19"/>
    </row>
    <row r="76" spans="1:12" s="1" customFormat="1" ht="15.5" x14ac:dyDescent="0.35">
      <c r="A76" s="625"/>
      <c r="B76" s="4"/>
      <c r="C76" s="35"/>
      <c r="D76" s="35"/>
      <c r="E76" s="48"/>
      <c r="F76" s="638">
        <f>SUM(F69:F75)</f>
        <v>7984.4259664948459</v>
      </c>
      <c r="G76" s="555">
        <f>F76/$F$102</f>
        <v>0.15382863820921458</v>
      </c>
      <c r="J76" s="35"/>
      <c r="K76" s="131"/>
      <c r="L76" s="19"/>
    </row>
    <row r="77" spans="1:12" ht="13" x14ac:dyDescent="0.3">
      <c r="A77" s="77"/>
      <c r="B77" s="15"/>
      <c r="C77" s="35"/>
      <c r="D77" s="35"/>
      <c r="E77" s="48"/>
      <c r="F77" s="55"/>
      <c r="G77" s="135"/>
      <c r="K77" s="131"/>
      <c r="L77" s="13"/>
    </row>
    <row r="78" spans="1:12" x14ac:dyDescent="0.25">
      <c r="B78" s="15"/>
      <c r="C78" s="44"/>
      <c r="D78" s="120" t="s">
        <v>27</v>
      </c>
      <c r="E78" s="307" t="s">
        <v>21</v>
      </c>
      <c r="F78" s="305" t="s">
        <v>22</v>
      </c>
      <c r="G78" s="135"/>
      <c r="K78" s="131"/>
      <c r="L78" s="13"/>
    </row>
    <row r="79" spans="1:12" s="1" customFormat="1" ht="13" x14ac:dyDescent="0.3">
      <c r="A79" s="41" t="s">
        <v>62</v>
      </c>
      <c r="B79" s="42" t="s">
        <v>29</v>
      </c>
      <c r="C79" s="44"/>
      <c r="D79" s="368">
        <f>C63*D63</f>
        <v>2</v>
      </c>
      <c r="E79" s="45">
        <f>'Variante Vorgaben'!$C$36</f>
        <v>32.700000000000003</v>
      </c>
      <c r="F79" s="46">
        <f t="shared" ref="F79:F86" si="4">D79*E79</f>
        <v>65.400000000000006</v>
      </c>
      <c r="G79" s="135">
        <f t="shared" ref="G79:G93" si="5">F79/$F$102</f>
        <v>1.2600020315924022E-3</v>
      </c>
      <c r="J79" s="35"/>
      <c r="K79" s="124"/>
    </row>
    <row r="80" spans="1:12" s="1" customFormat="1" ht="13" x14ac:dyDescent="0.3">
      <c r="A80" s="41"/>
      <c r="B80" s="42" t="s">
        <v>151</v>
      </c>
      <c r="C80" s="19"/>
      <c r="D80" s="47">
        <f>(C61*D61)+'Variante Vorgaben'!B96+'Variante Vorgaben'!C96</f>
        <v>65</v>
      </c>
      <c r="E80" s="45">
        <f>'Variante Vorgaben'!$C$36</f>
        <v>32.700000000000003</v>
      </c>
      <c r="F80" s="46">
        <f t="shared" si="4"/>
        <v>2125.5</v>
      </c>
      <c r="G80" s="135">
        <f t="shared" si="5"/>
        <v>4.0950066026753065E-2</v>
      </c>
      <c r="J80" s="35"/>
      <c r="K80" s="124"/>
    </row>
    <row r="81" spans="1:11" s="1" customFormat="1" ht="13" x14ac:dyDescent="0.3">
      <c r="A81" s="41"/>
      <c r="B81" s="42" t="str">
        <f>'Variante Vorgaben'!D93</f>
        <v>Baumerziehung 
(Sommer+Winter)</v>
      </c>
      <c r="C81" s="44"/>
      <c r="D81" s="131">
        <f>'Variante Vorgaben'!D96</f>
        <v>120</v>
      </c>
      <c r="E81" s="45">
        <f>'Variante Vorgaben'!$C$36</f>
        <v>32.700000000000003</v>
      </c>
      <c r="F81" s="46">
        <f t="shared" si="4"/>
        <v>3924.0000000000005</v>
      </c>
      <c r="G81" s="135">
        <f t="shared" si="5"/>
        <v>7.5600121895544131E-2</v>
      </c>
      <c r="J81" s="35"/>
      <c r="K81" s="124"/>
    </row>
    <row r="82" spans="1:11" s="1" customFormat="1" ht="13" x14ac:dyDescent="0.3">
      <c r="A82" s="41"/>
      <c r="B82" s="42" t="s">
        <v>96</v>
      </c>
      <c r="C82" s="44"/>
      <c r="D82" s="221">
        <f>(C67*D67)+(C68*D68)</f>
        <v>9</v>
      </c>
      <c r="E82" s="45">
        <f>'Variante Vorgaben'!$C$36</f>
        <v>32.700000000000003</v>
      </c>
      <c r="F82" s="46">
        <f t="shared" si="4"/>
        <v>294.3</v>
      </c>
      <c r="G82" s="135">
        <f t="shared" si="5"/>
        <v>5.6700091421658097E-3</v>
      </c>
      <c r="J82" s="35"/>
      <c r="K82" s="124"/>
    </row>
    <row r="83" spans="1:11" s="1" customFormat="1" ht="13" x14ac:dyDescent="0.3">
      <c r="A83" s="41"/>
      <c r="B83" s="321" t="str">
        <f>'Variante Vorgaben'!E93</f>
        <v>Behangsregulierung (von Hand)</v>
      </c>
      <c r="C83" s="19" t="s">
        <v>202</v>
      </c>
      <c r="D83" s="47">
        <f>'Variante Vorgaben'!E96</f>
        <v>200</v>
      </c>
      <c r="E83" s="45">
        <f>'Variante Vorgaben'!C35</f>
        <v>22.754999999999999</v>
      </c>
      <c r="F83" s="46">
        <f t="shared" si="4"/>
        <v>4551</v>
      </c>
      <c r="G83" s="135">
        <f t="shared" si="5"/>
        <v>8.7679957886498808E-2</v>
      </c>
      <c r="J83" s="35"/>
      <c r="K83" s="124"/>
    </row>
    <row r="84" spans="1:11" s="1" customFormat="1" ht="13" x14ac:dyDescent="0.3">
      <c r="A84" s="41"/>
      <c r="B84" s="321" t="s">
        <v>684</v>
      </c>
      <c r="C84" s="19"/>
      <c r="D84" s="40">
        <f>C73*D73+C74*D74</f>
        <v>12</v>
      </c>
      <c r="E84" s="45">
        <f>'Variante Vorgaben'!$C$32</f>
        <v>41.4</v>
      </c>
      <c r="F84" s="46">
        <f>D84*E84</f>
        <v>496.79999999999995</v>
      </c>
      <c r="G84" s="135">
        <f t="shared" si="5"/>
        <v>9.5713915794358607E-3</v>
      </c>
      <c r="J84" s="1308"/>
      <c r="K84" s="124"/>
    </row>
    <row r="85" spans="1:11" s="1" customFormat="1" ht="13" x14ac:dyDescent="0.3">
      <c r="A85" s="41"/>
      <c r="B85" s="321" t="s">
        <v>407</v>
      </c>
      <c r="C85" s="47">
        <f>'Variante Vorgaben'!$C$233</f>
        <v>1</v>
      </c>
      <c r="D85" s="923">
        <v>15</v>
      </c>
      <c r="E85" s="45">
        <f>'Variante Vorgaben'!C35</f>
        <v>22.754999999999999</v>
      </c>
      <c r="F85" s="46">
        <f t="shared" si="4"/>
        <v>341.32499999999999</v>
      </c>
      <c r="G85" s="135">
        <f t="shared" si="5"/>
        <v>6.5759968414874099E-3</v>
      </c>
      <c r="J85" s="35"/>
      <c r="K85" s="124"/>
    </row>
    <row r="86" spans="1:11" s="1" customFormat="1" ht="13" x14ac:dyDescent="0.3">
      <c r="A86" s="41"/>
      <c r="B86" s="321" t="s">
        <v>408</v>
      </c>
      <c r="C86" s="47">
        <f>'Variante Vorgaben'!$C$233</f>
        <v>1</v>
      </c>
      <c r="D86" s="923">
        <v>10</v>
      </c>
      <c r="E86" s="45">
        <f>'Variante Vorgaben'!C35</f>
        <v>22.754999999999999</v>
      </c>
      <c r="F86" s="46">
        <f t="shared" si="4"/>
        <v>227.54999999999998</v>
      </c>
      <c r="G86" s="135">
        <f t="shared" si="5"/>
        <v>4.3839978943249393E-3</v>
      </c>
      <c r="J86" s="35"/>
      <c r="K86" s="124"/>
    </row>
    <row r="87" spans="1:11" s="1" customFormat="1" ht="13" x14ac:dyDescent="0.3">
      <c r="A87" s="41"/>
      <c r="B87" s="57" t="s">
        <v>484</v>
      </c>
      <c r="C87" s="96">
        <f>'Variante Vorgaben'!$C$239</f>
        <v>1</v>
      </c>
      <c r="D87" s="10">
        <f>'Variante Vorgaben'!C241</f>
        <v>10</v>
      </c>
      <c r="E87" s="10">
        <f>'Variante Vorgaben'!D241</f>
        <v>32.700000000000003</v>
      </c>
      <c r="F87" s="11">
        <f>D87*E87</f>
        <v>327</v>
      </c>
      <c r="G87" s="135">
        <f t="shared" si="5"/>
        <v>6.3000101579620098E-3</v>
      </c>
      <c r="J87" s="35"/>
      <c r="K87" s="124"/>
    </row>
    <row r="88" spans="1:11" s="1" customFormat="1" ht="13.5" thickBot="1" x14ac:dyDescent="0.35">
      <c r="A88" s="41"/>
      <c r="B88" t="s">
        <v>485</v>
      </c>
      <c r="C88" s="96">
        <f>'Variante Vorgaben'!$C$239</f>
        <v>1</v>
      </c>
      <c r="D88" s="10">
        <f>'Variante Vorgaben'!C242</f>
        <v>4</v>
      </c>
      <c r="E88" s="10">
        <f>'Variante Vorgaben'!D242</f>
        <v>32.700000000000003</v>
      </c>
      <c r="F88" s="10">
        <f>D88*E88</f>
        <v>130.80000000000001</v>
      </c>
      <c r="G88" s="135">
        <f t="shared" si="5"/>
        <v>2.5200040631848043E-3</v>
      </c>
      <c r="J88" s="35"/>
      <c r="K88" s="124"/>
    </row>
    <row r="89" spans="1:11" s="1" customFormat="1" ht="15.5" x14ac:dyDescent="0.35">
      <c r="A89" s="41"/>
      <c r="B89"/>
      <c r="C89" s="114"/>
      <c r="D89" s="13"/>
      <c r="E89" s="114"/>
      <c r="F89" s="1125">
        <f>SUM(F79:F88)</f>
        <v>12483.674999999999</v>
      </c>
      <c r="G89" s="135">
        <f t="shared" si="5"/>
        <v>0.2405115575189492</v>
      </c>
      <c r="J89" s="35"/>
      <c r="K89" s="124"/>
    </row>
    <row r="90" spans="1:11" s="1" customFormat="1" ht="13" x14ac:dyDescent="0.3">
      <c r="A90" s="41"/>
      <c r="B90" s="321"/>
      <c r="C90" s="19"/>
      <c r="D90" s="344"/>
      <c r="E90" s="48"/>
      <c r="F90" s="34"/>
      <c r="G90" s="135">
        <f t="shared" si="5"/>
        <v>0</v>
      </c>
      <c r="J90" s="35"/>
      <c r="K90" s="124"/>
    </row>
    <row r="91" spans="1:11" s="1" customFormat="1" ht="13" x14ac:dyDescent="0.3">
      <c r="A91" s="41" t="s">
        <v>343</v>
      </c>
      <c r="B91" s="756" t="s">
        <v>344</v>
      </c>
      <c r="C91" s="764">
        <f>'Variante Vorgaben'!H89</f>
        <v>97</v>
      </c>
      <c r="D91" s="47">
        <f>(D9+D10+('Variante Vorgaben'!D89*D13))/C91</f>
        <v>236.59793814432993</v>
      </c>
      <c r="E91" s="45">
        <f>'Variante Vorgaben'!$C$35</f>
        <v>22.754999999999999</v>
      </c>
      <c r="F91" s="46">
        <f>D91*E91</f>
        <v>5383.7860824742274</v>
      </c>
      <c r="G91" s="135">
        <f t="shared" si="5"/>
        <v>0.10372448626263649</v>
      </c>
      <c r="J91" s="35"/>
      <c r="K91" s="124"/>
    </row>
    <row r="92" spans="1:11" s="1" customFormat="1" ht="13.5" thickBot="1" x14ac:dyDescent="0.35">
      <c r="A92" s="41"/>
      <c r="B92" s="42" t="s">
        <v>95</v>
      </c>
      <c r="C92" s="44"/>
      <c r="D92" s="47">
        <f>'Variante Vorgaben'!F96+'Variante Vorgaben'!G96</f>
        <v>40</v>
      </c>
      <c r="E92" s="45">
        <f>'Variante Vorgaben'!$C$32</f>
        <v>41.4</v>
      </c>
      <c r="F92" s="474">
        <f>D92*E92</f>
        <v>1656</v>
      </c>
      <c r="G92" s="135">
        <f t="shared" si="5"/>
        <v>3.1904638598119539E-2</v>
      </c>
      <c r="J92" s="35"/>
      <c r="K92" s="124"/>
    </row>
    <row r="93" spans="1:11" s="1" customFormat="1" ht="15.5" x14ac:dyDescent="0.35">
      <c r="A93" s="756" t="s">
        <v>84</v>
      </c>
      <c r="B93" s="765">
        <f>('Variante Vorgaben'!F34*D83)+('Variante Vorgaben'!F34*D91)</f>
        <v>371.10824742268045</v>
      </c>
      <c r="C93" s="756" t="s">
        <v>82</v>
      </c>
      <c r="D93" s="861">
        <f>SUM(D79:D83,D91:D92)+C85*D85+C86*D86+C87*D87+C88*D88</f>
        <v>711.59793814432987</v>
      </c>
      <c r="E93" s="45"/>
      <c r="F93" s="287">
        <f>SUM(F89:F92)</f>
        <v>19523.461082474227</v>
      </c>
      <c r="G93" s="555">
        <f t="shared" si="5"/>
        <v>0.37614068237970522</v>
      </c>
      <c r="J93" s="35"/>
      <c r="K93" s="124"/>
    </row>
    <row r="94" spans="1:11" s="1" customFormat="1" ht="13" x14ac:dyDescent="0.3">
      <c r="A94" s="756"/>
      <c r="B94" s="765"/>
      <c r="C94" s="756"/>
      <c r="D94" s="861"/>
      <c r="E94" s="45"/>
      <c r="F94" s="83"/>
      <c r="G94" s="135"/>
      <c r="J94" s="35"/>
      <c r="K94" s="124"/>
    </row>
    <row r="95" spans="1:11" s="1" customFormat="1" ht="13" x14ac:dyDescent="0.3">
      <c r="A95" s="756"/>
      <c r="B95" s="765"/>
      <c r="C95" s="756"/>
      <c r="D95" s="861"/>
      <c r="E95" s="45"/>
      <c r="F95" s="83"/>
      <c r="G95" s="135"/>
      <c r="J95" s="35"/>
      <c r="K95" s="124"/>
    </row>
    <row r="96" spans="1:11" s="1" customFormat="1" ht="13" x14ac:dyDescent="0.3">
      <c r="A96" s="41" t="s">
        <v>66</v>
      </c>
      <c r="B96" s="42" t="s">
        <v>63</v>
      </c>
      <c r="C96" s="44"/>
      <c r="D96" s="44"/>
      <c r="E96" s="45"/>
      <c r="F96" s="46">
        <f>'Variante Vorgaben'!C42</f>
        <v>660</v>
      </c>
      <c r="G96" s="135">
        <f>F96/$F$102</f>
        <v>1.2715616832583874E-2</v>
      </c>
      <c r="J96" s="35"/>
      <c r="K96" s="124"/>
    </row>
    <row r="97" spans="1:11" s="1" customFormat="1" ht="13" thickBot="1" x14ac:dyDescent="0.3">
      <c r="A97" s="19"/>
      <c r="B97" s="19" t="s">
        <v>193</v>
      </c>
      <c r="C97" s="862">
        <f>'Variante Vorgaben'!C41</f>
        <v>0.6</v>
      </c>
      <c r="D97" s="863">
        <f>'Variante Vorgaben'!C40</f>
        <v>1.4999999999999999E-2</v>
      </c>
      <c r="E97" s="149">
        <f>C51</f>
        <v>176166.7250023894</v>
      </c>
      <c r="F97" s="474">
        <f>$D$97*E97*$C$97</f>
        <v>1585.5005250215047</v>
      </c>
      <c r="G97" s="135">
        <f>F97/$F$102</f>
        <v>3.0546389642475778E-2</v>
      </c>
      <c r="J97" s="35"/>
      <c r="K97" s="124"/>
    </row>
    <row r="98" spans="1:11" s="1" customFormat="1" ht="15.5" x14ac:dyDescent="0.35">
      <c r="A98" s="19"/>
      <c r="B98" s="19"/>
      <c r="C98" s="19"/>
      <c r="D98" s="19"/>
      <c r="E98" s="19"/>
      <c r="F98" s="287">
        <f>SUM(F96:F97)</f>
        <v>2245.5005250215045</v>
      </c>
      <c r="G98" s="555">
        <f>F98/$F$102</f>
        <v>4.326200647505965E-2</v>
      </c>
      <c r="J98" s="35"/>
      <c r="K98" s="124"/>
    </row>
    <row r="99" spans="1:11" s="1" customFormat="1" ht="13" x14ac:dyDescent="0.3">
      <c r="F99" s="134"/>
      <c r="G99" s="135"/>
      <c r="J99" s="35"/>
      <c r="K99" s="124"/>
    </row>
    <row r="100" spans="1:11" ht="20" x14ac:dyDescent="0.4">
      <c r="A100" s="594" t="s">
        <v>35</v>
      </c>
      <c r="B100" s="627"/>
      <c r="C100" s="628"/>
      <c r="D100" s="629"/>
      <c r="E100" s="630"/>
      <c r="F100" s="598">
        <f>F98+F93+F76+F58</f>
        <v>29903.387573990578</v>
      </c>
      <c r="G100" s="1045">
        <f>F100/$F$102</f>
        <v>0.57612123998047582</v>
      </c>
    </row>
    <row r="101" spans="1:11" s="1" customFormat="1" ht="20" x14ac:dyDescent="0.4">
      <c r="A101" s="636"/>
      <c r="B101" s="637"/>
      <c r="C101" s="1046"/>
      <c r="D101" s="1047"/>
      <c r="E101" s="1048"/>
      <c r="F101" s="648"/>
      <c r="G101" s="1017"/>
      <c r="J101" s="35"/>
      <c r="K101" s="124"/>
    </row>
    <row r="102" spans="1:11" s="350" customFormat="1" ht="27.75" customHeight="1" x14ac:dyDescent="0.5">
      <c r="A102" s="847" t="s">
        <v>219</v>
      </c>
      <c r="B102" s="1029"/>
      <c r="C102" s="1030"/>
      <c r="D102" s="1031"/>
      <c r="E102" s="1032"/>
      <c r="F102" s="649">
        <f>F100+F57</f>
        <v>51904.678214960404</v>
      </c>
      <c r="G102" s="1033">
        <f>F102/$F$102</f>
        <v>1</v>
      </c>
      <c r="H102" s="347"/>
      <c r="I102" s="347"/>
      <c r="J102" s="348"/>
      <c r="K102" s="349"/>
    </row>
    <row r="103" spans="1:11" s="350" customFormat="1" ht="13.75" customHeight="1" x14ac:dyDescent="0.5">
      <c r="A103" s="847"/>
      <c r="B103" s="1029"/>
      <c r="C103" s="1030"/>
      <c r="D103" s="1031"/>
      <c r="E103" s="1032"/>
      <c r="F103" s="649"/>
      <c r="G103" s="1033"/>
      <c r="H103" s="347"/>
      <c r="I103" s="347"/>
      <c r="J103" s="348"/>
      <c r="K103" s="349"/>
    </row>
    <row r="104" spans="1:11" s="350" customFormat="1" ht="22.5" x14ac:dyDescent="0.45">
      <c r="A104" s="1038" t="s">
        <v>419</v>
      </c>
      <c r="B104" s="1039"/>
      <c r="C104" s="1040"/>
      <c r="D104" s="1041"/>
      <c r="E104" s="1042"/>
      <c r="F104" s="660">
        <f>F102/D13</f>
        <v>2.0354775770572706</v>
      </c>
      <c r="G104" s="1033"/>
      <c r="H104" s="347"/>
      <c r="I104" s="347"/>
      <c r="J104" s="348"/>
      <c r="K104" s="349"/>
    </row>
    <row r="105" spans="1:11" s="350" customFormat="1" ht="30" customHeight="1" x14ac:dyDescent="0.45">
      <c r="A105" s="363" t="s">
        <v>295</v>
      </c>
      <c r="B105" s="103"/>
      <c r="C105" s="333"/>
      <c r="D105" s="377" t="s">
        <v>420</v>
      </c>
      <c r="E105" s="378" t="s">
        <v>68</v>
      </c>
      <c r="F105" s="102"/>
      <c r="G105" s="928"/>
      <c r="H105" s="347"/>
      <c r="I105" s="347"/>
      <c r="J105" s="348"/>
      <c r="K105" s="349"/>
    </row>
    <row r="106" spans="1:11" s="350" customFormat="1" ht="23" x14ac:dyDescent="0.5">
      <c r="A106" s="371"/>
      <c r="B106" s="374"/>
      <c r="C106" s="1049" t="str">
        <f>'Variante Vorgaben'!B73</f>
        <v>Tafeläpfel BIO</v>
      </c>
      <c r="D106" s="1050">
        <f>F9/F13</f>
        <v>0.95144998370804823</v>
      </c>
      <c r="E106" s="1051">
        <f>D106*F102</f>
        <v>49384.705241995565</v>
      </c>
      <c r="F106" s="1052">
        <f>E106/D9</f>
        <v>2.6529522020948457</v>
      </c>
      <c r="G106" s="928"/>
      <c r="H106" s="347"/>
      <c r="I106" s="347"/>
      <c r="J106" s="348"/>
      <c r="K106" s="349"/>
    </row>
    <row r="107" spans="1:11" s="350" customFormat="1" ht="23" x14ac:dyDescent="0.5">
      <c r="A107" s="358"/>
      <c r="B107" s="359"/>
      <c r="C107" s="260"/>
      <c r="D107" s="370"/>
      <c r="E107" s="360"/>
      <c r="F107" s="369"/>
      <c r="G107" s="928"/>
      <c r="H107" s="347"/>
      <c r="I107" s="347"/>
      <c r="J107" s="348"/>
      <c r="K107" s="349"/>
    </row>
    <row r="108" spans="1:11" s="99" customFormat="1" ht="23.5" customHeight="1" x14ac:dyDescent="0.4">
      <c r="A108" s="1038" t="s">
        <v>416</v>
      </c>
      <c r="B108" s="1039"/>
      <c r="C108" s="1040"/>
      <c r="D108" s="1041"/>
      <c r="E108" s="1042"/>
      <c r="F108" s="614">
        <f>F16-F102</f>
        <v>-2248.9782149604071</v>
      </c>
      <c r="G108" s="929"/>
      <c r="H108" s="351"/>
      <c r="I108" s="351"/>
      <c r="J108" s="352"/>
      <c r="K108" s="353"/>
    </row>
    <row r="109" spans="1:11" s="99" customFormat="1" ht="13.75" customHeight="1" x14ac:dyDescent="0.4">
      <c r="A109" s="561"/>
      <c r="B109" s="103"/>
      <c r="C109" s="333"/>
      <c r="D109" s="364"/>
      <c r="E109" s="365"/>
      <c r="F109" s="292"/>
      <c r="G109" s="929"/>
      <c r="H109" s="351"/>
      <c r="I109" s="351"/>
      <c r="J109" s="352" t="s">
        <v>415</v>
      </c>
      <c r="K109" s="353"/>
    </row>
    <row r="110" spans="1:11" s="51" customFormat="1" ht="18.75" customHeight="1" x14ac:dyDescent="0.4">
      <c r="A110" s="702" t="s">
        <v>417</v>
      </c>
      <c r="B110" s="316"/>
      <c r="C110" s="314"/>
      <c r="D110" s="366"/>
      <c r="E110" s="367"/>
      <c r="F110" s="703">
        <f>F16/F102</f>
        <v>0.95667099205111361</v>
      </c>
      <c r="G110" s="930"/>
      <c r="H110" s="66"/>
      <c r="I110" s="66"/>
      <c r="J110" s="122"/>
      <c r="K110" s="126"/>
    </row>
    <row r="111" spans="1:11" s="51" customFormat="1" ht="13.5" customHeight="1" x14ac:dyDescent="0.4">
      <c r="A111" s="153"/>
      <c r="B111" s="316"/>
      <c r="C111" s="314"/>
      <c r="D111" s="366"/>
      <c r="E111" s="367"/>
      <c r="F111" s="643"/>
      <c r="G111" s="930"/>
      <c r="H111" s="66"/>
      <c r="I111" s="66"/>
      <c r="J111" s="122"/>
      <c r="K111" s="126"/>
    </row>
    <row r="112" spans="1:11" s="51" customFormat="1" ht="21.65" customHeight="1" x14ac:dyDescent="0.4">
      <c r="A112" s="704" t="s">
        <v>211</v>
      </c>
      <c r="B112" s="704"/>
      <c r="C112" s="103" t="s">
        <v>212</v>
      </c>
      <c r="D112" s="705"/>
      <c r="E112" s="705"/>
      <c r="F112" s="705">
        <f>F13-F57</f>
        <v>24954.409359030171</v>
      </c>
      <c r="G112" s="930"/>
      <c r="H112" s="66"/>
      <c r="I112" s="66"/>
      <c r="J112" s="122"/>
      <c r="K112" s="126"/>
    </row>
    <row r="113" spans="1:11" s="51" customFormat="1" ht="21.65" customHeight="1" x14ac:dyDescent="0.4">
      <c r="A113" s="704"/>
      <c r="B113" s="704"/>
      <c r="C113" s="113" t="s">
        <v>79</v>
      </c>
      <c r="D113" s="705"/>
      <c r="E113" s="705"/>
      <c r="F113" s="644">
        <f>F16-F57</f>
        <v>27654.409359030171</v>
      </c>
      <c r="G113" s="930"/>
      <c r="H113" s="66"/>
      <c r="I113" s="66"/>
      <c r="J113" s="122"/>
      <c r="K113" s="126"/>
    </row>
    <row r="114" spans="1:11" s="51" customFormat="1" ht="13.5" customHeight="1" x14ac:dyDescent="0.4">
      <c r="A114" s="153"/>
      <c r="B114" s="316"/>
      <c r="C114" s="314"/>
      <c r="D114" s="366"/>
      <c r="E114" s="367"/>
      <c r="F114" s="643"/>
      <c r="G114" s="930"/>
      <c r="H114" s="66"/>
      <c r="I114" s="66"/>
      <c r="J114" s="122"/>
      <c r="K114" s="126"/>
    </row>
    <row r="115" spans="1:11" s="51" customFormat="1" ht="25.25" customHeight="1" x14ac:dyDescent="0.4">
      <c r="A115" s="315" t="s">
        <v>418</v>
      </c>
      <c r="B115" s="316"/>
      <c r="C115" s="314"/>
      <c r="D115" s="366"/>
      <c r="E115" s="367"/>
      <c r="F115" s="706">
        <f>F108+F51</f>
        <v>12431.582201905376</v>
      </c>
      <c r="G115" s="930"/>
      <c r="H115" s="66"/>
      <c r="I115" s="66"/>
      <c r="J115" s="122"/>
      <c r="K115" s="126"/>
    </row>
    <row r="116" spans="1:11" s="51" customFormat="1" ht="18.75" customHeight="1" x14ac:dyDescent="0.4">
      <c r="A116" s="361"/>
      <c r="B116" s="319"/>
      <c r="C116" s="317"/>
      <c r="D116" s="345"/>
      <c r="E116" s="346"/>
      <c r="F116" s="362"/>
      <c r="G116" s="930"/>
      <c r="H116" s="66"/>
      <c r="I116" s="66"/>
      <c r="J116" s="122"/>
      <c r="K116" s="126"/>
    </row>
    <row r="117" spans="1:11" s="1" customFormat="1" ht="16.5" customHeight="1" x14ac:dyDescent="0.4">
      <c r="A117" s="153" t="s">
        <v>67</v>
      </c>
      <c r="B117" s="145"/>
      <c r="C117" s="221"/>
      <c r="D117" s="368"/>
      <c r="E117" s="219"/>
      <c r="F117" s="292">
        <f>F102-F93</f>
        <v>32381.217132486177</v>
      </c>
      <c r="G117" s="135"/>
      <c r="H117" s="67"/>
      <c r="J117" s="35"/>
      <c r="K117" s="124"/>
    </row>
    <row r="118" spans="1:11" s="1" customFormat="1" ht="16.5" customHeight="1" x14ac:dyDescent="0.4">
      <c r="A118" s="331" t="s">
        <v>188</v>
      </c>
      <c r="B118" s="145"/>
      <c r="C118" s="221"/>
      <c r="D118" s="368"/>
      <c r="E118" s="219"/>
      <c r="F118" s="292">
        <f>F93</f>
        <v>19523.461082474227</v>
      </c>
      <c r="G118" s="135"/>
      <c r="H118" s="67"/>
      <c r="J118" s="35"/>
      <c r="K118" s="124"/>
    </row>
    <row r="119" spans="1:11" ht="18" x14ac:dyDescent="0.4">
      <c r="A119" s="331" t="s">
        <v>216</v>
      </c>
      <c r="B119" s="87"/>
      <c r="C119" s="87"/>
      <c r="D119" s="87"/>
      <c r="E119" s="87"/>
      <c r="F119" s="292">
        <f>F16-F117</f>
        <v>17274.48286751382</v>
      </c>
      <c r="G119" s="19"/>
      <c r="H119" s="65"/>
    </row>
    <row r="120" spans="1:11" ht="20" x14ac:dyDescent="0.4">
      <c r="A120" s="742" t="s">
        <v>220</v>
      </c>
      <c r="B120" s="1044"/>
      <c r="C120" s="1044"/>
      <c r="D120" s="583"/>
      <c r="E120" s="583"/>
      <c r="F120" s="646">
        <f>F119/D93</f>
        <v>24.275622428813335</v>
      </c>
      <c r="G120" s="19"/>
    </row>
    <row r="121" spans="1:11" s="1" customFormat="1" ht="20" x14ac:dyDescent="0.4">
      <c r="A121" s="742"/>
      <c r="B121" s="1044"/>
      <c r="C121" s="1044"/>
      <c r="D121" s="583"/>
      <c r="E121" s="583"/>
      <c r="F121" s="646"/>
      <c r="G121" s="19"/>
      <c r="J121" s="35"/>
      <c r="K121" s="124"/>
    </row>
    <row r="122" spans="1:11" s="308" customFormat="1" ht="20" x14ac:dyDescent="0.4">
      <c r="A122" s="742" t="s">
        <v>83</v>
      </c>
      <c r="B122" s="742"/>
      <c r="C122" s="742"/>
      <c r="D122" s="645"/>
      <c r="E122" s="645"/>
      <c r="F122" s="647">
        <f>(F119-(B93*'Variante Vorgaben'!C34))/(D93-B93)</f>
        <v>27.845805409093654</v>
      </c>
      <c r="G122" s="316"/>
      <c r="J122" s="354"/>
      <c r="K122" s="355"/>
    </row>
    <row r="123" spans="1:11" s="319" customFormat="1" ht="20" x14ac:dyDescent="0.4">
      <c r="A123" s="275"/>
      <c r="B123" s="275"/>
      <c r="C123" s="275"/>
      <c r="D123" s="275"/>
      <c r="E123" s="275"/>
      <c r="F123" s="356"/>
      <c r="G123" s="316"/>
      <c r="J123" s="317"/>
      <c r="K123" s="357"/>
    </row>
    <row r="124" spans="1:11" ht="22.75" customHeight="1" x14ac:dyDescent="0.4">
      <c r="A124" s="372" t="s">
        <v>113</v>
      </c>
      <c r="B124" s="1445" t="s">
        <v>421</v>
      </c>
      <c r="C124" s="1445"/>
      <c r="D124" s="1445"/>
      <c r="E124" s="1445"/>
      <c r="F124" s="661">
        <f>K75+F93+F49+F37+F21+F89</f>
        <v>38244.369161640898</v>
      </c>
      <c r="G124" s="46">
        <f>F16</f>
        <v>49655.7</v>
      </c>
    </row>
    <row r="125" spans="1:11" s="1" customFormat="1" ht="15" customHeight="1" x14ac:dyDescent="0.4">
      <c r="A125" s="372"/>
      <c r="B125" s="373"/>
      <c r="C125" s="373"/>
      <c r="D125" s="373"/>
      <c r="E125" s="373"/>
      <c r="F125" s="661"/>
      <c r="G125" s="46"/>
      <c r="J125" s="35"/>
      <c r="K125" s="124"/>
    </row>
    <row r="126" spans="1:11" ht="15.5" x14ac:dyDescent="0.35">
      <c r="A126" s="153" t="s">
        <v>132</v>
      </c>
      <c r="B126" s="113" t="s">
        <v>217</v>
      </c>
      <c r="C126" s="145"/>
      <c r="D126" s="145"/>
      <c r="E126" s="145"/>
      <c r="F126" s="662">
        <f>F16/D93</f>
        <v>69.780556320173844</v>
      </c>
      <c r="G126" s="19"/>
    </row>
    <row r="127" spans="1:11" ht="13" x14ac:dyDescent="0.3">
      <c r="A127" s="87"/>
      <c r="B127" s="145" t="s">
        <v>177</v>
      </c>
      <c r="C127" s="145"/>
      <c r="D127" s="145"/>
      <c r="E127" s="145"/>
      <c r="F127" s="375">
        <f>D9/D93</f>
        <v>26.15943498732344</v>
      </c>
      <c r="G127" s="19"/>
    </row>
    <row r="128" spans="1:11" ht="13" x14ac:dyDescent="0.3">
      <c r="A128" s="87"/>
      <c r="B128" s="145"/>
      <c r="C128" s="145"/>
      <c r="D128" s="145"/>
      <c r="E128" s="145"/>
      <c r="F128" s="375"/>
      <c r="G128" s="19"/>
    </row>
    <row r="129" spans="1:11" s="1" customFormat="1" ht="20" x14ac:dyDescent="0.4">
      <c r="A129" s="315" t="s">
        <v>133</v>
      </c>
      <c r="B129" s="113" t="s">
        <v>210</v>
      </c>
      <c r="C129" s="113"/>
      <c r="D129" s="113"/>
      <c r="E129" s="113"/>
      <c r="F129" s="663">
        <f>(F108+F97)/E97</f>
        <v>-3.7661918840229528E-3</v>
      </c>
      <c r="G129" s="19"/>
      <c r="J129" s="35"/>
      <c r="K129" s="8"/>
    </row>
    <row r="130" spans="1:11" x14ac:dyDescent="0.25">
      <c r="F130" s="376"/>
      <c r="G130" s="19"/>
    </row>
    <row r="131" spans="1:11" x14ac:dyDescent="0.25">
      <c r="F131" s="37"/>
      <c r="G131" s="19"/>
    </row>
    <row r="132" spans="1:11" x14ac:dyDescent="0.25">
      <c r="F132" s="37"/>
      <c r="G132" s="19"/>
    </row>
    <row r="133" spans="1:11" ht="20" x14ac:dyDescent="0.4">
      <c r="A133" s="636" t="s">
        <v>192</v>
      </c>
      <c r="B133" s="637"/>
      <c r="C133" s="637"/>
      <c r="D133" s="637"/>
      <c r="E133" s="637"/>
      <c r="F133" s="640"/>
      <c r="G133" s="19"/>
    </row>
    <row r="134" spans="1:11" x14ac:dyDescent="0.25">
      <c r="F134" s="37"/>
      <c r="G134" s="19"/>
    </row>
    <row r="135" spans="1:11" s="169" customFormat="1" ht="21.75" customHeight="1" x14ac:dyDescent="0.25">
      <c r="A135" s="871" t="s">
        <v>186</v>
      </c>
      <c r="B135" s="866" t="s">
        <v>206</v>
      </c>
      <c r="C135" s="866" t="s">
        <v>190</v>
      </c>
      <c r="G135" s="931"/>
      <c r="J135" s="170"/>
      <c r="K135" s="171"/>
    </row>
    <row r="136" spans="1:11" s="1" customFormat="1" ht="13" x14ac:dyDescent="0.3">
      <c r="A136" s="19" t="s">
        <v>188</v>
      </c>
      <c r="B136" s="46">
        <f>F93</f>
        <v>19523.461082474227</v>
      </c>
      <c r="C136" s="872">
        <f>B136/$B$139</f>
        <v>0.37614068237970522</v>
      </c>
      <c r="G136" s="19"/>
      <c r="J136" s="35"/>
      <c r="K136" s="124"/>
    </row>
    <row r="137" spans="1:11" s="1" customFormat="1" ht="13" x14ac:dyDescent="0.3">
      <c r="A137" s="19" t="s">
        <v>279</v>
      </c>
      <c r="B137" s="46">
        <f>F98</f>
        <v>2245.5005250215045</v>
      </c>
      <c r="C137" s="872">
        <f>B137/$B$139</f>
        <v>4.326200647505965E-2</v>
      </c>
      <c r="G137" s="19"/>
      <c r="J137" s="35"/>
      <c r="K137" s="124"/>
    </row>
    <row r="138" spans="1:11" s="1" customFormat="1" ht="13.5" thickBot="1" x14ac:dyDescent="0.35">
      <c r="A138" s="19" t="s">
        <v>187</v>
      </c>
      <c r="B138" s="474">
        <f>F102-B136-B137</f>
        <v>30135.716607464674</v>
      </c>
      <c r="C138" s="872">
        <f>B138/$B$139</f>
        <v>0.58059731114523516</v>
      </c>
      <c r="G138" s="19"/>
      <c r="J138" s="35"/>
      <c r="K138" s="124"/>
    </row>
    <row r="139" spans="1:11" s="1" customFormat="1" ht="13" x14ac:dyDescent="0.3">
      <c r="A139" s="87" t="str">
        <f>A102</f>
        <v>Produktionskosten pro ha</v>
      </c>
      <c r="B139" s="46">
        <f>F102</f>
        <v>51904.678214960404</v>
      </c>
      <c r="C139" s="872">
        <f>B139/$B$139</f>
        <v>1</v>
      </c>
      <c r="D139" s="35"/>
      <c r="G139" s="19"/>
      <c r="J139" s="35"/>
      <c r="K139" s="124"/>
    </row>
    <row r="140" spans="1:11" s="1" customFormat="1" x14ac:dyDescent="0.25">
      <c r="A140" s="19"/>
      <c r="B140" s="19"/>
      <c r="C140" s="19"/>
      <c r="F140" s="8"/>
      <c r="G140" s="19"/>
      <c r="J140" s="35"/>
      <c r="K140" s="124"/>
    </row>
    <row r="141" spans="1:11" s="169" customFormat="1" ht="30.75" customHeight="1" x14ac:dyDescent="0.25">
      <c r="A141" s="873" t="s">
        <v>275</v>
      </c>
      <c r="B141" s="866" t="s">
        <v>206</v>
      </c>
      <c r="C141" s="874" t="s">
        <v>303</v>
      </c>
      <c r="D141" s="172"/>
      <c r="G141" s="931"/>
      <c r="J141" s="170"/>
      <c r="K141" s="171"/>
    </row>
    <row r="142" spans="1:11" s="1" customFormat="1" ht="13" x14ac:dyDescent="0.3">
      <c r="A142" s="145" t="str">
        <f>B96</f>
        <v>für Boden</v>
      </c>
      <c r="B142" s="46">
        <f>F96</f>
        <v>660</v>
      </c>
      <c r="C142" s="555">
        <f>B142/$B$144</f>
        <v>0.29392110696285828</v>
      </c>
      <c r="G142" s="19"/>
      <c r="J142" s="35"/>
      <c r="K142" s="124"/>
    </row>
    <row r="143" spans="1:11" s="1" customFormat="1" ht="13.5" thickBot="1" x14ac:dyDescent="0.35">
      <c r="A143" s="145" t="str">
        <f>B97</f>
        <v xml:space="preserve">für Investition Obstanlage </v>
      </c>
      <c r="B143" s="474">
        <f>F97</f>
        <v>1585.5005250215047</v>
      </c>
      <c r="C143" s="555">
        <f>B143/$B$144</f>
        <v>0.70607889303714189</v>
      </c>
      <c r="G143" s="19"/>
      <c r="J143" s="35"/>
      <c r="K143" s="124"/>
    </row>
    <row r="144" spans="1:11" s="1" customFormat="1" ht="13" x14ac:dyDescent="0.3">
      <c r="A144" s="875" t="s">
        <v>189</v>
      </c>
      <c r="B144" s="46">
        <f>SUM(B142:B143)</f>
        <v>2245.5005250215045</v>
      </c>
      <c r="C144" s="555">
        <f>B144/$B$144</f>
        <v>1</v>
      </c>
      <c r="G144" s="19"/>
      <c r="J144" s="35"/>
      <c r="K144" s="124"/>
    </row>
    <row r="145" spans="1:11" ht="13.75" customHeight="1" x14ac:dyDescent="0.25">
      <c r="A145" s="13"/>
      <c r="B145" s="13"/>
      <c r="C145" s="13"/>
      <c r="F145" s="37"/>
      <c r="G145" s="19"/>
    </row>
    <row r="146" spans="1:11" s="169" customFormat="1" ht="24.65" customHeight="1" x14ac:dyDescent="0.25">
      <c r="A146" s="876" t="s">
        <v>422</v>
      </c>
      <c r="B146" s="866" t="s">
        <v>206</v>
      </c>
      <c r="C146" s="874" t="s">
        <v>303</v>
      </c>
      <c r="D146" s="172"/>
      <c r="G146" s="931"/>
      <c r="J146" s="170"/>
      <c r="K146" s="171"/>
    </row>
    <row r="147" spans="1:11" s="1" customFormat="1" ht="13" x14ac:dyDescent="0.3">
      <c r="A147" s="145" t="str">
        <f>B79</f>
        <v>Düngung</v>
      </c>
      <c r="B147" s="46">
        <f>F79</f>
        <v>65.400000000000006</v>
      </c>
      <c r="C147" s="555">
        <f t="shared" ref="C147:C156" si="6">B147/$B$156</f>
        <v>3.5220253794523899E-3</v>
      </c>
      <c r="G147" s="19"/>
      <c r="J147" s="35"/>
      <c r="K147" s="124"/>
    </row>
    <row r="148" spans="1:11" s="1" customFormat="1" ht="13" x14ac:dyDescent="0.3">
      <c r="A148" s="145" t="str">
        <f>B80</f>
        <v>Pflanzenschutz inkl. Kontrolle und Mausen</v>
      </c>
      <c r="B148" s="46">
        <f>F80</f>
        <v>2125.5</v>
      </c>
      <c r="C148" s="555">
        <f t="shared" si="6"/>
        <v>0.11446582483220266</v>
      </c>
      <c r="G148" s="19"/>
      <c r="J148" s="35"/>
      <c r="K148" s="124"/>
    </row>
    <row r="149" spans="1:11" s="1" customFormat="1" ht="13" x14ac:dyDescent="0.3">
      <c r="A149" s="145" t="str">
        <f>B81</f>
        <v>Baumerziehung 
(Sommer+Winter)</v>
      </c>
      <c r="B149" s="46">
        <f>F81</f>
        <v>3924.0000000000005</v>
      </c>
      <c r="C149" s="555">
        <f t="shared" si="6"/>
        <v>0.21132152276714339</v>
      </c>
      <c r="G149" s="19"/>
      <c r="J149" s="35"/>
      <c r="K149" s="124"/>
    </row>
    <row r="150" spans="1:11" s="1" customFormat="1" ht="13" x14ac:dyDescent="0.3">
      <c r="A150" s="145" t="str">
        <f>B82</f>
        <v>Mulchen und Schnittholz hacken</v>
      </c>
      <c r="B150" s="46">
        <f>F82</f>
        <v>294.3</v>
      </c>
      <c r="C150" s="555">
        <f t="shared" si="6"/>
        <v>1.5849114207535753E-2</v>
      </c>
      <c r="G150" s="19"/>
      <c r="J150" s="35"/>
      <c r="K150" s="124"/>
    </row>
    <row r="151" spans="1:11" s="1" customFormat="1" ht="13" x14ac:dyDescent="0.3">
      <c r="A151" s="145" t="str">
        <f>B83</f>
        <v>Behangsregulierung (von Hand)</v>
      </c>
      <c r="B151" s="46">
        <f>F83</f>
        <v>4551</v>
      </c>
      <c r="C151" s="555">
        <f t="shared" si="6"/>
        <v>0.24508772938666398</v>
      </c>
      <c r="G151" s="19"/>
      <c r="J151" s="35"/>
      <c r="K151" s="124"/>
    </row>
    <row r="152" spans="1:11" s="1" customFormat="1" ht="13" x14ac:dyDescent="0.3">
      <c r="A152" s="42" t="s">
        <v>633</v>
      </c>
      <c r="B152" s="46">
        <f>F91</f>
        <v>5383.7860824742274</v>
      </c>
      <c r="C152" s="555">
        <f t="shared" si="6"/>
        <v>0.28993625718680099</v>
      </c>
      <c r="G152" s="19"/>
      <c r="J152" s="35"/>
      <c r="K152" s="124"/>
    </row>
    <row r="153" spans="1:11" s="1" customFormat="1" ht="13" x14ac:dyDescent="0.3">
      <c r="A153" s="145" t="s">
        <v>407</v>
      </c>
      <c r="B153" s="46">
        <f>F85</f>
        <v>341.32499999999999</v>
      </c>
      <c r="C153" s="555">
        <f t="shared" si="6"/>
        <v>1.8381579703999798E-2</v>
      </c>
      <c r="G153" s="19"/>
      <c r="J153" s="35"/>
      <c r="K153" s="124"/>
    </row>
    <row r="154" spans="1:11" s="1" customFormat="1" ht="13" x14ac:dyDescent="0.3">
      <c r="A154" s="145" t="s">
        <v>423</v>
      </c>
      <c r="B154" s="46">
        <f>F86</f>
        <v>227.54999999999998</v>
      </c>
      <c r="C154" s="555">
        <f t="shared" si="6"/>
        <v>1.2254386469333198E-2</v>
      </c>
      <c r="G154" s="19"/>
      <c r="J154" s="35"/>
      <c r="K154" s="124"/>
    </row>
    <row r="155" spans="1:11" s="1" customFormat="1" ht="13.5" thickBot="1" x14ac:dyDescent="0.35">
      <c r="A155" s="145" t="str">
        <f>B92</f>
        <v>Verwaltung + übrige Arbeiten</v>
      </c>
      <c r="B155" s="474">
        <f>F92</f>
        <v>1656</v>
      </c>
      <c r="C155" s="555">
        <f t="shared" si="6"/>
        <v>8.9181560066867838E-2</v>
      </c>
      <c r="G155" s="19"/>
      <c r="J155" s="35"/>
      <c r="K155" s="124"/>
    </row>
    <row r="156" spans="1:11" s="1" customFormat="1" ht="13" x14ac:dyDescent="0.3">
      <c r="A156" s="875" t="str">
        <f>A136</f>
        <v>Arbeitskosten</v>
      </c>
      <c r="B156" s="46">
        <f>SUM(B147:B155)</f>
        <v>18568.861082474228</v>
      </c>
      <c r="C156" s="555">
        <f t="shared" si="6"/>
        <v>1</v>
      </c>
      <c r="G156" s="19"/>
      <c r="J156" s="35"/>
      <c r="K156" s="124"/>
    </row>
    <row r="157" spans="1:11" x14ac:dyDescent="0.25">
      <c r="A157" s="13"/>
      <c r="B157" s="13"/>
      <c r="C157" s="13"/>
      <c r="G157" s="19"/>
    </row>
    <row r="158" spans="1:11" x14ac:dyDescent="0.25">
      <c r="A158" s="13"/>
      <c r="B158" s="13"/>
      <c r="C158" s="13"/>
      <c r="F158" s="37"/>
      <c r="G158" s="19"/>
    </row>
    <row r="159" spans="1:11" s="169" customFormat="1" ht="18" customHeight="1" x14ac:dyDescent="0.25">
      <c r="A159" s="704" t="s">
        <v>195</v>
      </c>
      <c r="B159" s="866" t="s">
        <v>206</v>
      </c>
      <c r="C159" s="866" t="s">
        <v>292</v>
      </c>
      <c r="D159" s="172"/>
      <c r="E159" s="172"/>
      <c r="F159" s="151"/>
      <c r="G159" s="931"/>
      <c r="J159" s="170"/>
      <c r="K159" s="171"/>
    </row>
    <row r="160" spans="1:11" s="1" customFormat="1" ht="13" x14ac:dyDescent="0.3">
      <c r="A160" s="145" t="str">
        <f>A40</f>
        <v xml:space="preserve">Abzüge   </v>
      </c>
      <c r="B160" s="46">
        <f>F49</f>
        <v>803.63099999999997</v>
      </c>
      <c r="C160" s="456">
        <f>B160/$B$164</f>
        <v>2.666706123062423E-2</v>
      </c>
      <c r="D160" s="173"/>
      <c r="E160" s="34"/>
      <c r="F160" s="174"/>
      <c r="G160" s="19"/>
      <c r="J160" s="35"/>
      <c r="K160" s="124"/>
    </row>
    <row r="161" spans="1:11" s="1" customFormat="1" ht="15.75" customHeight="1" x14ac:dyDescent="0.25">
      <c r="A161" s="852" t="str">
        <f>A51</f>
        <v xml:space="preserve">Abschreibung Obstanlage </v>
      </c>
      <c r="B161" s="641">
        <f>F51</f>
        <v>14680.560416865783</v>
      </c>
      <c r="C161" s="456">
        <f>B161/$B$164</f>
        <v>0.48714821048023066</v>
      </c>
      <c r="G161" s="19"/>
      <c r="J161" s="35"/>
      <c r="K161" s="124"/>
    </row>
    <row r="162" spans="1:11" s="1" customFormat="1" ht="13" x14ac:dyDescent="0.25">
      <c r="A162" s="145" t="str">
        <f>A61</f>
        <v>Maschinen und Geräte</v>
      </c>
      <c r="B162" s="46">
        <f>F76</f>
        <v>7984.4259664948459</v>
      </c>
      <c r="C162" s="456">
        <f>B162/$B$164</f>
        <v>0.26494893320429913</v>
      </c>
      <c r="G162" s="19"/>
      <c r="J162" s="35"/>
      <c r="K162" s="124"/>
    </row>
    <row r="163" spans="1:11" s="1" customFormat="1" ht="13.5" thickBot="1" x14ac:dyDescent="0.3">
      <c r="A163" s="145" t="s">
        <v>433</v>
      </c>
      <c r="B163" s="474">
        <f>B164-B160-B161-B162</f>
        <v>6667.099224104044</v>
      </c>
      <c r="C163" s="456">
        <f>B163/$B$164</f>
        <v>0.22123579508484598</v>
      </c>
      <c r="G163" s="19"/>
      <c r="J163" s="35"/>
      <c r="K163" s="124"/>
    </row>
    <row r="164" spans="1:11" s="1" customFormat="1" ht="13" x14ac:dyDescent="0.25">
      <c r="A164" s="19" t="str">
        <f>A138</f>
        <v>Sachkosten</v>
      </c>
      <c r="B164" s="46">
        <f>B138</f>
        <v>30135.716607464674</v>
      </c>
      <c r="C164" s="456">
        <f>B164/$B$164</f>
        <v>1</v>
      </c>
      <c r="G164" s="19"/>
      <c r="J164" s="35"/>
      <c r="K164" s="124"/>
    </row>
    <row r="165" spans="1:11" x14ac:dyDescent="0.25">
      <c r="A165" s="13"/>
      <c r="B165" s="13"/>
      <c r="C165" s="13"/>
      <c r="G165" s="19"/>
    </row>
    <row r="166" spans="1:11" x14ac:dyDescent="0.25">
      <c r="A166" s="13"/>
      <c r="B166" s="13"/>
      <c r="C166" s="13"/>
      <c r="G166" s="19"/>
    </row>
    <row r="167" spans="1:11" s="169" customFormat="1" ht="46.5" customHeight="1" x14ac:dyDescent="0.25">
      <c r="A167" s="873" t="s">
        <v>191</v>
      </c>
      <c r="B167" s="866" t="s">
        <v>206</v>
      </c>
      <c r="C167" s="866" t="s">
        <v>190</v>
      </c>
      <c r="G167" s="931"/>
      <c r="J167" s="170"/>
      <c r="K167" s="171"/>
    </row>
    <row r="168" spans="1:11" s="1" customFormat="1" ht="13" x14ac:dyDescent="0.3">
      <c r="A168" s="19" t="str">
        <f>A57</f>
        <v>Total Direktkosten</v>
      </c>
      <c r="B168" s="46">
        <f>F57</f>
        <v>22001.290640969826</v>
      </c>
      <c r="C168" s="872">
        <f>G57</f>
        <v>0.42387876001952418</v>
      </c>
      <c r="G168" s="19"/>
      <c r="J168" s="35"/>
      <c r="K168" s="124"/>
    </row>
    <row r="169" spans="1:11" s="1" customFormat="1" ht="13.5" thickBot="1" x14ac:dyDescent="0.35">
      <c r="A169" s="19" t="str">
        <f>A100</f>
        <v>Total Strukturkosten</v>
      </c>
      <c r="B169" s="474">
        <f>F100</f>
        <v>29903.387573990578</v>
      </c>
      <c r="C169" s="872">
        <f>G100</f>
        <v>0.57612123998047582</v>
      </c>
      <c r="G169" s="19"/>
      <c r="J169" s="35"/>
      <c r="K169" s="124"/>
    </row>
    <row r="170" spans="1:11" s="1" customFormat="1" ht="13" x14ac:dyDescent="0.3">
      <c r="A170" s="19" t="str">
        <f>A102</f>
        <v>Produktionskosten pro ha</v>
      </c>
      <c r="B170" s="46">
        <f>SUM(B168:B169)</f>
        <v>51904.678214960404</v>
      </c>
      <c r="C170" s="872">
        <f>SUM(C168:C169)</f>
        <v>1</v>
      </c>
      <c r="G170" s="19"/>
      <c r="J170" s="35"/>
      <c r="K170" s="124"/>
    </row>
    <row r="171" spans="1:11" x14ac:dyDescent="0.25">
      <c r="A171" s="13"/>
      <c r="B171" s="13"/>
      <c r="C171" s="13"/>
      <c r="G171" s="19"/>
    </row>
    <row r="172" spans="1:11" x14ac:dyDescent="0.25">
      <c r="G172" s="19"/>
    </row>
    <row r="173" spans="1:11" ht="20" x14ac:dyDescent="0.4">
      <c r="A173" s="636" t="s">
        <v>425</v>
      </c>
      <c r="B173" s="636"/>
      <c r="C173" s="636"/>
      <c r="D173" s="636"/>
      <c r="E173" s="636"/>
      <c r="F173" s="642"/>
      <c r="G173" s="19"/>
    </row>
    <row r="174" spans="1:11" s="1" customFormat="1" ht="11" customHeight="1" x14ac:dyDescent="0.4">
      <c r="A174" s="318"/>
      <c r="B174" s="318"/>
      <c r="C174" s="318"/>
      <c r="D174" s="318"/>
      <c r="E174" s="318"/>
      <c r="F174" s="381"/>
      <c r="G174" s="19"/>
      <c r="J174" s="35"/>
      <c r="K174" s="124"/>
    </row>
    <row r="175" spans="1:11" x14ac:dyDescent="0.25">
      <c r="A175" s="13"/>
      <c r="B175" s="866" t="s">
        <v>206</v>
      </c>
      <c r="C175" s="866" t="s">
        <v>190</v>
      </c>
    </row>
    <row r="176" spans="1:11" ht="13" x14ac:dyDescent="0.3">
      <c r="A176" s="72" t="s">
        <v>276</v>
      </c>
      <c r="B176" s="13"/>
      <c r="C176" s="13"/>
    </row>
    <row r="177" spans="1:3" ht="13" x14ac:dyDescent="0.3">
      <c r="A177" s="109" t="s">
        <v>102</v>
      </c>
      <c r="B177" s="85">
        <f>F37</f>
        <v>4547.3526000000002</v>
      </c>
      <c r="C177" s="302">
        <f>B177/$F$102</f>
        <v>8.7609686764021283E-2</v>
      </c>
    </row>
    <row r="178" spans="1:3" x14ac:dyDescent="0.25">
      <c r="A178" s="13"/>
      <c r="B178" s="46"/>
      <c r="C178" s="302"/>
    </row>
    <row r="179" spans="1:3" ht="13" x14ac:dyDescent="0.3">
      <c r="A179" s="72" t="s">
        <v>23</v>
      </c>
      <c r="B179" s="44"/>
      <c r="C179" s="302"/>
    </row>
    <row r="180" spans="1:3" x14ac:dyDescent="0.25">
      <c r="A180" s="19" t="str">
        <f>B61</f>
        <v>Anbaugebläsepritze 1000 l</v>
      </c>
      <c r="B180" s="46">
        <f>F61</f>
        <v>925</v>
      </c>
      <c r="C180" s="302">
        <f>B180/$F$102</f>
        <v>1.7821129651727399E-2</v>
      </c>
    </row>
    <row r="181" spans="1:3" ht="13" thickBot="1" x14ac:dyDescent="0.3">
      <c r="A181" s="19" t="s">
        <v>24</v>
      </c>
      <c r="B181" s="870">
        <f>((C61*D61)+E70)</f>
        <v>66</v>
      </c>
      <c r="C181" s="302">
        <f>B181/$F$102</f>
        <v>1.2715616832583874E-3</v>
      </c>
    </row>
    <row r="182" spans="1:3" ht="13" x14ac:dyDescent="0.3">
      <c r="A182" s="19"/>
      <c r="B182" s="85">
        <f>SUM(B180:B181)</f>
        <v>991</v>
      </c>
      <c r="C182" s="302">
        <f>B182/$F$102</f>
        <v>1.9092691334985788E-2</v>
      </c>
    </row>
    <row r="183" spans="1:3" x14ac:dyDescent="0.25">
      <c r="A183" s="19"/>
      <c r="B183" s="44"/>
      <c r="C183" s="302"/>
    </row>
    <row r="184" spans="1:3" ht="13" x14ac:dyDescent="0.3">
      <c r="A184" s="87" t="s">
        <v>28</v>
      </c>
      <c r="B184" s="44"/>
      <c r="C184" s="302"/>
    </row>
    <row r="185" spans="1:3" ht="13.5" thickBot="1" x14ac:dyDescent="0.35">
      <c r="A185" s="19" t="str">
        <f>B80</f>
        <v>Pflanzenschutz inkl. Kontrolle und Mausen</v>
      </c>
      <c r="B185" s="634">
        <f>F80</f>
        <v>2125.5</v>
      </c>
      <c r="C185" s="302">
        <f>B185/$F$102</f>
        <v>4.0950066026753065E-2</v>
      </c>
    </row>
    <row r="186" spans="1:3" x14ac:dyDescent="0.25">
      <c r="A186" s="19"/>
      <c r="B186" s="19"/>
      <c r="C186" s="13"/>
    </row>
    <row r="187" spans="1:3" ht="13" x14ac:dyDescent="0.3">
      <c r="A187" s="87" t="s">
        <v>283</v>
      </c>
      <c r="B187" s="85">
        <f>B177+B182+B185</f>
        <v>7663.8526000000002</v>
      </c>
      <c r="C187" s="867">
        <f>B187/$F$102</f>
        <v>0.14765244412576012</v>
      </c>
    </row>
    <row r="188" spans="1:3" x14ac:dyDescent="0.25">
      <c r="A188" s="13" t="s">
        <v>278</v>
      </c>
      <c r="B188" s="46">
        <f>F102-B194</f>
        <v>44240.825614960406</v>
      </c>
      <c r="C188" s="302">
        <f>B188/$F$102</f>
        <v>0.85234755587423994</v>
      </c>
    </row>
    <row r="189" spans="1:3" x14ac:dyDescent="0.25">
      <c r="A189" s="13"/>
      <c r="B189" s="19"/>
      <c r="C189" s="13"/>
    </row>
    <row r="190" spans="1:3" ht="25" x14ac:dyDescent="0.35">
      <c r="A190" s="309" t="s">
        <v>277</v>
      </c>
      <c r="B190" s="866" t="s">
        <v>206</v>
      </c>
      <c r="C190" s="868" t="s">
        <v>426</v>
      </c>
    </row>
    <row r="191" spans="1:3" x14ac:dyDescent="0.25">
      <c r="A191" s="13" t="s">
        <v>276</v>
      </c>
      <c r="B191" s="46">
        <f>B177</f>
        <v>4547.3526000000002</v>
      </c>
      <c r="C191" s="302">
        <f>B191/$B$194</f>
        <v>0.593350738504548</v>
      </c>
    </row>
    <row r="192" spans="1:3" x14ac:dyDescent="0.25">
      <c r="A192" s="13" t="s">
        <v>23</v>
      </c>
      <c r="B192" s="46">
        <f>B182</f>
        <v>991</v>
      </c>
      <c r="C192" s="302">
        <f>B192/$B$194</f>
        <v>0.12930833246975548</v>
      </c>
    </row>
    <row r="193" spans="1:11" ht="13" thickBot="1" x14ac:dyDescent="0.3">
      <c r="A193" s="13" t="s">
        <v>28</v>
      </c>
      <c r="B193" s="474">
        <f>B185</f>
        <v>2125.5</v>
      </c>
      <c r="C193" s="302">
        <f>B193/$B$194</f>
        <v>0.27734092902569657</v>
      </c>
    </row>
    <row r="194" spans="1:11" s="169" customFormat="1" ht="28.5" customHeight="1" x14ac:dyDescent="0.25">
      <c r="A194" s="869" t="s">
        <v>288</v>
      </c>
      <c r="B194" s="853">
        <f>SUM(B191:B193)</f>
        <v>7663.8526000000002</v>
      </c>
      <c r="C194" s="302">
        <f>B194/$B$194</f>
        <v>1</v>
      </c>
      <c r="G194" s="172"/>
      <c r="J194" s="170"/>
      <c r="K194" s="171"/>
    </row>
    <row r="195" spans="1:11" ht="15.75" customHeight="1" x14ac:dyDescent="0.25">
      <c r="A195" s="1"/>
      <c r="B195" s="34"/>
      <c r="C195" s="91"/>
      <c r="D195" s="1"/>
    </row>
    <row r="197" spans="1:11" ht="20.5" x14ac:dyDescent="0.45">
      <c r="A197" s="636" t="s">
        <v>424</v>
      </c>
      <c r="B197" s="637"/>
      <c r="C197" s="637"/>
      <c r="D197" s="637"/>
      <c r="E197" s="637"/>
      <c r="F197" s="640"/>
    </row>
    <row r="198" spans="1:11" s="1" customFormat="1" ht="20" x14ac:dyDescent="0.4">
      <c r="A198" s="318"/>
      <c r="B198" s="319"/>
      <c r="C198" s="319"/>
      <c r="D198" s="319"/>
      <c r="E198" s="319"/>
      <c r="F198" s="382"/>
      <c r="J198" s="35"/>
      <c r="K198" s="124"/>
    </row>
    <row r="199" spans="1:11" x14ac:dyDescent="0.25">
      <c r="A199" s="13"/>
      <c r="B199" s="866" t="s">
        <v>206</v>
      </c>
      <c r="C199" s="866" t="s">
        <v>190</v>
      </c>
      <c r="D199" s="13"/>
    </row>
    <row r="200" spans="1:11" ht="13" x14ac:dyDescent="0.3">
      <c r="A200" s="72" t="s">
        <v>23</v>
      </c>
      <c r="B200" s="19"/>
      <c r="C200" s="13"/>
      <c r="D200" s="13"/>
    </row>
    <row r="201" spans="1:11" x14ac:dyDescent="0.25">
      <c r="A201" s="109" t="str">
        <f>B65</f>
        <v>Erntewagen 4 Grosskisten</v>
      </c>
      <c r="B201" s="46">
        <f>F65</f>
        <v>215.15625000000003</v>
      </c>
      <c r="C201" s="302">
        <f>B201/$F$102</f>
        <v>4.1452188395994308E-3</v>
      </c>
      <c r="D201" s="13"/>
    </row>
    <row r="202" spans="1:11" x14ac:dyDescent="0.25">
      <c r="A202" s="109" t="s">
        <v>24</v>
      </c>
      <c r="B202" s="385">
        <f>((D66*E66))</f>
        <v>59.149484536082483</v>
      </c>
      <c r="C202" s="302">
        <f>B202/$F$102</f>
        <v>1.1395790624328331E-3</v>
      </c>
      <c r="D202" s="13"/>
    </row>
    <row r="203" spans="1:11" x14ac:dyDescent="0.25">
      <c r="A203" s="109"/>
      <c r="B203" s="385"/>
      <c r="C203" s="302"/>
      <c r="D203" s="13"/>
    </row>
    <row r="204" spans="1:11" ht="13" x14ac:dyDescent="0.3">
      <c r="A204" s="72" t="s">
        <v>28</v>
      </c>
      <c r="B204" s="44"/>
      <c r="C204" s="302"/>
      <c r="D204" s="13"/>
    </row>
    <row r="205" spans="1:11" x14ac:dyDescent="0.25">
      <c r="A205" s="755" t="str">
        <f>B91</f>
        <v>baumfallend</v>
      </c>
      <c r="B205" s="46">
        <f>F91</f>
        <v>5383.7860824742274</v>
      </c>
      <c r="C205" s="302">
        <f>B205/$F$102</f>
        <v>0.10372448626263649</v>
      </c>
      <c r="D205" s="13"/>
    </row>
    <row r="206" spans="1:11" ht="13" thickBot="1" x14ac:dyDescent="0.3">
      <c r="A206" s="755" t="s">
        <v>427</v>
      </c>
      <c r="B206" s="474">
        <f>F92</f>
        <v>1656</v>
      </c>
      <c r="C206" s="302">
        <f>B206/$F$102</f>
        <v>3.1904638598119539E-2</v>
      </c>
      <c r="D206" s="13"/>
    </row>
    <row r="207" spans="1:11" ht="15.5" x14ac:dyDescent="0.35">
      <c r="A207" s="309" t="s">
        <v>284</v>
      </c>
      <c r="B207" s="85">
        <f>SUM(B201:B206)</f>
        <v>7314.0918170103096</v>
      </c>
      <c r="C207" s="867">
        <f>B207/$F$102</f>
        <v>0.14091392276278827</v>
      </c>
      <c r="D207" s="13"/>
    </row>
    <row r="208" spans="1:11" x14ac:dyDescent="0.25">
      <c r="A208" s="13" t="s">
        <v>278</v>
      </c>
      <c r="B208" s="46">
        <f>F102-B207</f>
        <v>44590.586397950094</v>
      </c>
      <c r="C208" s="302">
        <f>B208/$F$102</f>
        <v>0.85908607723721175</v>
      </c>
      <c r="D208" s="13"/>
    </row>
    <row r="209" spans="1:4" x14ac:dyDescent="0.25">
      <c r="A209" s="13"/>
      <c r="B209" s="19"/>
      <c r="C209" s="13"/>
      <c r="D209" s="13"/>
    </row>
    <row r="210" spans="1:4" ht="15.5" x14ac:dyDescent="0.35">
      <c r="A210" s="309" t="s">
        <v>277</v>
      </c>
      <c r="B210" s="866" t="s">
        <v>206</v>
      </c>
      <c r="C210" s="866" t="s">
        <v>294</v>
      </c>
      <c r="D210" s="13"/>
    </row>
    <row r="211" spans="1:4" x14ac:dyDescent="0.25">
      <c r="A211" s="13" t="s">
        <v>23</v>
      </c>
      <c r="B211" s="46">
        <f>B201+B202</f>
        <v>274.30573453608253</v>
      </c>
      <c r="C211" s="302">
        <f>B211/$B$213</f>
        <v>3.7503731344762786E-2</v>
      </c>
      <c r="D211" s="13"/>
    </row>
    <row r="212" spans="1:4" ht="13" thickBot="1" x14ac:dyDescent="0.3">
      <c r="A212" s="13" t="s">
        <v>28</v>
      </c>
      <c r="B212" s="474">
        <f>B205+B206</f>
        <v>7039.7860824742274</v>
      </c>
      <c r="C212" s="302">
        <f>B212/$B$213</f>
        <v>0.9624962686552373</v>
      </c>
      <c r="D212" s="13"/>
    </row>
    <row r="213" spans="1:4" ht="13" x14ac:dyDescent="0.3">
      <c r="A213" s="13" t="s">
        <v>284</v>
      </c>
      <c r="B213" s="85">
        <f>SUM(B211:B212)</f>
        <v>7314.0918170103096</v>
      </c>
      <c r="C213" s="302">
        <f>B213/$B$213</f>
        <v>1</v>
      </c>
      <c r="D213" s="13"/>
    </row>
    <row r="214" spans="1:4" x14ac:dyDescent="0.25">
      <c r="A214" s="13"/>
      <c r="B214" s="46"/>
      <c r="C214" s="302"/>
      <c r="D214" s="13"/>
    </row>
    <row r="215" spans="1:4" x14ac:dyDescent="0.25">
      <c r="A215" s="13"/>
      <c r="B215" s="13"/>
      <c r="C215" s="13"/>
      <c r="D215" s="13"/>
    </row>
    <row r="216" spans="1:4" x14ac:dyDescent="0.25">
      <c r="A216" s="13"/>
      <c r="B216" s="13"/>
      <c r="C216" s="13"/>
      <c r="D216" s="13"/>
    </row>
  </sheetData>
  <mergeCells count="9">
    <mergeCell ref="A5:G5"/>
    <mergeCell ref="G7:G8"/>
    <mergeCell ref="J58:K58"/>
    <mergeCell ref="L58:M58"/>
    <mergeCell ref="A23:A28"/>
    <mergeCell ref="A30:A35"/>
    <mergeCell ref="B124:E124"/>
    <mergeCell ref="C7:D7"/>
    <mergeCell ref="A41:A43"/>
  </mergeCells>
  <phoneticPr fontId="0" type="noConversion"/>
  <pageMargins left="0.78740157499999996" right="0.78740157499999996" top="0.984251969" bottom="0.984251969" header="0.4921259845" footer="0.4921259845"/>
  <pageSetup paperSize="9" orientation="portrait" r:id="rId1"/>
  <headerFooter alignWithMargins="0">
    <oddHeader>&amp;LArbokost BIO 2008/09&amp;REsther Bravin, ACW</oddHead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tandardCashflow1">
    <tabColor indexed="8"/>
  </sheetPr>
  <dimension ref="A1:L47"/>
  <sheetViews>
    <sheetView topLeftCell="A19" zoomScale="75" workbookViewId="0">
      <selection activeCell="C22" sqref="C22:C37"/>
    </sheetView>
  </sheetViews>
  <sheetFormatPr baseColWidth="10" defaultRowHeight="12.5" x14ac:dyDescent="0.25"/>
  <cols>
    <col min="1" max="1" width="33.1796875" customWidth="1"/>
    <col min="2" max="2" width="10.36328125" bestFit="1" customWidth="1"/>
    <col min="3" max="3" width="19.54296875" customWidth="1"/>
    <col min="4" max="4" width="12.36328125" customWidth="1"/>
    <col min="5" max="5" width="21.81640625" customWidth="1"/>
    <col min="6" max="6" width="14.36328125" customWidth="1"/>
    <col min="7" max="7" width="13" customWidth="1"/>
    <col min="11" max="11" width="14.81640625" customWidth="1"/>
  </cols>
  <sheetData>
    <row r="1" spans="1:10" ht="42" customHeight="1" x14ac:dyDescent="0.25">
      <c r="A1" s="1287" t="str">
        <f>Eingabeseite!$A$1</f>
        <v>Arbokost 2023</v>
      </c>
      <c r="B1" s="1284" t="str">
        <f>'Variante Ertragsphase'!B1</f>
        <v>BIO- Tafelapfel, Gala auf M9, 3000 Bäume /ha</v>
      </c>
    </row>
    <row r="2" spans="1:10" ht="15.5" x14ac:dyDescent="0.35">
      <c r="A2" s="714" t="s">
        <v>455</v>
      </c>
    </row>
    <row r="3" spans="1:10" s="1" customFormat="1" ht="21" customHeight="1" x14ac:dyDescent="0.25">
      <c r="A3" s="713"/>
    </row>
    <row r="4" spans="1:10" ht="23" x14ac:dyDescent="0.5">
      <c r="A4" s="715" t="s">
        <v>454</v>
      </c>
      <c r="B4" s="716"/>
      <c r="C4" s="716"/>
      <c r="D4" s="716"/>
      <c r="E4" s="716"/>
      <c r="F4" s="717"/>
      <c r="G4" s="717"/>
      <c r="H4" s="717"/>
      <c r="I4" s="718"/>
      <c r="J4" s="718"/>
    </row>
    <row r="5" spans="1:10" s="1" customFormat="1" ht="30" customHeight="1" x14ac:dyDescent="0.5">
      <c r="A5" s="719"/>
      <c r="B5" s="720"/>
      <c r="C5" s="720"/>
      <c r="D5" s="720"/>
      <c r="E5" s="720"/>
      <c r="F5" s="44"/>
      <c r="G5" s="44"/>
      <c r="H5" s="44"/>
    </row>
    <row r="6" spans="1:10" s="1" customFormat="1" ht="30" customHeight="1" x14ac:dyDescent="0.5">
      <c r="A6" s="719"/>
      <c r="B6" s="720"/>
      <c r="C6" s="720"/>
      <c r="D6" s="720"/>
      <c r="E6" s="720"/>
      <c r="F6" s="44"/>
      <c r="G6" s="44"/>
      <c r="H6" s="44"/>
    </row>
    <row r="7" spans="1:10" s="1" customFormat="1" ht="30" customHeight="1" x14ac:dyDescent="0.5">
      <c r="A7" s="719"/>
      <c r="B7" s="720"/>
      <c r="C7" s="720"/>
      <c r="D7" s="720"/>
      <c r="E7" s="720"/>
      <c r="F7" s="44"/>
      <c r="G7" s="44"/>
      <c r="H7" s="44"/>
    </row>
    <row r="8" spans="1:10" s="1" customFormat="1" ht="30" customHeight="1" x14ac:dyDescent="0.5">
      <c r="A8" s="719"/>
      <c r="B8" s="720"/>
      <c r="C8" s="720"/>
      <c r="D8" s="720"/>
      <c r="E8" s="720"/>
      <c r="F8" s="44"/>
      <c r="G8" s="44"/>
      <c r="H8" s="44"/>
    </row>
    <row r="9" spans="1:10" s="1" customFormat="1" ht="30" customHeight="1" x14ac:dyDescent="0.5">
      <c r="A9" s="719"/>
      <c r="B9" s="720"/>
      <c r="C9" s="720"/>
      <c r="D9" s="720"/>
      <c r="E9" s="720"/>
      <c r="F9" s="44"/>
      <c r="G9" s="44"/>
      <c r="H9" s="44"/>
    </row>
    <row r="10" spans="1:10" s="1" customFormat="1" ht="30" customHeight="1" x14ac:dyDescent="0.5">
      <c r="A10" s="719"/>
      <c r="B10" s="720"/>
      <c r="C10" s="720"/>
      <c r="D10" s="720"/>
      <c r="E10" s="720"/>
      <c r="F10" s="44"/>
      <c r="G10" s="44"/>
      <c r="H10" s="44"/>
    </row>
    <row r="11" spans="1:10" s="1" customFormat="1" ht="30" customHeight="1" x14ac:dyDescent="0.5">
      <c r="A11" s="719"/>
      <c r="B11" s="720"/>
      <c r="C11" s="720"/>
      <c r="D11" s="720"/>
      <c r="E11" s="720"/>
      <c r="F11" s="44"/>
      <c r="G11" s="44"/>
      <c r="H11" s="44"/>
    </row>
    <row r="12" spans="1:10" s="1" customFormat="1" ht="30" customHeight="1" x14ac:dyDescent="0.5">
      <c r="A12" s="719"/>
      <c r="B12" s="720"/>
      <c r="C12" s="720"/>
      <c r="D12" s="720"/>
      <c r="E12" s="720"/>
      <c r="F12" s="44"/>
      <c r="G12" s="44"/>
      <c r="H12" s="44"/>
    </row>
    <row r="13" spans="1:10" s="1" customFormat="1" ht="30" customHeight="1" x14ac:dyDescent="0.5">
      <c r="A13" s="719"/>
      <c r="B13" s="720"/>
      <c r="C13" s="720"/>
      <c r="D13" s="720"/>
      <c r="E13" s="720"/>
      <c r="F13" s="44"/>
      <c r="G13" s="44"/>
      <c r="H13" s="44"/>
    </row>
    <row r="14" spans="1:10" s="1" customFormat="1" ht="30" customHeight="1" x14ac:dyDescent="0.5">
      <c r="A14" s="719"/>
      <c r="B14" s="720"/>
      <c r="C14" s="720"/>
      <c r="D14" s="720"/>
      <c r="E14" s="720"/>
      <c r="F14" s="44"/>
      <c r="G14" s="44"/>
      <c r="H14" s="44"/>
    </row>
    <row r="15" spans="1:10" s="1" customFormat="1" ht="192" customHeight="1" x14ac:dyDescent="0.5">
      <c r="A15" s="719"/>
      <c r="B15" s="720"/>
      <c r="C15" s="720"/>
      <c r="D15" s="720"/>
      <c r="E15" s="720"/>
      <c r="F15" s="44"/>
      <c r="G15" s="44"/>
      <c r="H15" s="44"/>
    </row>
    <row r="16" spans="1:10" s="1" customFormat="1" ht="15.75" customHeight="1" x14ac:dyDescent="0.5">
      <c r="A16" s="719"/>
      <c r="B16" s="720"/>
      <c r="C16" s="720"/>
      <c r="D16" s="720"/>
      <c r="E16" s="720"/>
      <c r="F16" s="44"/>
      <c r="G16" s="44"/>
      <c r="H16" s="44"/>
    </row>
    <row r="17" spans="1:12" x14ac:dyDescent="0.25">
      <c r="A17" s="1"/>
      <c r="B17" s="1"/>
      <c r="C17" s="68" t="str">
        <f>'Variante Vorgaben'!B50</f>
        <v>Tafeläpfel BIO</v>
      </c>
      <c r="D17" s="68" t="str">
        <f>'Variante Vorgaben'!C50</f>
        <v>Kochobst BIO</v>
      </c>
      <c r="E17" s="68" t="str">
        <f>'Variante Vorgaben'!D50</f>
        <v>Mostobst BIO</v>
      </c>
    </row>
    <row r="18" spans="1:12" ht="17.5" x14ac:dyDescent="0.35">
      <c r="A18" s="3" t="s">
        <v>38</v>
      </c>
      <c r="B18" s="389">
        <f>'Variante Vorgaben'!B10</f>
        <v>3000</v>
      </c>
      <c r="C18" s="48">
        <f>'Variante Vorgaben'!B69</f>
        <v>2.3999999999999995</v>
      </c>
      <c r="D18" s="48">
        <f>'Variante Vorgaben'!C69</f>
        <v>0.59999999999999987</v>
      </c>
      <c r="E18" s="48">
        <f>'Variante Vorgaben'!D69</f>
        <v>0.33</v>
      </c>
    </row>
    <row r="19" spans="1:12" s="1" customFormat="1" ht="17.5" x14ac:dyDescent="0.35">
      <c r="A19" s="3"/>
      <c r="B19" s="389"/>
      <c r="C19" s="48"/>
      <c r="D19" s="48"/>
      <c r="E19" s="48"/>
    </row>
    <row r="20" spans="1:12" ht="46.5" x14ac:dyDescent="0.25">
      <c r="A20" s="901"/>
      <c r="B20" s="902"/>
      <c r="C20" s="908" t="s">
        <v>305</v>
      </c>
      <c r="D20" s="902"/>
      <c r="E20" s="902"/>
      <c r="F20" s="902"/>
      <c r="G20" s="902"/>
      <c r="H20" s="902"/>
      <c r="I20" s="902"/>
      <c r="J20" s="914"/>
    </row>
    <row r="21" spans="1:12" ht="13" x14ac:dyDescent="0.3">
      <c r="A21" s="920"/>
      <c r="B21" s="832"/>
      <c r="C21" s="921" t="s">
        <v>206</v>
      </c>
      <c r="D21" s="915" t="s">
        <v>215</v>
      </c>
      <c r="E21" s="915" t="s">
        <v>218</v>
      </c>
      <c r="F21" s="916" t="s">
        <v>221</v>
      </c>
      <c r="G21" s="915" t="s">
        <v>171</v>
      </c>
      <c r="H21" s="917" t="s">
        <v>55</v>
      </c>
      <c r="I21" s="918" t="s">
        <v>70</v>
      </c>
      <c r="J21" s="919" t="s">
        <v>64</v>
      </c>
    </row>
    <row r="22" spans="1:12" ht="15.5" x14ac:dyDescent="0.35">
      <c r="A22" s="212" t="s">
        <v>71</v>
      </c>
      <c r="B22" s="11">
        <v>0</v>
      </c>
      <c r="C22" s="911">
        <f>'Variante Standjahre'!F95</f>
        <v>-124765.91649999999</v>
      </c>
      <c r="D22" s="385">
        <v>0</v>
      </c>
      <c r="E22" s="223">
        <f>C22*(-1)</f>
        <v>124765.91649999999</v>
      </c>
      <c r="F22" s="664">
        <f t="shared" ref="F22:F37" si="0">D22-E22</f>
        <v>-124765.91649999999</v>
      </c>
      <c r="G22" s="135">
        <f t="shared" ref="G22:G37" si="1">D22/E22</f>
        <v>0</v>
      </c>
      <c r="H22" s="46"/>
      <c r="I22" s="46"/>
      <c r="J22" s="306">
        <f>('Variante Standjahre'!F95)*(-1)</f>
        <v>124765.91649999999</v>
      </c>
      <c r="K22" s="8"/>
      <c r="L22" s="8"/>
    </row>
    <row r="23" spans="1:12" ht="15.5" x14ac:dyDescent="0.35">
      <c r="A23" s="212" t="s">
        <v>72</v>
      </c>
      <c r="B23" s="11">
        <v>1</v>
      </c>
      <c r="C23" s="911">
        <f>'Variante Standjahre'!F96</f>
        <v>-146096.27374849998</v>
      </c>
      <c r="D23" s="385">
        <f>'Variante Standjahre'!F16</f>
        <v>2700</v>
      </c>
      <c r="E23" s="223">
        <f>'Variante Standjahre'!F92</f>
        <v>24030.357248500004</v>
      </c>
      <c r="F23" s="664">
        <f t="shared" si="0"/>
        <v>-21330.357248500004</v>
      </c>
      <c r="G23" s="135">
        <f t="shared" si="1"/>
        <v>0.11235788016295664</v>
      </c>
      <c r="H23" s="272">
        <f>'Variante Standjahre'!D13</f>
        <v>0</v>
      </c>
      <c r="I23" s="261">
        <f>H23/B18</f>
        <v>0</v>
      </c>
      <c r="J23" s="888">
        <f>'Variante Standjahre'!F97</f>
        <v>146096.27374849998</v>
      </c>
      <c r="K23" s="9"/>
      <c r="L23" s="7"/>
    </row>
    <row r="24" spans="1:12" ht="15.5" x14ac:dyDescent="0.35">
      <c r="A24" s="212" t="s">
        <v>40</v>
      </c>
      <c r="B24" s="11">
        <v>2</v>
      </c>
      <c r="C24" s="911">
        <f>'Variante Standjahre'!M96</f>
        <v>-163288.51397760111</v>
      </c>
      <c r="D24" s="385">
        <f>'Variante Standjahre'!M16</f>
        <v>7281.0439024390253</v>
      </c>
      <c r="E24" s="223">
        <f>'Variante Standjahre'!M92</f>
        <v>24473.284131540175</v>
      </c>
      <c r="F24" s="664">
        <f t="shared" si="0"/>
        <v>-17192.240229101149</v>
      </c>
      <c r="G24" s="135">
        <f t="shared" si="1"/>
        <v>0.29750988315685478</v>
      </c>
      <c r="H24" s="272">
        <f>'Variante Standjahre'!K13</f>
        <v>2487.8048780487807</v>
      </c>
      <c r="I24" s="261">
        <f>H24/B18</f>
        <v>0.8292682926829269</v>
      </c>
      <c r="J24" s="888">
        <f>'Variante Standjahre'!M97</f>
        <v>163288.51397760111</v>
      </c>
      <c r="K24" s="9"/>
      <c r="L24" s="7"/>
    </row>
    <row r="25" spans="1:12" s="49" customFormat="1" ht="15.5" x14ac:dyDescent="0.35">
      <c r="A25" s="256" t="s">
        <v>41</v>
      </c>
      <c r="B25" s="114">
        <v>3</v>
      </c>
      <c r="C25" s="911">
        <f>'Variante Standjahre'!T96</f>
        <v>-176166.7250023894</v>
      </c>
      <c r="D25" s="665">
        <f>'Variante Standjahre'!T16</f>
        <v>19497.160975609753</v>
      </c>
      <c r="E25" s="665">
        <f>'Variante Standjahre'!T92</f>
        <v>32375.372000398063</v>
      </c>
      <c r="F25" s="664">
        <f t="shared" si="0"/>
        <v>-12878.21102478831</v>
      </c>
      <c r="G25" s="555">
        <f t="shared" si="1"/>
        <v>0.60222199069620053</v>
      </c>
      <c r="H25" s="313">
        <f>'Variante Standjahre'!R13</f>
        <v>9121.9512195121952</v>
      </c>
      <c r="I25" s="312">
        <f>H25/B18</f>
        <v>3.0406504065040649</v>
      </c>
      <c r="J25" s="889">
        <f>'Variante Standjahre'!T97</f>
        <v>176166.7250023894</v>
      </c>
      <c r="K25" s="181"/>
      <c r="L25" s="182"/>
    </row>
    <row r="26" spans="1:12" s="57" customFormat="1" ht="15.5" x14ac:dyDescent="0.35">
      <c r="A26" s="890" t="s">
        <v>42</v>
      </c>
      <c r="B26" s="753">
        <v>4</v>
      </c>
      <c r="C26" s="911">
        <f>'Variante Standjahre'!AA96</f>
        <v>-187243.73707322564</v>
      </c>
      <c r="D26" s="223">
        <f>'Variante Standjahre'!AA16</f>
        <v>25605.219512195119</v>
      </c>
      <c r="E26" s="223">
        <f>'Variante Standjahre'!AA92</f>
        <v>36682.231583031353</v>
      </c>
      <c r="F26" s="664">
        <f t="shared" si="0"/>
        <v>-11077.012070836234</v>
      </c>
      <c r="G26" s="220">
        <f t="shared" si="1"/>
        <v>0.69802785728117223</v>
      </c>
      <c r="H26" s="666">
        <f>'Variante Standjahre'!Y13</f>
        <v>12439.024390243902</v>
      </c>
      <c r="I26" s="667">
        <f>H26/B18</f>
        <v>4.1463414634146343</v>
      </c>
      <c r="J26" s="891">
        <f>'Variante Standjahre'!AA97</f>
        <v>161486.16458552363</v>
      </c>
      <c r="K26" s="179"/>
      <c r="L26" s="180"/>
    </row>
    <row r="27" spans="1:12" ht="15.5" x14ac:dyDescent="0.35">
      <c r="A27" s="212" t="s">
        <v>43</v>
      </c>
      <c r="B27" s="11">
        <v>5</v>
      </c>
      <c r="C27" s="911">
        <f>'Variante Standjahre'!AH96</f>
        <v>-172073.95330523705</v>
      </c>
      <c r="D27" s="385">
        <f>'Variante Standjahre'!AH16</f>
        <v>53091.482926829267</v>
      </c>
      <c r="E27" s="223">
        <f>'Variante Standjahre'!AH92</f>
        <v>37921.699158840682</v>
      </c>
      <c r="F27" s="664">
        <f t="shared" si="0"/>
        <v>15169.783767988585</v>
      </c>
      <c r="G27" s="135">
        <f t="shared" si="1"/>
        <v>1.4000291153739628</v>
      </c>
      <c r="H27" s="272">
        <f>'Variante Standjahre'!AF13</f>
        <v>27365.853658536584</v>
      </c>
      <c r="I27" s="261">
        <f>H27/B18</f>
        <v>9.1219512195121943</v>
      </c>
      <c r="J27" s="888">
        <f>'Variante Standjahre'!AH97</f>
        <v>146805.60416865785</v>
      </c>
      <c r="K27" s="9"/>
      <c r="L27" s="7"/>
    </row>
    <row r="28" spans="1:12" ht="15.5" x14ac:dyDescent="0.35">
      <c r="A28" s="212" t="s">
        <v>44</v>
      </c>
      <c r="B28" s="11">
        <v>6</v>
      </c>
      <c r="C28" s="911">
        <f>'Variante Standjahre'!AO96</f>
        <v>-156767.64148333657</v>
      </c>
      <c r="D28" s="385">
        <f>'Variante Standjahre'!AO16</f>
        <v>53091.482926829267</v>
      </c>
      <c r="E28" s="223">
        <f>'Variante Standjahre'!AO92</f>
        <v>37785.171104928784</v>
      </c>
      <c r="F28" s="664">
        <f t="shared" si="0"/>
        <v>15306.311821900483</v>
      </c>
      <c r="G28" s="135">
        <f t="shared" si="1"/>
        <v>1.4050877996395759</v>
      </c>
      <c r="H28" s="272">
        <f>'Variante Standjahre'!AM13</f>
        <v>27365.853658536584</v>
      </c>
      <c r="I28" s="261">
        <f>H28/B18</f>
        <v>9.1219512195121943</v>
      </c>
      <c r="J28" s="888">
        <f>'Variante Standjahre'!AO97</f>
        <v>132125.04375179208</v>
      </c>
      <c r="K28" s="9"/>
      <c r="L28" s="7"/>
    </row>
    <row r="29" spans="1:12" ht="15.5" x14ac:dyDescent="0.35">
      <c r="A29" s="212" t="s">
        <v>45</v>
      </c>
      <c r="B29" s="11">
        <v>7</v>
      </c>
      <c r="C29" s="911">
        <f>'Variante Standjahre'!AV96</f>
        <v>-144133.77618972788</v>
      </c>
      <c r="D29" s="385">
        <f>'Variante Standjahre'!AV16</f>
        <v>53091.482926829267</v>
      </c>
      <c r="E29" s="223">
        <f>'Variante Standjahre'!AV92</f>
        <v>40457.61763322058</v>
      </c>
      <c r="F29" s="664">
        <f t="shared" si="0"/>
        <v>12633.865293608687</v>
      </c>
      <c r="G29" s="135">
        <f t="shared" si="1"/>
        <v>1.3122740792140652</v>
      </c>
      <c r="H29" s="272">
        <f>'Variante Standjahre'!AT13</f>
        <v>27365.853658536584</v>
      </c>
      <c r="I29" s="261">
        <f>H29/B18</f>
        <v>9.1219512195121943</v>
      </c>
      <c r="J29" s="888">
        <f>'Variante Standjahre'!AV97</f>
        <v>117444.48333492629</v>
      </c>
      <c r="K29" s="9"/>
      <c r="L29" s="7"/>
    </row>
    <row r="30" spans="1:12" ht="15.5" x14ac:dyDescent="0.35">
      <c r="A30" s="892" t="s">
        <v>46</v>
      </c>
      <c r="B30" s="108">
        <v>8</v>
      </c>
      <c r="C30" s="911">
        <f>'Variante Standjahre'!BC96</f>
        <v>-128576.00277378781</v>
      </c>
      <c r="D30" s="385">
        <f>'Variante Standjahre'!BC16</f>
        <v>53091.482926829267</v>
      </c>
      <c r="E30" s="223">
        <f>'Variante Standjahre'!BC92</f>
        <v>37533.709510889203</v>
      </c>
      <c r="F30" s="664">
        <f t="shared" si="0"/>
        <v>15557.773415940064</v>
      </c>
      <c r="G30" s="135">
        <f t="shared" si="1"/>
        <v>1.4145013540808289</v>
      </c>
      <c r="H30" s="272">
        <f>'Variante Standjahre'!BA13</f>
        <v>27365.853658536584</v>
      </c>
      <c r="I30" s="261">
        <f>H30/B18</f>
        <v>9.1219512195121943</v>
      </c>
      <c r="J30" s="888">
        <f>'Variante Standjahre'!BC97</f>
        <v>102763.9229180605</v>
      </c>
      <c r="K30" s="9"/>
      <c r="L30" s="7"/>
    </row>
    <row r="31" spans="1:12" ht="15.5" x14ac:dyDescent="0.35">
      <c r="A31" s="212" t="s">
        <v>47</v>
      </c>
      <c r="B31" s="11">
        <v>9</v>
      </c>
      <c r="C31" s="911">
        <f>'Variante Standjahre'!BJ96</f>
        <v>-112878.20939710429</v>
      </c>
      <c r="D31" s="385">
        <f>'Variante Standjahre'!BJ16</f>
        <v>53091.482926829267</v>
      </c>
      <c r="E31" s="223">
        <f>'Variante Standjahre'!BJ92</f>
        <v>37393.68955014574</v>
      </c>
      <c r="F31" s="664">
        <f t="shared" si="0"/>
        <v>15697.793376683527</v>
      </c>
      <c r="G31" s="135">
        <f t="shared" si="1"/>
        <v>1.4197979275522532</v>
      </c>
      <c r="H31" s="272">
        <f>'Variante Standjahre'!BH13</f>
        <v>27365.853658536584</v>
      </c>
      <c r="I31" s="261">
        <f>H31/B18</f>
        <v>9.1219512195121943</v>
      </c>
      <c r="J31" s="888">
        <f>'Variante Standjahre'!BJ97</f>
        <v>88083.362501194715</v>
      </c>
      <c r="K31" s="9"/>
      <c r="L31" s="7"/>
    </row>
    <row r="32" spans="1:12" ht="15.5" x14ac:dyDescent="0.35">
      <c r="A32" s="892" t="s">
        <v>48</v>
      </c>
      <c r="B32" s="11">
        <v>10</v>
      </c>
      <c r="C32" s="911">
        <f>'Variante Standjahre'!BQ96</f>
        <v>-99849.339214719526</v>
      </c>
      <c r="D32" s="385">
        <f>'Variante Standjahre'!BQ16</f>
        <v>53091.482926829267</v>
      </c>
      <c r="E32" s="223">
        <f>'Variante Standjahre'!BQ92</f>
        <v>40062.612744444486</v>
      </c>
      <c r="F32" s="664">
        <f t="shared" si="0"/>
        <v>13028.87018238478</v>
      </c>
      <c r="G32" s="135">
        <f t="shared" si="1"/>
        <v>1.3252126930785737</v>
      </c>
      <c r="H32" s="272">
        <f>'Variante Standjahre'!BO13</f>
        <v>27365.853658536584</v>
      </c>
      <c r="I32" s="261">
        <f>H32/B18</f>
        <v>9.1219512195121943</v>
      </c>
      <c r="J32" s="888">
        <f>'Variante Standjahre'!BQ97</f>
        <v>73402.802084328927</v>
      </c>
      <c r="K32" s="9"/>
      <c r="L32" s="7"/>
    </row>
    <row r="33" spans="1:12" ht="15.5" x14ac:dyDescent="0.35">
      <c r="A33" s="892" t="s">
        <v>49</v>
      </c>
      <c r="B33" s="11">
        <v>11</v>
      </c>
      <c r="C33" s="911">
        <f>'Variante Standjahre'!BX96</f>
        <v>-83893.005866004372</v>
      </c>
      <c r="D33" s="668">
        <f>'Variante Standjahre'!BX16</f>
        <v>53091.482926829267</v>
      </c>
      <c r="E33" s="669">
        <f>'Variante Standjahre'!BX92</f>
        <v>37135.149578114128</v>
      </c>
      <c r="F33" s="664">
        <f t="shared" si="0"/>
        <v>15956.333348715139</v>
      </c>
      <c r="G33" s="135">
        <f t="shared" si="1"/>
        <v>1.4296827542097508</v>
      </c>
      <c r="H33" s="272">
        <f>'Variante Standjahre'!BV13</f>
        <v>27365.853658536584</v>
      </c>
      <c r="I33" s="261">
        <f>H33/B18</f>
        <v>9.1219512195121943</v>
      </c>
      <c r="J33" s="888">
        <f>'Variante Standjahre'!BX97</f>
        <v>58722.241667463146</v>
      </c>
      <c r="K33" s="9"/>
      <c r="L33" s="7"/>
    </row>
    <row r="34" spans="1:12" ht="15.5" x14ac:dyDescent="0.35">
      <c r="A34" s="212" t="s">
        <v>50</v>
      </c>
      <c r="B34" s="11">
        <v>12</v>
      </c>
      <c r="C34" s="911">
        <f>'Variante Standjahre'!CE96</f>
        <v>-67793.065517150797</v>
      </c>
      <c r="D34" s="668">
        <f>'Variante Standjahre'!CE16</f>
        <v>53091.482926829267</v>
      </c>
      <c r="E34" s="669">
        <f>'Variante Standjahre'!CE92</f>
        <v>36991.542577975692</v>
      </c>
      <c r="F34" s="664">
        <f t="shared" si="0"/>
        <v>16099.940348853575</v>
      </c>
      <c r="G34" s="135">
        <f t="shared" si="1"/>
        <v>1.4352330080562599</v>
      </c>
      <c r="H34" s="272">
        <f>'Variante Standjahre'!CC13</f>
        <v>27365.853658536584</v>
      </c>
      <c r="I34" s="261">
        <f>H34/B18</f>
        <v>9.1219512195121943</v>
      </c>
      <c r="J34" s="888">
        <f>'Variante Standjahre'!CE97</f>
        <v>44041.681250597365</v>
      </c>
      <c r="K34" s="9"/>
      <c r="L34" s="7"/>
    </row>
    <row r="35" spans="1:12" ht="15.5" x14ac:dyDescent="0.35">
      <c r="A35" s="212" t="s">
        <v>51</v>
      </c>
      <c r="B35" s="878">
        <v>13</v>
      </c>
      <c r="C35" s="911">
        <f>'Variante Standjahre'!CL96</f>
        <v>-58281.143308642007</v>
      </c>
      <c r="D35" s="668">
        <f>'Variante Standjahre'!CL16</f>
        <v>48510.439024390238</v>
      </c>
      <c r="E35" s="669">
        <f>'Variante Standjahre'!CL92</f>
        <v>38998.516815881456</v>
      </c>
      <c r="F35" s="664">
        <f t="shared" si="0"/>
        <v>9511.9222085087822</v>
      </c>
      <c r="G35" s="135">
        <f t="shared" si="1"/>
        <v>1.2439047170285005</v>
      </c>
      <c r="H35" s="272">
        <f>'Variante Standjahre'!CJ13</f>
        <v>24878.048780487803</v>
      </c>
      <c r="I35" s="261">
        <f>H35/B18</f>
        <v>8.2926829268292686</v>
      </c>
      <c r="J35" s="888">
        <f>'Variante Standjahre'!CL97</f>
        <v>29361.120833731584</v>
      </c>
      <c r="K35" s="9"/>
      <c r="L35" s="7"/>
    </row>
    <row r="36" spans="1:12" ht="15.5" x14ac:dyDescent="0.35">
      <c r="A36" s="212" t="s">
        <v>52</v>
      </c>
      <c r="B36" s="11">
        <v>14</v>
      </c>
      <c r="C36" s="911">
        <f>'Variante Standjahre'!CS96</f>
        <v>-45873.410465567758</v>
      </c>
      <c r="D36" s="668">
        <f>'Variante Standjahre'!CS16</f>
        <v>48510.439024390238</v>
      </c>
      <c r="E36" s="669">
        <f>'Variante Standjahre'!CS92</f>
        <v>36102.706181315982</v>
      </c>
      <c r="F36" s="664">
        <f t="shared" si="0"/>
        <v>12407.732843074256</v>
      </c>
      <c r="G36" s="135">
        <f t="shared" si="1"/>
        <v>1.3436787475365366</v>
      </c>
      <c r="H36" s="272">
        <f>'Variante Standjahre'!CQ13</f>
        <v>24878.048780487803</v>
      </c>
      <c r="I36" s="261">
        <f>H36/B18</f>
        <v>8.2926829268292686</v>
      </c>
      <c r="J36" s="888">
        <f>'Variante Standjahre'!CS97</f>
        <v>14680.560416865801</v>
      </c>
      <c r="K36" s="9"/>
      <c r="L36" s="7"/>
    </row>
    <row r="37" spans="1:12" ht="15.5" x14ac:dyDescent="0.35">
      <c r="A37" s="893" t="s">
        <v>53</v>
      </c>
      <c r="B37" s="31">
        <v>15</v>
      </c>
      <c r="C37" s="912">
        <f>'Variante Standjahre'!CZ96</f>
        <v>-39354.008026905831</v>
      </c>
      <c r="D37" s="894">
        <f>'Variante Standjahre'!CZ16</f>
        <v>48510.439024390238</v>
      </c>
      <c r="E37" s="895">
        <f>'Variante Standjahre'!CZ92</f>
        <v>41991.036585728303</v>
      </c>
      <c r="F37" s="896">
        <f t="shared" si="0"/>
        <v>6519.4024386619349</v>
      </c>
      <c r="G37" s="913">
        <f t="shared" si="1"/>
        <v>1.155257001702066</v>
      </c>
      <c r="H37" s="898">
        <f>'Variante Standjahre'!CX13</f>
        <v>24878.048780487803</v>
      </c>
      <c r="I37" s="899">
        <f>H37/$B$18</f>
        <v>8.2926829268292686</v>
      </c>
      <c r="J37" s="900">
        <f>'Variante Standjahre'!CZ97</f>
        <v>1.8189894035458565E-11</v>
      </c>
      <c r="K37" s="9"/>
      <c r="L37" s="7"/>
    </row>
    <row r="38" spans="1:12" x14ac:dyDescent="0.25">
      <c r="B38" s="10"/>
      <c r="C38" s="84"/>
      <c r="D38" s="116"/>
      <c r="E38" s="156"/>
      <c r="F38" s="8"/>
      <c r="G38" s="91"/>
      <c r="H38" s="232"/>
      <c r="I38" s="62"/>
      <c r="J38" s="233"/>
      <c r="K38" s="9"/>
      <c r="L38" s="7"/>
    </row>
    <row r="39" spans="1:12" ht="13" x14ac:dyDescent="0.3">
      <c r="D39" s="12"/>
      <c r="E39" s="25"/>
    </row>
    <row r="40" spans="1:12" ht="24.75" customHeight="1" x14ac:dyDescent="0.4">
      <c r="A40" s="1450" t="s">
        <v>147</v>
      </c>
      <c r="B40" s="1450"/>
      <c r="C40" s="670">
        <f>C37</f>
        <v>-39354.008026905831</v>
      </c>
      <c r="D40" s="1"/>
      <c r="E40" s="1"/>
      <c r="F40" s="1"/>
      <c r="G40" s="1"/>
    </row>
    <row r="41" spans="1:12" ht="6" customHeight="1" x14ac:dyDescent="0.35">
      <c r="A41" s="721"/>
      <c r="B41" s="722"/>
      <c r="C41" s="723"/>
      <c r="D41" s="1"/>
      <c r="E41" s="1"/>
      <c r="F41" s="1"/>
      <c r="G41" s="1"/>
    </row>
    <row r="42" spans="1:12" ht="15.5" x14ac:dyDescent="0.35">
      <c r="A42" s="609" t="s">
        <v>74</v>
      </c>
      <c r="B42" s="521"/>
      <c r="C42" s="671">
        <f>'Variante Ertragsphase'!F120</f>
        <v>24.275622428813335</v>
      </c>
      <c r="D42" s="1"/>
      <c r="E42" s="1"/>
      <c r="F42" s="1"/>
      <c r="G42" s="1"/>
    </row>
    <row r="43" spans="1:12" ht="15.5" x14ac:dyDescent="0.35">
      <c r="A43" s="606" t="s">
        <v>75</v>
      </c>
      <c r="B43" s="522"/>
      <c r="C43" s="672">
        <f>'Variante Ertragsphase'!D93</f>
        <v>711.59793814432987</v>
      </c>
      <c r="D43" s="1"/>
      <c r="E43" s="1"/>
      <c r="F43" s="1"/>
      <c r="G43" s="1"/>
    </row>
    <row r="44" spans="1:12" ht="15.5" x14ac:dyDescent="0.35">
      <c r="A44" s="606" t="s">
        <v>205</v>
      </c>
      <c r="B44" s="524"/>
      <c r="C44" s="673">
        <f>2700/C43</f>
        <v>3.7942774357116988</v>
      </c>
      <c r="D44" s="1" t="s">
        <v>472</v>
      </c>
      <c r="E44" s="1"/>
      <c r="F44" s="1"/>
      <c r="G44" s="1"/>
    </row>
    <row r="45" spans="1:12" ht="9.75" customHeight="1" x14ac:dyDescent="0.25"/>
    <row r="47" spans="1:12" x14ac:dyDescent="0.25">
      <c r="C47" s="73"/>
      <c r="D47" s="73"/>
      <c r="E47" s="74"/>
    </row>
  </sheetData>
  <mergeCells count="1">
    <mergeCell ref="A40:B40"/>
  </mergeCells>
  <phoneticPr fontId="23" type="noConversion"/>
  <pageMargins left="0.78740157499999996" right="0.78740157499999996" top="0.984251969" bottom="0.984251969" header="0.4921259845" footer="0.4921259845"/>
  <pageSetup paperSize="9" orientation="portrait" r:id="rId1"/>
  <headerFooter alignWithMargins="0">
    <oddHeader>&amp;LArbokost BIO 2008/09&amp;REsther Bravin, ACW</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6</vt:i4>
      </vt:variant>
    </vt:vector>
  </HeadingPairs>
  <TitlesOfParts>
    <vt:vector size="22" baseType="lpstr">
      <vt:lpstr>Eingabeseite</vt:lpstr>
      <vt:lpstr>Notizen</vt:lpstr>
      <vt:lpstr>Variante Vorgaben</vt:lpstr>
      <vt:lpstr>Variante Hagel</vt:lpstr>
      <vt:lpstr>Variante Bewässerung</vt:lpstr>
      <vt:lpstr>Variante Erstellung</vt:lpstr>
      <vt:lpstr>Variante Standjahre</vt:lpstr>
      <vt:lpstr>Variante Ertragsphase</vt:lpstr>
      <vt:lpstr>Variante Cashflow</vt:lpstr>
      <vt:lpstr>Standard Vorgaben</vt:lpstr>
      <vt:lpstr>Standard Hagel</vt:lpstr>
      <vt:lpstr>Standard Bewässerung</vt:lpstr>
      <vt:lpstr>Standard Erstellung</vt:lpstr>
      <vt:lpstr>Standard Standjahre</vt:lpstr>
      <vt:lpstr>Standard Ertragsphase</vt:lpstr>
      <vt:lpstr>Standard Cashflow</vt:lpstr>
      <vt:lpstr>Eingabeseite!Druckbereich</vt:lpstr>
      <vt:lpstr>'Standard Cashflow'!Druckbereich</vt:lpstr>
      <vt:lpstr>'Standard Ertragsphase'!Druckbereich</vt:lpstr>
      <vt:lpstr>'Standard Standjahre'!Druckbereich</vt:lpstr>
      <vt:lpstr>'Variante Cashflow'!Druckbereich</vt:lpstr>
      <vt:lpstr>'Variante Ertragsphase'!Druckbereich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Arbokost für Apfel</dc:title>
  <dc:subject>Entwicklung</dc:subject>
  <dc:creator>Esther Bravin</dc:creator>
  <cp:lastModifiedBy>Bravin Esther</cp:lastModifiedBy>
  <cp:lastPrinted>2009-02-17T13:57:03Z</cp:lastPrinted>
  <dcterms:created xsi:type="dcterms:W3CDTF">1999-04-12T09:35:11Z</dcterms:created>
  <dcterms:modified xsi:type="dcterms:W3CDTF">2023-09-21T14:05:41Z</dcterms:modified>
</cp:coreProperties>
</file>